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BT PREMIERSHIP/Season 2019-20/"/>
    </mc:Choice>
  </mc:AlternateContent>
  <xr:revisionPtr revIDLastSave="3313" documentId="8_{3D4B241B-4CE6-442F-AA45-E7A36F638676}" xr6:coauthVersionLast="47" xr6:coauthVersionMax="47" xr10:uidLastSave="{6118B81E-57AC-41DE-BC75-D27FEA297794}"/>
  <bookViews>
    <workbookView xWindow="-28920" yWindow="-120" windowWidth="29040" windowHeight="15840" tabRatio="952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C" sheetId="5" r:id="rId6"/>
    <sheet name="LIR" sheetId="8" r:id="rId7"/>
    <sheet name="NOR" sheetId="9" r:id="rId8"/>
    <sheet name="SAL" sheetId="10" r:id="rId9"/>
    <sheet name="SAR" sheetId="11" r:id="rId10"/>
    <sheet name="WAS" sheetId="7" r:id="rId11"/>
    <sheet name="WOR" sheetId="12" r:id="rId12"/>
    <sheet name="OVERALL" sheetId="13" r:id="rId13"/>
  </sheets>
  <externalReferences>
    <externalReference r:id="rId14"/>
  </externalReferences>
  <definedNames>
    <definedName name="A_Wallerpts">NOR!$G$49</definedName>
    <definedName name="A_Wallertries">NOR!$B$49</definedName>
    <definedName name="Abbottjakepts">WOR!#REF!</definedName>
    <definedName name="Abbottjaketries">WOR!#REF!</definedName>
    <definedName name="Abendanonnickpts">BTH!#REF!</definedName>
    <definedName name="Abendanonnicktries">BTH!#REF!</definedName>
    <definedName name="Ackermannglopts">GLO!$G$3</definedName>
    <definedName name="Ackermannglotries">GLO!$B$3</definedName>
    <definedName name="Adams_Halesarpts">SAR!$G$3</definedName>
    <definedName name="Adams_Halesartries">SAR!$B$3</definedName>
    <definedName name="Adamsworpts">WOR!$G$3</definedName>
    <definedName name="Adamswortries">WOR!$B$3</definedName>
    <definedName name="Addisonsalpts">SAL!#REF!</definedName>
    <definedName name="Addisonsaltries">SAL!#REF!</definedName>
    <definedName name="afoabripts">BRI!$G$3</definedName>
    <definedName name="afoabritries">BRI!$B$3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LIR!$G$3</definedName>
    <definedName name="Ah_Younewtries">LIR!$B$3</definedName>
    <definedName name="Aholeleiwelshpts">WOR!$G$4</definedName>
    <definedName name="Aholeleiwelshtries">WOR!$B$4</definedName>
    <definedName name="Alemannoglopts">GLO!$G$4</definedName>
    <definedName name="Alemannoglotries">GLO!$B$4</definedName>
    <definedName name="Allenanthonypts">LEIC!#REF!</definedName>
    <definedName name="Allenanthonytries">LEIC!#REF!</definedName>
    <definedName name="Allinsonbatpts">BTH!#REF!</definedName>
    <definedName name="Allinsonbattries">BTH!#REF!</definedName>
    <definedName name="allinsonliatt">BRI!$M$12</definedName>
    <definedName name="allinsonligoals">BRI!$L$12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ofafartries">HAR!$B$3</definedName>
    <definedName name="Alofaharpts">HAR!$G$3</definedName>
    <definedName name="Aloworpts">WOR!#REF!</definedName>
    <definedName name="Alowortries">WOR!#REF!</definedName>
    <definedName name="Armanddonpts">EXE!$G$3</definedName>
    <definedName name="Armanddontries">EXE!$B$3</definedName>
    <definedName name="Armitageguytries">BRI!#REF!</definedName>
    <definedName name="Armitagewaspts">WAS!$G$3</definedName>
    <definedName name="Armitagewastries">WAS!$B$3</definedName>
    <definedName name="Armstrongbripts">BRI!$G$4</definedName>
    <definedName name="Armstrongbritries">BRI!$B$4</definedName>
    <definedName name="Armtageguypts">BRI!#REF!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LIR!$M$4</definedName>
    <definedName name="arscottnewgls">LIR!$L$4</definedName>
    <definedName name="Arscottnewpts">LIR!$G$4</definedName>
    <definedName name="Arscottnewtries">LIR!$B$4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shtonchrisptscorrect">SAR!#REF!</definedName>
    <definedName name="Ashtonchristriescorrect">SAR!#REF!</definedName>
    <definedName name="Ashtonpts">SAR!#REF!</definedName>
    <definedName name="Ashtonsalpts">SAL!$G$3</definedName>
    <definedName name="Ashtonsaltries">SAL!$B$3</definedName>
    <definedName name="ashtontries">SAR!#REF!</definedName>
    <definedName name="Atkinsbthatt">BTH!$M$4</definedName>
    <definedName name="Atkinsbthgls">BTH!$L$4</definedName>
    <definedName name="Atkinsbthpts">BTH!$G$3</definedName>
    <definedName name="Atkinsbthtries">BTH!$B$3</definedName>
    <definedName name="atkinsliratt">BRI!$M$11</definedName>
    <definedName name="atkinslirgls">BRI!$L$11</definedName>
    <definedName name="Atkinsonglopts">GLO!$G$5</definedName>
    <definedName name="Atkinsonglotries">GLO!$B$5</definedName>
    <definedName name="Attwooddavepts">BTH!$G$4</definedName>
    <definedName name="Attwooddavetries">BTH!$B$4</definedName>
    <definedName name="Attwoodpts">BTH!$G$37</definedName>
    <definedName name="attwoodtries">BTH!#REF!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tagavaiafaatoinapts">NOR!#REF!</definedName>
    <definedName name="Autagavaiafaatoinatries">NOR!#REF!</definedName>
    <definedName name="Auteracharpts">HAR!$G$4</definedName>
    <definedName name="Auterachartries">HAR!$B$4</definedName>
    <definedName name="Auteracnicbatpts">BTH!#REF!</definedName>
    <definedName name="auteracnicbattries">BTH!#REF!</definedName>
    <definedName name="Awcockalanpts">WOR!#REF!</definedName>
    <definedName name="Awcockalantries">WOR!#REF!</definedName>
    <definedName name="Ayerzaleipts">LEIC!#REF!</definedName>
    <definedName name="Ayerzaleitries">LEIC!#REF!</definedName>
    <definedName name="Baileipts">LEIC!#REF!</definedName>
    <definedName name="Baileitries">LEIC!#REF!</definedName>
    <definedName name="Bainessalpts">SAL!#REF!</definedName>
    <definedName name="Bainessaltries">SAL!#REF!</definedName>
    <definedName name="Baldwinharpts">HAR!$G$5</definedName>
    <definedName name="Baldwinhartries">HAR!$B$5</definedName>
    <definedName name="Balmainglopts">GLO!$G$6</definedName>
    <definedName name="Balmainglotries">GLO!$B$6</definedName>
    <definedName name="Balmainleipts">LEIC!#REF!</definedName>
    <definedName name="Balmainleitries">LEIC!#REF!</definedName>
    <definedName name="banahanbatatt">BTH!#REF!</definedName>
    <definedName name="banahanbatgoals">BTH!#REF!</definedName>
    <definedName name="Banahanglopts">GLO!$G$7</definedName>
    <definedName name="Banahanglotries">GLO!$B$7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BTH!$B$4</definedName>
    <definedName name="banhanpts">BTH!#REF!</definedName>
    <definedName name="Barbearywaspts">WAS!$G$4</definedName>
    <definedName name="Barbearywastrie">WAS!$B$4</definedName>
    <definedName name="Barbierileipts">LEIC!$G$3</definedName>
    <definedName name="Barbierileitries">LEIC!$B$3</definedName>
    <definedName name="Barkleyollypts">WOR!$G$5</definedName>
    <definedName name="Barkleyollytries">WOR!$B$5</definedName>
    <definedName name="barkleywelatt">WOR!$M$4</definedName>
    <definedName name="barkleywelgoals">WOR!$L$4</definedName>
    <definedName name="Barnesnewpts">LIR!#REF!</definedName>
    <definedName name="Barnesnewtries">LIR!#REF!</definedName>
    <definedName name="Barringtonrichardpts">SAR!$G$4</definedName>
    <definedName name="Barringtonrichardtries">SAR!$B$4</definedName>
    <definedName name="Barrittbradpts">SAR!$G$5</definedName>
    <definedName name="Barrittbradtries">SAR!$B$5</definedName>
    <definedName name="Barrownewpts">LIR!#REF!</definedName>
    <definedName name="Barrownewtries">LIR!#REF!</definedName>
    <definedName name="Barrownorpts">NOR!$G$3</definedName>
    <definedName name="Barrownortries">NOR!$B$3</definedName>
    <definedName name="Bartonglopts">GLO!$G$8</definedName>
    <definedName name="Bartonglotries">GLO!$B$8</definedName>
    <definedName name="Bashamnewpts">LIR!$G$5</definedName>
    <definedName name="Bashamnewtries">LIR!$B$5</definedName>
    <definedName name="bassettjoshtries">WAS!#REF!</definedName>
    <definedName name="Bassettpts">WAS!#REF!</definedName>
    <definedName name="bassetttries">WAS!#REF!</definedName>
    <definedName name="Bassettwaspts">WAS!$G$5</definedName>
    <definedName name="Bassettwastries">WAS!$B$5</definedName>
    <definedName name="Batemangregpts">EXE!$G$4</definedName>
    <definedName name="Batemangregtries">EXE!$B$4</definedName>
    <definedName name="Batemanleipts">LEIC!$G$4</definedName>
    <definedName name="Batemanleitries">LEIC!$B$4</definedName>
    <definedName name="Batesbripts">BRI!$G$5</definedName>
    <definedName name="Batesbritries">BRI!$B$5</definedName>
    <definedName name="bathpentries">BTH!$B$4</definedName>
    <definedName name="bathpentriespts">BTH!$G$4</definedName>
    <definedName name="bathpentriesptscorrect">BTH!#REF!</definedName>
    <definedName name="bathpentriesptsthisone">BTH!$G$37</definedName>
    <definedName name="bathpentriestriescorrect">BTH!#REF!</definedName>
    <definedName name="bathpentriestriesthisone">BTH!$B$37</definedName>
    <definedName name="BathPts">BTH!$G$57</definedName>
    <definedName name="bathscorers">BTH!$A$4:$J$4</definedName>
    <definedName name="BathTries">BTH!$B$57</definedName>
    <definedName name="Batleybripts">BRI!$G$6</definedName>
    <definedName name="Batleybritries">BRI!$B$6</definedName>
    <definedName name="Battyrosspts">BTH!$G$5</definedName>
    <definedName name="Battyrosstries">BTH!$B$5</definedName>
    <definedName name="Baylissbthpts">BTH!$G$6</definedName>
    <definedName name="Baylissbthtries">BTH!$B$6</definedName>
    <definedName name="Bealewaspts">WAS!#REF!</definedName>
    <definedName name="Bealewastries">WAS!#REF!</definedName>
    <definedName name="Beaumontsalpts">SAL!$G$4</definedName>
    <definedName name="Beaumontsaltries">SAL!$B$4</definedName>
    <definedName name="Beckworpts">WOR!$G$8</definedName>
    <definedName name="Beckwortries">WOR!$B$8</definedName>
    <definedName name="bedlowbriatt">BRI!$M$5</definedName>
    <definedName name="Bedlowbrigls">BRI!$L$5</definedName>
    <definedName name="Bedlowbripts">BRI!$G$7</definedName>
    <definedName name="bedlowbritries">BRI!$B$7</definedName>
    <definedName name="bedlowsalatt">SAL!#REF!</definedName>
    <definedName name="Bedlowsalgls">SAL!#REF!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ll_C">WAS!#REF!</definedName>
    <definedName name="Bellchrispts">WAS!#REF!</definedName>
    <definedName name="Bellchristries">WAS!#REF!</definedName>
    <definedName name="bellleiatt">LEIC!$M$5</definedName>
    <definedName name="Bellleigoals">LEIC!$L$5</definedName>
    <definedName name="Bellleipts">LEIC!#REF!</definedName>
    <definedName name="Bellleitries">LEIC!#REF!</definedName>
    <definedName name="Belltommypts">WAS!#REF!</definedName>
    <definedName name="Belltommytries">WAS!#REF!</definedName>
    <definedName name="BenettonPts">[1]BEN!$F$54</definedName>
    <definedName name="BenettonTries">[1]BEN!$B$54</definedName>
    <definedName name="Benjaminleipts">LEIC!#REF!</definedName>
    <definedName name="Benjaminleitries">LEIC!#REF!</definedName>
    <definedName name="Benjaminmilespts">LEIC!#REF!</definedName>
    <definedName name="Benjaminmilestries">LEIC!#REF!</definedName>
    <definedName name="Bennettnorpts">NOR!#REF!</definedName>
    <definedName name="Bennettnortries">NOR!#REF!</definedName>
    <definedName name="Bentleyjonnypts">GLO!$G$52</definedName>
    <definedName name="Bettencourtnewpts">LIR!$G$7</definedName>
    <definedName name="Bettencourtnewtries">LIR!$B$7</definedName>
    <definedName name="Bettysampts">WOR!$G$5</definedName>
    <definedName name="Bettysamtries">WOR!$B$5</definedName>
    <definedName name="Bevingtonbstpts">BRI!$G$4</definedName>
    <definedName name="Bevingtonbsttries">BRI!$B$4</definedName>
    <definedName name="Biggarnorpts">NOR!$G$4</definedName>
    <definedName name="Biggarnortries">NOR!$B$4</definedName>
    <definedName name="Biggstompts">BTH!#REF!</definedName>
    <definedName name="Biggstomtries">BTH!#REF!</definedName>
    <definedName name="Blackworpts">WOR!$G$9</definedName>
    <definedName name="Blackwortries">WOR!$B$9</definedName>
    <definedName name="Blairnewpts">LIR!$G$10</definedName>
    <definedName name="Blairpts">LIR!$G$13</definedName>
    <definedName name="Blairtries">LIR!$B$10</definedName>
    <definedName name="Blamirenewpts">LIR!$G$8</definedName>
    <definedName name="Blamirenewtries">LIR!$B$8</definedName>
    <definedName name="Blommetjiesleicpts">LEIC!$G$5</definedName>
    <definedName name="Blommetjiesleictries">LEIC!$B$5</definedName>
    <definedName name="Bodillyexepts">EXE!$G$5</definedName>
    <definedName name="Bodillyexetries">EXE!$B$5</definedName>
    <definedName name="boschatt">SAR!$M$12</definedName>
    <definedName name="Boschgoals">SAR!$L$12</definedName>
    <definedName name="Boschmarcelopts">SAR!$G$6</definedName>
    <definedName name="Boschmarcelotries">SAR!$B$6</definedName>
    <definedName name="Bothaexepts">EXE!#REF!</definedName>
    <definedName name="Bothaexetries">EXE!#REF!</definedName>
    <definedName name="Bothalirpts">LIR!$G$6</definedName>
    <definedName name="Bothalirtries">LIR!$B$6</definedName>
    <definedName name="Bothamouritzpts">SAR!#REF!</definedName>
    <definedName name="Bothamouritztries">SAR!#REF!</definedName>
    <definedName name="Bothmaharpts">HAR!$G$6</definedName>
    <definedName name="Bothmahartries">HAR!$B$6</definedName>
    <definedName name="boticaatt">HAR!$M$4</definedName>
    <definedName name="Boticabentries">HAR!#REF!</definedName>
    <definedName name="boticagoals">HAR!$L$4</definedName>
    <definedName name="Boticaharpts">HAR!#REF!</definedName>
    <definedName name="Boticapts">HAR!#REF!</definedName>
    <definedName name="Bowdendanpts">LEIC!$G$16</definedName>
    <definedName name="Bowdendantries">LEIC!#REF!</definedName>
    <definedName name="Bowdenpts">LEIC!#REF!</definedName>
    <definedName name="bowdentries">LEIC!#REF!</definedName>
    <definedName name="Boycebthpts">BTH!$G$7</definedName>
    <definedName name="Boycebthtries">BTH!$B$7</definedName>
    <definedName name="Boyceharpts">HAR!$G$7</definedName>
    <definedName name="Boycehartries">HAR!$B$7</definedName>
    <definedName name="Bradyleipts">LEIC!#REF!</definedName>
    <definedName name="Bradyleitries">LEIC!#REF!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WOR!#REF!</definedName>
    <definedName name="braidworgoals">WOR!#REF!</definedName>
    <definedName name="Braidworpts">WOR!#REF!</definedName>
    <definedName name="Braidwortries">WOR!#REF!</definedName>
    <definedName name="Braleyglopts">GLO!$G$9</definedName>
    <definedName name="Braleyglotries">GLO!$B$9</definedName>
    <definedName name="Bregvadzeworpts">WOR!#REF!</definedName>
    <definedName name="Bregvadzewortries">WOR!#REF!</definedName>
    <definedName name="Breslerworpts">WOR!$G$11</definedName>
    <definedName name="Breslerwortries">WOR!$B$11</definedName>
    <definedName name="Brewbthpts">BTH!$G$8</definedName>
    <definedName name="Brewbthtries">BTH!$B$8</definedName>
    <definedName name="Briggsleipts">LEIC!#REF!</definedName>
    <definedName name="Briggsleitries">LEIC!#REF!</definedName>
    <definedName name="Briggssalpts">SAL!#REF!</definedName>
    <definedName name="Briggssaltries">SAL!#REF!</definedName>
    <definedName name="BristolPts">BRI!$G$62</definedName>
    <definedName name="BristolTries">BRI!$B$62</definedName>
    <definedName name="Bristowleipts">LEIC!#REF!</definedName>
    <definedName name="Bristowleitries">LEIC!#REF!</definedName>
    <definedName name="Bristowsalpts">SAL!$G$5</definedName>
    <definedName name="Bristowsaltries">SAL!$B$5</definedName>
    <definedName name="Britspts">SAR!#REF!</definedName>
    <definedName name="britstris">SAR!#REF!</definedName>
    <definedName name="Brittonwelpts">WOR!$G$6</definedName>
    <definedName name="Brittonweltries">WOR!$B$6</definedName>
    <definedName name="Brookerglopts">GLO!#REF!</definedName>
    <definedName name="Brookerglotries">GLO!#REF!</definedName>
    <definedName name="Brookesnewpts">LIR!#REF!</definedName>
    <definedName name="Brookesnewtries">LIR!#REF!</definedName>
    <definedName name="Brookesnoprpts">NOR!$G$4</definedName>
    <definedName name="Brookesnortries">NOR!$B$4</definedName>
    <definedName name="Brookeswaspts">WAS!$G$6</definedName>
    <definedName name="Brookeswastries">WAS!$B$6</definedName>
    <definedName name="Brophy_Clewslirgoals">BRI!$L$9</definedName>
    <definedName name="Brophy_Clewslirpts">BRI!#REF!</definedName>
    <definedName name="Brophy_Clewslirtries">BRI!#REF!</definedName>
    <definedName name="brophyclewsliratt">BRI!$M$9</definedName>
    <definedName name="BrophyClewslirpts">BRI!$G$10</definedName>
    <definedName name="BrophyClewslirtries">BRI!$B$10</definedName>
    <definedName name="Brown">HAR!$A$8:$E$8</definedName>
    <definedName name="brown2">HAR!$AD$33</definedName>
    <definedName name="Brownedanielpts">WOR!$G$7</definedName>
    <definedName name="Brownedanieltries">WOR!$B$7</definedName>
    <definedName name="Brownepetepts">WOR!#REF!</definedName>
    <definedName name="Brownepetetries">WOR!#REF!</definedName>
    <definedName name="brownexepts">EXE!#REF!</definedName>
    <definedName name="brownexetries">EXE!#REF!</definedName>
    <definedName name="Brownharpts">HAR!$G$8</definedName>
    <definedName name="Brownhartries">HAR!$B$8</definedName>
    <definedName name="brownkellypts">SAR!#REF!</definedName>
    <definedName name="brownkellytries">SAR!#REF!</definedName>
    <definedName name="brownmikepts2">HAR!$G$8</definedName>
    <definedName name="Brownmiketries">HAR!$A$8:$E$8</definedName>
    <definedName name="brownmiketriescorrect">HAR!$B$8</definedName>
    <definedName name="brownsarpts">SAR!#REF!</definedName>
    <definedName name="brownsartries">SAR!#REF!</definedName>
    <definedName name="Brussownorpts">NOR!$G$5</definedName>
    <definedName name="Brussownortries">NOR!$B$5</definedName>
    <definedName name="bryantleiatt">LEIC!$M$6</definedName>
    <definedName name="Bryantleigoals">LEIC!$L$6</definedName>
    <definedName name="Bryantleipts">LEIC!#REF!</definedName>
    <definedName name="Bryantleitries">LEIC!#REF!</definedName>
    <definedName name="Buchananpts">HAR!$G$9</definedName>
    <definedName name="buchanantries">HAR!$B$9</definedName>
    <definedName name="Buckleysalpts">SAL!#REF!</definedName>
    <definedName name="Buckleysaltries">SAL!#REF!</definedName>
    <definedName name="Burgerjacquespts">SAR!$G$7</definedName>
    <definedName name="Burgerjacquestries">SAR!$B$7</definedName>
    <definedName name="Burgesssampts">BTH!#REF!</definedName>
    <definedName name="Burgesssamtries">BTH!#REF!</definedName>
    <definedName name="Burnsbillypts">GLO!#REF!</definedName>
    <definedName name="Burnsbillytries">GLO!#REF!</definedName>
    <definedName name="burnsbthpts">BTH!$G$9</definedName>
    <definedName name="burnsbthtries">BTH!$B$9</definedName>
    <definedName name="burnsfreddieatt">GLO!$M$4</definedName>
    <definedName name="burnsfreddiegoals">GLO!$L$4</definedName>
    <definedName name="Burnsfreddiepts">GLO!$G$5</definedName>
    <definedName name="Burnsfreddietries">GLO!$B$52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LEIC!$M$4</definedName>
    <definedName name="burnsleigoals">LEIC!$L$4</definedName>
    <definedName name="Burnsleipts">LEIC!#REF!</definedName>
    <definedName name="Burnsleitries">LEIC!#REF!</definedName>
    <definedName name="Burrelllutherpts">NOR!$G$6</definedName>
    <definedName name="Burrellpts">NOR!$G$39</definedName>
    <definedName name="Burrelltries">NOR!$B$39</definedName>
    <definedName name="Burrelltriescorrect">NOR!$B$6</definedName>
    <definedName name="Burrowsnewpts">LIR!$G$9</definedName>
    <definedName name="Burrowsnewtries">LIR!$B$9</definedName>
    <definedName name="Byrnebripts">BRI!$G$8</definedName>
    <definedName name="Byrnebritries">BRI!$B$8</definedName>
    <definedName name="Cahillshanepts">WOR!#REF!</definedName>
    <definedName name="Cahillshanetries">WOR!#REF!</definedName>
    <definedName name="Caldwellexepts">EXE!$G$6</definedName>
    <definedName name="Caldwellexetries">EXE!$B$6</definedName>
    <definedName name="Camacholeipts">LEIC!#REF!</definedName>
    <definedName name="Camacholeitries">LEIC!#REF!</definedName>
    <definedName name="Campagnarowaspts">WAS!$G$7</definedName>
    <definedName name="Campagnarowastries">WAS!$B$7</definedName>
    <definedName name="Cannonwaspts">WAS!#REF!</definedName>
    <definedName name="Cannonwastries">WAS!#REF!</definedName>
    <definedName name="Caponbripts">BRI!$G$9</definedName>
    <definedName name="Caponbritries">BRI!$B$9</definedName>
    <definedName name="Capstickexepts">EXE!$G$6</definedName>
    <definedName name="Capstickexetries">EXE!$B$6</definedName>
    <definedName name="Cardallwaspts">WAS!$G$8</definedName>
    <definedName name="Cardallwastries">WAS!$B$8</definedName>
    <definedName name="CardiffPts">[1]CBL!$F$50</definedName>
    <definedName name="CardiffTries">[1]CBL!$B$50</definedName>
    <definedName name="Care" comment="constant">HAR!$B$10</definedName>
    <definedName name="Carepts">HAR!$G$10</definedName>
    <definedName name="caretries" comment="constant">HAR!$B$10</definedName>
    <definedName name="carlisleatt">WAS!#REF!</definedName>
    <definedName name="carlislegoals">WAS!#REF!</definedName>
    <definedName name="Carlislejoetries">WAS!#REF!</definedName>
    <definedName name="Carlislepts">WAS!#REF!</definedName>
    <definedName name="Carrick_Smithexepts">EXE!$G$7</definedName>
    <definedName name="Carrick_Smithexetries">EXE!$B$7</definedName>
    <definedName name="Carrwaspts">WAS!$G$9</definedName>
    <definedName name="Carrwastries">WAS!$B$9</definedName>
    <definedName name="Cassonharpts">HAR!#REF!</definedName>
    <definedName name="Cassonhartries">HAR!#REF!</definedName>
    <definedName name="Catonewpts">LIR!#REF!</definedName>
    <definedName name="Catonoahpts">LIR!#REF!</definedName>
    <definedName name="Catonoahtries">LIR!#REF!</definedName>
    <definedName name="Catrakilisharpts">HAR!$G$11</definedName>
    <definedName name="Catrakilishartries">HAR!$B$11</definedName>
    <definedName name="catterickatt">LIR!#REF!</definedName>
    <definedName name="catterickgoals">LIR!#REF!</definedName>
    <definedName name="Cattericknewtries">LIR!#REF!</definedName>
    <definedName name="Catterickpts">LIR!#REF!</definedName>
    <definedName name="Cattericktries">LIR!#REF!</definedName>
    <definedName name="Cattnathanpts">BTH!$G$10</definedName>
    <definedName name="Cattnathantries">BTH!$B$10</definedName>
    <definedName name="chapmangloatt">GLO!$M$5</definedName>
    <definedName name="chapmanglogls">GLO!$L$5</definedName>
    <definedName name="Chapmanglopts">GLO!$G$10</definedName>
    <definedName name="Chapmanglotries">GLO!$B$10</definedName>
    <definedName name="Charlesbthpts">BTH!#REF!</definedName>
    <definedName name="Charlesbthtries">BTH!#REF!</definedName>
    <definedName name="Charterisbthpts">BTH!$G$11</definedName>
    <definedName name="Charterisbthtries">BTH!$B$11</definedName>
    <definedName name="Cheesemanharpts">HAR!$G$12</definedName>
    <definedName name="Cheesemanhartries">HAR!$B$12</definedName>
    <definedName name="CheetahsPts">[1]CHE!$E$62</definedName>
    <definedName name="CheetahsTries">[1]CHE!$B$62</definedName>
    <definedName name="Chicknewpts">LIR!$G$13</definedName>
    <definedName name="Chicknewtries">LIR!$B$13</definedName>
    <definedName name="Chisanganewpts">LIR!#REF!</definedName>
    <definedName name="Chisanganewtries">LIR!#REF!</definedName>
    <definedName name="Chisholm_Jharpts">HAR!#REF!</definedName>
    <definedName name="Chisholm_Jhartries">HAR!#REF!</definedName>
    <definedName name="Chisholm_Rharpts">HAR!$G$14</definedName>
    <definedName name="Chisholm_Rhartries">HAR!$B$14</definedName>
    <definedName name="Chisholmjamesharpts">HAR!$G$13</definedName>
    <definedName name="Chisholmjameshartries">HAR!$B$13</definedName>
    <definedName name="Chudleybthpts">BTH!$G$12</definedName>
    <definedName name="Chudleybthtries">BTH!$B$12</definedName>
    <definedName name="Chudleyexepts">EXE!#REF!</definedName>
    <definedName name="Chudleyexetries">EXE!#REF!</definedName>
    <definedName name="Cilliersleipts">LEIC!#REF!</definedName>
    <definedName name="Cilliersleitries">LEIC!#REF!</definedName>
    <definedName name="ciprianiatt">SAL!$M$4</definedName>
    <definedName name="Ciprianidannytries">SAL!#REF!</definedName>
    <definedName name="ciprianigloatt">GLO!$M$7</definedName>
    <definedName name="ciprianiglogls">GLO!$L$7</definedName>
    <definedName name="Ciprianiglopts">GLO!$G$11</definedName>
    <definedName name="Ciprianiglotries">GLO!$B$11</definedName>
    <definedName name="ciprianigoals">SAL!$L$4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WAS!#REF!</definedName>
    <definedName name="Ciprianiwastries">WAS!#REF!</definedName>
    <definedName name="Cittadiniwaspts">WAS!#REF!</definedName>
    <definedName name="Cittadiniwastries">WAS!#REF!</definedName>
    <definedName name="Civettanewpts">LIR!#REF!</definedName>
    <definedName name="Civettanewtries">LIR!#REF!</definedName>
    <definedName name="Clarenorpts">NOR!#REF!</definedName>
    <definedName name="Clarenortries">NOR!#REF!</definedName>
    <definedName name="Clarkbatpts">BTH!$G$13</definedName>
    <definedName name="Clarkbattries">BTH!$B$13</definedName>
    <definedName name="Clarkcalumpts">NOR!#REF!</definedName>
    <definedName name="Clarkcalumtries">NOR!#REF!</definedName>
    <definedName name="cleggatt">LIR!$M$5</definedName>
    <definedName name="clegggoals">LIR!$L$5</definedName>
    <definedName name="Cleggnewpts">LIR!$G$13</definedName>
    <definedName name="Cleggpts">LIR!$G$10</definedName>
    <definedName name="cleggrorytries">LIR!$B$13</definedName>
    <definedName name="Cleggworpts">WOR!$G$13</definedName>
    <definedName name="Cleggwortries">WOR!$B$13</definedName>
    <definedName name="Clevernewpts">LIR!#REF!</definedName>
    <definedName name="Clevernewtries">LIR!#REF!</definedName>
    <definedName name="Cliffordharpts">HAR!$G$15</definedName>
    <definedName name="Cliffordhartries">HAR!$B$15</definedName>
    <definedName name="Cliffordjackpts">HAR!#REF!</definedName>
    <definedName name="Cliffordjacktries">HAR!#REF!</definedName>
    <definedName name="cliffsalatt">SAL!$M$7</definedName>
    <definedName name="Cliffsalgls">SAL!$L$7</definedName>
    <definedName name="Cliffsalpts">SAL!#REF!</definedName>
    <definedName name="Cliffsaltries">SAL!#REF!</definedName>
    <definedName name="Cliffwillsalpts">SAL!$G$6</definedName>
    <definedName name="Cliffwillsaltries">SAL!$B$6</definedName>
    <definedName name="Cobilassalpts">SAL!#REF!</definedName>
    <definedName name="Cobilassaltries">SAL!#REF!</definedName>
    <definedName name="Cochraneneilpts">WAS!#REF!</definedName>
    <definedName name="Cochraneneiltries">WAS!#REF!</definedName>
    <definedName name="Coetzerglopts">GLO!$G$13</definedName>
    <definedName name="Coetzerglotries">GLO!$B$13</definedName>
    <definedName name="Cokanasigabthpts">BTH!$G$14</definedName>
    <definedName name="Cokanasigabthtries">BTH!$B$14</definedName>
    <definedName name="Cokanasigalirpts">BRI!#REF!</definedName>
    <definedName name="Cokanasigalirtries">BRI!#REF!</definedName>
    <definedName name="Coleleipts">LEIC!$G$6</definedName>
    <definedName name="Coleleitries">LEIC!$B$6</definedName>
    <definedName name="Colesnorpts">NOR!$G$7</definedName>
    <definedName name="Colesnortries">NOR!$B$7</definedName>
    <definedName name="Collettnewpts">LIR!$G$14</definedName>
    <definedName name="Collettnewtries">LIR!$B$14</definedName>
    <definedName name="Collierharpts">HAR!$G$16</definedName>
    <definedName name="Collierhartries">HAR!$B$16</definedName>
    <definedName name="Collinstompts">NOR!$G$8</definedName>
    <definedName name="Collinstomtries">NOR!$B$8</definedName>
    <definedName name="Comanlirpts">BRI!$G$12</definedName>
    <definedName name="Comanlirtries">BRI!$B$12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SAR!#REF!</definedName>
    <definedName name="Conlonsartries">SAR!#REF!</definedName>
    <definedName name="ConnachtPts">[1]CON!$F$51</definedName>
    <definedName name="ConnachtTries">[1]CON!$B$51</definedName>
    <definedName name="connonnewatt">LIR!$M$6</definedName>
    <definedName name="connonnewgoals">LIR!$L$6</definedName>
    <definedName name="Connonnewpts">LIR!#REF!</definedName>
    <definedName name="Connonnewptscorrect">LIR!$G$16</definedName>
    <definedName name="Connonnewtries">LIR!#REF!</definedName>
    <definedName name="Connonnewtriescorrect">LIR!$B$16</definedName>
    <definedName name="cookatt">GLO!#REF!</definedName>
    <definedName name="Cookbthpts">BTH!$G$15</definedName>
    <definedName name="Cookbthtries">BTH!$B$15</definedName>
    <definedName name="Cookchrispts">BTH!$G$15</definedName>
    <definedName name="Cookchristries">BTH!$B$15</definedName>
    <definedName name="Cookelirpts">LIR!$G$11</definedName>
    <definedName name="Cookelirtries">LIR!$B$11</definedName>
    <definedName name="Cookgoals">GLO!#REF!</definedName>
    <definedName name="Cookpts">GLO!#REF!</definedName>
    <definedName name="Cooktries">GLO!#REF!</definedName>
    <definedName name="Cooper_Woolleypts">WAS!#REF!</definedName>
    <definedName name="Cooper_Woolleysalpts">SAL!$G$7</definedName>
    <definedName name="Cooper_Woolleysaltries">SAL!$B$7</definedName>
    <definedName name="Cooper_Woolleytries">WAS!#REF!</definedName>
    <definedName name="Cooper_Woolleywaspts">WAS!$G$10</definedName>
    <definedName name="Cooper_Woolleywastries">WAS!$B$10</definedName>
    <definedName name="Coopernewpts">LIR!$G$19</definedName>
    <definedName name="Coopernewtries">LIR!$B$19</definedName>
    <definedName name="Cooperwelpts">WOR!$G$10</definedName>
    <definedName name="Cooperweltries">WOR!$B$10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WOR!#REF!</definedName>
    <definedName name="Corkermatttries">WOR!#REF!</definedName>
    <definedName name="Cornishlirpts">LIR!$G$12</definedName>
    <definedName name="Cornishlirtries">LIR!$B$12</definedName>
    <definedName name="Cosgrovebripts">BRI!$G$10</definedName>
    <definedName name="Cosgrovebritries">BRI!$B$10</definedName>
    <definedName name="Courtlipts">BRI!$G$11</definedName>
    <definedName name="Courtlitries">BRI!$B$11</definedName>
    <definedName name="Cowan_Dickie_Lukepts">EXE!$G$8</definedName>
    <definedName name="Cowan_Dickie_Luketries">EXE!$B$8</definedName>
    <definedName name="Cowanblairtries">BRI!$B$14</definedName>
    <definedName name="Cowanjimmypts">GLO!$G$51</definedName>
    <definedName name="Cowanjimmytries">GLO!$B$51</definedName>
    <definedName name="Cowanlipts">BRI!$G$14</definedName>
    <definedName name="Cowanpts">BRI!#REF!</definedName>
    <definedName name="Cowansarpts">SAR!#REF!</definedName>
    <definedName name="Cowansartries">SAR!#REF!</definedName>
    <definedName name="Cowantries">BRI!$B$28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WOR!$G$14</definedName>
    <definedName name="Coxwortries">WOR!$B$14</definedName>
    <definedName name="Craignorpts">NOR!$G$9</definedName>
    <definedName name="Craignortries">NOR!$B$9</definedName>
    <definedName name="cranebripts">BRI!$G$11</definedName>
    <definedName name="Cranebritries">BRI!$B$11</definedName>
    <definedName name="craneleiatt">LEIC!#REF!</definedName>
    <definedName name="craneleigoals">LEIC!#REF!</definedName>
    <definedName name="Cranepts">LEIC!#REF!</definedName>
    <definedName name="Craneptscorrect">LEIC!#REF!</definedName>
    <definedName name="Cranerhyspts">WOR!#REF!</definedName>
    <definedName name="Cranerhystries">WOR!#REF!</definedName>
    <definedName name="cranetries">LEIC!#REF!</definedName>
    <definedName name="Cranetriescorrect">LEIC!#REF!</definedName>
    <definedName name="Creevyagustinpts">WOR!#REF!</definedName>
    <definedName name="Creevyagustintries">WOR!#REF!</definedName>
    <definedName name="Croallsalpts">SAL!#REF!</definedName>
    <definedName name="Croallsaltries">SAL!#REF!</definedName>
    <definedName name="Croftleipts">LEIC!$G$7</definedName>
    <definedName name="Croftleitries">LEIC!$B$7</definedName>
    <definedName name="Crossdalesarpts">SAR!$G$10</definedName>
    <definedName name="Crossdalesarptscorrect">SAR!$G$9</definedName>
    <definedName name="Crossdalesartries">SAR!$B$10</definedName>
    <definedName name="Crossdalesartriescorrect">SAR!$B$9</definedName>
    <definedName name="Crosslipts">BRI!$G$17</definedName>
    <definedName name="Crosslitries">BRI!$B$17</definedName>
    <definedName name="Crumptonharpts">HAR!$G$17</definedName>
    <definedName name="Crumptonhartries">HAR!$B$17</definedName>
    <definedName name="Crusewaspts">WAS!$G$11</definedName>
    <definedName name="Crusewastries">WAS!$B$11</definedName>
    <definedName name="Cuetopts">SAL!#REF!</definedName>
    <definedName name="Cuetosalpts">SAL!#REF!</definedName>
    <definedName name="Cuetosaltries">SAL!#REF!</definedName>
    <definedName name="cuetotries">SAL!#REF!</definedName>
    <definedName name="Curry_Bsalpts">SAL!$G$8</definedName>
    <definedName name="Curry_Bsaltries">SAL!$B$8</definedName>
    <definedName name="Curry_Tsalpts">SAL!$G$9</definedName>
    <definedName name="Curry_Tsaltries">SAL!$B$9</definedName>
    <definedName name="Curtissalpts">SAL!$G$10</definedName>
    <definedName name="Curtissaltries">SAL!$B$10</definedName>
    <definedName name="Curtiswaspts">WAS!$G$12</definedName>
    <definedName name="Curtiswastries">WAS!$B$12</definedName>
    <definedName name="Cusitersalpts">SAL!#REF!</definedName>
    <definedName name="Cusitersaltries">SAL!#REF!</definedName>
    <definedName name="Dalyelliotpts">WAS!#REF!</definedName>
    <definedName name="Dalyelliottries">WAS!$B$13</definedName>
    <definedName name="dalywasatt">WAS!#REF!</definedName>
    <definedName name="dalywasgoals">WAS!#REF!</definedName>
    <definedName name="Dalywaspts">WAS!$G$13</definedName>
    <definedName name="Danaherdeclanpts">BRI!$G$17</definedName>
    <definedName name="Danaherdeclantries">BRI!#REF!</definedName>
    <definedName name="danielsbriatt">BRI!$M$6</definedName>
    <definedName name="Danielsbrigls">BRI!$L$6</definedName>
    <definedName name="Danielsbripts">BRI!$G$13</definedName>
    <definedName name="Danielsbritries">BRI!$B$13</definedName>
    <definedName name="dasdsa">SAR!$L$29</definedName>
    <definedName name="Davidsonnewpts">LIR!$G$20</definedName>
    <definedName name="Davidsonnewtries">LIR!$B$20</definedName>
    <definedName name="Davidworpts">WOR!$G$15</definedName>
    <definedName name="Davidwortries">WOR!$B$15</definedName>
    <definedName name="Davies_Bwaspts">WAS!#REF!</definedName>
    <definedName name="Davies_Bwsstries">WAS!#REF!</definedName>
    <definedName name="Davies_Cwaspts">WAS!#REF!</definedName>
    <definedName name="Davies_Cwastries">WAS!#REF!</definedName>
    <definedName name="Daviesalexpts">WOR!$G$12</definedName>
    <definedName name="Daviesalextries">WOR!$B$12</definedName>
    <definedName name="daviesbthatt">BTH!$M$6</definedName>
    <definedName name="daviesbthgls">BTH!$L$6</definedName>
    <definedName name="Daviesbthpts">BTH!$G$16</definedName>
    <definedName name="Daviesbthtries">BTH!$B$16</definedName>
    <definedName name="Daviescharliepts">WAS!#REF!</definedName>
    <definedName name="Daviescharlietries">WAS!#REF!</definedName>
    <definedName name="Davieselliottpts">WOR!#REF!</definedName>
    <definedName name="Davieselliotttries">WOR!#REF!</definedName>
    <definedName name="Daviesexepts">EXE!$G$9</definedName>
    <definedName name="Daviesexetries">EXE!$B$9</definedName>
    <definedName name="Daviesnewpts">LIR!#REF!</definedName>
    <definedName name="Daviesnewtries">LIR!#REF!</definedName>
    <definedName name="Daviesnorpts">NOR!$G$10</definedName>
    <definedName name="Daviesnortries">NOR!$B$10</definedName>
    <definedName name="davieswelatt">WOR!#REF!</definedName>
    <definedName name="davieswelgoals">WOR!#REF!</definedName>
    <definedName name="Davisbthpts">BTH!$G$17</definedName>
    <definedName name="Davisbthtries">BTH!$B$17</definedName>
    <definedName name="Davisexepts">EXE!$G$10</definedName>
    <definedName name="Davisexetries">EXE!$B$10</definedName>
    <definedName name="Davisnorpts">NOR!$G$11</definedName>
    <definedName name="Davisnortries">NOR!$B$11</definedName>
    <definedName name="Dawebripts">BRI!$G$14</definedName>
    <definedName name="Dawebritries">BRI!$B$14</definedName>
    <definedName name="Dawebstpts">BRI!#REF!</definedName>
    <definedName name="Dawebsttries">BRI!#REF!</definedName>
    <definedName name="Dawidiukglopts">GLO!$G$12</definedName>
    <definedName name="Dawidiukglotries">GLO!$B$12</definedName>
    <definedName name="Dawidiuklirpts">BRI!$G$16</definedName>
    <definedName name="Dawidiuklirtries">BRI!$B$16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Chavesleipts">LEIC!#REF!</definedName>
    <definedName name="De_Chavesleitries">LEIC!#REF!</definedName>
    <definedName name="de_Jagersarpts">SAR!#REF!</definedName>
    <definedName name="de_Jagersartries">SAR!#REF!</definedName>
    <definedName name="de_Jonghwaspts">WAS!$G$14</definedName>
    <definedName name="de_Jonghwastries">WAS!$B$14</definedName>
    <definedName name="de_Klerksalgls">SAL!$L$5</definedName>
    <definedName name="de_Kockneilpts">SAR!$G$8</definedName>
    <definedName name="de_Kockneiltries">SAR!$B$8</definedName>
    <definedName name="De_Lucawaspts">WAS!#REF!</definedName>
    <definedName name="De_Lucawastries">WAS!#REF!</definedName>
    <definedName name="de_VilliersLEIPTS">LEIC!#REF!</definedName>
    <definedName name="de_VilliersLEITRIES">LEIC!#REF!</definedName>
    <definedName name="Deaconleipts">LEIC!#REF!</definedName>
    <definedName name="Deaconleitries">LEIC!#REF!</definedName>
    <definedName name="deklerksalatt">SAL!$M$5</definedName>
    <definedName name="Delmasbthpts">BTH!$G$18</definedName>
    <definedName name="Delmasbthtries">BTH!$B$18</definedName>
    <definedName name="Denmangarethpts">NOR!$G$13</definedName>
    <definedName name="Denmangarethtries">NOR!$B$13</definedName>
    <definedName name="Denmanglopts">GLO!$G$14</definedName>
    <definedName name="Denmanglotries">GLO!$B$14</definedName>
    <definedName name="Dennisexepts">EXE!$G$11</definedName>
    <definedName name="Dennisexetries">EXE!$B$11</definedName>
    <definedName name="Dentonglopts">GLO!$G$15</definedName>
    <definedName name="Dentonglotries">GLO!$B$15</definedName>
    <definedName name="Dentonleicpts">LEIC!$G$8</definedName>
    <definedName name="Dentonleictries">LEIC!$B$8</definedName>
    <definedName name="Dentonworpts">WOR!#REF!</definedName>
    <definedName name="Dentonwortries">WOR!#REF!</definedName>
    <definedName name="devotobatatt">BTH!#REF!</definedName>
    <definedName name="devotobatgoals">BTH!#REF!</definedName>
    <definedName name="Devotoexepts">EXE!$G$12</definedName>
    <definedName name="Devotoexetries">EXE!$B$12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NOR!$G$12</definedName>
    <definedName name="Dingwallnortries">NOR!$B$12</definedName>
    <definedName name="Dobsonmatthewpts">WOR!#REF!</definedName>
    <definedName name="Dobsonmatthewtries">WOR!#REF!</definedName>
    <definedName name="Dolannorpts">NOR!#REF!</definedName>
    <definedName name="Dolannortries">NOR!#REF!</definedName>
    <definedName name="dollmanatt">EXE!$M$11</definedName>
    <definedName name="Dollmanexepts">EXE!$G$13</definedName>
    <definedName name="Dollmanexetries">EXE!$B$13</definedName>
    <definedName name="Dollmangoals">EXE!$L$11</definedName>
    <definedName name="Dollmanpts">EXE!#REF!</definedName>
    <definedName name="dollmantries">EXE!#REF!</definedName>
    <definedName name="Dombrandtharpts">HAR!$G$18</definedName>
    <definedName name="Dombrandthartries">HAR!$B$18</definedName>
    <definedName name="Donnelllirpts">LIR!$G$15</definedName>
    <definedName name="Donnelllirtries">LIR!$B$15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BRI!$G$18</definedName>
    <definedName name="Dorrianlitries">BRI!$B$18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BTH!$G$19</definedName>
    <definedName name="Douglasbthtries">BTH!$B$19</definedName>
    <definedName name="Downwelpts">WOR!#REF!</definedName>
    <definedName name="Downweltries">WOR!#REF!</definedName>
    <definedName name="Dowsettworatt">WOR!#REF!</definedName>
    <definedName name="Dowsettworgls">WOR!#REF!</definedName>
    <definedName name="Dowsettworpts">WOR!#REF!</definedName>
    <definedName name="Dowsettwortries">WOR!#REF!</definedName>
    <definedName name="Dowsonphilnorpts">NOR!#REF!</definedName>
    <definedName name="Dowsonphilptscorrect">NOR!#REF!</definedName>
    <definedName name="Dowsonphiltriescorrect">NOR!#REF!</definedName>
    <definedName name="Dowsonpts">NOR!$G$50</definedName>
    <definedName name="Dowsontries">NOR!$B$50</definedName>
    <definedName name="DragonsPts">[1]DRA!$F$55</definedName>
    <definedName name="DragonsTries">[1]DRA!$B$55</definedName>
    <definedName name="Drauniniupts">WOR!#REF!</definedName>
    <definedName name="Drauniniutries">WOR!#REF!</definedName>
    <definedName name="du_Plessissarpts">SAR!$G$11</definedName>
    <definedName name="du_Plessissartries">SAR!$B$11</definedName>
    <definedName name="du_Preez_Dsalpts">SAL!$G$12</definedName>
    <definedName name="du_Preez_Dsaltries">SAL!$B$12</definedName>
    <definedName name="du_Preez_J_Lsalpts">SAL!$G$13</definedName>
    <definedName name="du_Preez_J_Lsaltries">SAL!$B$13</definedName>
    <definedName name="du_Preez_Rsalpts">SAL!$G$14</definedName>
    <definedName name="du_Preez_Rsaltries">SAL!$B$14</definedName>
    <definedName name="du_Preezworpts">WOR!$G$16</definedName>
    <definedName name="du_Preezwortries">WOR!$B$16</definedName>
    <definedName name="Dunnbattries">BTH!$B$20</definedName>
    <definedName name="Dunntompts">BTH!$G$20</definedName>
    <definedName name="dupreezsalatt">SAL!$M$6</definedName>
    <definedName name="dupreezsalgls">SAL!$L$6</definedName>
    <definedName name="dupreezsalpts">SAL!$M$6</definedName>
    <definedName name="Earleharpts">HAR!$G$19</definedName>
    <definedName name="Earlehartries">HAR!$B$19</definedName>
    <definedName name="Earlenathanpts">SAR!#REF!</definedName>
    <definedName name="Earlenathantries">SAR!#REF!</definedName>
    <definedName name="Earlsarpts">SAR!$G$12</definedName>
    <definedName name="Earlsartries">SAR!$B$12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WAS!#REF!</definedName>
    <definedName name="eastgatewasgoals">WAS!#REF!</definedName>
    <definedName name="Eastgatewaspts">WAS!$G$15</definedName>
    <definedName name="Eastgatewastries">WAS!$B$15</definedName>
    <definedName name="Eastmondkylepts">BTH!#REF!</definedName>
    <definedName name="Eastmondkyletries">BTH!#REF!</definedName>
    <definedName name="Eastmondleictries">LEIC!$B$9</definedName>
    <definedName name="Eastmondlicpts">LEIC!$G$9</definedName>
    <definedName name="Eastmondwaspts">WAS!#REF!</definedName>
    <definedName name="Eastmondwastries">WAS!#REF!</definedName>
    <definedName name="edenbriatt">BRI!$M$8</definedName>
    <definedName name="Edenbrigls">BRI!$L$8</definedName>
    <definedName name="Edenbripts">BRI!$G$15</definedName>
    <definedName name="Edenbritries">BRI!$B$15</definedName>
    <definedName name="edenworatt">WOR!#REF!</definedName>
    <definedName name="edenworgoals">WOR!#REF!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gertonharpts">HAR!#REF!</definedName>
    <definedName name="Egertonhartries">HAR!#REF!</definedName>
    <definedName name="Egertonnewpts">LIR!#REF!</definedName>
    <definedName name="Egertonnewtries">LIR!#REF!</definedName>
    <definedName name="Elderchrispts">WOR!#REF!</definedName>
    <definedName name="Elderchristries">WOR!#REF!</definedName>
    <definedName name="Eliaharpts">HAR!$G$20</definedName>
    <definedName name="Eliahartries">HAR!$B$20</definedName>
    <definedName name="Ellerysarpts">SAR!#REF!</definedName>
    <definedName name="Ellerysartries">SAR!#REF!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sgerardpts">BRI!#REF!</definedName>
    <definedName name="Ellisgerardtries">BRI!#REF!</definedName>
    <definedName name="Englefieldlirpts">LIR!$G$17</definedName>
    <definedName name="Englefieldlirtries">LIR!$B$17</definedName>
    <definedName name="Estellesnorpts">NOR!#REF!</definedName>
    <definedName name="Estellesnortrioes">NOR!#REF!</definedName>
    <definedName name="Evans_Lglopts">GLO!$G$17</definedName>
    <definedName name="Evans_Lglotries">GLO!$B$17</definedName>
    <definedName name="Evans_Oharpts">HAR!$G$21</definedName>
    <definedName name="Evans_Ohartries">HAR!$B$21</definedName>
    <definedName name="Evansbrynpts">BRI!#REF!</definedName>
    <definedName name="Evansbryntries">BRI!#REF!</definedName>
    <definedName name="Evansbthpts">BTH!$G$21</definedName>
    <definedName name="Evansbthtries">BTH!$B$21</definedName>
    <definedName name="Evansgarethpts">GLO!$G$16</definedName>
    <definedName name="Evansgarethtries">GLO!$B$16</definedName>
    <definedName name="Evansharpts">HAR!#REF!</definedName>
    <definedName name="Evansleipts">LEIC!$G$10</definedName>
    <definedName name="Evansleitries">LEIC!$B$10</definedName>
    <definedName name="evanslgloatt">GLO!$M$6</definedName>
    <definedName name="evanslglogoals">GLO!$L$6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SAL!$G$15</definedName>
    <definedName name="Evanssaltries">SAL!$B$15</definedName>
    <definedName name="Everardmattpts">WAS!#REF!</definedName>
    <definedName name="Everardmatttries">WAS!#REF!</definedName>
    <definedName name="Everardwaspts">WAS!#REF!</definedName>
    <definedName name="Everardwastries">WAS!#REF!</definedName>
    <definedName name="Evesnorpts">NOR!#REF!</definedName>
    <definedName name="Evesnortries">NOR!#REF!</definedName>
    <definedName name="Ewelsbthpts">BTH!$G$22</definedName>
    <definedName name="ewelsbthtries">BTH!$B$22</definedName>
    <definedName name="Ewersexepts">EXE!$G$14</definedName>
    <definedName name="Ewersexetries">EXE!$B$14</definedName>
    <definedName name="Ewerspts">EXE!#REF!</definedName>
    <definedName name="Ewerstries">EXE!#REF!</definedName>
    <definedName name="ExeterPts">EXE!$G$57</definedName>
    <definedName name="ExeterTries">EXE!$B$57</definedName>
    <definedName name="Fa_asavalumauriepts">HAR!#REF!</definedName>
    <definedName name="Fa_asavalumaurietries">HAR!#REF!</definedName>
    <definedName name="Fa_osilivaalafotipts">BTH!#REF!</definedName>
    <definedName name="Fa_osilivaalafotitries">BTH!#REF!</definedName>
    <definedName name="Fainga_anukuofapts">WOR!$G$19</definedName>
    <definedName name="Fainga_anukuofatries">WOR!#REF!</definedName>
    <definedName name="Faingaalirpts">LIR!$G$18</definedName>
    <definedName name="Faingaalirtries">LIR!$B$18</definedName>
    <definedName name="Faletaubripts">BRI!$G$17</definedName>
    <definedName name="Faletaubritries">BRI!$B$17</definedName>
    <definedName name="Faletaubthpts">BTH!$G$23</definedName>
    <definedName name="Faletaubthtries">BTH!$B$23</definedName>
    <definedName name="Faosilivaworpts">WOR!$G$17</definedName>
    <definedName name="Faosilivawortries">WOR!$B$17</definedName>
    <definedName name="farrellatt">SAR!$M$4</definedName>
    <definedName name="farrellgoals">SAR!$L$4</definedName>
    <definedName name="Farrellowentries">SAR!$B$13</definedName>
    <definedName name="Farrellpts">SAR!#REF!</definedName>
    <definedName name="Farrellsarpts">SAR!$G$13</definedName>
    <definedName name="Fatialofaworpts">WOR!$G$18</definedName>
    <definedName name="Fatialofawortries">WOR!$B$18</definedName>
    <definedName name="Feaoleicpts">LEIC!$G$11</definedName>
    <definedName name="Feaoleictries">LEIC!$B$11</definedName>
    <definedName name="Fearnsalpts">SAL!$G$11</definedName>
    <definedName name="Fearnsaltries">SAL!$B$11</definedName>
    <definedName name="Fearnscarlpts">BTH!#REF!</definedName>
    <definedName name="Fearnscarltries">BTH!#REF!</definedName>
    <definedName name="Fenbylipts">BRI!$G$20</definedName>
    <definedName name="Fenbylitries">BRI!$B$20</definedName>
    <definedName name="Fenbypts">BRI!#REF!</definedName>
    <definedName name="Fenbysarpts">SAR!#REF!</definedName>
    <definedName name="Fenbysartries">SAR!#REF!</definedName>
    <definedName name="Fenbytries">BRI!#REF!</definedName>
    <definedName name="Fenton_Wellsbripts">BRI!$G$18</definedName>
    <definedName name="Fenton_Wellsbritries">BRI!$B$18</definedName>
    <definedName name="Fercusarpts">SAR!#REF!</definedName>
    <definedName name="Fercusarptscorrect">SAR!#REF!</definedName>
    <definedName name="Fercusartries">SAR!#REF!</definedName>
    <definedName name="Fercusartriescorrect">SAR!#REF!</definedName>
    <definedName name="Festucciacarlopts">WAS!$G$18</definedName>
    <definedName name="Festucciacarlotries">WAS!$B$18</definedName>
    <definedName name="Figallosarpts">SAR!$G$14</definedName>
    <definedName name="Figallosartries">SAR!$B$14</definedName>
    <definedName name="Fihakiviliamipts">SAL!#REF!</definedName>
    <definedName name="Fihakiviliamitris">SAL!#REF!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NOR!$G$14</definedName>
    <definedName name="Fishnortries">NOR!$B$14</definedName>
    <definedName name="Fitzgerald__Leitries">LEIC!$B$12</definedName>
    <definedName name="Fitzgeraldleipts">LEIC!$G$12</definedName>
    <definedName name="Flamentwaspts">WAS!$G$16</definedName>
    <definedName name="Flamentwastries">WAS!$B$16</definedName>
    <definedName name="Flanagansarpts">SAR!#REF!</definedName>
    <definedName name="Flanagansartries">SAR!#REF!</definedName>
    <definedName name="floodatt">LEIC!$M$4</definedName>
    <definedName name="floodgoals">LEIC!$L$4</definedName>
    <definedName name="Floodnewpts">LIR!$G$23</definedName>
    <definedName name="Floodnewtries">LIR!$B$23</definedName>
    <definedName name="Floodpts">LEIC!$G$42</definedName>
    <definedName name="Floodtobypts">LEIC!#REF!</definedName>
    <definedName name="Floodtobytries">LEIC!$B$16</definedName>
    <definedName name="Flynnsalpts">SAL!$G$16</definedName>
    <definedName name="Flynnsaltries">SAL!$B$16</definedName>
    <definedName name="Fodenpts">NOR!#REF!</definedName>
    <definedName name="fodentries">NOR!#REF!</definedName>
    <definedName name="Fonualeipts">LEIC!#REF!</definedName>
    <definedName name="Fonualeitries">LEIC!#REF!</definedName>
    <definedName name="Fonualwepts">WOR!#REF!</definedName>
    <definedName name="Fonualwetries">WOR!#REF!</definedName>
    <definedName name="Fonuanewpts">LIR!#REF!</definedName>
    <definedName name="Fonuanewtries">LIR!#REF!</definedName>
    <definedName name="Ford_Jleicpts">LEIC!$G$14</definedName>
    <definedName name="Ford_Jleictries">LEIC!$B$14</definedName>
    <definedName name="Ford_Robinsonnorpts">NOR!$G$15</definedName>
    <definedName name="Ford_Robinsonnortries">NOR!$B$15</definedName>
    <definedName name="Fordgeorgeatt">BTH!$M$5</definedName>
    <definedName name="Fordgeorgebatpts">BTH!#REF!</definedName>
    <definedName name="Fordgeorgegoals">BTH!$L$5</definedName>
    <definedName name="fordgeorgepts">BTH!#REF!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LEIC!$G$13</definedName>
    <definedName name="fordleictries">LEIC!$B$13</definedName>
    <definedName name="Fordsaltries">SAL!#REF!</definedName>
    <definedName name="Forsythandytries">SAL!#REF!</definedName>
    <definedName name="Forsythleipts">LEIC!$G$15</definedName>
    <definedName name="Forsythleitries">LEIC!$B$15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WAS!$G$17</definedName>
    <definedName name="Fosterwastries">WAS!$B$17</definedName>
    <definedName name="Fotuali_ibthatt">BTH!#REF!</definedName>
    <definedName name="Fotuali_ibthgls">BTH!#REF!</definedName>
    <definedName name="Fotuali_ibthpts">BTH!$G$24</definedName>
    <definedName name="Fotuali_ibthtries">BTH!$B$24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BRI!$G$21</definedName>
    <definedName name="Fowlietompts">BRI!#REF!</definedName>
    <definedName name="Fowlietomtries">BRI!$B$21</definedName>
    <definedName name="Francisexepts">EXE!$G$15</definedName>
    <definedName name="Francisexetries">EXE!$B$15</definedName>
    <definedName name="Francisnorpts">NOR!$G$16</definedName>
    <definedName name="Francisnortries">NOR!$B$16</definedName>
    <definedName name="Frankslirpts">BRI!$G$22</definedName>
    <definedName name="Frankslirtries">BRI!$B$22</definedName>
    <definedName name="Franksnorpts">NOR!$G$17</definedName>
    <definedName name="Franksnortries">NOR!$B$17</definedName>
    <definedName name="Frasersarpts">SAR!#REF!</definedName>
    <definedName name="Frasersartries">SAR!#REF!</definedName>
    <definedName name="Fraserwillpts">SAR!#REF!</definedName>
    <definedName name="Fraserwilltries">SAR!#REF!</definedName>
    <definedName name="Freemanexepts">EXE!$G$16</definedName>
    <definedName name="Freemanexetries">EXE!$B$16</definedName>
    <definedName name="Frueanbatpts">BTH!#REF!</definedName>
    <definedName name="Frueanbattries">BTH!#REF!</definedName>
    <definedName name="Frynewpts">LIR!#REF!</definedName>
    <definedName name="Frynewtries">LIR!#REF!</definedName>
    <definedName name="furbanknoratt">NOR!$M$6</definedName>
    <definedName name="furbanknorgls">NOR!$L$6</definedName>
    <definedName name="Furbanknorpts">NOR!$G$15</definedName>
    <definedName name="Furbanknorptscorrect">NOR!$G$18</definedName>
    <definedName name="Furbanknortries">NOR!$B$15</definedName>
    <definedName name="Furbanknortriescorrect">NOR!$B$18</definedName>
    <definedName name="Furnonewpts">LIR!$G$24</definedName>
    <definedName name="Furnonewtries">LIR!$B$24</definedName>
    <definedName name="Furynewpts">LIR!#REF!</definedName>
    <definedName name="Furywarrenpts">LIR!#REF!</definedName>
    <definedName name="Furywarrentries">LIR!#REF!</definedName>
    <definedName name="Galarzaglopts">GLO!$G$18</definedName>
    <definedName name="Galarzaglotries">GLO!$B$18</definedName>
    <definedName name="Galarzamarianopts">WOR!$G$22</definedName>
    <definedName name="Galarzamarianotries">WOR!$B$22</definedName>
    <definedName name="Gallaghersarpts">SAR!$G$15</definedName>
    <definedName name="Gallaghersartries">SAR!$B$15</definedName>
    <definedName name="Garrattbthpts">BTH!#REF!</definedName>
    <definedName name="Garrattbthtries">BTH!#REF!</definedName>
    <definedName name="Garveymattpts">BTH!$G$25</definedName>
    <definedName name="Garveymatttries">BTH!$B$25</definedName>
    <definedName name="Gaskelljamespts">SAL!#REF!</definedName>
    <definedName name="Gaskelljamestries">SAL!#REF!</definedName>
    <definedName name="Gaskellwaspts">WAS!$G$19</definedName>
    <definedName name="Gaskellwastries">WAS!$B$19</definedName>
    <definedName name="Georgejamieptscorrect">SAR!#REF!</definedName>
    <definedName name="Georgejamietriescorrect">SAR!#REF!</definedName>
    <definedName name="Georgepts">SAR!#REF!</definedName>
    <definedName name="Georgesarpts">SAR!$G$16</definedName>
    <definedName name="Georgesartries">SAR!$B$16</definedName>
    <definedName name="georgetries">SAR!#REF!</definedName>
    <definedName name="geraghtyatt">BRI!#REF!</definedName>
    <definedName name="geraghtybriatt">BRI!#REF!</definedName>
    <definedName name="geraghtybrigoals">BRI!#REF!</definedName>
    <definedName name="Geraghtybripts">BRI!$G$25</definedName>
    <definedName name="Geraghtybritries">BRI!$B$25</definedName>
    <definedName name="geraghtygoals">BRI!#REF!</definedName>
    <definedName name="Geraghtylipts">BRI!#REF!</definedName>
    <definedName name="Geraghtylitries">BRI!#REF!</definedName>
    <definedName name="Geraghtypts">BRI!$G$40</definedName>
    <definedName name="Geraghtyptscorrect">BRI!#REF!</definedName>
    <definedName name="Geraghtytries">BRI!$B$55</definedName>
    <definedName name="Geraghtytriescorrect">BRI!#REF!</definedName>
    <definedName name="gfordpts">BTH!#REF!</definedName>
    <definedName name="Ghiraldinileipts">LEIC!$G$16</definedName>
    <definedName name="Ghiraldinileitries">LEIC!$B$16</definedName>
    <definedName name="Gibsonjamiepts">LEIC!#REF!</definedName>
    <definedName name="Gibsonjamietries">LEIC!#REF!</definedName>
    <definedName name="Gibsonnorpts">NOR!$G$19</definedName>
    <definedName name="Gibsonnortries">NOR!$B$19</definedName>
    <definedName name="Gigenaleicpts">LEIC!$G$17</definedName>
    <definedName name="Gigenaleictries">LEIC!$B$17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WOR!#REF!</definedName>
    <definedName name="Gildingjacktries">WOR!#REF!</definedName>
    <definedName name="Gillespienorpts">NOR!$G$20</definedName>
    <definedName name="Gillespienortries">NOR!$B$20</definedName>
    <definedName name="Gillsarpts">SAR!#REF!</definedName>
    <definedName name="Gillsartries">SAR!#REF!</definedName>
    <definedName name="Gilsenanlipts">BRI!$G$24</definedName>
    <definedName name="Gilsenanlirpts">LIR!$G$21</definedName>
    <definedName name="Gilsenanlirtries">LIR!$B$21</definedName>
    <definedName name="Gilsenanlitries">BRI!$B$24</definedName>
    <definedName name="GlasgowPts">[1]GLA!$F$58</definedName>
    <definedName name="GlasgowTries">[1]GLA!$B$58</definedName>
    <definedName name="Gleavelirpts">BRI!$G$25</definedName>
    <definedName name="Gleavelirtries">BRI!$B$25</definedName>
    <definedName name="gloucesterpentriespts">GLO!#REF!</definedName>
    <definedName name="GloucesterPenTriestries">GLO!#REF!</definedName>
    <definedName name="GloucesterPts">GLO!$G$57</definedName>
    <definedName name="GloucesterTries">GLO!$B$57</definedName>
    <definedName name="godmanatt">LIR!#REF!</definedName>
    <definedName name="godmangoals">LIR!#REF!</definedName>
    <definedName name="Godmannewpts">LIR!#REF!</definedName>
    <definedName name="Godmanphiltries">LIR!#REF!</definedName>
    <definedName name="Godmanpts">LIR!#REF!</definedName>
    <definedName name="goneatries">LEIC!#REF!</definedName>
    <definedName name="Gonevaleipts">LEIC!#REF!</definedName>
    <definedName name="Gonevaleiptscorrect">LEIC!#REF!</definedName>
    <definedName name="Gonevaleitries">LEIC!#REF!</definedName>
    <definedName name="Gonevapts">LEIC!#REF!</definedName>
    <definedName name="Gonevaptscorrect">LEIC!#REF!</definedName>
    <definedName name="Gonevatriescorrect">LEIC!#REF!</definedName>
    <definedName name="goodealexatt">SAR!$M$6</definedName>
    <definedName name="goodealexgoals">SAR!$L$6</definedName>
    <definedName name="Goodealexpts">SAR!$G$17</definedName>
    <definedName name="goodealextries">SAR!$B$17</definedName>
    <definedName name="goodeandyatt">WAS!$M$4</definedName>
    <definedName name="goodeandygoals">WAS!$L$4</definedName>
    <definedName name="Goodeandypts">WAS!#REF!</definedName>
    <definedName name="Goodemewpts">LIR!#REF!</definedName>
    <definedName name="goodenewatt">LIR!#REF!</definedName>
    <definedName name="Goodenewgoals">LIR!#REF!</definedName>
    <definedName name="Goodenewtries">LIR!#REF!</definedName>
    <definedName name="Goodepts">WAS!#REF!</definedName>
    <definedName name="Goodewaspts">WAS!$G$20</definedName>
    <definedName name="Goodewastries">WAS!$B$20</definedName>
    <definedName name="Goodhuecampts">WOR!#REF!</definedName>
    <definedName name="Goodhuecamtries">WOR!#REF!</definedName>
    <definedName name="Graham__Guynewpts">LIR!$G$26</definedName>
    <definedName name="Graham__Guynewtries">LIR!$B$26</definedName>
    <definedName name="Grahambripts">BRI!$G$19</definedName>
    <definedName name="Grahambritries">BRI!$B$19</definedName>
    <definedName name="Grahamnewpts">LIR!$G$25</definedName>
    <definedName name="Grahamnewtries">LIR!$B$25</definedName>
    <definedName name="Grantbatpts">BTH!$G$26</definedName>
    <definedName name="Grantbattries">BTH!$B$26</definedName>
    <definedName name="graydannyatt">WOR!$M$4</definedName>
    <definedName name="graydannygoals">WOR!$L$4</definedName>
    <definedName name="Grayharpts">HAR!$G$23</definedName>
    <definedName name="Grayhartries">HAR!$B$23</definedName>
    <definedName name="Grayjoshglopts">GLO!$G$21</definedName>
    <definedName name="Grayjoshglotries">GLO!$B$21</definedName>
    <definedName name="Graypts">WOR!#REF!</definedName>
    <definedName name="graysonnoratt">NOR!$M$7</definedName>
    <definedName name="graysonnorgls">NOR!$L$7</definedName>
    <definedName name="Graysonnorpts">NOR!$G$21</definedName>
    <definedName name="Graysonnortries">NOR!$B$21</definedName>
    <definedName name="Greenbthpts">BTH!$G$27</definedName>
    <definedName name="Greenbthtries">BTH!$B$27</definedName>
    <definedName name="Griffinlipts">BRI!#REF!</definedName>
    <definedName name="Griffinlitries">BRI!#REF!</definedName>
    <definedName name="Griffithssarpts">SAR!$G$18</definedName>
    <definedName name="Griffithssartries">SAR!$B$18</definedName>
    <definedName name="Grimoldbyharpts">HAR!#REF!</definedName>
    <definedName name="Grimoldbyhartries">HAR!#REF!</definedName>
    <definedName name="Groblerglopts">GLO!$G$20</definedName>
    <definedName name="Groblerglotrie">GLO!$B$20</definedName>
    <definedName name="Groomnorpts">NOR!#REF!</definedName>
    <definedName name="Groomnortries">NOR!#REF!</definedName>
    <definedName name="Grovepts">WOR!#REF!</definedName>
    <definedName name="Grovetries">WOR!#REF!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Haganjamiepts">BRI!#REF!</definedName>
    <definedName name="Haganjamietries">BRI!#REF!</definedName>
    <definedName name="Hainingbripts">BRI!$G$20</definedName>
    <definedName name="Hainingbritries">BRI!$B$20</definedName>
    <definedName name="Hala_ufiachrispts">BRI!#REF!</definedName>
    <definedName name="Hala_ufiachristries">BRI!#REF!</definedName>
    <definedName name="Halaifonuaglopts">GLO!$G$19</definedName>
    <definedName name="Halaifonuaglotries">GLO!$B$19</definedName>
    <definedName name="Halaiwaspts">WAS!$G$22</definedName>
    <definedName name="Halaiwastries">WAS!$B$22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miltonleipts">LEIC!#REF!</definedName>
    <definedName name="Hamiltonleitries">LEIC!#REF!</definedName>
    <definedName name="Hamiltonsarpts">SAR!#REF!</definedName>
    <definedName name="Hamiltonsartries">SAR!#REF!</definedName>
    <definedName name="Hammersleynewpts">LIR!$G$28</definedName>
    <definedName name="Hammersleynewtries">LIR!$B$28</definedName>
    <definedName name="Hammersleysalpts">SAL!$G$17</definedName>
    <definedName name="Hammersleysaltries">SAL!$B$17</definedName>
    <definedName name="Hammonddeanpts">WOR!$G$28</definedName>
    <definedName name="Hammonddeantries">WOR!$B$19</definedName>
    <definedName name="Hampsonwaspts">WAS!#REF!</definedName>
    <definedName name="Hampsonwasptscorrect">WAS!$G$21</definedName>
    <definedName name="Hampsonwastries">WAS!#REF!</definedName>
    <definedName name="Hampsonwastriescorrect">WAS!$B$21</definedName>
    <definedName name="Hankinmattpts">SAR!#REF!</definedName>
    <definedName name="Hankinmatttries">SAR!#REF!</definedName>
    <definedName name="hanrahannoratt">NOR!$M$5</definedName>
    <definedName name="Hanrahannorgoals">NOR!$L$5</definedName>
    <definedName name="Hanrahannorpts">NOR!#REF!</definedName>
    <definedName name="Hanrahannortries">NOR!#REF!</definedName>
    <definedName name="Hansonglopts">GLO!$G$22</definedName>
    <definedName name="Hansonglotries">GLO!$B$22</definedName>
    <definedName name="hardwickleicatt">LEIC!$M$6</definedName>
    <definedName name="hardwickleicgls">LEIC!$L$6</definedName>
    <definedName name="Hardwickleipts">LEIC!$G$18</definedName>
    <definedName name="Hardwickleitries">LEIC!$B$18</definedName>
    <definedName name="Hargreavessarpts">SAR!#REF!</definedName>
    <definedName name="Hargreavessartries">SAR!#REF!</definedName>
    <definedName name="HarlequinsPts">HAR!$G$58</definedName>
    <definedName name="HarlequinsTries">HAR!$B$58</definedName>
    <definedName name="Harris_Bwaspts">WAS!$G$23</definedName>
    <definedName name="Harris_Bwastries">WAS!$B$23</definedName>
    <definedName name="Harrisglopts">GLO!$G$23</definedName>
    <definedName name="Harrisglotries">GLO!$B$23</definedName>
    <definedName name="Harrislipts">BRI!#REF!</definedName>
    <definedName name="Harrislitries">BRI!#REF!</definedName>
    <definedName name="Harrisnewpts">LIR!$G$29</definedName>
    <definedName name="Harrisnewtries">LIR!$B$29</definedName>
    <definedName name="Harrisonnorpts">NOR!$G$22</definedName>
    <definedName name="Harrisonnortries">NOR!$B$22</definedName>
    <definedName name="Harrisonsalpts">SAL!$G$18</definedName>
    <definedName name="Harrisonsaltris">SAL!$B$18</definedName>
    <definedName name="Harrisonsampts">LEIC!$G$19</definedName>
    <definedName name="Harrisonsamtries">LEIC!$B$19</definedName>
    <definedName name="Hartleypts">NOR!#REF!</definedName>
    <definedName name="Hartleyptscorrect">NOR!#REF!</definedName>
    <definedName name="hartleytries">NOR!#REF!</definedName>
    <definedName name="Hartleytriescorrect">NOR!#REF!</definedName>
    <definedName name="Hartleytriesthisiscorrect">NOR!#REF!</definedName>
    <definedName name="Hartryscorers">HAR!$A$2:$E$58</definedName>
    <definedName name="Haskelljamespts">WAS!#REF!</definedName>
    <definedName name="Haskelljamestries">WAS!#REF!</definedName>
    <definedName name="Haskellnorpts">NOR!#REF!</definedName>
    <definedName name="Haskellnortries">NOR!#REF!</definedName>
    <definedName name="Hassell_Collinslirpts">LIR!$G$22</definedName>
    <definedName name="Hassell_Collinslirtries">LIR!$B$22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uptworpts">WOR!#REF!</definedName>
    <definedName name="Hauptwortries">WOR!#REF!</definedName>
    <definedName name="Hawkinsnewpts">LIR!$G$30</definedName>
    <definedName name="Hawkinsnewtries">LIR!$B$30</definedName>
    <definedName name="Hayterpts">WAS!#REF!</definedName>
    <definedName name="Haytertries">WAS!#REF!</definedName>
    <definedName name="Hayterwaspts">WAS!#REF!</definedName>
    <definedName name="Hayterwastries">WAS!#REF!</definedName>
    <definedName name="Haywoodmikepts">NOR!$G$23</definedName>
    <definedName name="Haywoodmiketries">NOR!$B$23</definedName>
    <definedName name="Heaneyworpts">WOR!$G$20</definedName>
    <definedName name="Heaneywortries">WOR!$B$20</definedName>
    <definedName name="Hearleworpts">WOR!$G$21</definedName>
    <definedName name="Hearlewortries">WOR!$B$21</definedName>
    <definedName name="Hearnlirpts">BRI!$G$26</definedName>
    <definedName name="Hearnlirtries">BRI!$B$26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inzglopts">GLO!$G$24</definedName>
    <definedName name="Heinzglotries">GLO!$B$24</definedName>
    <definedName name="Helleurnewpts">LIR!#REF!</definedName>
    <definedName name="Helleurnewtris">LIR!#REF!</definedName>
    <definedName name="Helupts">WAS!#REF!</definedName>
    <definedName name="Helutries">WAS!#REF!</definedName>
    <definedName name="Hendricksonexepts">EXE!$G$17</definedName>
    <definedName name="Hendricksonexetries">EXE!$B$17</definedName>
    <definedName name="Hendriksonexetries">EXE!$B$17</definedName>
    <definedName name="Hennwelshpts">WOR!#REF!</definedName>
    <definedName name="Hennwelshtries">WOR!#REF!</definedName>
    <definedName name="henryleicatt">LEIC!$M$7</definedName>
    <definedName name="Henryleicgls">LEIC!$L$7</definedName>
    <definedName name="Henryleicpts">LEIC!$G$20</definedName>
    <definedName name="Henryleictries">LEIC!$B$20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EXE!$G$18</definedName>
    <definedName name="Hepburnexetries">EXE!$B$18</definedName>
    <definedName name="Hepburnwaspts">WAS!#REF!</definedName>
    <definedName name="Hepburnwastries">WAS!#REF!</definedName>
    <definedName name="Hepetamaleipts">LEIC!#REF!</definedName>
    <definedName name="Hepetamaleitries">LEIC!#REF!</definedName>
    <definedName name="herronharatt">HAR!$M$7</definedName>
    <definedName name="Herronhargls">HAR!$L$7</definedName>
    <definedName name="Herronharpts">HAR!$G$22</definedName>
    <definedName name="Herronhartries">HAR!$B$22</definedName>
    <definedName name="Hibbardglopts">GLO!#REF!</definedName>
    <definedName name="Hibbardglotries">GLO!#REF!</definedName>
    <definedName name="Hicksglopts">GLO!$B$26</definedName>
    <definedName name="Hicksgloptscorrect">GLO!$G$26</definedName>
    <definedName name="Hicksglotries">GLO!$B$26</definedName>
    <definedName name="Hill_Jexepts">EXE!$G$19</definedName>
    <definedName name="Hill_Jexetries">EXE!$B$19</definedName>
    <definedName name="Hill_Samexetries">EXE!$B$20</definedName>
    <definedName name="Hill_Sexepts">EXE!$B$20</definedName>
    <definedName name="Hill_Ssamexepts">EXE!$G$20</definedName>
    <definedName name="Hillsampts">EXE!$G$20</definedName>
    <definedName name="Hillsamtries">EXE!$B$20</definedName>
    <definedName name="Hillworpts">WOR!$G$23</definedName>
    <definedName name="Hillwortries">WOR!$B$23</definedName>
    <definedName name="Hinessalpts">SAL!#REF!</definedName>
    <definedName name="Hinessaltries">SAL!#REF!</definedName>
    <definedName name="Hinkleyglopts">GLO!$G$25</definedName>
    <definedName name="Hinkleyglotries">GLO!$B$25</definedName>
    <definedName name="Hodgeexeatt">EXE!$M$4</definedName>
    <definedName name="Hodgeexegls">EXE!$L$4</definedName>
    <definedName name="hodgsoncharlieatt">SAR!$M$5</definedName>
    <definedName name="Hodgsoncharliegoals">SAR!$L$5</definedName>
    <definedName name="Hodgsoncharliepts">SAR!#REF!</definedName>
    <definedName name="Hodgsoncharlietries">SAR!#REF!</definedName>
    <definedName name="hodgsonjoelatt">LIR!#REF!</definedName>
    <definedName name="Hodgsonjoelgoals">LIR!#REF!</definedName>
    <definedName name="Hodgsonjoelpts">LIR!#REF!</definedName>
    <definedName name="Hodgsonjoeltries">LIR!#REF!</definedName>
    <definedName name="Hodgsonnewatt">LIR!$L$8</definedName>
    <definedName name="hodgsonnewattcorrect">LIR!$M$8</definedName>
    <definedName name="Hodgsonnewgoals">LIR!$L$8</definedName>
    <definedName name="hodgsonnoratt">NOR!#REF!</definedName>
    <definedName name="hodgsonnorgoals">NOR!#REF!</definedName>
    <definedName name="Hodgsonnorpts">NOR!$G$24</definedName>
    <definedName name="Hodgsonnortries">NOR!$B$24</definedName>
    <definedName name="hodgsonsargoals">NOR!#REF!</definedName>
    <definedName name="hoggexeatt">EXE!$M$5</definedName>
    <definedName name="hoggexegls">EXE!$L$5</definedName>
    <definedName name="Hoggexepts">EXE!$G$21</definedName>
    <definedName name="Hoggexetries">EXE!$B$21</definedName>
    <definedName name="Hoggnewpts">LIR!#REF!</definedName>
    <definedName name="Hoggnewtries">LIR!#REF!</definedName>
    <definedName name="Holensteinharpts">HAR!#REF!</definedName>
    <definedName name="Holensteinhartries">HAR!#REF!</definedName>
    <definedName name="Holmesexepts">EXE!$G$22</definedName>
    <definedName name="holmesexetries">EXE!$B$22</definedName>
    <definedName name="Holmesjonahpts">WAS!#REF!</definedName>
    <definedName name="Holmesjonahtries">WAS!#REF!</definedName>
    <definedName name="Holmesleicpts">LEIC!$G$21</definedName>
    <definedName name="Holmesleictries">LEIC!$B$21</definedName>
    <definedName name="Holmesnewpts">LIR!#REF!</definedName>
    <definedName name="Holmesnewtries">LIR!#REF!</definedName>
    <definedName name="Holmeswaspts">WAS!#REF!</definedName>
    <definedName name="Holmeswastries">WAS!#REF!</definedName>
    <definedName name="Homer_Tombthgoals">BTH!$L$7</definedName>
    <definedName name="Homer_Tombthpts">BTH!$G$28</definedName>
    <definedName name="Homer_Tombthtries">BTH!$B$28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BTH!$M$7</definedName>
    <definedName name="Homertompts">BRI!#REF!</definedName>
    <definedName name="Homertomtried">BRI!#REF!</definedName>
    <definedName name="hookgloatt">GLO!$M$4</definedName>
    <definedName name="hookglogoals">GLO!$L$4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willharpts">HAR!$G$24</definedName>
    <definedName name="Horwillhartries">HAR!$B$24</definedName>
    <definedName name="Hoskinslirpts">BRI!$G$28</definedName>
    <definedName name="Hoskinslirtries">BRI!$B$28</definedName>
    <definedName name="Hougaardworpts">WOR!$G$24</definedName>
    <definedName name="Hougaardwortries">WOR!$B$24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WAS!#REF!</definedName>
    <definedName name="Howetomtries">WAS!#REF!</definedName>
    <definedName name="Howewaspts">WAS!#REF!</definedName>
    <definedName name="Howewastries">WAS!#REF!</definedName>
    <definedName name="Howeworpts">WOR!$G$25</definedName>
    <definedName name="Howewortries">WOR!$B$25</definedName>
    <definedName name="Hudsonglopts">GLO!$G$27</definedName>
    <definedName name="Hudsonglotries">GLO!$B$27</definedName>
    <definedName name="Hudsonjamespts">GLO!#REF!</definedName>
    <definedName name="hudsonjamestries">GLO!#REF!</definedName>
    <definedName name="Hughesbripts">BRI!$G$23</definedName>
    <definedName name="Hughesbritries">BRI!$B$23</definedName>
    <definedName name="Hughesexepts">EXE!#REF!</definedName>
    <definedName name="Hughesexetries">EXE!#REF!</definedName>
    <definedName name="Hughesnathanpts">WAS!#REF!</definedName>
    <definedName name="Hughesnathantries">WAS!#REF!</definedName>
    <definedName name="Hugheswaspts">WAS!$G$24</definedName>
    <definedName name="Hugheswastries">WAS!$B$24</definedName>
    <definedName name="humphreysatt">BRI!$M$4</definedName>
    <definedName name="humphreysgoals">BRI!$L$4</definedName>
    <definedName name="Humphreysiantries">BRI!#REF!</definedName>
    <definedName name="Humphreyspts">BRI!#REF!</definedName>
    <definedName name="Humphreysworpts">WOR!$G$26</definedName>
    <definedName name="Humphreyswortries">WOR!$B$26</definedName>
    <definedName name="Hurrellbstpts">BRI!#REF!</definedName>
    <definedName name="Hurrellbsttries">BRI!#REF!</definedName>
    <definedName name="hutchinsonnoratt">NOR!$M$8</definedName>
    <definedName name="hutchinsonnorgls">NOR!$L$8</definedName>
    <definedName name="Hutchinsonnorpts">NOR!$G$25</definedName>
    <definedName name="Hutchinsonnortries">NOR!$B$25</definedName>
    <definedName name="Ibitoyeharpts">HAR!$G$25</definedName>
    <definedName name="Ibitoyehartries">HAR!$B$25</definedName>
    <definedName name="Ibuanokpeharpts">HAR!$G$26</definedName>
    <definedName name="Ibuanokpehartries">HAR!$B$26</definedName>
    <definedName name="Ingallcharliepts">SAL!#REF!</definedName>
    <definedName name="Ingallcharlietries">SAL!#REF!</definedName>
    <definedName name="Ioanetjsalpts">SAL!#REF!</definedName>
    <definedName name="Ioanetjsaltries">SAL!#REF!</definedName>
    <definedName name="Isaacsglopts">GLO!#REF!</definedName>
    <definedName name="Isaacsglotries">GLO!#REF!</definedName>
    <definedName name="Isiekwesarpts">SAR!$G$19</definedName>
    <definedName name="Isiekwesartries">SAR!$B$19</definedName>
    <definedName name="Itojesarpts">SAR!$G$20</definedName>
    <definedName name="Itojesartries">SAR!$B$20</definedName>
    <definedName name="Jackson_Ewaspts">WAS!#REF!</definedName>
    <definedName name="Jackson_Ewastries">WAS!#REF!</definedName>
    <definedName name="Jackson_Rwaspts">WAS!#REF!</definedName>
    <definedName name="Jackson_Rwastries">WAS!#REF!</definedName>
    <definedName name="Jacksonedpts">WAS!#REF!</definedName>
    <definedName name="jacksonedtries">WAS!#REF!</definedName>
    <definedName name="Jacksonharpts">HAR!#REF!</definedName>
    <definedName name="Jacksonhartries">HAR!#REF!</definedName>
    <definedName name="Jacksonlirpts">LIR!$G$27</definedName>
    <definedName name="Jacksonlirtries">LIR!$B$27</definedName>
    <definedName name="jacksonrwasatt">WAS!#REF!</definedName>
    <definedName name="jacksonrwasgoals">WAS!#REF!</definedName>
    <definedName name="Jacobsbenpts">WAS!#REF!</definedName>
    <definedName name="Jacobsbentries">WAS!#REF!</definedName>
    <definedName name="Jacobswaspts">WAS!#REF!</definedName>
    <definedName name="Jacobswastries">WAS!#REF!</definedName>
    <definedName name="James_Lsalpts">SAL!$G$19</definedName>
    <definedName name="James_Lsaltries">SAL!$B$19</definedName>
    <definedName name="Jamespaulpts">BTH!#REF!</definedName>
    <definedName name="Jamespaultries">BTH!#REF!</definedName>
    <definedName name="Jamespts">EXE!$G$23</definedName>
    <definedName name="Jamessalatt">SAL!$M$9</definedName>
    <definedName name="Jamessalgls">SAL!$L$9</definedName>
    <definedName name="Jamessalpts">SAL!$G$20</definedName>
    <definedName name="Jamessaltries">SAL!$B$20</definedName>
    <definedName name="jamestries">EXE!$B$23</definedName>
    <definedName name="jameswasatt">WAS!#REF!</definedName>
    <definedName name="jameswasgoals">WAS!#REF!</definedName>
    <definedName name="Jameswaspts">WAS!$G$25</definedName>
    <definedName name="Jameswastries">WAS!$B$25</definedName>
    <definedName name="Jansevanrensburgsalpts">SAL!$G$46</definedName>
    <definedName name="Jansevanrensburgsaltries">SAL!$B$46</definedName>
    <definedName name="jardinewasatt">WAS!$M$5</definedName>
    <definedName name="jardinewasgls">WAS!$L$5</definedName>
    <definedName name="Jardinewaspts">WAS!$G$26</definedName>
    <definedName name="Jardinewastries">WAS!$B$26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BRI!$G$25</definedName>
    <definedName name="Jeffriesbritries">BRI!$B$25</definedName>
    <definedName name="Jeffriesbstpts">BRI!$G$27</definedName>
    <definedName name="Jeffriesbsttries">BRI!$B$27</definedName>
    <definedName name="Jenningsbthpts">BTH!#REF!</definedName>
    <definedName name="Jenningsbthtries">BTH!#REF!</definedName>
    <definedName name="Jenningssalpts">SAL!$G$21</definedName>
    <definedName name="Jenningssaltries">SAL!$B$21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WOR!$G$19</definedName>
    <definedName name="Jewellsebtries">WOR!$B$19</definedName>
    <definedName name="Johnsalpts">SAL!$G$22</definedName>
    <definedName name="Johnsaltries">SAL!$B$22</definedName>
    <definedName name="Johnsonashleypts">WAS!#REF!</definedName>
    <definedName name="johnsonashleytries">WAS!#REF!</definedName>
    <definedName name="Johnsonexepts">EXE!$G$27</definedName>
    <definedName name="Johnsonexetries">EXE!$B$27</definedName>
    <definedName name="Johnsontompts">EXE!#REF!</definedName>
    <definedName name="Johnsontomtries">EXE!#REF!</definedName>
    <definedName name="Johnsonwaspts">WAS!$G$27</definedName>
    <definedName name="Johnsonwastries">WAS!$B$27</definedName>
    <definedName name="Johnstonjamespts">SAR!#REF!</definedName>
    <definedName name="Johnstonjamestries">SAR!#REF!</definedName>
    <definedName name="Johnstonwaspts">WAS!#REF!</definedName>
    <definedName name="Johnstonwasptscorrect">WAS!#REF!</definedName>
    <definedName name="Johnstonwastries">WAS!#REF!</definedName>
    <definedName name="jonathanjosephtries">BTH!#REF!</definedName>
    <definedName name="Jones_Jsalpts">SAL!$G$23</definedName>
    <definedName name="Jones_Jsaltries">SAL!$B$23</definedName>
    <definedName name="Jonesadamharpts">HAR!$G$28</definedName>
    <definedName name="Jonesadamhartries">HAR!$B$28</definedName>
    <definedName name="Joneschrispts">WOR!#REF!</definedName>
    <definedName name="joneschristries">WOR!$B$7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marcpts">SAL!#REF!</definedName>
    <definedName name="Jonesmarctries">SAL!#REF!</definedName>
    <definedName name="Jonessalpts">SAL!$G$24</definedName>
    <definedName name="Jonessaltries">SAL!$B$24</definedName>
    <definedName name="Jonessampts">WAS!#REF!</definedName>
    <definedName name="Jonessamtries">WAS!#REF!</definedName>
    <definedName name="jonesworatt">WOR!#REF!</definedName>
    <definedName name="Jonesworgls">WOR!#REF!</definedName>
    <definedName name="Jonesworpts">WOR!#REF!</definedName>
    <definedName name="Joneswortries">WOR!#REF!</definedName>
    <definedName name="Josephbatpts">BTH!$G$29</definedName>
    <definedName name="Josephbattries">BTH!$B$29</definedName>
    <definedName name="josephbthatt">BTH!$M$8</definedName>
    <definedName name="Josephbthgls">BTH!$L$8</definedName>
    <definedName name="Josephjonathanptscorrect">BTH!#REF!</definedName>
    <definedName name="Josephjonathantriescorrect">BTH!#REF!</definedName>
    <definedName name="josephpts">BTH!#REF!</definedName>
    <definedName name="Josephpts2">BTH!#REF!</definedName>
    <definedName name="Jouberternstpts">SAR!$G$22</definedName>
    <definedName name="Jouberternsttries">SAR!$B$22</definedName>
    <definedName name="Jubbtompts">SAR!#REF!</definedName>
    <definedName name="Jubbtomtries">SAR!#REF!</definedName>
    <definedName name="Judgesarpts">SAR!$G$21</definedName>
    <definedName name="Judgesartries">SAR!$B$21</definedName>
    <definedName name="Kalamafonileipts">LEIC!$G$22</definedName>
    <definedName name="Kalamafonileitries">LEIC!$B$22</definedName>
    <definedName name="Kalamafonipts">GLO!#REF!</definedName>
    <definedName name="Kalamafonitries">GLO!#REF!</definedName>
    <definedName name="Kareaexepts">EXE!$G$24</definedName>
    <definedName name="Kareaexetries">EXE!$B$24</definedName>
    <definedName name="Kearlwepts">WOR!#REF!</definedName>
    <definedName name="Kearlwetries">WOR!#REF!</definedName>
    <definedName name="Keastexepts">EXE!$G$25</definedName>
    <definedName name="Keastexetries">EXE!$B$25</definedName>
    <definedName name="Kellawaynorpts">NOR!$G$26</definedName>
    <definedName name="Kellawaynortries">NOR!$B$26</definedName>
    <definedName name="Kerrleicpts">LEIC!$G$23</definedName>
    <definedName name="Kerrleictries">LEIC!$B$23</definedName>
    <definedName name="Kerrodworpts">WOR!$G$27</definedName>
    <definedName name="Kerrodwortries">WOR!$B$27</definedName>
    <definedName name="Kessellnorpts">NOR!#REF!</definedName>
    <definedName name="Kessellnortries">NOR!#REF!</definedName>
    <definedName name="Kibirigezachpts">LIR!$G$32</definedName>
    <definedName name="Kibirigezachtries">LIR!$B$32</definedName>
    <definedName name="Kilbridgewaspts">WAS!$G$28</definedName>
    <definedName name="Kilbridgewastries">WAS!$B$28</definedName>
    <definedName name="KingsPts">[1]SKG!$E$47</definedName>
    <definedName name="KingsTries">[1]SKG!$B$47</definedName>
    <definedName name="Kirstenexepts">EXE!$G$26</definedName>
    <definedName name="Kirstenexetries">EXE!$B$26</definedName>
    <definedName name="Kirwancarlpts">WOR!$G$22</definedName>
    <definedName name="Kirwancarltries">WOR!$B$22</definedName>
    <definedName name="Kitchenergrahamptscorrect">LEIC!$G$24</definedName>
    <definedName name="Kitchenergrahamtriescorrect">LEIC!$B$24</definedName>
    <definedName name="Kitchenerpts">LEIC!#REF!</definedName>
    <definedName name="kitchenertries">LEIC!#REF!</definedName>
    <definedName name="Kittoleipts">LEIC!#REF!</definedName>
    <definedName name="Kittoleitries">LEIC!#REF!</definedName>
    <definedName name="Knightglopts">BTH!#REF!</definedName>
    <definedName name="Knightglotries">BTH!#REF!</definedName>
    <definedName name="Knightpts">GLO!#REF!</definedName>
    <definedName name="Knighttries">GLO!#REF!</definedName>
    <definedName name="Kolo_ofainewpts">LIR!#REF!</definedName>
    <definedName name="Kolo_ofainewtries">LIR!#REF!</definedName>
    <definedName name="Kpoku__Jonathansarpts">SAR!$G$24</definedName>
    <definedName name="Kpoku__Jonathansartries">SAR!$B$24</definedName>
    <definedName name="Kpokusarpts">SAR!$G$23</definedName>
    <definedName name="Kpokusartries">SAR!$B$23</definedName>
    <definedName name="Krielglopts">GLO!$G$28</definedName>
    <definedName name="Krielglotries">GLO!$B$28</definedName>
    <definedName name="Kruisgeorgepts">SAR!$G$25</definedName>
    <definedName name="Kruisgeorgetries">SAR!$B$25</definedName>
    <definedName name="Kuleminsalpts">SAL!#REF!</definedName>
    <definedName name="Kuleminsaltries">SAL!#REF!</definedName>
    <definedName name="Kunataniharpts">HAR!$G$27</definedName>
    <definedName name="Kunatanihartries">HAR!$B$27</definedName>
    <definedName name="Kvesicmattpts">GLO!#REF!</definedName>
    <definedName name="Kvesicmatttries">GLO!#REF!</definedName>
    <definedName name="Lahiffmaxbthpts">BTH!$G$30</definedName>
    <definedName name="lahiffmaxbthtries">BTH!$B$30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LEIC!#REF!</definedName>
    <definedName name="Lambertharpts">HAR!$G$29</definedName>
    <definedName name="Lamberthartries">HAR!$B$29</definedName>
    <definedName name="lambgoals">LEIC!#REF!</definedName>
    <definedName name="Lambpts">LEIC!#REF!</definedName>
    <definedName name="Lambptscorrect">LEIC!#REF!</definedName>
    <definedName name="Lambripts">BRI!$G$27</definedName>
    <definedName name="Lambritries">BRI!$B$27</definedName>
    <definedName name="Lambryantries">WOR!#REF!</definedName>
    <definedName name="lambryanworatt">WOR!#REF!</definedName>
    <definedName name="Lambryanworgoals">WOR!#REF!</definedName>
    <definedName name="Lambryanworpts">WOR!#REF!</definedName>
    <definedName name="Lambworgoals">WOR!#REF!</definedName>
    <definedName name="Lamositelesarpts">SAR!$G$26</definedName>
    <definedName name="Lamositelesartries">SAR!$B$26</definedName>
    <definedName name="lanceworatt">WOR!$M$6</definedName>
    <definedName name="lanceworgls">WOR!$L$6</definedName>
    <definedName name="Lanceworpts">WOR!$G$29</definedName>
    <definedName name="Lancewortries">WOR!$B$29</definedName>
    <definedName name="Landajoharpts">HAR!$G$30</definedName>
    <definedName name="Landajohartries">HAR!$B$30</definedName>
    <definedName name="Lanebatpts">BTH!#REF!</definedName>
    <definedName name="Lanebattris">BTH!#REF!</definedName>
    <definedName name="Lanerichardpts">BTH!#REF!</definedName>
    <definedName name="Lanerichardtries">BTH!#REF!</definedName>
    <definedName name="Lanerichardtriescorrect">BTH!#REF!</definedName>
    <definedName name="Langdonsalpts">SAL!$G$25</definedName>
    <definedName name="Langdonsaltries">SAL!$B$25</definedName>
    <definedName name="langharatt">HAR!$M$5</definedName>
    <definedName name="Langhargls">HAR!$L$5</definedName>
    <definedName name="Langharpts">HAR!$G$31</definedName>
    <definedName name="Langhartries">HAR!$B$31</definedName>
    <definedName name="Langleywaspts">WAS!$G$29</definedName>
    <definedName name="Langleywastries">WAS!$B$29</definedName>
    <definedName name="lanharatt">HAR!$M$5</definedName>
    <definedName name="lanhargoals">HAR!$L$5</definedName>
    <definedName name="lanharpts">HAR!$M$5</definedName>
    <definedName name="Lasikeharpts">HAR!$G$32</definedName>
    <definedName name="Lasikehartries">HAR!$B$32</definedName>
    <definedName name="Latunewpts">LIR!#REF!</definedName>
    <definedName name="Latunewtries">LIR!#REF!</definedName>
    <definedName name="Launchburypts">WAS!#REF!</definedName>
    <definedName name="launchburytries">WAS!#REF!</definedName>
    <definedName name="Launchburywaspts">WAS!$G$30</definedName>
    <definedName name="Launchburywastries">WAS!$B$30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NOR!$G$27</definedName>
    <definedName name="Lawesnortries">NOR!$B$27</definedName>
    <definedName name="Lawrencewaspts">WAS!#REF!</definedName>
    <definedName name="Lawrencewastries">WAS!#REF!</definedName>
    <definedName name="Lawrenceworpts">WOR!$G$30</definedName>
    <definedName name="Lawrencewortries">WOR!$B$30</definedName>
    <definedName name="Lawsonnewpts">LIR!#REF!</definedName>
    <definedName name="Lawsonnewtries">LIR!#REF!</definedName>
    <definedName name="Lawsonscottpts">LIR!#REF!</definedName>
    <definedName name="Lawsonscotttries">LIR!#REF!</definedName>
    <definedName name="Laybripts">BRI!$G$29</definedName>
    <definedName name="Laybritries">BRI!$B$29</definedName>
    <definedName name="Le_Bourgeoiswaspts">WAS!$G$31</definedName>
    <definedName name="Le_Bourgeoiswastries">WAS!$B$31</definedName>
    <definedName name="Le_Rouxwaspts">WAS!$G$32</definedName>
    <definedName name="Le_Rouxwastries">WAS!$B$32</definedName>
    <definedName name="Leesexepts">EXE!#REF!</definedName>
    <definedName name="Leesexetries">EXE!#REF!</definedName>
    <definedName name="LeicesterPts">LEIC!$G$54</definedName>
    <definedName name="LeicesterTries">LEIC!$B$54</definedName>
    <definedName name="leicspentriespts">LEIC!$G$32</definedName>
    <definedName name="leicspentriestries">LEIC!$B$32</definedName>
    <definedName name="LeinsterPts">[1]LEIN!$F$58</definedName>
    <definedName name="LeinsterTries">[1]LEIN!$B$58</definedName>
    <definedName name="Leiuaalapatiwaspts">WAS!$G$33</definedName>
    <definedName name="Leiuawaspts">WAS!#REF!</definedName>
    <definedName name="Leiuawasptscorrect">WAS!#REF!</definedName>
    <definedName name="Leiuawastries">WAS!$B$33</definedName>
    <definedName name="Lemipts">WOR!#REF!</definedName>
    <definedName name="lemitries">WOR!#REF!</definedName>
    <definedName name="Leolipts">BRI!#REF!</definedName>
    <definedName name="Leolitries">BRI!#REF!</definedName>
    <definedName name="Leotajohnnypts">SAL!$G$26</definedName>
    <definedName name="Leotajohnnytries">SAL!$B$26</definedName>
    <definedName name="Lewingtonalextries">BRI!$B$28</definedName>
    <definedName name="Lewingtonpts">BRI!$G$28</definedName>
    <definedName name="Lewingtonsarpts">SAR!$G$27</definedName>
    <definedName name="Lewingtonsartries">SAR!$B$27</definedName>
    <definedName name="Lewingtontries">BRI!$B$29</definedName>
    <definedName name="Lewis_">WOR!$G$28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HAR!$G$33</definedName>
    <definedName name="Lewisdavehartries">HAR!$B$33</definedName>
    <definedName name="Lewisdavepts">EXE!#REF!</definedName>
    <definedName name="Lewisdavetries">EXE!#REF!</definedName>
    <definedName name="Lewisjamespts">WOR!#REF!</definedName>
    <definedName name="Lewisjamestries">WOR!#REF!</definedName>
    <definedName name="Lewisleicpts">LEIC!$G$25</definedName>
    <definedName name="Lewisleictries">LEIC!$B$25</definedName>
    <definedName name="Lewisrobpts">WOR!$G$28</definedName>
    <definedName name="Lewisrobtries">WOR!$B$28</definedName>
    <definedName name="Liebenbergleicpts">LEIC!$G$26</definedName>
    <definedName name="Liebenbergleictries">LEIC!$B$26</definedName>
    <definedName name="Lindsay_Hagueolliepts">HAR!#REF!</definedName>
    <definedName name="Lindsay_Hagueollietries">HAR!#REF!</definedName>
    <definedName name="Lindsaysarpts">SAR!#REF!</definedName>
    <definedName name="Lindsaysartries">SAR!#REF!</definedName>
    <definedName name="Lindsaywaspts">WAS!#REF!</definedName>
    <definedName name="Lindsaywastries">WAS!#REF!</definedName>
    <definedName name="Listonjessepts">WOR!#REF!</definedName>
    <definedName name="Listonjessetries">WOR!#REF!</definedName>
    <definedName name="Litchfieldjimmiepts">WOR!#REF!</definedName>
    <definedName name="Litchfieldjimmietries">WOR!#REF!</definedName>
    <definedName name="LloydBriAtt">BRI!$M$7</definedName>
    <definedName name="LloydBriGls">BRI!$L$7</definedName>
    <definedName name="LloydBriPts">BRI!$G$32</definedName>
    <definedName name="LloydBriTries">BRI!$B$32</definedName>
    <definedName name="Lloydlirpts">BRI!$G$30</definedName>
    <definedName name="Lloydlirtries">BRI!$B$30</definedName>
    <definedName name="Loaderlirpts">BRI!$G$31</definedName>
    <definedName name="Loaderlirtries">BRI!$B$31</definedName>
    <definedName name="Loamanuleipts">LEIC!#REF!</definedName>
    <definedName name="Loamanuleitries">LEIC!#REF!</definedName>
    <definedName name="Lokotuiglopts">GLO!#REF!</definedName>
    <definedName name="Lokotuiglotries">GLO!#REF!</definedName>
    <definedName name="Lomidzelirpts">BRI!$G$33</definedName>
    <definedName name="Lomidzelirtries">BRI!$B$33</definedName>
    <definedName name="londonirishpentriespts">BRI!$G$53</definedName>
    <definedName name="londonirishpentriestries">BRI!$B$53</definedName>
    <definedName name="LondonIrishPts">LIR!$G$52</definedName>
    <definedName name="LondonIrishTres">LIR!$B$52</definedName>
    <definedName name="LondonIrishTries">LIR!$B$52</definedName>
    <definedName name="Longbottomsalpts">SAL!#REF!</definedName>
    <definedName name="Longbottomsaltries">SAL!#REF!</definedName>
    <definedName name="Longbottomsarpts">SAR!$G$28</definedName>
    <definedName name="LongbottomsarptsCORRECT">SAR!#REF!</definedName>
    <definedName name="Longbottomsartries">SAR!$B$28</definedName>
    <definedName name="LongbottomsartriesCORRECT">SAR!#REF!</definedName>
    <definedName name="Lonsdaleexepts">EXE!$G$28</definedName>
    <definedName name="Lonsdaleexetries">EXE!$B$28</definedName>
    <definedName name="Louwfrancoispts">BTH!$G$31</definedName>
    <definedName name="Louwfrancoistris">BTH!$B$31</definedName>
    <definedName name="Loweharpts">HAR!#REF!</definedName>
    <definedName name="Lowehartries">HAR!#REF!</definedName>
    <definedName name="Lowkierantries">BRI!$B$29</definedName>
    <definedName name="Lowlipts">BRI!$G$29</definedName>
    <definedName name="Lowmoraypts">EXE!$G$29</definedName>
    <definedName name="Lowmoraytries">EXE!$B$29</definedName>
    <definedName name="Lowpts">BRI!#REF!</definedName>
    <definedName name="Lowptscorrect">BRI!#REF!</definedName>
    <definedName name="lowtries">BRI!#REF!</definedName>
    <definedName name="Lowtriescorrect">BRI!$B$14</definedName>
    <definedName name="Lozadawaspts">WAS!#REF!</definedName>
    <definedName name="Lozadawastries">WAS!#REF!</definedName>
    <definedName name="lozowskiwasatt">WAS!#REF!</definedName>
    <definedName name="lozowskiwasgoals">WAS!#REF!</definedName>
    <definedName name="Lozowskiwaspts">WAS!#REF!</definedName>
    <definedName name="Lozowskiwastries">WAS!#REF!</definedName>
    <definedName name="Ludlamnorpts">NOR!$G$28</definedName>
    <definedName name="Ludlamnortries">NOR!$B$28</definedName>
    <definedName name="Ludlowglopts">GLO!$G$29</definedName>
    <definedName name="Ludlowglotries">GLO!$B$29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NOR!$G$28</definedName>
    <definedName name="Ma_afusalesitries">NOR!$B$28</definedName>
    <definedName name="Maafunorpts">NOR!#REF!</definedName>
    <definedName name="Maafunortries">NOR!#REF!</definedName>
    <definedName name="Mackenwaspts">WAS!#REF!</definedName>
    <definedName name="Mackenwastries">WAS!#REF!</definedName>
    <definedName name="MacKenziephilpts">SAL!$G$27</definedName>
    <definedName name="MacKenziephiltries">SAL!$B$27</definedName>
    <definedName name="MacLeodnewpts">LIR!$G$34</definedName>
    <definedName name="MacLeodnewtries">LIR!$B$34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LIR!$G$31</definedName>
    <definedName name="Mafilirtries">LIR!$B$31</definedName>
    <definedName name="Mafipts">LEIC!$G$52</definedName>
    <definedName name="Mafistevepts">LEIC!#REF!</definedName>
    <definedName name="Mafistevetriescorrect">LEIC!#REF!</definedName>
    <definedName name="mafitries">LEIC!#REF!</definedName>
    <definedName name="Maitlandsarpts">SAR!$G$29</definedName>
    <definedName name="Maitlandsartries">SAR!$B$29</definedName>
    <definedName name="malinsbriatt">BRI!$M$10</definedName>
    <definedName name="Malinsbrigls">BRI!$L$10</definedName>
    <definedName name="malinssaratt">SAR!$M$8</definedName>
    <definedName name="malinssargls">SAR!$L$8</definedName>
    <definedName name="Malinssarpts">SAR!$G$30</definedName>
    <definedName name="Malinssartries">SAR!$B$30</definedName>
    <definedName name="mallindernoratt">NOR!$M$10</definedName>
    <definedName name="Mallindernorgoals">NOR!$L$10</definedName>
    <definedName name="Mallindernorpts">NOR!$G$29</definedName>
    <definedName name="Mallindernortries">NOR!$B$29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raisglopts">GLO!$G$30</definedName>
    <definedName name="Maraisglotries">GLO!$B$30</definedName>
    <definedName name="Marchantharpts">HAR!$G$36</definedName>
    <definedName name="Marchanthartries">HAR!$B$36</definedName>
    <definedName name="Marfoharpts">HAR!$G$34</definedName>
    <definedName name="Marfohartries">HAR!$B$34</definedName>
    <definedName name="Marlerharpts">HAR!$G$37</definedName>
    <definedName name="Marlerpts">HAR!#REF!</definedName>
    <definedName name="marlertries">HAR!$B$37</definedName>
    <definedName name="Marshallglopts">GLO!$G$31</definedName>
    <definedName name="marshallliratt">BRI!#REF!</definedName>
    <definedName name="marshalllirgls">BRI!#REF!</definedName>
    <definedName name="Marshalllirpts">BRI!$G$34</definedName>
    <definedName name="Marshalllirtries">BRI!$B$34</definedName>
    <definedName name="Marshallnorpts">NOR!$G$30</definedName>
    <definedName name="Marshallnortries">NOR!$B$30</definedName>
    <definedName name="Marshalltomglo">GLO!$B$31</definedName>
    <definedName name="Masiwaspts">WAS!#REF!</definedName>
    <definedName name="Masiwastries">WAS!#REF!</definedName>
    <definedName name="Matavesi__Joshnewpts">LIR!$B$36</definedName>
    <definedName name="Matavesi__JoshnewptsCORRECT">LIR!$G$36</definedName>
    <definedName name="Matavesi__Joshnewtries">LIR!$B$36</definedName>
    <definedName name="matavesibthatt">BTH!$M$9</definedName>
    <definedName name="Matavesibthgoals">BTH!$L$9</definedName>
    <definedName name="Matavesipts">WOR!#REF!</definedName>
    <definedName name="matavesitries">WOR!#REF!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LEIC!#REF!</definedName>
    <definedName name="Materapablotries">LEIC!#REF!</definedName>
    <definedName name="Matthewsharpts">HAR!#REF!</definedName>
    <definedName name="Matthewshartries">HAR!#REF!</definedName>
    <definedName name="Matthewsnorpts">NOR!$G$31</definedName>
    <definedName name="Matthewsnortries">NOR!$B$31</definedName>
    <definedName name="Matthewswaspts">WAS!$G$34</definedName>
    <definedName name="Matthewswastries">WAS!$B$34</definedName>
    <definedName name="Matu_uglopts">GLO!#REF!</definedName>
    <definedName name="Matu_uglotries">GLO!#REF!</definedName>
    <definedName name="Maunderexepts">EXE!$G$30</definedName>
    <definedName name="Maunderexetries">EXE!$B$30</definedName>
    <definedName name="Mayglopts">GLO!#REF!</definedName>
    <definedName name="Mayhewlipts">BRI!$G$39</definedName>
    <definedName name="Mayhewlitries">BRI!$B$39</definedName>
    <definedName name="Mayhewrichardpts">LIR!#REF!</definedName>
    <definedName name="Mayhewrichardtries">LIR!#REF!</definedName>
    <definedName name="Mayleicpts">LEIC!$G$27</definedName>
    <definedName name="Mayleictries">LEIC!$B$27</definedName>
    <definedName name="Maypts">GLO!#REF!</definedName>
    <definedName name="Maytompts">WOR!$G$31</definedName>
    <definedName name="Maytomtries">WOR!$B$31</definedName>
    <definedName name="Maytris">GLO!#REF!</definedName>
    <definedName name="McAllisterglopts">GLO!$G$32</definedName>
    <definedName name="McAllisterglotries">GLO!$B$32</definedName>
    <definedName name="McCabebripts">BRI!$G$37</definedName>
    <definedName name="McCabebritrie">BRI!$B$37</definedName>
    <definedName name="McCaffreywelshpts">WOR!$G$32</definedName>
    <definedName name="McCaffreywelshtries">WOR!$B$32</definedName>
    <definedName name="McCollgloptsd">GLO!#REF!</definedName>
    <definedName name="McCollglotries">GLO!#REF!</definedName>
    <definedName name="McConnochiebthpts">BTH!$G$32</definedName>
    <definedName name="McConnochiebthtries">BTH!$B$32</definedName>
    <definedName name="McCuskerlirpts">BRI!#REF!</definedName>
    <definedName name="McCuskerlirtries">BRI!#REF!</definedName>
    <definedName name="McGuiganexepts">EXE!#REF!</definedName>
    <definedName name="McGuiganexetries">EXE!#REF!</definedName>
    <definedName name="McGuigannewpts">LIR!$G$39</definedName>
    <definedName name="McGuigannewtries">LIR!$B$39</definedName>
    <definedName name="McGuiganpts">LIR!#REF!</definedName>
    <definedName name="mcguigansalatt">SAL!$M$13</definedName>
    <definedName name="McGuigansalgoals">SAL!$L$13</definedName>
    <definedName name="McGuigansalpts">SAL!$G$28</definedName>
    <definedName name="McGuigansaltries">SAL!$B$28</definedName>
    <definedName name="McGuigantries">LIR!#REF!</definedName>
    <definedName name="McIntyresimonpts">WAS!$G$35</definedName>
    <definedName name="McIntyresimontries">WAS!#REF!</definedName>
    <definedName name="McIntyrewastries">WAS!$B$35</definedName>
    <definedName name="McKenziefraserpts">LIR!#REF!</definedName>
    <definedName name="McKenziefrasertries">LIR!#REF!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BRI!$G$35</definedName>
    <definedName name="McKibbinlirtries">BRI!$B$35</definedName>
    <definedName name="McLeanlirpts">BRI!$G$36</definedName>
    <definedName name="McLeanlirtries">BRI!$B$36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LIR!$G$33</definedName>
    <definedName name="Mcmillanlirtries">LIR!$B$33</definedName>
    <definedName name="McMillannorpts">NOR!#REF!</definedName>
    <definedName name="McMillannortries">NOR!#REF!</definedName>
    <definedName name="McNallybthpts">BTH!$G$33</definedName>
    <definedName name="McNallybthtries">BTH!$B$33</definedName>
    <definedName name="McNallyjoshpts">WOR!$G$35</definedName>
    <definedName name="McNallyjoshtries">WOR!$B$35</definedName>
    <definedName name="McNallylirpts">BRI!$G$38</definedName>
    <definedName name="McNallylirtries">BRI!$B$38</definedName>
    <definedName name="McNultyharpts">HAR!$G$35</definedName>
    <definedName name="McNultyhartries">HAR!$B$35</definedName>
    <definedName name="Mcphilipsleipts">LEIC!$G$28</definedName>
    <definedName name="Mcphilipsleitries">LEIC!$B$28</definedName>
    <definedName name="Meakesglopts">GLO!#REF!</definedName>
    <definedName name="Meakesglotries">GLO!#REF!</definedName>
    <definedName name="Melcksarpts">SAR!#REF!</definedName>
    <definedName name="Melcksartries">SAR!#REF!</definedName>
    <definedName name="meleatt">LEIC!#REF!</definedName>
    <definedName name="Meledavidpts">LEIC!#REF!</definedName>
    <definedName name="Meledavidptscorrect">LEIC!#REF!</definedName>
    <definedName name="Meledavidtries">LEIC!#REF!</definedName>
    <definedName name="Meledaviestries">LEIC!#REF!</definedName>
    <definedName name="melegoals">LEIC!#REF!</definedName>
    <definedName name="Meleleipts">LEIC!#REF!</definedName>
    <definedName name="Melepts">LEIC!#REF!</definedName>
    <definedName name="meletries">LEIC!#REF!</definedName>
    <definedName name="Meletriescorrect">LEIC!#REF!</definedName>
    <definedName name="Meletriesthisiscorrect">LEIC!#REF!</definedName>
    <definedName name="Mercer_Gbthpts">BTH!#REF!</definedName>
    <definedName name="Mercer_Gbthtries">BTH!#REF!</definedName>
    <definedName name="Mercerbatpts">BTH!$G$34</definedName>
    <definedName name="Mercerbattries">BTH!$B$34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mozleicpts">LEIC!#REF!</definedName>
    <definedName name="Mermozleictries">LEIC!#REF!</definedName>
    <definedName name="Mermoznewpts">LIR!#REF!</definedName>
    <definedName name="Mermoznewtries">LIR!#REF!</definedName>
    <definedName name="Merrickharpts">HAR!$G$38</definedName>
    <definedName name="Merrickhartries">HAR!$B$38</definedName>
    <definedName name="mieresatt">WOR!#REF!</definedName>
    <definedName name="mieresgoals">WOR!#REF!</definedName>
    <definedName name="Mierespts">WOR!$G$7</definedName>
    <definedName name="mierestries">WOR!#REF!</definedName>
    <definedName name="mikepts">HAR!$F$8</definedName>
    <definedName name="Milasinovichworpts">WOR!$G$33</definedName>
    <definedName name="Milasinovichwortries">WOR!$B$33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WAS!$M$11</definedName>
    <definedName name="millerwasgoals">WAS!$L$11</definedName>
    <definedName name="Millerwaspts">WAS!$G$36</definedName>
    <definedName name="Millerwastries">WAS!$B$36</definedName>
    <definedName name="Millerworpts">WOR!$G$34</definedName>
    <definedName name="Millerwortries">WOR!$B$34</definedName>
    <definedName name="Millsjonathanpts">SAL!#REF!</definedName>
    <definedName name="Millsjonathantries">SAL!#REF!</definedName>
    <definedName name="millsworatt">WOR!$M$10</definedName>
    <definedName name="millsworgoals">WOR!$L$10</definedName>
    <definedName name="Mitchellnorpts">NOR!$G$32</definedName>
    <definedName name="Mitchellnortries">NOR!$B$32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WAS!#REF!</definedName>
    <definedName name="Moatespts">WAS!#REF!</definedName>
    <definedName name="Moatestries">WAS!#REF!</definedName>
    <definedName name="Moateswaspts">WAS!#REF!</definedName>
    <definedName name="Moateswastries">WAS!#REF!</definedName>
    <definedName name="Molenaartimpts">HAR!#REF!</definedName>
    <definedName name="Molenaartimtries">HAR!#REF!</definedName>
    <definedName name="Molenaarwelpts">WOR!#REF!</definedName>
    <definedName name="Molenaarweltries">WOR!#REF!</definedName>
    <definedName name="Monahanshanepts">GLO!#REF!</definedName>
    <definedName name="Monahanshanetries">GLO!#REF!</definedName>
    <definedName name="Montgomeryworpts">WOR!$G$36</definedName>
    <definedName name="Montgomerywortries">WOR!$B$36</definedName>
    <definedName name="Monyeugopts">HAR!#REF!</definedName>
    <definedName name="Monyeugotries">HAR!#REF!</definedName>
    <definedName name="Moon_Anortries">NOR!$B$33</definedName>
    <definedName name="Moonnorpts">NOR!$G$33</definedName>
    <definedName name="Mooresalpts">SAL!$G$29</definedName>
    <definedName name="Mooresaltries">SAL!$B$29</definedName>
    <definedName name="Moorewaspts">WAS!#REF!</definedName>
    <definedName name="Moorewastries">WAS!#REF!</definedName>
    <definedName name="Mordtnilspts">SAR!#REF!</definedName>
    <definedName name="mordtsaratt">SAR!#REF!</definedName>
    <definedName name="mordtsargoals">SAR!#REF!</definedName>
    <definedName name="Mordtsartries">SAR!#REF!</definedName>
    <definedName name="Morganbenpts">GLO!$G$33</definedName>
    <definedName name="Morganbentries">GLO!$B$33</definedName>
    <definedName name="Moriartyglopts">GLO!$G$35</definedName>
    <definedName name="Moriartyglotries">GLO!$B$35</definedName>
    <definedName name="morleyexeatt">EXE!$M$6</definedName>
    <definedName name="Morleyexegls">EXE!$L$6</definedName>
    <definedName name="Morrisbenwasgtries">WAS!$B$37</definedName>
    <definedName name="Morrisbenwaspts">WAS!$G$37</definedName>
    <definedName name="Morrisglopts">GLO!$G$34</definedName>
    <definedName name="Morrisglotries">GLO!$B$34</definedName>
    <definedName name="Morrisharpts">HAR!$G$39</definedName>
    <definedName name="Morrishartries">HAR!$B$39</definedName>
    <definedName name="Morrislwepts">WOR!#REF!</definedName>
    <definedName name="Morrislwetries">WOR!#REF!</definedName>
    <definedName name="Morrisniallpts">LEIC!#REF!</definedName>
    <definedName name="Morrisnialltries">LEIC!#REF!</definedName>
    <definedName name="Morriswaspts">WAS!#REF!</definedName>
    <definedName name="Morriswastries">WAS!#REF!</definedName>
    <definedName name="Morrisworpts">WOR!$G$38</definedName>
    <definedName name="Morriswortries">WOR!$B$38</definedName>
    <definedName name="Mortonsalpts">SAL!#REF!</definedName>
    <definedName name="Mortonsaltries">SAL!#REF!</definedName>
    <definedName name="Mudarikiworpts">WOR!$G$37</definedName>
    <definedName name="Mudarikiwortries">WOR!$B$37</definedName>
    <definedName name="Mugfordsalpts">SAL!#REF!</definedName>
    <definedName name="Mugfordsaltries">SAL!#REF!</definedName>
    <definedName name="Mujatisalpts">SAL!#REF!</definedName>
    <definedName name="Mujatisalptscorrect">SAL!#REF!</definedName>
    <definedName name="Mujatisaltries">SAL!#REF!</definedName>
    <definedName name="Mulchroneharpts">HAR!$G$40</definedName>
    <definedName name="Mulchronehartries">HAR!$B$40</definedName>
    <definedName name="Mulchronelipts">BRI!$G$40</definedName>
    <definedName name="MulchronelirtriesCORRECT">BRI!$B$40</definedName>
    <definedName name="Mulchronelitries">BRI!$B$40</definedName>
    <definedName name="Mulchronepts">BRI!#REF!</definedName>
    <definedName name="Mulchronetries">BRI!#REF!</definedName>
    <definedName name="Muldowneybripts">BRI!$G$39</definedName>
    <definedName name="Muldowneybritries">BRI!$B$39</definedName>
    <definedName name="mulipolaleicatt">LEIC!#REF!</definedName>
    <definedName name="Mulipolaleicgls">LEIC!#REF!</definedName>
    <definedName name="Mulipolaleipts">LEIC!#REF!</definedName>
    <definedName name="Mulipolaleitries">LEIC!#REF!</definedName>
    <definedName name="Mulipolanewpts">LIR!$G$40</definedName>
    <definedName name="Mulipolanewtries">LIR!$B$40</definedName>
    <definedName name="Mulipolapts">LEIC!#REF!</definedName>
    <definedName name="Mulipolatries">LEIC!#REF!</definedName>
    <definedName name="Mullanpts">WAS!#REF!</definedName>
    <definedName name="Mullantries">WAS!#REF!</definedName>
    <definedName name="Mullanwaspts">WAS!$G$38</definedName>
    <definedName name="Mullanwastries">WAS!$B$38</definedName>
    <definedName name="Mullennewpts">LIR!$G$42</definedName>
    <definedName name="Mullennewtries">LIR!$B$42</definedName>
    <definedName name="MullisGLOPTS">GLO!$G$36</definedName>
    <definedName name="MullisGLOTRIES">GLO!$B$36</definedName>
    <definedName name="Mummpts">EXE!$G$31</definedName>
    <definedName name="mummtries">EXE!$B$31</definedName>
    <definedName name="MunsterPts">[1]MUN!$F$55</definedName>
    <definedName name="MunsterTries">[1]MUN!$B$55</definedName>
    <definedName name="Murleyharpts">HAR!$G$41</definedName>
    <definedName name="Murleyhartries">HAR!$B$41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yallpts">WAS!$G$39</definedName>
    <definedName name="Myalltries">WAS!$B$39</definedName>
    <definedName name="myleratt">NOR!$M$4</definedName>
    <definedName name="mylergoals">NOR!$L$4</definedName>
    <definedName name="Mylerlirpts">LIR!$G$35</definedName>
    <definedName name="Mylerlirtries">LIR!$B$35</definedName>
    <definedName name="Mylernorpts">NOR!#REF!</definedName>
    <definedName name="Mylerpts">NOR!#REF!</definedName>
    <definedName name="Mylerstephentries">NOR!#REF!</definedName>
    <definedName name="Nagusanewpts">LIR!$G$43</definedName>
    <definedName name="Nagusanewtries">LIR!$B$43</definedName>
    <definedName name="Nahololirpts">LIR!$G$36</definedName>
    <definedName name="Nahololirtries">LIR!$B$36</definedName>
    <definedName name="Naiyaravoronorpts">NOR!$G$34</definedName>
    <definedName name="Naiyaravoronortries">NOR!$B$34</definedName>
    <definedName name="Nanaiworpts">WOR!$G$39</definedName>
    <definedName name="Nanaiwortries">WOR!$B$39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BRI!$AJ$33</definedName>
    <definedName name="Naysarpts">SAR!$G$31</definedName>
    <definedName name="Naysartries">SAR!$B$31</definedName>
    <definedName name="Nealwaspts">WAS!$G$40</definedName>
    <definedName name="Nealwastries">WAS!$B$40</definedName>
    <definedName name="Neildsalpts">SAL!$G$30</definedName>
    <definedName name="Neildsaltries">SAL!$B$30</definedName>
    <definedName name="Nelsonnewpts">LIR!#REF!</definedName>
    <definedName name="Nelsonnewtries">LIR!#REF!</definedName>
    <definedName name="Nemsadzebstpts">BRI!#REF!</definedName>
    <definedName name="Nemsadzebsttries">BRI!#REF!</definedName>
    <definedName name="newcastlepenaltytriespts">LIR!#REF!</definedName>
    <definedName name="newcastlepenaltytriestries">LIR!#REF!</definedName>
    <definedName name="noakesliatt">BRI!$M$4</definedName>
    <definedName name="noakesligoals">BRI!$L$4</definedName>
    <definedName name="Noakeslipts">BRI!$G$44</definedName>
    <definedName name="Noakeslitries">BRI!$B$44</definedName>
    <definedName name="Noguerabthpts">BTH!$G$35</definedName>
    <definedName name="Noguerabthtries">BTH!$B$35</definedName>
    <definedName name="Noonemichaelpts">LEIC!#REF!</definedName>
    <definedName name="Noonemichaeltries">LEIC!#REF!</definedName>
    <definedName name="NorthamptonPts">NOR!$G$51</definedName>
    <definedName name="NorthamptonTries">NOR!$B$51</definedName>
    <definedName name="Northcote_Greenbthpts">BTH!#REF!</definedName>
    <definedName name="Northcote_Greenbthtries">BTH!#REF!</definedName>
    <definedName name="Northmoreharpts">HAR!$G$42</definedName>
    <definedName name="Northmorehartries">HAR!$B$42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LIR!$G$37</definedName>
    <definedName name="Nortonlirtries">LIR!$B$37</definedName>
    <definedName name="Nottlirpts">LIR!$G$38</definedName>
    <definedName name="Nottlirtries">LIR!$B$38</definedName>
    <definedName name="Nottsalpts">SAL!$G$31</definedName>
    <definedName name="Nottsaltries">SAL!$B$31</definedName>
    <definedName name="Nowellexepts">EXE!$G$32</definedName>
    <definedName name="Nowellexetries">EXE!$B$32</definedName>
    <definedName name="Nutleybenpts">NOR!#REF!</definedName>
    <definedName name="Nutleybentries">NOR!#REF!</definedName>
    <definedName name="O_Connorjamespts">BRI!#REF!</definedName>
    <definedName name="O_Connorptssal">SAL!$G$32</definedName>
    <definedName name="O_Connortriessal">SAL!$B$32</definedName>
    <definedName name="O_Connorwaspts">WAS!#REF!</definedName>
    <definedName name="O_Connorwastries">WAS!#REF!</definedName>
    <definedName name="O_Donnellrobpts">WOR!#REF!</definedName>
    <definedName name="O_Donnellrobptscorrect">WOR!#REF!</definedName>
    <definedName name="O_Donnellrobtries">WOR!$B$12</definedName>
    <definedName name="O_Learylipts">BRI!#REF!</definedName>
    <definedName name="O_Learylitries">BRI!#REF!</definedName>
    <definedName name="O_Sullivanwaspts">WAS!$G$41</definedName>
    <definedName name="O_Sullivanwastries">WAS!$B$41</definedName>
    <definedName name="Obanobthpts">BTH!$G$36</definedName>
    <definedName name="Obanobthtries">BTH!$B$36</definedName>
    <definedName name="Obatoysarpts">SAR!$G$32</definedName>
    <definedName name="Obatoysartries">SAR!$B$32</definedName>
    <definedName name="oconnoratt">BRI!#REF!</definedName>
    <definedName name="oconnorgoals">BRI!#REF!</definedName>
    <definedName name="OConnorjamestries">BRI!#REF!</definedName>
    <definedName name="Odogwusalpts">SAL!$G$33</definedName>
    <definedName name="Odogwusaltries">SAL!$B$33</definedName>
    <definedName name="Ojotopsypts">BRI!$G$45</definedName>
    <definedName name="Ojotopsytries">BRI!$B$45</definedName>
    <definedName name="OLE_LINK1" localSheetId="0">BTH!#REF!</definedName>
    <definedName name="Olowofela_Jleicpts">LEIC!$G$30</definedName>
    <definedName name="Olowofela_Jleictries">LEIC!$B$30</definedName>
    <definedName name="olvernoratt">NOR!#REF!</definedName>
    <definedName name="olvernorgoals">NOR!#REF!</definedName>
    <definedName name="Olvernorpts">NOR!$G$35</definedName>
    <definedName name="Olvernortries">NOR!#REF!</definedName>
    <definedName name="Olvernortriescorrect">NOR!$B$35</definedName>
    <definedName name="olverworatt">WOR!#REF!</definedName>
    <definedName name="Olverworgls">WOR!#REF!</definedName>
    <definedName name="Olverworpts">WOR!#REF!</definedName>
    <definedName name="Olverwortries">WOR!#REF!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preysPts">[1]OSP!$F$50</definedName>
    <definedName name="OspreysTries">[1]OSP!$B$50</definedName>
    <definedName name="Ostrikovandreipts">SAL!#REF!</definedName>
    <definedName name="Ostrikovandreitries">SAL!$B$34</definedName>
    <definedName name="OStrikovsalpts">SAL!$G$34</definedName>
    <definedName name="Ovensjoshpts">BTH!#REF!</definedName>
    <definedName name="Ovensjoshtries">BTH!#REF!</definedName>
    <definedName name="Owenleicpts">LEIC!$G$31</definedName>
    <definedName name="Owenleictries">LEIC!$B$31</definedName>
    <definedName name="Packmanhowardpts">NOR!#REF!</definedName>
    <definedName name="Packmanhowardtries">NOR!#REF!</definedName>
    <definedName name="PaiceDavidpts">BRI!$AH$43</definedName>
    <definedName name="PaiceDavidptts">BRI!$AK$38</definedName>
    <definedName name="Painternorpts">NOR!$G$36</definedName>
    <definedName name="Painternortries">NOR!$B$36</definedName>
    <definedName name="Palamobrispts">BRI!$G$50</definedName>
    <definedName name="Palamobristries">BRI!$B$50</definedName>
    <definedName name="Palframanworpts">WOR!$G$41</definedName>
    <definedName name="Palframanwortries">WOR!$B$41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pts">WAS!#REF!</definedName>
    <definedName name="palmertomtries">WAS!#REF!</definedName>
    <definedName name="Parlingexepts">EXE!$B$33</definedName>
    <definedName name="Parlingexetries">EXE!$B$33</definedName>
    <definedName name="Parlinggeoffexepts">EXE!$G$33</definedName>
    <definedName name="Parlingleipts">LEIC!$G$29</definedName>
    <definedName name="Parlingleitries">LEIC!$B$29</definedName>
    <definedName name="Parrmattpts">BRI!#REF!</definedName>
    <definedName name="Parrmatttries">BRI!#REF!</definedName>
    <definedName name="Pasqualileipts">LEIC!#REF!</definedName>
    <definedName name="Pasqualileitries">LEIC!#REF!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BRI!$G$51</definedName>
    <definedName name="paulolirtries">BRI!$B$51</definedName>
    <definedName name="Pearceleipts">LEIC!#REF!</definedName>
    <definedName name="Pearceleitries">LEIC!#REF!</definedName>
    <definedName name="Pearcesalpts">SAL!$G$35</definedName>
    <definedName name="Pearcesaltries">SAL!$B$35</definedName>
    <definedName name="Peeldwaynepts">SAL!#REF!</definedName>
    <definedName name="Peeldwaynetries">SAL!#REF!</definedName>
    <definedName name="Peeldwaynetriescorrect">SAL!#REF!</definedName>
    <definedName name="Penalty_Triesbath">BTH!$G$37</definedName>
    <definedName name="Penalty_Triesbripts">BRI!$G$41</definedName>
    <definedName name="Penalty_Triesbritries">BRI!$B$41</definedName>
    <definedName name="Penalty_Triesexepts">EXE!$G$34</definedName>
    <definedName name="Penalty_Triesexetries">EXE!$B$34</definedName>
    <definedName name="Penalty_Triesglopts">GLO!$G$37</definedName>
    <definedName name="Penalty_Triesglotries">GLO!$B$37</definedName>
    <definedName name="Penalty_Triesharpts">HAR!$G$43</definedName>
    <definedName name="Penalty_Trieshartries">HAR!$B$43</definedName>
    <definedName name="Penalty_Triesnewpts">LIR!$G$44</definedName>
    <definedName name="Penalty_Triesnewtries">LIR!$B$44</definedName>
    <definedName name="Penalty_Triessaintspts">NOR!$G$37</definedName>
    <definedName name="Penalty_Triessaintstries">NOR!$B$37</definedName>
    <definedName name="Penalty_Triessalpts">SAL!$G$36</definedName>
    <definedName name="Penalty_Triessaltries">SAL!$B$36</definedName>
    <definedName name="Penalty_Triessarpts">SAR!$G$33</definedName>
    <definedName name="Penalty_Triessartries">SAR!$B$33</definedName>
    <definedName name="Penalty_Trieswaspts">WAS!$G$42</definedName>
    <definedName name="Penalty_Trieswastries">WAS!$B$42</definedName>
    <definedName name="Penalty_Triesworpts">WOR!$G$42</definedName>
    <definedName name="Penalty_Trieswortries">WOR!$B$42</definedName>
    <definedName name="pennellchrisatt">WOR!#REF!</definedName>
    <definedName name="Pennellchrisgoals">WOR!#REF!</definedName>
    <definedName name="Pennellchrispts">WOR!#REF!</definedName>
    <definedName name="Pennellchristries">WOR!$B$28</definedName>
    <definedName name="pennellworatt">WOR!$M$7</definedName>
    <definedName name="Pennellworgls">WOR!$L$7</definedName>
    <definedName name="Pennynewtries">LIR!$B$45</definedName>
    <definedName name="Pereniseanthonypts">BTH!#REF!</definedName>
    <definedName name="Perenisebthpts">BTH!$G$38</definedName>
    <definedName name="Perenisebthtries">BTH!$B$38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kinssarpts">SAR!#REF!</definedName>
    <definedName name="Perkinssartries">SAR!#REF!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EXE!$G$32</definedName>
    <definedName name="Phillipsjamessalpts">SAL!$G$37</definedName>
    <definedName name="Phillipsjamessaltries">SAL!$B$37</definedName>
    <definedName name="Phillipsjamestries">EXE!$B$32</definedName>
    <definedName name="Phillipssalpts">SAL!#REF!</definedName>
    <definedName name="Phillipssaltries">SAL!#REF!</definedName>
    <definedName name="Phillipsworpts">WOR!$G$45</definedName>
    <definedName name="Phillipswortries">WOR!$B$45</definedName>
    <definedName name="Picamolesnorpts">NOR!$G$38</definedName>
    <definedName name="Picamolesnortries">NOR!$B$38</definedName>
    <definedName name="Pienaarbenpts">WOR!#REF!</definedName>
    <definedName name="Pienaarbentries">WOR!#REF!</definedName>
    <definedName name="Pietersenleipts">LEIC!#REF!</definedName>
    <definedName name="Pietersenleitries">LEIC!#REF!</definedName>
    <definedName name="Pincusbripts">BRI!$G$42</definedName>
    <definedName name="Pincusbritries">BRI!$B$42</definedName>
    <definedName name="Pisi_Gnorpts">NOR!#REF!</definedName>
    <definedName name="Pisi_Gnortries">NOR!#REF!</definedName>
    <definedName name="Pisibripts">BRI!$G$43</definedName>
    <definedName name="Pisibritries">BRI!$B$43</definedName>
    <definedName name="Pisigeorgepts">NOR!$G$6</definedName>
    <definedName name="Pisigeorgeptscorrect">NOR!#REF!</definedName>
    <definedName name="pisigeorgetries">NOR!$B$6</definedName>
    <definedName name="Pisigeorgetriescorrect">NOR!#REF!</definedName>
    <definedName name="Pisikenpts">NOR!#REF!</definedName>
    <definedName name="Pisikenptscorrect">NOR!$G$39</definedName>
    <definedName name="pisikentries">NOR!#REF!</definedName>
    <definedName name="Pisikentriescorrect">NOR!$B$39</definedName>
    <definedName name="Piutau_Cbritriescorrect">BRI!$B$44</definedName>
    <definedName name="Piutau_Swaspts">WAS!#REF!</definedName>
    <definedName name="Piutau_Swastries">WAS!#REF!</definedName>
    <definedName name="Piutaubripts">BRI!$G$60</definedName>
    <definedName name="Piutaubritries">BRI!$B$60</definedName>
    <definedName name="Piutauwaspts">WAS!#REF!</definedName>
    <definedName name="Piutauwastries">WAS!#REF!</definedName>
    <definedName name="Polledriglopts">GLO!$G$38</definedName>
    <definedName name="Polledriglotries">GLO!$B$38</definedName>
    <definedName name="Poreckilirpts">BRI!$G$54</definedName>
    <definedName name="Poreckilirptscorrect">LIR!$G$41</definedName>
    <definedName name="Poreckilirtries">BRI!$B$54</definedName>
    <definedName name="Poreckilirtriescorrect">LIR!$B$41</definedName>
    <definedName name="Postlethwaitesalpts">SAL!$G$38</definedName>
    <definedName name="Postlethwaitesaltries">SAL!$B$38</definedName>
    <definedName name="Potgieterworpts">WOR!$G$46</definedName>
    <definedName name="Potgieterwortries">WOR!$B$46</definedName>
    <definedName name="Powelladampts">LIR!#REF!</definedName>
    <definedName name="Powelladamtries">LIR!#REF!</definedName>
    <definedName name="Powellbripts">BRI!$G$46</definedName>
    <definedName name="Powellbritries">BRI!$B$46</definedName>
    <definedName name="priestlandbthatt">BTH!$M$11</definedName>
    <definedName name="Priestlandbthgoals">BTH!$L$11</definedName>
    <definedName name="Priestlandbthpts">BTH!$G$39</definedName>
    <definedName name="Priestlandbthtries">BTH!$B$39</definedName>
    <definedName name="priorharatt">HAR!#REF!</definedName>
    <definedName name="priorhargls">HAR!#REF!</definedName>
    <definedName name="Protheroebripts">BRI!$G$47</definedName>
    <definedName name="Protheroebritries">BRI!$B$47</definedName>
    <definedName name="pts">HAR!$AG$35</definedName>
    <definedName name="Puafisiglopts">GLO!#REF!</definedName>
    <definedName name="Puafisiglotries">GLO!#REF!</definedName>
    <definedName name="Purdybripts">BRI!$G$48</definedName>
    <definedName name="Purdybritries">BRI!$B$48</definedName>
    <definedName name="Purdyglospts">GLO!$G$39</definedName>
    <definedName name="Purdyglotries">GLO!$B$39</definedName>
    <definedName name="quinspentriespts">HAR!$G$43</definedName>
    <definedName name="quinspentriestries">HAR!$B$43</definedName>
    <definedName name="Radradrabripts">BRI!$G$49</definedName>
    <definedName name="Radradrabritries">BRI!$B$49</definedName>
    <definedName name="Radwannewpts">LIR!$G$46</definedName>
    <definedName name="Radwannewtries">LIR!$B$46</definedName>
    <definedName name="Randallbripts">BRI!$G$50</definedName>
    <definedName name="Randallbritries">BRI!$B$50</definedName>
    <definedName name="Ransombenpts">SAR!#REF!</definedName>
    <definedName name="Ransombentries">SAR!#REF!</definedName>
    <definedName name="Ransomlirpts">BRI!$G$55</definedName>
    <definedName name="Ransomlirtries">BRI!$B$55</definedName>
    <definedName name="Rapava_Ruskinglopts">GLO!$G$40</definedName>
    <definedName name="Rapava_Ruskinglotries">GLO!$B$40</definedName>
    <definedName name="Rapava_Ruskinworpts">WOR!#REF!</definedName>
    <definedName name="Rapava_Ruskinwortries">WOR!#REF!</definedName>
    <definedName name="Ratuniyarawanorpts">NOR!$G$40</definedName>
    <definedName name="Ratuniyarawanortries">NOR!$B$40</definedName>
    <definedName name="Rawacasarpts">SAR!#REF!</definedName>
    <definedName name="Rawacasartries">SAR!#REF!</definedName>
    <definedName name="Readsalpts">SAL!$G$40</definedName>
    <definedName name="Readsaltries">SAL!$B$40</definedName>
    <definedName name="Reddishharpts">HAR!#REF!</definedName>
    <definedName name="Reddishhartries">HAR!#REF!</definedName>
    <definedName name="redpathbthatt">BTH!$M$10</definedName>
    <definedName name="redpathsalatt">SAL!$M$8</definedName>
    <definedName name="redpathsalegls">SAL!$L$8</definedName>
    <definedName name="Redpathsalpts">SAL!$G$39</definedName>
    <definedName name="Redpathsaltries">SAL!$B$39</definedName>
    <definedName name="Rees_Zammitglopts">GLO!$G$41</definedName>
    <definedName name="Rees_Zammitglotries">GLO!$B$41</definedName>
    <definedName name="Reevesrickypts">WOR!$G$43</definedName>
    <definedName name="Reevesrickytries">WOR!$B$43</definedName>
    <definedName name="Reffellsarpts">SAR!$G$34</definedName>
    <definedName name="Reffellsartries">SAR!$B$34</definedName>
    <definedName name="Reidleicatt">LEIC!$M$8</definedName>
    <definedName name="Reidleicgls">LEIC!$L$8</definedName>
    <definedName name="Reidleipts">LEIC!$G$33</definedName>
    <definedName name="Reidleitries">LEIC!$B$33</definedName>
    <definedName name="reinachnoratt">NOR!$M$9</definedName>
    <definedName name="reinachnorgls">NOR!$L$9</definedName>
    <definedName name="Reinachnorpts">NOR!$G$41</definedName>
    <definedName name="Reinachnortries">NOR!$B$41</definedName>
    <definedName name="repathbthgls">BTH!$L$10</definedName>
    <definedName name="Reynoldsnicpts">WOR!$G$44</definedName>
    <definedName name="Reynoldsnictries">WOR!$B$44</definedName>
    <definedName name="Reynoldsstefpts">GLO!#REF!</definedName>
    <definedName name="Reynoldssteftries">GLO!#REF!</definedName>
    <definedName name="Rhodessarpts">SAR!$G$35</definedName>
    <definedName name="Rhodessartries">SAR!$B$35</definedName>
    <definedName name="Ribbansnorpts">NOR!$G$42</definedName>
    <definedName name="Ribbansnortries">NOR!$B$42</definedName>
    <definedName name="Riederwaspts">WAS!$G$43</definedName>
    <definedName name="Riederwastries">WAS!$B$43</definedName>
    <definedName name="Rimmercarlpts">EXE!#REF!</definedName>
    <definedName name="Rimmercarltries">EXE!#REF!</definedName>
    <definedName name="Ripper_Smithworpts">WOR!#REF!</definedName>
    <definedName name="Ripper_Smithwortries">WOR!#REF!</definedName>
    <definedName name="Rizzoleipts">LEIC!#REF!</definedName>
    <definedName name="Rizzoleitries">LEIC!#REF!</definedName>
    <definedName name="Robertsbthpts">BTH!$G$40</definedName>
    <definedName name="Robertsbthtries">BTH!$B$40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tristanpts">WOR!#REF!</definedName>
    <definedName name="Robertstristantries">WOR!#REF!</definedName>
    <definedName name="robertswelatt">WOR!#REF!</definedName>
    <definedName name="robertswelgoals">WOR!#REF!</definedName>
    <definedName name="Robinsonnewpts">LIR!$G$47</definedName>
    <definedName name="Robinsonnewtries">LIR!$B$47</definedName>
    <definedName name="robinsonwelatt">WOR!#REF!</definedName>
    <definedName name="robinsonwelgoals">WOR!#REF!</definedName>
    <definedName name="Robinsonwillpts">WOR!#REF!</definedName>
    <definedName name="Robinsonwilltries">WOR!#REF!</definedName>
    <definedName name="Robshawharpts">HAR!$G$44</definedName>
    <definedName name="Robshawhartries">HAR!$B$44</definedName>
    <definedName name="robsobwasgoals">WAS!$L$6</definedName>
    <definedName name="Robsonglopts">GLO!#REF!</definedName>
    <definedName name="Robsonglotries">GLO!#REF!</definedName>
    <definedName name="Robsonharpts">HAR!$G$45</definedName>
    <definedName name="Robsonhartries">HAR!$B$45</definedName>
    <definedName name="robsonwasatt">WAS!$M$6</definedName>
    <definedName name="Robsonwaspts">WAS!$G$44</definedName>
    <definedName name="Robsonwastries">WAS!$B$44</definedName>
    <definedName name="Roebucksalpts">SAL!$G$41</definedName>
    <definedName name="Roebucksaltries">SAL!$B$41</definedName>
    <definedName name="Rogersnewpts">LIR!#REF!</definedName>
    <definedName name="Rogersnewtries">LIR!#REF!</definedName>
    <definedName name="Rokodugunibatpts">BTH!$G$41</definedName>
    <definedName name="Rokodugunibattries">BTH!$B$41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ssgordonpts">WOR!#REF!</definedName>
    <definedName name="Rossgordontries">WOR!#REF!</definedName>
    <definedName name="Rosssalpts">SAL!$G$42</definedName>
    <definedName name="Rosssaltries">SAL!$B$42</definedName>
    <definedName name="rosswelatt">WOR!#REF!</definedName>
    <definedName name="rosswelgoals">WOR!#REF!</definedName>
    <definedName name="Rouselipts">BRI!$G$55</definedName>
    <definedName name="Rouselitries">BRI!$B$55</definedName>
    <definedName name="Rousepts">BRI!#REF!</definedName>
    <definedName name="rousetries">BRI!$B$14</definedName>
    <definedName name="Rowanglopts">GLO!#REF!</definedName>
    <definedName name="Rowanglotries">GLO!#REF!</definedName>
    <definedName name="Rowlandswaspts">WAS!$G$45</definedName>
    <definedName name="Rowlandswastries">WAS!$B$45</definedName>
    <definedName name="Rowleypaulpts">WOR!$G$47</definedName>
    <definedName name="Rowleypaultries">WOR!$B$47</definedName>
    <definedName name="Sackeypaulpts">HAR!#REF!</definedName>
    <definedName name="Sackeypaultries">HAR!#REF!</definedName>
    <definedName name="Safeglopts">GLO!$G$42</definedName>
    <definedName name="Safeglotries">GLO!$B$42</definedName>
    <definedName name="SalePts">SAL!$G$52</definedName>
    <definedName name="Saletries">SAL!$B$52</definedName>
    <definedName name="Salmonexepts">EXE!$G$35</definedName>
    <definedName name="Salmonexetries">EXE!$B$35</definedName>
    <definedName name="Salvijulianpts">LEIC!$G$34</definedName>
    <definedName name="Salvijuliantries">LEIC!$B$34</definedName>
    <definedName name="Sandfordjamespts">WOR!#REF!</definedName>
    <definedName name="Sandfordjamestries">WOR!#REF!</definedName>
    <definedName name="saracenspenaltytriespts">SAR!#REF!</definedName>
    <definedName name="saracenspenaltytriestries">SAR!#REF!</definedName>
    <definedName name="SaracensPts">SAR!$G$58</definedName>
    <definedName name="SaracensTries">SAR!$B$58</definedName>
    <definedName name="Saullandypts">LIR!#REF!</definedName>
    <definedName name="Saullandytries">LIR!#REF!</definedName>
    <definedName name="Saulolirpts">BRI!$G$57</definedName>
    <definedName name="Saulolirtries">BRI!$B$57</definedName>
    <definedName name="Saunderssarpts">SAR!#REF!</definedName>
    <definedName name="Saunderssartries">SAR!#REF!</definedName>
    <definedName name="Savageglopts">GLO!$G$43</definedName>
    <definedName name="Savageglotries">GLO!$B$43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BRI!$G$58</definedName>
    <definedName name="Schatzlirtries">BRI!$B$58</definedName>
    <definedName name="Schofieldwelpts">WOR!#REF!</definedName>
    <definedName name="Schofieldweltries">WOR!#REF!</definedName>
    <definedName name="ScotlandWilliamsonchristianpts">WOR!$G$31</definedName>
    <definedName name="ScotlandWilliamsonchristiantries">WOR!#REF!</definedName>
    <definedName name="Scottglopts">GLO!#REF!</definedName>
    <definedName name="Scottglotries">GLO!#REF!</definedName>
    <definedName name="Scottleicpts">LEIC!$G$35</definedName>
    <definedName name="Scottleictries">LEIC!$B$35</definedName>
    <definedName name="Scottnickpts">WOR!#REF!</definedName>
    <definedName name="Scottnicktries">WOR!#REF!</definedName>
    <definedName name="Scullyblainepts">LEIC!#REF!</definedName>
    <definedName name="Scullyblainetries">LEIC!#REF!</definedName>
    <definedName name="Scullypts">LEIC!$G$24</definedName>
    <definedName name="scullytries">LEIC!#REF!</definedName>
    <definedName name="Seabrookglopts">GLO!$G$44</definedName>
    <definedName name="Seabrookglotries">GLO!$B$44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wasatt">WAS!$M$8</definedName>
    <definedName name="Searlewasgls">WAS!$L$8</definedName>
    <definedName name="Searlewaspts">WAS!$G$47</definedName>
    <definedName name="Searlewastries">WAS!$B$47</definedName>
    <definedName name="searleworatt">WOR!$M$8</definedName>
    <definedName name="Searleworgls">WOR!$L$8</definedName>
    <definedName name="Searleworpts">WOR!$G$48</definedName>
    <definedName name="Searlewortris">WOR!$B$48</definedName>
    <definedName name="Searlswaspts">WAS!$G$46</definedName>
    <definedName name="Searlswastries">WAS!$B$46</definedName>
    <definedName name="Segunsarpts">SAR!$G$36</definedName>
    <definedName name="Segunsartries">SAR!$B$36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GLO!$G$45</definedName>
    <definedName name="Sharplesglotries">GLO!$B$45</definedName>
    <definedName name="Sharplespts">GLO!#REF!</definedName>
    <definedName name="Sharplestries">GLO!#REF!</definedName>
    <definedName name="Sheridaneamonnpts">BRI!$G$56</definedName>
    <definedName name="Sheridaneamonntries">BRI!$B$56</definedName>
    <definedName name="Sheriffsarpts">SAR!#REF!</definedName>
    <definedName name="Sheriffsartries">SAR!#REF!</definedName>
    <definedName name="Shervingtonwaspts">WAS!#REF!</definedName>
    <definedName name="Shervingtonwastries">WAS!#REF!</definedName>
    <definedName name="Shieldswaspts">WAS!$G$48</definedName>
    <definedName name="Shieldswastries">WAS!$B$48</definedName>
    <definedName name="Shiellsgrahambatpts">BTH!#REF!</definedName>
    <definedName name="Shiellsgrahambattries">BTH!#REF!</definedName>
    <definedName name="Shillcockworpts">WOR!$G$49</definedName>
    <definedName name="Shillcockwortries">WOR!$B$49</definedName>
    <definedName name="shilllcockworatt">WOR!$M$5</definedName>
    <definedName name="shilllcockworgoals">WOR!$L$5</definedName>
    <definedName name="Short_Alirpts">BRI!#REF!</definedName>
    <definedName name="Short_Alirtries">BRI!#REF!</definedName>
    <definedName name="Shortexepts">EXE!$G$36</definedName>
    <definedName name="Shortexetries">EXE!$B$36</definedName>
    <definedName name="Shortjamespts">WAS!#REF!</definedName>
    <definedName name="Shortjamestries">WAS!#REF!</definedName>
    <definedName name="Shortlandpts">LIR!#REF!</definedName>
    <definedName name="Shortlandryanpts">LIR!#REF!</definedName>
    <definedName name="Shortlandtries">LIR!#REF!</definedName>
    <definedName name="Shortlipts">BRI!#REF!</definedName>
    <definedName name="Shortlitries">BRI!#REF!</definedName>
    <definedName name="Simmonds_Sexepts">EXE!$G$38</definedName>
    <definedName name="Simmonds_Sexetries">EXE!$B$38</definedName>
    <definedName name="simmondsexeatt">EXE!$M$9</definedName>
    <definedName name="simmondsexegoals">EXE!$L$9</definedName>
    <definedName name="Simmondsexepts">EXE!$G$37</definedName>
    <definedName name="Simmondsexetries">EXE!$B$37</definedName>
    <definedName name="Simmonsleicpts">LEIC!$G$36</definedName>
    <definedName name="Simmonsleictries">LEIC!$B$36</definedName>
    <definedName name="Simpson_Danieljamespts">GLO!#REF!</definedName>
    <definedName name="Simpson_Danieljamestries">GLO!#REF!</definedName>
    <definedName name="Simpsonglopts">GLO!$G$46</definedName>
    <definedName name="Simpsonglotries">GLO!$B$46</definedName>
    <definedName name="Simpsonjoepts">WAS!#REF!</definedName>
    <definedName name="Simpsonjoetries">WAS!#REF!</definedName>
    <definedName name="Simpsonwaspts">WAS!$G$49</definedName>
    <definedName name="Simpsonwastries">WAS!$B$49</definedName>
    <definedName name="Sincklerharpts">HAR!$G$46</definedName>
    <definedName name="Sincklerhartries">HAR!$B$46</definedName>
    <definedName name="Sinclairjebbpts">BRI!$G$59</definedName>
    <definedName name="Sinclairjebbtries">BRI!$B$59</definedName>
    <definedName name="Singletonsarpts">SAR!$G$37</definedName>
    <definedName name="Singletonsartries">SAR!$B$37</definedName>
    <definedName name="Singletonworpts">WOR!$G$50</definedName>
    <definedName name="Singletonwortries">WOR!$B$50</definedName>
    <definedName name="Sinotisinotipts">LIR!$G$48</definedName>
    <definedName name="Sinotisinotitries">LIR!$B$48</definedName>
    <definedName name="Sioleipts">LEIC!#REF!</definedName>
    <definedName name="Sioleitries">LEIC!#REF!</definedName>
    <definedName name="Sirkerwaspts">WAS!$G$50</definedName>
    <definedName name="Sirkerwastries">WAS!$B$50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SAR!$G$38</definedName>
    <definedName name="Skeltonsartries">SAR!$B$38</definedName>
    <definedName name="Skinner_Hexepts">EXE!$G$39</definedName>
    <definedName name="Skinner_Hexetries">EXE!$B$39</definedName>
    <definedName name="Skinnerexeatt">EXE!$M$10</definedName>
    <definedName name="Skinnerexegls">EXE!$L$10</definedName>
    <definedName name="Skinnerexepts">EXE!$G$40</definedName>
    <definedName name="Skinnerexetries">EXE!$B$40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EXE!$M$8</definedName>
    <definedName name="Sladeexepts">EXE!$G$41</definedName>
    <definedName name="Sladeexetries">EXE!$B$41</definedName>
    <definedName name="sladegoals">EXE!$L$8</definedName>
    <definedName name="Sladehenrypts">EXE!#REF!</definedName>
    <definedName name="Slaterglopts">GLO!$G$47</definedName>
    <definedName name="Slaterglotries">GLO!$B$47</definedName>
    <definedName name="Slaterpts">LEIC!#REF!</definedName>
    <definedName name="Slaterptscorrect">LEIC!#REF!</definedName>
    <definedName name="slatertries">LEIC!$B$42</definedName>
    <definedName name="Slatertriescorrect">LEIC!#REF!</definedName>
    <definedName name="Sleightholmenorpts">NOR!$G$43</definedName>
    <definedName name="Sleightholmenortries">NOR!$B$43</definedName>
    <definedName name="Sloanharrypts">HAR!#REF!</definedName>
    <definedName name="Sloanharrytries">HAR!#REF!</definedName>
    <definedName name="Slowikworpts">WOR!#REF!</definedName>
    <definedName name="Slowikwortries">WOR!#REF!</definedName>
    <definedName name="Smithbripts">BRI!$G$52</definedName>
    <definedName name="Smithbritries">BRI!$B$52</definedName>
    <definedName name="Smithharpts">HAR!$G$47</definedName>
    <definedName name="Smithhartries">HAR!$B$47</definedName>
    <definedName name="smithleeatt">LIR!#REF!</definedName>
    <definedName name="Smithleegoals">LIR!#REF!</definedName>
    <definedName name="Smithleepts">LIR!#REF!</definedName>
    <definedName name="Smithleipts">LEIC!$G$37</definedName>
    <definedName name="Smithleitries">LEIC!$B$37</definedName>
    <definedName name="Smithnewtries">LIR!#REF!</definedName>
    <definedName name="Smithsampts">HAR!#REF!</definedName>
    <definedName name="Smithsamtries">HAR!#REF!</definedName>
    <definedName name="Smithsarpts">SAR!#REF!</definedName>
    <definedName name="Smithsartries">SAR!#REF!</definedName>
    <definedName name="Smithwaspts">WAS!#REF!</definedName>
    <definedName name="Smithwastries">WAS!#REF!</definedName>
    <definedName name="Socino_Snewpts">LIR!$G$50</definedName>
    <definedName name="Socino_Snewtries">LIR!$B$50</definedName>
    <definedName name="socinonewatt">LIR!#REF!</definedName>
    <definedName name="socinonewgoals">LIR!#REF!</definedName>
    <definedName name="Socinonewpts">LIR!#REF!</definedName>
    <definedName name="Socinonewtries">LIR!#REF!</definedName>
    <definedName name="Solomonasalpts">SAL!$G$43</definedName>
    <definedName name="Solomonasaltries">SAL!$B$43</definedName>
    <definedName name="SopoagaGLSWAS">WAS!$L$9</definedName>
    <definedName name="SOPOAGAWASATT">WAS!$M$9</definedName>
    <definedName name="Sopoagawaspts">WAS!$G$51</definedName>
    <definedName name="Sopoagawastries">WAS!$B$51</definedName>
    <definedName name="Southworthexepts">EXE!$G$42</definedName>
    <definedName name="Southworthexetries">EXE!$B$42</definedName>
    <definedName name="Sowreynewpts">LIR!$G$51</definedName>
    <definedName name="Sowreynewtries">LIR!$B$51</definedName>
    <definedName name="Spencer_Bbthpts">BTH!$G$42</definedName>
    <definedName name="Spencer_Bbthtries">BTH!$B$42</definedName>
    <definedName name="Spencer_Wbthpts">BTH!$G$43</definedName>
    <definedName name="Spencer_Wbthtries">BTH!$B$43</definedName>
    <definedName name="spencerbenatt">SAR!$M$7</definedName>
    <definedName name="spencerbengoals">SAR!$L$7</definedName>
    <definedName name="Spencerbenpts">SAR!#REF!</definedName>
    <definedName name="Spencerbentries">SAR!$B$39</definedName>
    <definedName name="Spencerleicpts">LEIC!$G$38</definedName>
    <definedName name="Spencerleictries">LEIC!$B$38</definedName>
    <definedName name="Spencersarpts">SAR!$G$39</definedName>
    <definedName name="Spencerwillpts">BTH!$G$44</definedName>
    <definedName name="Spencerwilltries">BTH!$B$44</definedName>
    <definedName name="Spurlingsarpts">SAR!$G$40</definedName>
    <definedName name="Spurlingsartries">SAR!$B$40</definedName>
    <definedName name="Stanleyglopts">GLO!$G$49</definedName>
    <definedName name="Stanleyglotries">GLO!$B$49</definedName>
    <definedName name="Stedmanolliepts">WOR!#REF!</definedName>
    <definedName name="Stedmanollietrie">WOR!#REF!</definedName>
    <definedName name="Steelelipts">BRI!$G$61</definedName>
    <definedName name="Steelelirpts">LIR!$G$45</definedName>
    <definedName name="Steelelirtries">LIR!$B$45</definedName>
    <definedName name="Steelelitries">BRI!$B$61</definedName>
    <definedName name="Steenson">EXE!#REF!</definedName>
    <definedName name="steensonatt">EXE!$M$7</definedName>
    <definedName name="Steensonexepts">EXE!$G$43</definedName>
    <definedName name="Steensonexetries">EXE!$B$43</definedName>
    <definedName name="steensongarethtries">EXE!$B$43</definedName>
    <definedName name="Steensongoals">EXE!$L$7</definedName>
    <definedName name="Steensonpts">EXE!#REF!</definedName>
    <definedName name="Stegmannsebpts">WOR!#REF!</definedName>
    <definedName name="Stegmannsebtries">WOR!#REF!</definedName>
    <definedName name="Stellingmaxpts">WOR!$G$35</definedName>
    <definedName name="Stellingmaxtries">WOR!#REF!</definedName>
    <definedName name="stellingworatt">WOR!#REF!</definedName>
    <definedName name="stellingworgoals">WOR!#REF!</definedName>
    <definedName name="Stephensonjamespts">WOR!#REF!</definedName>
    <definedName name="Stephensonjamestries">WOR!$B$31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LEIC!$G$39</definedName>
    <definedName name="Stevensleictries">LEIC!$B$39</definedName>
    <definedName name="Stevenslipts">BRI!#REF!</definedName>
    <definedName name="Stevenslitries">BRI!#REF!</definedName>
    <definedName name="Stevensmattpts">SAR!#REF!</definedName>
    <definedName name="Stevensonnewpts">LIR!#REF!</definedName>
    <definedName name="Stevensonnewtries">LIR!#REF!</definedName>
    <definedName name="Stevensonwaspts">WAS!#REF!</definedName>
    <definedName name="Stevensonwastries">WAS!#REF!</definedName>
    <definedName name="stevenstries">SAR!#REF!</definedName>
    <definedName name="stewardleicatt">LEIC!$M$9</definedName>
    <definedName name="Stewardleicgls">LEIC!$L$9</definedName>
    <definedName name="Stirzakerbripts">BRI!$G$53</definedName>
    <definedName name="Stirzakerbritries">BRI!$B$53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rainnewpts">LIR!#REF!</definedName>
    <definedName name="Strainnewtries">LIR!#REF!</definedName>
    <definedName name="Streathertimpts">SAR!#REF!</definedName>
    <definedName name="Streathertimtries">SAR!#REF!</definedName>
    <definedName name="Streetexepts">EXE!$G$44</definedName>
    <definedName name="Streetexetries">EXE!$B$44</definedName>
    <definedName name="Strettlepts">SAR!#REF!</definedName>
    <definedName name="Strettlesarpts">SAR!#REF!</definedName>
    <definedName name="Strettlesarptscorrect">SAR!$G$41</definedName>
    <definedName name="Strettlesartries">SAR!#REF!</definedName>
    <definedName name="strettletries">SAR!#REF!</definedName>
    <definedName name="Strettllesartries">SAR!$B$41</definedName>
    <definedName name="Stringerpeterpts">BTH!#REF!</definedName>
    <definedName name="Stringerpetertries">BTH!#REF!</definedName>
    <definedName name="Stringersalpts">SAL!$G$44</definedName>
    <definedName name="Stringersaltries">SAL!$B$44</definedName>
    <definedName name="Stringerworpts">WOR!#REF!</definedName>
    <definedName name="Stringerwortries">WOR!#REF!</definedName>
    <definedName name="Strongexepts">EXE!$G$45</definedName>
    <definedName name="Strongexetries">EXE!$B$45</definedName>
    <definedName name="Stuartbthpts">BTH!$G$45</definedName>
    <definedName name="Stuartbthtries">BTH!$B$45</definedName>
    <definedName name="Stuartharpts">HAR!#REF!</definedName>
    <definedName name="Stuarthartries">HAR!#REF!</definedName>
    <definedName name="stuartnewatt">LIR!#REF!</definedName>
    <definedName name="Stuartnewgls">LIR!#REF!</definedName>
    <definedName name="Stuartnewpts">LIR!#REF!</definedName>
    <definedName name="Stuartnewtries">LIR!#REF!</definedName>
    <definedName name="Stuartwaspts">WAS!$G$52</definedName>
    <definedName name="Stuartwastries">WAS!$B$52</definedName>
    <definedName name="Sturgessexepts">EXE!#REF!</definedName>
    <definedName name="Sturgessexetries">EXE!#REF!</definedName>
    <definedName name="suajeremypts">WOR!$G$43</definedName>
    <definedName name="suajeremytries">WOR!$B$35</definedName>
    <definedName name="Suniulawaspts">WAS!#REF!</definedName>
    <definedName name="Suniulawastries">WAS!#REF!</definedName>
    <definedName name="Swainstonharpts">HAR!$G$48</definedName>
    <definedName name="Swainstonhartries">HAR!$B$48</definedName>
    <definedName name="Swainstonwapts">WAS!#REF!</definedName>
    <definedName name="Swainstonwastries">WAS!#REF!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LIR!#REF!</definedName>
    <definedName name="Swielnewgls">LIR!#REF!</definedName>
    <definedName name="Swielnewpts">LIR!#REF!</definedName>
    <definedName name="Swielnewtries">LIR!#REF!</definedName>
    <definedName name="Symonsandypts">WOR!$G$44</definedName>
    <definedName name="Symonsandytries">WOR!#REF!</definedName>
    <definedName name="Symonsharpts">HAR!$G$49</definedName>
    <definedName name="Symonshartries">HAR!$B$49</definedName>
    <definedName name="Symonslirpts">BRI!#REF!</definedName>
    <definedName name="Symonslirtries">BRI!#REF!</definedName>
    <definedName name="Symonsnorpts">NOR!$G$44</definedName>
    <definedName name="Symonsnortries">NOR!$B$44</definedName>
    <definedName name="Symonswaspts">WAS!#REF!</definedName>
    <definedName name="Symonswastries">WAS!#REF!</definedName>
    <definedName name="symonsworatt">WOR!#REF!</definedName>
    <definedName name="Symonsworgoals">WOR!#REF!</definedName>
    <definedName name="Tagicakibausailosipts">BRI!#REF!</definedName>
    <definedName name="Tagicakibausailositries">BRI!#REF!</definedName>
    <definedName name="Tagicakibausarpts">SAR!#REF!</definedName>
    <definedName name="Tagicakibausartries">SAR!#REF!</definedName>
    <definedName name="Tagicakibauwaspts">WAS!#REF!</definedName>
    <definedName name="Tagucakibauwastries">WAS!#REF!</definedName>
    <definedName name="Taioneexepts">EXE!$G$46</definedName>
    <definedName name="Taioneexetries">EXE!$B$46</definedName>
    <definedName name="Taitalexpts">LIR!#REF!</definedName>
    <definedName name="Taitalextries">LIR!#REF!</definedName>
    <definedName name="Taitmathewpts">LEIC!#REF!</definedName>
    <definedName name="Taitmathewtries">LEIC!#REF!</definedName>
    <definedName name="Taitnewpts">LIR!#REF!</definedName>
    <definedName name="Taitnewtris">LIR!#REF!</definedName>
    <definedName name="Takaluanewpts">LIR!#REF!</definedName>
    <definedName name="takaluanewtries">LIR!#REF!</definedName>
    <definedName name="takuluanewatt">LIR!#REF!</definedName>
    <definedName name="takuluanewgoals">LIR!#REF!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HAR!$L$16</definedName>
    <definedName name="tapuaiharglsatt">HAR!$M$8</definedName>
    <definedName name="tapuaiharglscorrect">HAR!$L$8</definedName>
    <definedName name="Tapuaiharpts">HAR!$G$50</definedName>
    <definedName name="Tapuaihartries">HAR!$B$50</definedName>
    <definedName name="Taufete_eworpts">WOR!$G$51</definedName>
    <definedName name="Taufete_ewortries">WOR!$B$51</definedName>
    <definedName name="Taulavasemisipts">WOR!#REF!</definedName>
    <definedName name="Taulavasemisitries">WOR!$B$43</definedName>
    <definedName name="Taylorduncanpts">SAR!#REF!</definedName>
    <definedName name="Taylorduncantries">SAR!#REF!</definedName>
    <definedName name="Taylornathanpts">WOR!#REF!</definedName>
    <definedName name="Taylornathantries">WOR!#REF!</definedName>
    <definedName name="Taylornorpts">NOR!$G$45</definedName>
    <definedName name="Taylornortries">NOR!$B$45</definedName>
    <definedName name="Taylorsalpts">SAL!#REF!</definedName>
    <definedName name="Taylorsaltries">SAL!#REF!</definedName>
    <definedName name="Taylorsarpts">SAR!$G$42</definedName>
    <definedName name="Taylorsartries">SAR!$B$42</definedName>
    <definedName name="Taylortommywaspts">WAS!$G$53</definedName>
    <definedName name="Taylortommywastries">WAS!$B$53</definedName>
    <definedName name="Taylorwaspts">WAS!#REF!</definedName>
    <definedName name="Taylorwastries">WAS!#REF!</definedName>
    <definedName name="Taylorworpts">WOR!#REF!</definedName>
    <definedName name="Taylorwortries">WOR!#REF!</definedName>
    <definedName name="Temmnewpts">LIR!#REF!</definedName>
    <definedName name="Temmnewtries">LIR!#REF!</definedName>
    <definedName name="Terryglopts">GLO!$G$48</definedName>
    <definedName name="Terryglotries">GLO!$B$48</definedName>
    <definedName name="test">BTH!#REF!</definedName>
    <definedName name="Thacker_Cleicpts">LEIC!$G$40</definedName>
    <definedName name="Thacker_Cleictries">LEIC!$B$40</definedName>
    <definedName name="Thacker_Hleipts">LEIC!#REF!</definedName>
    <definedName name="Thacker_Hleitries">LEIC!#REF!</definedName>
    <definedName name="Thielsarpts">SAR!$G$43</definedName>
    <definedName name="Thielsartries">SAR!$B$43</definedName>
    <definedName name="Thomas_Dbripts">BRI!$G$56</definedName>
    <definedName name="Thomas_Dbritries">BRI!$B$56</definedName>
    <definedName name="Thomas_DBRITRIESCORRECT">BRI!$B$56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haydnpts">EXE!#REF!</definedName>
    <definedName name="Thomashaydntries">EXE!#REF!</definedName>
    <definedName name="Thomashenrybatpts">BTH!$G$46</definedName>
    <definedName name="Thomashenrybattries">BTH!$B$46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pson_Stringersarpts">SAR!$G$44</definedName>
    <definedName name="Thompson_Stringersartries">SAR!$B$44</definedName>
    <definedName name="Thompsonleicpts">LEIC!$G$41</definedName>
    <definedName name="Thompsonleictries">LEIC!$B$41</definedName>
    <definedName name="Thompsonnewpts">LIR!#REF!</definedName>
    <definedName name="Thompsonnewtries">LIR!#REF!</definedName>
    <definedName name="Thompsonpts">WAS!#REF!</definedName>
    <definedName name="Thompsontries">WAS!#REF!</definedName>
    <definedName name="Thompsonwaspts">WAS!#REF!</definedName>
    <definedName name="Thompsonwastries">WAS!#REF!</definedName>
    <definedName name="Thompstoneleipts">LEIC!$G$42</definedName>
    <definedName name="Thompstoneleitries">LEIC!$B$42</definedName>
    <definedName name="Thompstonepts">LEIC!#REF!</definedName>
    <definedName name="Thompstoneptscorrect">LEIC!$G$42</definedName>
    <definedName name="thompstonetries">LEIC!$B$24</definedName>
    <definedName name="Thorleyglopts">GLO!#REF!</definedName>
    <definedName name="Thorleygloptscorrect">GLO!$G$50</definedName>
    <definedName name="Thorleyglotries">GLO!#REF!</definedName>
    <definedName name="Thorleyglotriescorrect">GLO!$B$50</definedName>
    <definedName name="Thornleipts">LEIC!#REF!</definedName>
    <definedName name="Thornleitries">LEIC!#REF!</definedName>
    <definedName name="Thorperichardpts">WOR!$G$52</definedName>
    <definedName name="Thorperichardtries">WOR!$B$52</definedName>
    <definedName name="Tiesinewpts">LIR!#REF!</definedName>
    <definedName name="Tiesinewtries">LIR!#REF!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ncknelljamespts">WOR!$G$54</definedName>
    <definedName name="Tincknelljamestries">WOR!$B$54</definedName>
    <definedName name="tindallgloatt">GLO!$M$9</definedName>
    <definedName name="tindallglogoals">GLO!$L$9</definedName>
    <definedName name="Tindallmikepts">GLO!#REF!</definedName>
    <definedName name="Tindallmiketries">GLO!#REF!</definedName>
    <definedName name="Tipunanewpts">LIR!#REF!</definedName>
    <definedName name="Tipunanewtries">LIR!#REF!</definedName>
    <definedName name="Tolofuasarpts">SAR!$G$45</definedName>
    <definedName name="Tolofuasartries">SAR!$B$45</definedName>
    <definedName name="Tomaszczyknewpts">LIR!#REF!</definedName>
    <definedName name="Tomaszczyknewtries">LIR!#REF!</definedName>
    <definedName name="Tomesnewpts">LIR!#REF!</definedName>
    <definedName name="Tomesnewtries">LIR!#REF!</definedName>
    <definedName name="Tomkinsjoelpts">SAR!#REF!</definedName>
    <definedName name="tomkinstries">SAR!#REF!</definedName>
    <definedName name="Tompkinsnickpts">SAR!#REF!</definedName>
    <definedName name="Tompkinsnicktries">SAR!#REF!</definedName>
    <definedName name="Tompkinssarpts">SAR!$G$46</definedName>
    <definedName name="Tompkinssarptscorrect">SAR!$G$46</definedName>
    <definedName name="Tompkinssartries">SAR!$B$46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omualeicatt">LEIC!#REF!</definedName>
    <definedName name="Toomualeicgls">LEIC!#REF!</definedName>
    <definedName name="Toomualeipts">LEIC!$G$43</definedName>
    <definedName name="Toomualeitries">LEIC!$B$43</definedName>
    <definedName name="Townsendexepts">EXE!$G$47</definedName>
    <definedName name="Townsendexetries">EXE!$B$47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vettnathanpts">WOR!#REF!</definedName>
    <definedName name="Trevettnathantries">WOR!#REF!</definedName>
    <definedName name="Treviranuspts">BRI!#REF!</definedName>
    <definedName name="Treviranustries">BRI!#REF!</definedName>
    <definedName name="Trinderglopts">GLO!$G$51</definedName>
    <definedName name="Trinderhenrypts">GLO!#REF!</definedName>
    <definedName name="Trinderpts">GLO!#REF!</definedName>
    <definedName name="trindertries">GLO!#REF!</definedName>
    <definedName name="Trindertriestries">GLO!$B$51</definedName>
    <definedName name="Tualanorpts">NOR!$G$46</definedName>
    <definedName name="TualaNORTRIES">NOR!$B$46</definedName>
    <definedName name="Tuilagi__Alesananewgoals">LIR!#REF!</definedName>
    <definedName name="Tuilagi_Alesananewpts">LIR!#REF!</definedName>
    <definedName name="Tuilagi_Alesananewtries">LIR!#REF!</definedName>
    <definedName name="Tuilagi_Aniteleanewpts">LIR!#REF!</definedName>
    <definedName name="Tuilagi_Aniteleanewtries">LIR!#REF!</definedName>
    <definedName name="Tuilagi_Fleicpts">LEIC!$G$44</definedName>
    <definedName name="Tuilagi_Fleictries">LEIC!$B$44</definedName>
    <definedName name="tuilagialesananewatt">LIR!#REF!</definedName>
    <definedName name="Tuilagimanupts">LEIC!$G$45</definedName>
    <definedName name="Tuilagimanutries">LEIC!$B$45</definedName>
    <definedName name="Tuitavakenorpts">NOR!$G$47</definedName>
    <definedName name="Tuitavakenortries">NOR!$B$47</definedName>
    <definedName name="Tuitupousampts">SAL!$G$45</definedName>
    <definedName name="Tuitupousamtries">SAL!$B$45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welvetreesatt">GLO!$M$8</definedName>
    <definedName name="Twelvetreesglopts">GLO!$G$52</definedName>
    <definedName name="Twelvetreesglotries">GLO!$B$52</definedName>
    <definedName name="twelvetreesgoals">GLO!$L$8</definedName>
    <definedName name="Twelvetreespts">GLO!#REF!</definedName>
    <definedName name="Twelvetreestries">GLO!#REF!</definedName>
    <definedName name="Twomeyharpts">HAR!$G$51</definedName>
    <definedName name="Twomeyhartries">HAR!$B$51</definedName>
    <definedName name="UlsterPts">[1]ULS!$F$59</definedName>
    <definedName name="UlsterTries">[1]ULS!$B$59</definedName>
    <definedName name="umagawasatt">WAS!$M$10</definedName>
    <definedName name="umagawasgoals">WAS!$L$10</definedName>
    <definedName name="Umagawaspts">WAS!$G$54</definedName>
    <definedName name="Umagawastries">WAS!$B$54</definedName>
    <definedName name="Underhillbthpts">BTH!$G$47</definedName>
    <definedName name="Underhillbthtries">BTH!$B$47</definedName>
    <definedName name="UrenBRITRIES">BRI!$B$59</definedName>
    <definedName name="Uzokwenewpts">LIR!#REF!</definedName>
    <definedName name="Uzokwenewtries">LIR!#REF!</definedName>
    <definedName name="Vailanusarpts">SAR!$G$47</definedName>
    <definedName name="Vailanusartries">SAR!$B$47</definedName>
    <definedName name="Vailanuwaspts">WAS!$G$55</definedName>
    <definedName name="Vailanuwastries">WAS!$B$55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WOR!$G$53</definedName>
    <definedName name="Van_Bredawortries">WOR!$B$53</definedName>
    <definedName name="Van_der_Merwe_Asalpts">SAL!$G$47</definedName>
    <definedName name="Van_der_Merwe_Asaltries">SAL!$B$47</definedName>
    <definedName name="van_der_Merwelirpts">LIR!$G$49</definedName>
    <definedName name="van_der_Merwelirtries">LIR!$B$49</definedName>
    <definedName name="van_der_Sluysexepts">EXE!$G$48</definedName>
    <definedName name="van_der_Sluysexetries">EXE!$B$48</definedName>
    <definedName name="van_Rensburgsalpts">SAL!$G$46</definedName>
    <definedName name="van_Rensburgsaltries">SAL!$B$46</definedName>
    <definedName name="van_Rooyenbthpts">BTH!$G$48</definedName>
    <definedName name="van_Rooyenbthtries">BTH!$B$48</definedName>
    <definedName name="van_Velzegjpts">NOR!#REF!</definedName>
    <definedName name="van_Velzegjtries">NOR!#REF!</definedName>
    <definedName name="van_Vuurenbthpts">BTH!$G$49</definedName>
    <definedName name="van_Vuurenbthtries">BTH!$B$49</definedName>
    <definedName name="van_Wyknorpts">NOR!$G$48</definedName>
    <definedName name="van_Wyknortries">NOR!$B$48</definedName>
    <definedName name="van_Zyllirpts">BRI!#REF!</definedName>
    <definedName name="van_Zyllirtries">BRI!#REF!</definedName>
    <definedName name="vanbredaworatt">WOR!$M$9</definedName>
    <definedName name="vanbredaworgls">WOR!$L$9</definedName>
    <definedName name="Varndelltompts">WAS!#REF!</definedName>
    <definedName name="Varndelltomtries">WAS!#REF!</definedName>
    <definedName name="Veainuleipts">LEIC!$G$46</definedName>
    <definedName name="Veainuleitries">LEIC!$B$46</definedName>
    <definedName name="Veanewpts">LIR!#REF!</definedName>
    <definedName name="Veanewtries">LIR!#REF!</definedName>
    <definedName name="Veataionelwelshpts">WOR!#REF!</definedName>
    <definedName name="Veataionelwelshtries">WOR!#REF!</definedName>
    <definedName name="Veataionepts">WAS!#REF!</definedName>
    <definedName name="Veataionetroes">WAS!#REF!</definedName>
    <definedName name="Vellacottglopts">GLO!$G$53</definedName>
    <definedName name="Vellacottglotries">GLO!$B$53</definedName>
    <definedName name="Vellacottwaspts">WAS!$G$56</definedName>
    <definedName name="Vellacottwastries">WAS!$B$56</definedName>
    <definedName name="Vellanathanpts">WOR!#REF!</definedName>
    <definedName name="Vellanathantries">WOR!#REF!</definedName>
    <definedName name="Vendittinewpts">LIR!#REF!</definedName>
    <definedName name="Vendittinewtries">LIR!#REF!</definedName>
    <definedName name="Venterworpts">WOR!$G$55</definedName>
    <definedName name="Venterwortries">WOR!$B$55</definedName>
    <definedName name="Verbakelnorpts">NOR!#REF!</definedName>
    <definedName name="Verbakelnortries">NOR!#REF!</definedName>
    <definedName name="Vermeulenexepts">EXE!$G$55</definedName>
    <definedName name="Vermeulenexetries">EXE!$B$55</definedName>
    <definedName name="Vickersnewpts">LIR!#REF!</definedName>
    <definedName name="Vickersnewtries">LIR!#REF!</definedName>
    <definedName name="Viljoen_EWleicatt">LEIC!$M$11</definedName>
    <definedName name="Viljoen_EWleicgls">LEIC!$L$11</definedName>
    <definedName name="Visagieglopts">GLO!$G$54</definedName>
    <definedName name="Visagieglotries">GLO!$B$54</definedName>
    <definedName name="Vossleicpts">LEIC!$G$47</definedName>
    <definedName name="Vossleictries">LEIC!$B$47</definedName>
    <definedName name="Vuibripts">BRI!$G$60</definedName>
    <definedName name="Vuibritries">BRI!$B$60</definedName>
    <definedName name="Vunabthpts">BTH!$G$50</definedName>
    <definedName name="Vunabthtries">BTH!$B$50</definedName>
    <definedName name="Vunipola__Makosarpts">SAR!$G$49</definedName>
    <definedName name="Vunipola__Makosartries">SAR!$B$49</definedName>
    <definedName name="Vunipola_Bsarpts">SAR!$G$48</definedName>
    <definedName name="Vunipola_Bsartries">SAR!$B$48</definedName>
    <definedName name="Vunipola_Msaratt">SAR!$M$10</definedName>
    <definedName name="Vunipola_Msargls">SAR!$L$10</definedName>
    <definedName name="Vunipola_Msarpts">SAR!$G$50</definedName>
    <definedName name="Vunipola_Msartries">SAR!$B$50</definedName>
    <definedName name="Vunipolabillypts">SAR!#REF!</definedName>
    <definedName name="vunipolabillytries">SAR!#REF!</definedName>
    <definedName name="Vunipolamakopts">SAR!#REF!</definedName>
    <definedName name="vunipolamakotries">SAR!#REF!</definedName>
    <definedName name="Vunisasarpts">SAR!#REF!</definedName>
    <definedName name="Vunisasartries">SAR!#REF!</definedName>
    <definedName name="Wadepts">WAS!#REF!</definedName>
    <definedName name="wadetries">WAS!#REF!</definedName>
    <definedName name="wadewasatt">WAS!#REF!</definedName>
    <definedName name="Wadewasgls">WAS!#REF!</definedName>
    <definedName name="Wadewaspts">WAS!#REF!</definedName>
    <definedName name="Wadewastries">WAS!#REF!</definedName>
    <definedName name="Waldoucklirpts">BRI!#REF!</definedName>
    <definedName name="Waldoucklirtries">BRI!#REF!</definedName>
    <definedName name="Waldoucknewpts">LIR!#REF!</definedName>
    <definedName name="Waldoucknewtries">LIR!#REF!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LEIC!#REF!</definedName>
    <definedName name="Waldromptscorrect">LEIC!#REF!</definedName>
    <definedName name="waldromtries">LEIC!#REF!</definedName>
    <definedName name="Waldromtriescorrect">LEIC!#REF!</definedName>
    <definedName name="Walkerbthpts">BTH!$G$51</definedName>
    <definedName name="Walkerbthtries">BTH!$B$51</definedName>
    <definedName name="Walkercharliehqtries">HAR!$B$53</definedName>
    <definedName name="Walkercharliepts">HAR!$G$53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HAR!$G$54</definedName>
    <definedName name="Wallaceluketries">HAR!$B$54</definedName>
    <definedName name="wallerethanpts">NOR!#REF!</definedName>
    <definedName name="wallerethantries">NOR!#REF!</definedName>
    <definedName name="Wallerworpts">WOR!$G$56</definedName>
    <definedName name="Wallerwortries">WOR!$B$56</definedName>
    <definedName name="Warddavepts">HAR!$G$55</definedName>
    <definedName name="warddavetries">HAR!$B$55</definedName>
    <definedName name="warwickatt">WOR!#REF!</definedName>
    <definedName name="warwickgoals">WOR!#REF!</definedName>
    <definedName name="Warwickpaulpts">WOR!#REF!</definedName>
    <definedName name="Warwickpaultries">WOR!$B$44</definedName>
    <definedName name="waspspenaltytriespts">WAS!#REF!</definedName>
    <definedName name="waspspenaltytriestries">WAS!#REF!</definedName>
    <definedName name="waspspentries">WAS!#REF!</definedName>
    <definedName name="Waspspentriespts">WAS!#REF!</definedName>
    <definedName name="WaspsPts">WAS!$G$64</definedName>
    <definedName name="WaspsTries">WAS!$B$64</definedName>
    <definedName name="Watersharpts">HAR!$G$56</definedName>
    <definedName name="Watershartries">HAR!$B$56</definedName>
    <definedName name="Waterswelpts">WOR!#REF!</definedName>
    <definedName name="Watersweltries">WOR!#REF!</definedName>
    <definedName name="Watsonanthonypts">BTH!$G$52</definedName>
    <definedName name="Watsonanthonytries">BTH!$B$52</definedName>
    <definedName name="Watsonnewpts">LIR!#REF!</definedName>
    <definedName name="Watsonnewtriwes">LIR!#REF!</definedName>
    <definedName name="Watsonsarpts">SAR!$G$51</definedName>
    <definedName name="Watsonsartries">SAR!$B$51</definedName>
    <definedName name="Watsonwaspts">WAS!$G$57</definedName>
    <definedName name="Watsonwastries">WAS!$B$57</definedName>
    <definedName name="Webberpts">BTH!#REF!</definedName>
    <definedName name="Webberrobtries">BTH!#REF!</definedName>
    <definedName name="Webbersalpts">SAL!$G$48</definedName>
    <definedName name="Webbersaltries">SAL!$B$48</definedName>
    <definedName name="Webbertries">BTH!#REF!</definedName>
    <definedName name="Weepuwelshpts">WOR!#REF!</definedName>
    <definedName name="Weepuwelshtries">WOR!#REF!</definedName>
    <definedName name="Weirworpts">WOR!$G$57</definedName>
    <definedName name="Weirwortries">WOR!$B$57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LIR!#REF!</definedName>
    <definedName name="Welchwilltries">LIR!#REF!</definedName>
    <definedName name="Wellsharrypts">LEIC!$G$50</definedName>
    <definedName name="Wellsharrytries">LEIC!$B$50</definedName>
    <definedName name="Wellsleicpts">LEIC!$G$48</definedName>
    <definedName name="Wellsleictries">LEIC!$B$48</definedName>
    <definedName name="Welshnewpts">LIR!#REF!</definedName>
    <definedName name="Welshnewtries">LIR!#REF!</definedName>
    <definedName name="Westbenpts">WOR!#REF!</definedName>
    <definedName name="Westbentries">WOR!#REF!</definedName>
    <definedName name="Westwaspts">WAS!$G$58</definedName>
    <definedName name="Westwastries">WAS!$B$58</definedName>
    <definedName name="White_NexeptsCORRECT">EXE!$G$49</definedName>
    <definedName name="White_Nicexepts">EXE!$F$49</definedName>
    <definedName name="White_Nicexetries">EXE!$B$49</definedName>
    <definedName name="Whiteexepts">EXE!#REF!</definedName>
    <definedName name="Whiteharpts">HAR!$G$57</definedName>
    <definedName name="Whitehartries">HAR!$B$57</definedName>
    <definedName name="Whiteheadchrispts">EXE!#REF!</definedName>
    <definedName name="Whiteheadchristries">EXE!#REF!</definedName>
    <definedName name="Whiteleicpts">LEIC!$G$49</definedName>
    <definedName name="Whiteleictries">LEIC!$B$49</definedName>
    <definedName name="whiteleysaratt">SAR!$M$9</definedName>
    <definedName name="Whiteleysargls">SAR!$L$9</definedName>
    <definedName name="Whiteleysarpts">SAR!$G$52</definedName>
    <definedName name="Whiteleysartries">SAR!$B$52</definedName>
    <definedName name="Whitepts">EXE!#REF!</definedName>
    <definedName name="whitetrie">EXE!#REF!</definedName>
    <definedName name="Whittenpts">EXE!$G$50</definedName>
    <definedName name="Whittentries">EXE!$B$50</definedName>
    <definedName name="Wigglesworthrichardpts">SAR!$G$53</definedName>
    <definedName name="Wigglesworthrichardtries">SAR!$B$53</definedName>
    <definedName name="wigglesworthsaratt">SAR!$M$11</definedName>
    <definedName name="Wigglesworthsargoals">SAR!$L$11</definedName>
    <definedName name="Wiliamsnewtries">LIR!#REF!</definedName>
    <definedName name="wilkinsonsalatt">SAL!$M$10</definedName>
    <definedName name="wilkinsonsalgls">SAL!$L$10</definedName>
    <definedName name="Wilkinsonsalpts">SAL!$G$49</definedName>
    <definedName name="Wilkinsonsaltries">SAL!$B$49</definedName>
    <definedName name="Willemsesarpts">SAR!$G$54</definedName>
    <definedName name="Willemsesartries">SAR!$B$54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BTH!$G$53</definedName>
    <definedName name="Williamsbentries">BTH!$B$53</definedName>
    <definedName name="Williamsexepts">EXE!$G$51</definedName>
    <definedName name="Williamsexetries">EXE!$B$51</definedName>
    <definedName name="williamsglopts">GLO!$G$55</definedName>
    <definedName name="williamsglotries">GLO!$B$55</definedName>
    <definedName name="Williamsjohnnylirpts">BRI!#REF!</definedName>
    <definedName name="Williamsjohnnylirtries">BRI!#REF!</definedName>
    <definedName name="Williamsleipts">LEIC!#REF!</definedName>
    <definedName name="Williamsleitries">LEIC!#REF!</definedName>
    <definedName name="Williamsmikepts">WOR!#REF!</definedName>
    <definedName name="Williamsmiketries">WOR!#REF!</definedName>
    <definedName name="Williamsmiketriescorrect">WOR!#REF!</definedName>
    <definedName name="williamsnewatt">LIR!#REF!</definedName>
    <definedName name="Williamsnewgls">LIR!#REF!</definedName>
    <definedName name="Williamsnewpts">LIR!#REF!</definedName>
    <definedName name="Williamsnorpts">NOR!#REF!</definedName>
    <definedName name="Williamsnortries">NOR!#REF!</definedName>
    <definedName name="williamsowenatt">LEIC!#REF!</definedName>
    <definedName name="williamsowengoals">LEIC!#REF!</definedName>
    <definedName name="Williamsowenpts">LEIC!$G$16</definedName>
    <definedName name="Williamsowenptscorrect">LEIC!#REF!</definedName>
    <definedName name="williamssalatt">SAL!$M$10</definedName>
    <definedName name="williamssalgls">SAL!$L$10</definedName>
    <definedName name="Williamssalpts">SAL!$G$50</definedName>
    <definedName name="Williamssaltries">SAL!$B$50</definedName>
    <definedName name="Williamssarpts">SAR!$G$55</definedName>
    <definedName name="Williamssartries">SAR!$B$55</definedName>
    <definedName name="Williamstompts">HAR!$G$52</definedName>
    <definedName name="Williamstomtries">HAR!$B$52</definedName>
    <definedName name="Williamstomtriescorrect">HAR!$B$52</definedName>
    <definedName name="Williamsworpts">WOR!$G$58</definedName>
    <definedName name="Williamswortries">WOR!$B$58</definedName>
    <definedName name="Willis_Twaspts">WAS!$G$60</definedName>
    <definedName name="Willis_Twastries">WAS!$B$60</definedName>
    <definedName name="Willismewtries">LIR!#REF!</definedName>
    <definedName name="willisnewatt">LIR!#REF!</definedName>
    <definedName name="Willisnewgoals">LIR!#REF!</definedName>
    <definedName name="Willisnewpts">LIR!#REF!</definedName>
    <definedName name="Willisonbthpts">BTH!$G$53</definedName>
    <definedName name="Willisonbthtries">BTH!$B$53</definedName>
    <definedName name="Willisonworpts">WOR!#REF!</definedName>
    <definedName name="Willisonwortries">WOR!#REF!</definedName>
    <definedName name="Williswaspts">WAS!$G$59</definedName>
    <definedName name="Williswastries">WAS!$B$59</definedName>
    <definedName name="Wilson__Jamesbthgls">BTH!#REF!</definedName>
    <definedName name="Wilson__Jamesbthpts">BTH!$G$56</definedName>
    <definedName name="Wilson__Jamesbthptscorrect">BTH!$G$55</definedName>
    <definedName name="Wilson__Jamesbthtries">BTH!$B$56</definedName>
    <definedName name="Wilson__Jamesbthtriescorrect">BTH!$B$55</definedName>
    <definedName name="Wilson_Dnewpts">LIR!#REF!</definedName>
    <definedName name="Wilson_Dnewtries">LIR!#REF!</definedName>
    <definedName name="Wilson_Markpts">LIR!#REF!</definedName>
    <definedName name="Wilson_Marktries">LIR!#REF!</definedName>
    <definedName name="Wilson_Snewpts">LIR!#REF!</definedName>
    <definedName name="Wilson_Snewtries">LIR!#REF!</definedName>
    <definedName name="Wilsonbatpts">BTH!$G$54</definedName>
    <definedName name="Wilsonbattries">BTH!$B$54</definedName>
    <definedName name="Wilsondavidpts">BTH!#REF!</definedName>
    <definedName name="Wilsondavidtries">BTH!#REF!</definedName>
    <definedName name="Wilsonjackpts">SAR!#REF!</definedName>
    <definedName name="Wilsonjacktries">SAR!#REF!</definedName>
    <definedName name="Wilsonjacktriescorr">SAR!#REF!</definedName>
    <definedName name="Wilsonjacktriescorrect">SAR!#REF!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ttyexepts">EXE!$G$52</definedName>
    <definedName name="Wittyexetries">EXE!$B$52</definedName>
    <definedName name="Wittynewpts">LIR!#REF!</definedName>
    <definedName name="Wittynewtries">LIR!#REF!</definedName>
    <definedName name="Wolstenholmewaspts">WAS!$G$61</definedName>
    <definedName name="Wolstenholmewastries">WAS!$B$61</definedName>
    <definedName name="Wolstenhomewaspts">WAS!$G$61</definedName>
    <definedName name="Woodburnexepts">EXE!$G$53</definedName>
    <definedName name="Woodburnexetries">EXE!$B$53</definedName>
    <definedName name="Woodburnollypts">BTH!#REF!</definedName>
    <definedName name="woodburnollytries">BTH!#REF!</definedName>
    <definedName name="Woodburnworpts">WOR!#REF!</definedName>
    <definedName name="Woodburnwortries">WOR!#REF!</definedName>
    <definedName name="Woodglopts">GLO!#REF!</definedName>
    <definedName name="Woodglotries">GLO!#REF!</definedName>
    <definedName name="Woodtompts">NOR!#REF!</definedName>
    <definedName name="Woodtomptscorrect">NOR!$G$50</definedName>
    <definedName name="woodtomtries">NOR!#REF!</definedName>
    <definedName name="Woodtomtriescorrect">NOR!$B$50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GLO!$G$56</definedName>
    <definedName name="Woodwardglotries">GLO!$B$56</definedName>
    <definedName name="Woolfordnorpts">NOR!#REF!</definedName>
    <definedName name="Woolfordnortries">NOR!#REF!</definedName>
    <definedName name="Woolmoreexepts">EXE!#REF!</definedName>
    <definedName name="Woolmoreexetries">EXE!#REF!</definedName>
    <definedName name="Woolstencroftsarpts">SAR!$G$56</definedName>
    <definedName name="Woolstencroftsartries">SAR!$B$56</definedName>
    <definedName name="Woolstencroftwaspts">WAS!$G$60</definedName>
    <definedName name="Woolstencroftwastries">WAS!$B$60</definedName>
    <definedName name="woratt">WOR!#REF!</definedName>
    <definedName name="worcesterpentries">WOR!#REF!</definedName>
    <definedName name="worcesterpentriespts">WOR!$G$12</definedName>
    <definedName name="WorcesterPts">WOR!$G$59</definedName>
    <definedName name="WorcesterTries">WOR!$B$59</definedName>
    <definedName name="Worleynorpts">NOR!#REF!</definedName>
    <definedName name="Worleynortries">NOR!#REF!</definedName>
    <definedName name="worthleiatt">LEIC!$M$10</definedName>
    <definedName name="worthleigoals">LEIC!$L$10</definedName>
    <definedName name="Worthleipts">LEIC!$G$51</definedName>
    <definedName name="Worthleitries">LEIC!$B$51</definedName>
    <definedName name="Wrayjacksonpts">SAR!$G$57</definedName>
    <definedName name="Wrayjacksontries">SAR!$B$57</definedName>
    <definedName name="Wyattexepts">EXE!$G$54</definedName>
    <definedName name="Wyattexetries">EXE!$B$54</definedName>
    <definedName name="Wylespts">SAR!#REF!</definedName>
    <definedName name="wylestries">SAR!#REF!</definedName>
    <definedName name="Yappwaspts">WAS!#REF!</definedName>
    <definedName name="Yappwastries">WAS!#REF!</definedName>
    <definedName name="Yardeharpts">HAR!#REF!</definedName>
    <definedName name="Yardehartries">HAR!#REF!</definedName>
    <definedName name="Yardepts">BRI!#REF!</definedName>
    <definedName name="Yardesalpts">SAL!$G$51</definedName>
    <definedName name="Yardesaltries">SAL!$B$51</definedName>
    <definedName name="yardetries">BRI!#REF!</definedName>
    <definedName name="Yeandlejackpts">EXE!$G$56</definedName>
    <definedName name="Yeandlejacktries">EXE!$B$56</definedName>
    <definedName name="Yorkchrispts">LIR!#REF!</definedName>
    <definedName name="Yorkchristries">LIR!#REF!</definedName>
    <definedName name="Young_Gnewpts">LIR!#REF!</definedName>
    <definedName name="Young_Gnewtries">LIR!#REF!</definedName>
    <definedName name="Youngmickypts">BTH!#REF!</definedName>
    <definedName name="Youngmickytries">BTH!#REF!</definedName>
    <definedName name="youngsbatt">LEIC!$M$12</definedName>
    <definedName name="Youngsbenpts">LEIC!#REF!</definedName>
    <definedName name="Youngsbenptscorrect">LEIC!$G$52</definedName>
    <definedName name="youngsbentries">LEIC!$B$52</definedName>
    <definedName name="youngsbgoals">LEIC!$L$12</definedName>
    <definedName name="youngstompts">LEIC!$G$53</definedName>
    <definedName name="youngstomtries">LEIC!$B$53</definedName>
    <definedName name="Youngwaspts">WAS!$G$62</definedName>
    <definedName name="Youngwastries">WAS!$B$62</definedName>
    <definedName name="ZebrePts">[1]ZEB!$F$49</definedName>
    <definedName name="ZebreTries">[1]ZEB!$B$49</definedName>
    <definedName name="Zhvaniawaspts">WAS!$G$63</definedName>
    <definedName name="Zhvaniawastries">WAS!$B$63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" i="5" l="1"/>
  <c r="I129" i="7"/>
  <c r="H129" i="7"/>
  <c r="G129" i="7"/>
  <c r="J129" i="7"/>
  <c r="D129" i="7"/>
  <c r="C129" i="7"/>
  <c r="B129" i="7"/>
  <c r="J128" i="7"/>
  <c r="E128" i="7"/>
  <c r="J95" i="7"/>
  <c r="E92" i="7"/>
  <c r="J88" i="7"/>
  <c r="E85" i="7"/>
  <c r="J83" i="7"/>
  <c r="E81" i="7"/>
  <c r="J71" i="7"/>
  <c r="E68" i="7"/>
  <c r="J94" i="7"/>
  <c r="E91" i="7"/>
  <c r="J80" i="7"/>
  <c r="E77" i="7"/>
  <c r="J93" i="7"/>
  <c r="E90" i="7"/>
  <c r="J92" i="7"/>
  <c r="E89" i="7"/>
  <c r="J69" i="7"/>
  <c r="E70" i="7"/>
  <c r="J102" i="7"/>
  <c r="E99" i="7"/>
  <c r="J101" i="7"/>
  <c r="E98" i="7"/>
  <c r="J70" i="7"/>
  <c r="E127" i="7"/>
  <c r="J100" i="7"/>
  <c r="E97" i="7"/>
  <c r="J127" i="7"/>
  <c r="E126" i="7"/>
  <c r="J87" i="7"/>
  <c r="E84" i="7"/>
  <c r="J74" i="7"/>
  <c r="E125" i="7"/>
  <c r="J126" i="7"/>
  <c r="E124" i="7"/>
  <c r="J91" i="7"/>
  <c r="E88" i="7"/>
  <c r="J73" i="7"/>
  <c r="E71" i="7"/>
  <c r="J99" i="7"/>
  <c r="E96" i="7"/>
  <c r="J77" i="7"/>
  <c r="E80" i="7"/>
  <c r="J125" i="7"/>
  <c r="E123" i="7"/>
  <c r="J82" i="7"/>
  <c r="E79" i="7"/>
  <c r="J124" i="7"/>
  <c r="E122" i="7"/>
  <c r="J123" i="7"/>
  <c r="E121" i="7"/>
  <c r="J86" i="7"/>
  <c r="E83" i="7"/>
  <c r="J84" i="7"/>
  <c r="E120" i="7"/>
  <c r="J122" i="7"/>
  <c r="E119" i="7"/>
  <c r="J121" i="7"/>
  <c r="E118" i="7"/>
  <c r="J120" i="7"/>
  <c r="E117" i="7"/>
  <c r="J119" i="7"/>
  <c r="E116" i="7"/>
  <c r="J118" i="7"/>
  <c r="E115" i="7"/>
  <c r="J117" i="7"/>
  <c r="E114" i="7"/>
  <c r="J116" i="7"/>
  <c r="E113" i="7"/>
  <c r="J72" i="7"/>
  <c r="E69" i="7"/>
  <c r="J85" i="7"/>
  <c r="E82" i="7"/>
  <c r="J115" i="7"/>
  <c r="E112" i="7"/>
  <c r="J114" i="7"/>
  <c r="E111" i="7"/>
  <c r="J113" i="7"/>
  <c r="E110" i="7"/>
  <c r="J90" i="7"/>
  <c r="E87" i="7"/>
  <c r="J112" i="7"/>
  <c r="E109" i="7"/>
  <c r="J111" i="7"/>
  <c r="E108" i="7"/>
  <c r="J68" i="7"/>
  <c r="E76" i="7"/>
  <c r="J110" i="7"/>
  <c r="E107" i="7"/>
  <c r="J109" i="7"/>
  <c r="E106" i="7"/>
  <c r="J108" i="7"/>
  <c r="E105" i="7"/>
  <c r="J98" i="7"/>
  <c r="E95" i="7"/>
  <c r="J79" i="7"/>
  <c r="E75" i="7"/>
  <c r="J107" i="7"/>
  <c r="E104" i="7"/>
  <c r="J106" i="7"/>
  <c r="E103" i="7"/>
  <c r="J105" i="7"/>
  <c r="E102" i="7"/>
  <c r="J78" i="7"/>
  <c r="E74" i="7"/>
  <c r="J104" i="7"/>
  <c r="E101" i="7"/>
  <c r="J76" i="7"/>
  <c r="E73" i="7"/>
  <c r="J97" i="7"/>
  <c r="E94" i="7"/>
  <c r="J103" i="7"/>
  <c r="E100" i="7"/>
  <c r="J96" i="7"/>
  <c r="E93" i="7"/>
  <c r="J75" i="7"/>
  <c r="E72" i="7"/>
  <c r="J81" i="7"/>
  <c r="E78" i="7"/>
  <c r="J89" i="7"/>
  <c r="E86" i="7"/>
  <c r="I115" i="2"/>
  <c r="H115" i="2"/>
  <c r="G115" i="2"/>
  <c r="D115" i="2"/>
  <c r="C115" i="2"/>
  <c r="B115" i="2"/>
  <c r="J114" i="2"/>
  <c r="E114" i="2"/>
  <c r="J66" i="2"/>
  <c r="E64" i="2"/>
  <c r="J102" i="2"/>
  <c r="E100" i="2"/>
  <c r="J77" i="2"/>
  <c r="E75" i="2"/>
  <c r="J91" i="2"/>
  <c r="E89" i="2"/>
  <c r="J70" i="2"/>
  <c r="E68" i="2"/>
  <c r="J101" i="2"/>
  <c r="E99" i="2"/>
  <c r="J82" i="2"/>
  <c r="E81" i="2"/>
  <c r="J113" i="2"/>
  <c r="E113" i="2"/>
  <c r="J90" i="2"/>
  <c r="E88" i="2"/>
  <c r="J89" i="2"/>
  <c r="E87" i="2"/>
  <c r="J112" i="2"/>
  <c r="E112" i="2"/>
  <c r="J100" i="2"/>
  <c r="E98" i="2"/>
  <c r="J62" i="2"/>
  <c r="E111" i="2"/>
  <c r="J99" i="2"/>
  <c r="E97" i="2"/>
  <c r="J76" i="2"/>
  <c r="E74" i="2"/>
  <c r="J98" i="2"/>
  <c r="E96" i="2"/>
  <c r="J88" i="2"/>
  <c r="E110" i="2"/>
  <c r="J63" i="2"/>
  <c r="E61" i="2"/>
  <c r="J61" i="2"/>
  <c r="E73" i="2"/>
  <c r="J97" i="2"/>
  <c r="E95" i="2"/>
  <c r="J87" i="2"/>
  <c r="E86" i="2"/>
  <c r="J71" i="2"/>
  <c r="E80" i="2"/>
  <c r="J67" i="2"/>
  <c r="E65" i="2"/>
  <c r="J81" i="2"/>
  <c r="E79" i="2"/>
  <c r="J80" i="2"/>
  <c r="E78" i="2"/>
  <c r="J69" i="2"/>
  <c r="E67" i="2"/>
  <c r="J111" i="2"/>
  <c r="E109" i="2"/>
  <c r="J86" i="2"/>
  <c r="E85" i="2"/>
  <c r="J75" i="2"/>
  <c r="E72" i="2"/>
  <c r="J74" i="2"/>
  <c r="E71" i="2"/>
  <c r="J96" i="2"/>
  <c r="E94" i="2"/>
  <c r="J95" i="2"/>
  <c r="E93" i="2"/>
  <c r="J110" i="2"/>
  <c r="E108" i="2"/>
  <c r="J109" i="2"/>
  <c r="E107" i="2"/>
  <c r="J68" i="2"/>
  <c r="E66" i="2"/>
  <c r="J85" i="2"/>
  <c r="E84" i="2"/>
  <c r="J64" i="2"/>
  <c r="E62" i="2"/>
  <c r="J94" i="2"/>
  <c r="E92" i="2"/>
  <c r="J73" i="2"/>
  <c r="E70" i="2"/>
  <c r="J93" i="2"/>
  <c r="E91" i="2"/>
  <c r="J108" i="2"/>
  <c r="E106" i="2"/>
  <c r="J84" i="2"/>
  <c r="E83" i="2"/>
  <c r="J79" i="2"/>
  <c r="E77" i="2"/>
  <c r="J78" i="2"/>
  <c r="E76" i="2"/>
  <c r="J72" i="2"/>
  <c r="E69" i="2"/>
  <c r="J107" i="2"/>
  <c r="E105" i="2"/>
  <c r="J106" i="2"/>
  <c r="E104" i="2"/>
  <c r="J65" i="2"/>
  <c r="E63" i="2"/>
  <c r="J92" i="2"/>
  <c r="E90" i="2"/>
  <c r="J105" i="2"/>
  <c r="E103" i="2"/>
  <c r="J104" i="2"/>
  <c r="E102" i="2"/>
  <c r="J103" i="2"/>
  <c r="E101" i="2"/>
  <c r="J83" i="2"/>
  <c r="J115" i="2"/>
  <c r="E82" i="2"/>
  <c r="E129" i="7"/>
  <c r="E115" i="2"/>
  <c r="I125" i="6"/>
  <c r="H125" i="6"/>
  <c r="G125" i="6"/>
  <c r="D125" i="6"/>
  <c r="C125" i="6"/>
  <c r="B125" i="6"/>
  <c r="J124" i="6"/>
  <c r="E124" i="6"/>
  <c r="J83" i="6"/>
  <c r="E80" i="6"/>
  <c r="J82" i="6"/>
  <c r="E79" i="6"/>
  <c r="J123" i="6"/>
  <c r="E123" i="6"/>
  <c r="J102" i="6"/>
  <c r="E99" i="6"/>
  <c r="J75" i="6"/>
  <c r="E73" i="6"/>
  <c r="J101" i="6"/>
  <c r="E98" i="6"/>
  <c r="J69" i="6"/>
  <c r="E67" i="6"/>
  <c r="J122" i="6"/>
  <c r="E122" i="6"/>
  <c r="J121" i="6"/>
  <c r="E121" i="6"/>
  <c r="J66" i="6"/>
  <c r="E120" i="6"/>
  <c r="J78" i="6"/>
  <c r="E76" i="6"/>
  <c r="J88" i="6"/>
  <c r="E85" i="6"/>
  <c r="J87" i="6"/>
  <c r="E84" i="6"/>
  <c r="J74" i="6"/>
  <c r="E72" i="6"/>
  <c r="J90" i="6"/>
  <c r="E87" i="6"/>
  <c r="J100" i="6"/>
  <c r="E97" i="6"/>
  <c r="J86" i="6"/>
  <c r="E83" i="6"/>
  <c r="J120" i="6"/>
  <c r="E119" i="6"/>
  <c r="J89" i="6"/>
  <c r="E86" i="6"/>
  <c r="J76" i="6"/>
  <c r="E78" i="6"/>
  <c r="J71" i="6"/>
  <c r="E68" i="6"/>
  <c r="J119" i="6"/>
  <c r="E118" i="6"/>
  <c r="J68" i="6"/>
  <c r="E66" i="6"/>
  <c r="J99" i="6"/>
  <c r="E96" i="6"/>
  <c r="J67" i="6"/>
  <c r="E69" i="6"/>
  <c r="J81" i="6"/>
  <c r="E117" i="6"/>
  <c r="J98" i="6"/>
  <c r="E95" i="6"/>
  <c r="J118" i="6"/>
  <c r="E116" i="6"/>
  <c r="J70" i="6"/>
  <c r="E75" i="6"/>
  <c r="J80" i="6"/>
  <c r="E77" i="6"/>
  <c r="J117" i="6"/>
  <c r="E115" i="6"/>
  <c r="J116" i="6"/>
  <c r="E114" i="6"/>
  <c r="J115" i="6"/>
  <c r="E113" i="6"/>
  <c r="J114" i="6"/>
  <c r="E112" i="6"/>
  <c r="J113" i="6"/>
  <c r="E111" i="6"/>
  <c r="J112" i="6"/>
  <c r="E110" i="6"/>
  <c r="J111" i="6"/>
  <c r="E109" i="6"/>
  <c r="J77" i="6"/>
  <c r="E74" i="6"/>
  <c r="J85" i="6"/>
  <c r="E82" i="6"/>
  <c r="J97" i="6"/>
  <c r="E94" i="6"/>
  <c r="J96" i="6"/>
  <c r="E93" i="6"/>
  <c r="J110" i="6"/>
  <c r="E108" i="6"/>
  <c r="J84" i="6"/>
  <c r="E81" i="6"/>
  <c r="J109" i="6"/>
  <c r="E107" i="6"/>
  <c r="J108" i="6"/>
  <c r="E106" i="6"/>
  <c r="J79" i="6"/>
  <c r="E105" i="6"/>
  <c r="J73" i="6"/>
  <c r="E71" i="6"/>
  <c r="J107" i="6"/>
  <c r="E104" i="6"/>
  <c r="J106" i="6"/>
  <c r="E103" i="6"/>
  <c r="J105" i="6"/>
  <c r="E102" i="6"/>
  <c r="J104" i="6"/>
  <c r="E101" i="6"/>
  <c r="J72" i="6"/>
  <c r="E70" i="6"/>
  <c r="J95" i="6"/>
  <c r="E92" i="6"/>
  <c r="J94" i="6"/>
  <c r="E91" i="6"/>
  <c r="J103" i="6"/>
  <c r="E100" i="6"/>
  <c r="J93" i="6"/>
  <c r="E90" i="6"/>
  <c r="J92" i="6"/>
  <c r="E89" i="6"/>
  <c r="J91" i="6"/>
  <c r="E88" i="6"/>
  <c r="J125" i="6"/>
  <c r="E125" i="6"/>
  <c r="C492" i="13"/>
  <c r="I119" i="12"/>
  <c r="H119" i="12"/>
  <c r="G119" i="12"/>
  <c r="J119" i="12"/>
  <c r="D119" i="12"/>
  <c r="C119" i="12"/>
  <c r="B119" i="12"/>
  <c r="J118" i="12"/>
  <c r="E118" i="12"/>
  <c r="J63" i="12"/>
  <c r="E96" i="12"/>
  <c r="J117" i="12"/>
  <c r="E117" i="12"/>
  <c r="J96" i="12"/>
  <c r="E95" i="12"/>
  <c r="J116" i="12"/>
  <c r="E116" i="12"/>
  <c r="J77" i="12"/>
  <c r="E80" i="12"/>
  <c r="J115" i="12"/>
  <c r="E115" i="12"/>
  <c r="J114" i="12"/>
  <c r="E114" i="12"/>
  <c r="J95" i="12"/>
  <c r="E94" i="12"/>
  <c r="J64" i="12"/>
  <c r="E64" i="12"/>
  <c r="J70" i="12"/>
  <c r="E93" i="12"/>
  <c r="J113" i="12"/>
  <c r="E113" i="12"/>
  <c r="J112" i="12"/>
  <c r="E112" i="12"/>
  <c r="J111" i="12"/>
  <c r="E111" i="12"/>
  <c r="J110" i="12"/>
  <c r="E110" i="12"/>
  <c r="J109" i="12"/>
  <c r="E109" i="12"/>
  <c r="J78" i="12"/>
  <c r="E79" i="12"/>
  <c r="J94" i="12"/>
  <c r="E92" i="12"/>
  <c r="J76" i="12"/>
  <c r="E73" i="12"/>
  <c r="J83" i="12"/>
  <c r="E78" i="12"/>
  <c r="J93" i="12"/>
  <c r="E91" i="12"/>
  <c r="J92" i="12"/>
  <c r="E90" i="12"/>
  <c r="J91" i="12"/>
  <c r="E89" i="12"/>
  <c r="J90" i="12"/>
  <c r="E88" i="12"/>
  <c r="J82" i="12"/>
  <c r="E77" i="12"/>
  <c r="J108" i="12"/>
  <c r="E108" i="12"/>
  <c r="J75" i="12"/>
  <c r="E72" i="12"/>
  <c r="J107" i="12"/>
  <c r="E107" i="12"/>
  <c r="J65" i="12"/>
  <c r="E63" i="12"/>
  <c r="J66" i="12"/>
  <c r="E87" i="12"/>
  <c r="J81" i="12"/>
  <c r="E76" i="12"/>
  <c r="J106" i="12"/>
  <c r="E106" i="12"/>
  <c r="J68" i="12"/>
  <c r="E66" i="12"/>
  <c r="J69" i="12"/>
  <c r="E67" i="12"/>
  <c r="J67" i="12"/>
  <c r="E65" i="12"/>
  <c r="J74" i="12"/>
  <c r="E71" i="12"/>
  <c r="J73" i="12"/>
  <c r="E70" i="12"/>
  <c r="J89" i="12"/>
  <c r="E86" i="12"/>
  <c r="J88" i="12"/>
  <c r="E85" i="12"/>
  <c r="J105" i="12"/>
  <c r="E105" i="12"/>
  <c r="J80" i="12"/>
  <c r="E75" i="12"/>
  <c r="J104" i="12"/>
  <c r="E104" i="12"/>
  <c r="J79" i="12"/>
  <c r="E74" i="12"/>
  <c r="J72" i="12"/>
  <c r="E69" i="12"/>
  <c r="J87" i="12"/>
  <c r="E84" i="12"/>
  <c r="J86" i="12"/>
  <c r="E83" i="12"/>
  <c r="J85" i="12"/>
  <c r="E82" i="12"/>
  <c r="J103" i="12"/>
  <c r="E103" i="12"/>
  <c r="J102" i="12"/>
  <c r="E102" i="12"/>
  <c r="J101" i="12"/>
  <c r="E101" i="12"/>
  <c r="J71" i="12"/>
  <c r="E68" i="12"/>
  <c r="J100" i="12"/>
  <c r="E100" i="12"/>
  <c r="J99" i="12"/>
  <c r="E99" i="12"/>
  <c r="J98" i="12"/>
  <c r="E98" i="12"/>
  <c r="J84" i="12"/>
  <c r="E81" i="12"/>
  <c r="J97" i="12"/>
  <c r="E97" i="12"/>
  <c r="J40" i="12"/>
  <c r="E40" i="12"/>
  <c r="I115" i="3"/>
  <c r="H115" i="3"/>
  <c r="G115" i="3"/>
  <c r="E115" i="3"/>
  <c r="D115" i="3"/>
  <c r="C115" i="3"/>
  <c r="B115" i="3"/>
  <c r="J77" i="3"/>
  <c r="E76" i="3"/>
  <c r="J83" i="3"/>
  <c r="E114" i="3"/>
  <c r="J94" i="3"/>
  <c r="E92" i="3"/>
  <c r="J72" i="3"/>
  <c r="E70" i="3"/>
  <c r="J61" i="3"/>
  <c r="E75" i="3"/>
  <c r="J114" i="3"/>
  <c r="E113" i="3"/>
  <c r="J63" i="3"/>
  <c r="E62" i="3"/>
  <c r="J93" i="3"/>
  <c r="E91" i="3"/>
  <c r="J92" i="3"/>
  <c r="E90" i="3"/>
  <c r="J113" i="3"/>
  <c r="E112" i="3"/>
  <c r="J66" i="3"/>
  <c r="E63" i="3"/>
  <c r="J112" i="3"/>
  <c r="E111" i="3"/>
  <c r="J91" i="3"/>
  <c r="E89" i="3"/>
  <c r="J111" i="3"/>
  <c r="E110" i="3"/>
  <c r="J110" i="3"/>
  <c r="E109" i="3"/>
  <c r="J62" i="3"/>
  <c r="E61" i="3"/>
  <c r="J109" i="3"/>
  <c r="E108" i="3"/>
  <c r="J108" i="3"/>
  <c r="E107" i="3"/>
  <c r="J76" i="3"/>
  <c r="E74" i="3"/>
  <c r="J107" i="3"/>
  <c r="E106" i="3"/>
  <c r="J71" i="3"/>
  <c r="E69" i="3"/>
  <c r="J106" i="3"/>
  <c r="E105" i="3"/>
  <c r="J90" i="3"/>
  <c r="E88" i="3"/>
  <c r="J75" i="3"/>
  <c r="E73" i="3"/>
  <c r="J105" i="3"/>
  <c r="E104" i="3"/>
  <c r="J67" i="3"/>
  <c r="E64" i="3"/>
  <c r="J104" i="3"/>
  <c r="E103" i="3"/>
  <c r="J82" i="3"/>
  <c r="E81" i="3"/>
  <c r="J89" i="3"/>
  <c r="E87" i="3"/>
  <c r="J103" i="3"/>
  <c r="E102" i="3"/>
  <c r="J102" i="3"/>
  <c r="E101" i="3"/>
  <c r="J81" i="3"/>
  <c r="E80" i="3"/>
  <c r="J88" i="3"/>
  <c r="E86" i="3"/>
  <c r="J68" i="3"/>
  <c r="E66" i="3"/>
  <c r="J101" i="3"/>
  <c r="E100" i="3"/>
  <c r="J87" i="3"/>
  <c r="E85" i="3"/>
  <c r="J70" i="3"/>
  <c r="E68" i="3"/>
  <c r="J86" i="3"/>
  <c r="E84" i="3"/>
  <c r="J100" i="3"/>
  <c r="E99" i="3"/>
  <c r="J64" i="3"/>
  <c r="E65" i="3"/>
  <c r="J99" i="3"/>
  <c r="E98" i="3"/>
  <c r="J98" i="3"/>
  <c r="E97" i="3"/>
  <c r="J97" i="3"/>
  <c r="E96" i="3"/>
  <c r="J96" i="3"/>
  <c r="E95" i="3"/>
  <c r="J80" i="3"/>
  <c r="E79" i="3"/>
  <c r="J65" i="3"/>
  <c r="E94" i="3"/>
  <c r="J79" i="3"/>
  <c r="E78" i="3"/>
  <c r="J85" i="3"/>
  <c r="E83" i="3"/>
  <c r="J95" i="3"/>
  <c r="E93" i="3"/>
  <c r="J69" i="3"/>
  <c r="E67" i="3"/>
  <c r="J78" i="3"/>
  <c r="E77" i="3"/>
  <c r="J74" i="3"/>
  <c r="E72" i="3"/>
  <c r="J84" i="3"/>
  <c r="E82" i="3"/>
  <c r="J73" i="3"/>
  <c r="E71" i="3"/>
  <c r="F278" i="13"/>
  <c r="F152" i="13"/>
  <c r="C118" i="13"/>
  <c r="F217" i="13"/>
  <c r="C181" i="13"/>
  <c r="C197" i="13"/>
  <c r="Q9" i="2"/>
  <c r="Q11" i="6"/>
  <c r="E119" i="12"/>
  <c r="J115" i="3"/>
  <c r="AE20" i="12"/>
  <c r="F294" i="13"/>
  <c r="C270" i="13"/>
  <c r="J42" i="2"/>
  <c r="E42" i="2"/>
  <c r="F192" i="13"/>
  <c r="C166" i="13"/>
  <c r="J56" i="7"/>
  <c r="E56" i="7"/>
  <c r="I115" i="1"/>
  <c r="H115" i="1"/>
  <c r="G115" i="1"/>
  <c r="J115" i="1"/>
  <c r="D115" i="1"/>
  <c r="C115" i="1"/>
  <c r="B115" i="1"/>
  <c r="J91" i="1"/>
  <c r="E90" i="1"/>
  <c r="J114" i="1"/>
  <c r="E114" i="1"/>
  <c r="J113" i="1"/>
  <c r="E113" i="1"/>
  <c r="J90" i="1"/>
  <c r="E89" i="1"/>
  <c r="J89" i="1"/>
  <c r="E88" i="1"/>
  <c r="J65" i="1"/>
  <c r="E63" i="1"/>
  <c r="J112" i="1"/>
  <c r="E112" i="1"/>
  <c r="J111" i="1"/>
  <c r="E111" i="1"/>
  <c r="J110" i="1"/>
  <c r="E110" i="1"/>
  <c r="J109" i="1"/>
  <c r="E109" i="1"/>
  <c r="J108" i="1"/>
  <c r="E108" i="1"/>
  <c r="J77" i="1"/>
  <c r="E74" i="1"/>
  <c r="J70" i="1"/>
  <c r="E68" i="1"/>
  <c r="J107" i="1"/>
  <c r="E107" i="1"/>
  <c r="J66" i="1"/>
  <c r="E65" i="1"/>
  <c r="J88" i="1"/>
  <c r="E87" i="1"/>
  <c r="J106" i="1"/>
  <c r="E106" i="1"/>
  <c r="J61" i="1"/>
  <c r="E86" i="1"/>
  <c r="J105" i="1"/>
  <c r="E105" i="1"/>
  <c r="J78" i="1"/>
  <c r="E77" i="1"/>
  <c r="J76" i="1"/>
  <c r="E73" i="1"/>
  <c r="J104" i="1"/>
  <c r="E104" i="1"/>
  <c r="J67" i="1"/>
  <c r="E64" i="1"/>
  <c r="J87" i="1"/>
  <c r="E85" i="1"/>
  <c r="J62" i="1"/>
  <c r="E61" i="1"/>
  <c r="J86" i="1"/>
  <c r="E84" i="1"/>
  <c r="J71" i="1"/>
  <c r="E83" i="1"/>
  <c r="J69" i="1"/>
  <c r="E67" i="1"/>
  <c r="J75" i="1"/>
  <c r="E72" i="1"/>
  <c r="J80" i="1"/>
  <c r="E76" i="1"/>
  <c r="J103" i="1"/>
  <c r="E103" i="1"/>
  <c r="J102" i="1"/>
  <c r="E102" i="1"/>
  <c r="J101" i="1"/>
  <c r="E101" i="1"/>
  <c r="J100" i="1"/>
  <c r="E100" i="1"/>
  <c r="J99" i="1"/>
  <c r="E99" i="1"/>
  <c r="J85" i="1"/>
  <c r="E82" i="1"/>
  <c r="J64" i="1"/>
  <c r="E62" i="1"/>
  <c r="J98" i="1"/>
  <c r="E98" i="1"/>
  <c r="J74" i="1"/>
  <c r="E71" i="1"/>
  <c r="J73" i="1"/>
  <c r="E70" i="1"/>
  <c r="J81" i="1"/>
  <c r="E97" i="1"/>
  <c r="J84" i="1"/>
  <c r="E81" i="1"/>
  <c r="J97" i="1"/>
  <c r="E96" i="1"/>
  <c r="J96" i="1"/>
  <c r="E95" i="1"/>
  <c r="J68" i="1"/>
  <c r="E66" i="1"/>
  <c r="J95" i="1"/>
  <c r="E94" i="1"/>
  <c r="J94" i="1"/>
  <c r="E93" i="1"/>
  <c r="J63" i="1"/>
  <c r="E80" i="1"/>
  <c r="J83" i="1"/>
  <c r="E79" i="1"/>
  <c r="J72" i="1"/>
  <c r="E69" i="1"/>
  <c r="J82" i="1"/>
  <c r="E78" i="1"/>
  <c r="J79" i="1"/>
  <c r="E75" i="1"/>
  <c r="J93" i="1"/>
  <c r="E92" i="1"/>
  <c r="J92" i="1"/>
  <c r="E91" i="1"/>
  <c r="I117" i="11"/>
  <c r="H117" i="11"/>
  <c r="G117" i="11"/>
  <c r="D117" i="11"/>
  <c r="C117" i="11"/>
  <c r="B117" i="11"/>
  <c r="J98" i="11"/>
  <c r="E97" i="11"/>
  <c r="J82" i="11"/>
  <c r="E76" i="11"/>
  <c r="J116" i="11"/>
  <c r="E116" i="11"/>
  <c r="J99" i="11"/>
  <c r="E115" i="11"/>
  <c r="J115" i="11"/>
  <c r="E114" i="11"/>
  <c r="J67" i="11"/>
  <c r="E85" i="11"/>
  <c r="J81" i="11"/>
  <c r="E75" i="11"/>
  <c r="J62" i="11"/>
  <c r="E84" i="11"/>
  <c r="J77" i="11"/>
  <c r="E69" i="11"/>
  <c r="J97" i="11"/>
  <c r="E96" i="11"/>
  <c r="J96" i="11"/>
  <c r="E95" i="11"/>
  <c r="J68" i="11"/>
  <c r="E63" i="11"/>
  <c r="J114" i="11"/>
  <c r="E113" i="11"/>
  <c r="J113" i="11"/>
  <c r="E112" i="11"/>
  <c r="J112" i="11"/>
  <c r="E111" i="11"/>
  <c r="J95" i="11"/>
  <c r="E94" i="11"/>
  <c r="J94" i="11"/>
  <c r="E93" i="11"/>
  <c r="J111" i="11"/>
  <c r="E110" i="11"/>
  <c r="J65" i="11"/>
  <c r="E74" i="11"/>
  <c r="J110" i="11"/>
  <c r="E109" i="11"/>
  <c r="J87" i="11"/>
  <c r="E83" i="11"/>
  <c r="J64" i="11"/>
  <c r="E62" i="11"/>
  <c r="J109" i="11"/>
  <c r="E108" i="11"/>
  <c r="J108" i="11"/>
  <c r="E107" i="11"/>
  <c r="J74" i="11"/>
  <c r="E73" i="11"/>
  <c r="J86" i="11"/>
  <c r="E82" i="11"/>
  <c r="J80" i="11"/>
  <c r="E72" i="11"/>
  <c r="J85" i="11"/>
  <c r="E81" i="11"/>
  <c r="J76" i="11"/>
  <c r="E68" i="11"/>
  <c r="J73" i="11"/>
  <c r="E80" i="11"/>
  <c r="J70" i="11"/>
  <c r="E65" i="11"/>
  <c r="J93" i="11"/>
  <c r="E92" i="11"/>
  <c r="J107" i="11"/>
  <c r="E106" i="11"/>
  <c r="J106" i="11"/>
  <c r="E105" i="11"/>
  <c r="J105" i="11"/>
  <c r="E104" i="11"/>
  <c r="J104" i="11"/>
  <c r="E103" i="11"/>
  <c r="J103" i="11"/>
  <c r="E102" i="11"/>
  <c r="J75" i="11"/>
  <c r="E67" i="11"/>
  <c r="J92" i="11"/>
  <c r="E91" i="11"/>
  <c r="J91" i="11"/>
  <c r="E90" i="11"/>
  <c r="J66" i="11"/>
  <c r="E89" i="11"/>
  <c r="J84" i="11"/>
  <c r="E79" i="11"/>
  <c r="J83" i="11"/>
  <c r="E78" i="11"/>
  <c r="J102" i="11"/>
  <c r="E101" i="11"/>
  <c r="J63" i="11"/>
  <c r="E100" i="11"/>
  <c r="J69" i="11"/>
  <c r="E64" i="11"/>
  <c r="J90" i="11"/>
  <c r="E88" i="11"/>
  <c r="J71" i="11"/>
  <c r="E77" i="11"/>
  <c r="J79" i="11"/>
  <c r="E71" i="11"/>
  <c r="J101" i="11"/>
  <c r="E99" i="11"/>
  <c r="J89" i="11"/>
  <c r="E87" i="11"/>
  <c r="J88" i="11"/>
  <c r="E86" i="11"/>
  <c r="J78" i="11"/>
  <c r="E70" i="11"/>
  <c r="J72" i="11"/>
  <c r="E66" i="11"/>
  <c r="J100" i="11"/>
  <c r="E98" i="11"/>
  <c r="E117" i="11"/>
  <c r="I105" i="8"/>
  <c r="H105" i="8"/>
  <c r="G105" i="8"/>
  <c r="E105" i="8"/>
  <c r="D105" i="8"/>
  <c r="C105" i="8"/>
  <c r="B105" i="8"/>
  <c r="J75" i="8"/>
  <c r="E73" i="8"/>
  <c r="J94" i="8"/>
  <c r="E92" i="8"/>
  <c r="J93" i="8"/>
  <c r="E91" i="8"/>
  <c r="J92" i="8"/>
  <c r="E90" i="8"/>
  <c r="J59" i="8"/>
  <c r="E57" i="8"/>
  <c r="J91" i="8"/>
  <c r="E89" i="8"/>
  <c r="J66" i="8"/>
  <c r="E64" i="8"/>
  <c r="J104" i="8"/>
  <c r="E104" i="8"/>
  <c r="J62" i="8"/>
  <c r="E60" i="8"/>
  <c r="J74" i="8"/>
  <c r="E72" i="8"/>
  <c r="J90" i="8"/>
  <c r="E88" i="8"/>
  <c r="J95" i="8"/>
  <c r="E103" i="8"/>
  <c r="J73" i="8"/>
  <c r="E71" i="8"/>
  <c r="J89" i="8"/>
  <c r="E87" i="8"/>
  <c r="J88" i="8"/>
  <c r="E86" i="8"/>
  <c r="J72" i="8"/>
  <c r="E70" i="8"/>
  <c r="J56" i="8"/>
  <c r="E102" i="8"/>
  <c r="J61" i="8"/>
  <c r="E59" i="8"/>
  <c r="J71" i="8"/>
  <c r="E69" i="8"/>
  <c r="J70" i="8"/>
  <c r="E68" i="8"/>
  <c r="J69" i="8"/>
  <c r="E67" i="8"/>
  <c r="J87" i="8"/>
  <c r="E85" i="8"/>
  <c r="J103" i="8"/>
  <c r="E101" i="8"/>
  <c r="J60" i="8"/>
  <c r="E58" i="8"/>
  <c r="J57" i="8"/>
  <c r="E84" i="8"/>
  <c r="J102" i="8"/>
  <c r="E100" i="8"/>
  <c r="J65" i="8"/>
  <c r="E63" i="8"/>
  <c r="J86" i="8"/>
  <c r="E83" i="8"/>
  <c r="J85" i="8"/>
  <c r="E82" i="8"/>
  <c r="J58" i="8"/>
  <c r="E56" i="8"/>
  <c r="J84" i="8"/>
  <c r="E81" i="8"/>
  <c r="J101" i="8"/>
  <c r="E99" i="8"/>
  <c r="J83" i="8"/>
  <c r="E80" i="8"/>
  <c r="J64" i="8"/>
  <c r="E62" i="8"/>
  <c r="J82" i="8"/>
  <c r="E79" i="8"/>
  <c r="J100" i="8"/>
  <c r="E98" i="8"/>
  <c r="J81" i="8"/>
  <c r="E78" i="8"/>
  <c r="J63" i="8"/>
  <c r="E61" i="8"/>
  <c r="J80" i="8"/>
  <c r="E77" i="8"/>
  <c r="J68" i="8"/>
  <c r="E66" i="8"/>
  <c r="J79" i="8"/>
  <c r="E76" i="8"/>
  <c r="J78" i="8"/>
  <c r="E75" i="8"/>
  <c r="J99" i="8"/>
  <c r="E97" i="8"/>
  <c r="J98" i="8"/>
  <c r="E96" i="8"/>
  <c r="J77" i="8"/>
  <c r="E74" i="8"/>
  <c r="J67" i="8"/>
  <c r="E65" i="8"/>
  <c r="J97" i="8"/>
  <c r="E95" i="8"/>
  <c r="J96" i="8"/>
  <c r="E94" i="8"/>
  <c r="J76" i="8"/>
  <c r="J105" i="8"/>
  <c r="E93" i="8"/>
  <c r="Q7" i="4"/>
  <c r="I117" i="4"/>
  <c r="H117" i="4"/>
  <c r="G117" i="4"/>
  <c r="D117" i="4"/>
  <c r="C117" i="4"/>
  <c r="B117" i="4"/>
  <c r="J91" i="4"/>
  <c r="E91" i="4"/>
  <c r="J116" i="4"/>
  <c r="E116" i="4"/>
  <c r="J115" i="4"/>
  <c r="E115" i="4"/>
  <c r="J114" i="4"/>
  <c r="E114" i="4"/>
  <c r="J113" i="4"/>
  <c r="E113" i="4"/>
  <c r="J112" i="4"/>
  <c r="E112" i="4"/>
  <c r="J111" i="4"/>
  <c r="E111" i="4"/>
  <c r="J90" i="4"/>
  <c r="E90" i="4"/>
  <c r="J110" i="4"/>
  <c r="E110" i="4"/>
  <c r="J76" i="4"/>
  <c r="E75" i="4"/>
  <c r="J62" i="4"/>
  <c r="E64" i="4"/>
  <c r="J89" i="4"/>
  <c r="E89" i="4"/>
  <c r="J109" i="4"/>
  <c r="E109" i="4"/>
  <c r="J75" i="4"/>
  <c r="E74" i="4"/>
  <c r="J77" i="4"/>
  <c r="E80" i="4"/>
  <c r="J88" i="4"/>
  <c r="E88" i="4"/>
  <c r="J66" i="4"/>
  <c r="E65" i="4"/>
  <c r="J87" i="4"/>
  <c r="E87" i="4"/>
  <c r="J73" i="4"/>
  <c r="E72" i="4"/>
  <c r="J108" i="4"/>
  <c r="E108" i="4"/>
  <c r="J107" i="4"/>
  <c r="E107" i="4"/>
  <c r="J72" i="4"/>
  <c r="E71" i="4"/>
  <c r="J106" i="4"/>
  <c r="E106" i="4"/>
  <c r="J81" i="4"/>
  <c r="E79" i="4"/>
  <c r="J86" i="4"/>
  <c r="E86" i="4"/>
  <c r="J69" i="4"/>
  <c r="E67" i="4"/>
  <c r="J67" i="4"/>
  <c r="E70" i="4"/>
  <c r="J74" i="4"/>
  <c r="E73" i="4"/>
  <c r="J105" i="4"/>
  <c r="E105" i="4"/>
  <c r="J104" i="4"/>
  <c r="E104" i="4"/>
  <c r="J103" i="4"/>
  <c r="E103" i="4"/>
  <c r="J102" i="4"/>
  <c r="E102" i="4"/>
  <c r="J65" i="4"/>
  <c r="E63" i="4"/>
  <c r="J101" i="4"/>
  <c r="E101" i="4"/>
  <c r="J100" i="4"/>
  <c r="E100" i="4"/>
  <c r="J64" i="4"/>
  <c r="E85" i="4"/>
  <c r="J99" i="4"/>
  <c r="E99" i="4"/>
  <c r="J68" i="4"/>
  <c r="E66" i="4"/>
  <c r="J85" i="4"/>
  <c r="E84" i="4"/>
  <c r="J63" i="4"/>
  <c r="E62" i="4"/>
  <c r="J98" i="4"/>
  <c r="E98" i="4"/>
  <c r="J97" i="4"/>
  <c r="E97" i="4"/>
  <c r="J96" i="4"/>
  <c r="E96" i="4"/>
  <c r="J80" i="4"/>
  <c r="E78" i="4"/>
  <c r="J71" i="4"/>
  <c r="E69" i="4"/>
  <c r="J95" i="4"/>
  <c r="E95" i="4"/>
  <c r="J84" i="4"/>
  <c r="E83" i="4"/>
  <c r="J83" i="4"/>
  <c r="E82" i="4"/>
  <c r="J94" i="4"/>
  <c r="E94" i="4"/>
  <c r="J79" i="4"/>
  <c r="E77" i="4"/>
  <c r="J93" i="4"/>
  <c r="E93" i="4"/>
  <c r="J82" i="4"/>
  <c r="E81" i="4"/>
  <c r="J70" i="4"/>
  <c r="E68" i="4"/>
  <c r="J92" i="4"/>
  <c r="E92" i="4"/>
  <c r="J78" i="4"/>
  <c r="E76" i="4"/>
  <c r="I109" i="5"/>
  <c r="H109" i="5"/>
  <c r="G109" i="5"/>
  <c r="J109" i="5"/>
  <c r="E109" i="5"/>
  <c r="D109" i="5"/>
  <c r="C109" i="5"/>
  <c r="B109" i="5"/>
  <c r="J80" i="5"/>
  <c r="E76" i="5"/>
  <c r="J94" i="5"/>
  <c r="E92" i="5"/>
  <c r="J93" i="5"/>
  <c r="E91" i="5"/>
  <c r="J92" i="5"/>
  <c r="E90" i="5"/>
  <c r="J64" i="5"/>
  <c r="E60" i="5"/>
  <c r="J108" i="5"/>
  <c r="E108" i="5"/>
  <c r="J91" i="5"/>
  <c r="E89" i="5"/>
  <c r="J68" i="5"/>
  <c r="E64" i="5"/>
  <c r="J90" i="5"/>
  <c r="E88" i="5"/>
  <c r="J107" i="5"/>
  <c r="E107" i="5"/>
  <c r="J106" i="5"/>
  <c r="E106" i="5"/>
  <c r="J79" i="5"/>
  <c r="E75" i="5"/>
  <c r="J78" i="5"/>
  <c r="E74" i="5"/>
  <c r="J67" i="5"/>
  <c r="E63" i="5"/>
  <c r="J69" i="5"/>
  <c r="E73" i="5"/>
  <c r="J89" i="5"/>
  <c r="E87" i="5"/>
  <c r="J105" i="5"/>
  <c r="E105" i="5"/>
  <c r="J104" i="5"/>
  <c r="E104" i="5"/>
  <c r="J88" i="5"/>
  <c r="E86" i="5"/>
  <c r="J77" i="5"/>
  <c r="E72" i="5"/>
  <c r="J60" i="5"/>
  <c r="E61" i="5"/>
  <c r="J81" i="5"/>
  <c r="E85" i="5"/>
  <c r="J76" i="5"/>
  <c r="E71" i="5"/>
  <c r="J66" i="5"/>
  <c r="E62" i="5"/>
  <c r="J75" i="5"/>
  <c r="E70" i="5"/>
  <c r="J65" i="5"/>
  <c r="E84" i="5"/>
  <c r="J63" i="5"/>
  <c r="E59" i="5"/>
  <c r="J87" i="5"/>
  <c r="E83" i="5"/>
  <c r="J74" i="5"/>
  <c r="E69" i="5"/>
  <c r="J86" i="5"/>
  <c r="E82" i="5"/>
  <c r="J73" i="5"/>
  <c r="E68" i="5"/>
  <c r="J103" i="5"/>
  <c r="E103" i="5"/>
  <c r="J61" i="5"/>
  <c r="E58" i="5"/>
  <c r="J62" i="5"/>
  <c r="E102" i="5"/>
  <c r="J72" i="5"/>
  <c r="E67" i="5"/>
  <c r="J59" i="5"/>
  <c r="E101" i="5"/>
  <c r="J102" i="5"/>
  <c r="E100" i="5"/>
  <c r="J85" i="5"/>
  <c r="E81" i="5"/>
  <c r="J71" i="5"/>
  <c r="E66" i="5"/>
  <c r="J101" i="5"/>
  <c r="E99" i="5"/>
  <c r="J58" i="5"/>
  <c r="E80" i="5"/>
  <c r="J100" i="5"/>
  <c r="E98" i="5"/>
  <c r="J99" i="5"/>
  <c r="E97" i="5"/>
  <c r="J98" i="5"/>
  <c r="E96" i="5"/>
  <c r="J70" i="5"/>
  <c r="E65" i="5"/>
  <c r="J84" i="5"/>
  <c r="E79" i="5"/>
  <c r="J97" i="5"/>
  <c r="E95" i="5"/>
  <c r="J96" i="5"/>
  <c r="E94" i="5"/>
  <c r="J83" i="5"/>
  <c r="E78" i="5"/>
  <c r="J82" i="5"/>
  <c r="E77" i="5"/>
  <c r="J95" i="5"/>
  <c r="E93" i="5"/>
  <c r="F289" i="13"/>
  <c r="C264" i="13"/>
  <c r="J35" i="5"/>
  <c r="E35" i="5"/>
  <c r="E115" i="1"/>
  <c r="J117" i="11"/>
  <c r="J117" i="4"/>
  <c r="E117" i="4"/>
  <c r="AE32" i="11"/>
  <c r="AE31" i="11"/>
  <c r="AE17" i="11"/>
  <c r="Q10" i="11"/>
  <c r="N4" i="8"/>
  <c r="N6" i="8"/>
  <c r="F224" i="13"/>
  <c r="C188" i="13"/>
  <c r="J8" i="6"/>
  <c r="E8" i="6"/>
  <c r="Q5" i="10"/>
  <c r="I105" i="10"/>
  <c r="H105" i="10"/>
  <c r="G105" i="10"/>
  <c r="D105" i="10"/>
  <c r="C105" i="10"/>
  <c r="B105" i="10"/>
  <c r="J65" i="10"/>
  <c r="E63" i="10"/>
  <c r="J79" i="10"/>
  <c r="E104" i="10"/>
  <c r="J104" i="10"/>
  <c r="E103" i="10"/>
  <c r="J77" i="10"/>
  <c r="E76" i="10"/>
  <c r="J59" i="10"/>
  <c r="E57" i="10"/>
  <c r="J64" i="10"/>
  <c r="E62" i="10"/>
  <c r="J87" i="10"/>
  <c r="E85" i="10"/>
  <c r="J103" i="10"/>
  <c r="E102" i="10"/>
  <c r="J61" i="10"/>
  <c r="E59" i="10"/>
  <c r="J76" i="10"/>
  <c r="E75" i="10"/>
  <c r="J86" i="10"/>
  <c r="E84" i="10"/>
  <c r="J102" i="10"/>
  <c r="E101" i="10"/>
  <c r="J101" i="10"/>
  <c r="E100" i="10"/>
  <c r="J85" i="10"/>
  <c r="E83" i="10"/>
  <c r="J100" i="10"/>
  <c r="E99" i="10"/>
  <c r="J69" i="10"/>
  <c r="E68" i="10"/>
  <c r="J99" i="10"/>
  <c r="E98" i="10"/>
  <c r="J75" i="10"/>
  <c r="E74" i="10"/>
  <c r="J98" i="10"/>
  <c r="E97" i="10"/>
  <c r="J97" i="10"/>
  <c r="E96" i="10"/>
  <c r="J96" i="10"/>
  <c r="E95" i="10"/>
  <c r="J84" i="10"/>
  <c r="E82" i="10"/>
  <c r="J74" i="10"/>
  <c r="E73" i="10"/>
  <c r="J63" i="10"/>
  <c r="E61" i="10"/>
  <c r="J57" i="10"/>
  <c r="E81" i="10"/>
  <c r="J95" i="10"/>
  <c r="E94" i="10"/>
  <c r="J73" i="10"/>
  <c r="E72" i="10"/>
  <c r="J94" i="10"/>
  <c r="E93" i="10"/>
  <c r="J93" i="10"/>
  <c r="E92" i="10"/>
  <c r="J92" i="10"/>
  <c r="E91" i="10"/>
  <c r="J91" i="10"/>
  <c r="E90" i="10"/>
  <c r="J67" i="10"/>
  <c r="E65" i="10"/>
  <c r="J60" i="10"/>
  <c r="E58" i="10"/>
  <c r="J90" i="10"/>
  <c r="E89" i="10"/>
  <c r="J66" i="10"/>
  <c r="E64" i="10"/>
  <c r="J89" i="10"/>
  <c r="E88" i="10"/>
  <c r="J72" i="10"/>
  <c r="E71" i="10"/>
  <c r="J56" i="10"/>
  <c r="E67" i="10"/>
  <c r="J71" i="10"/>
  <c r="E70" i="10"/>
  <c r="J62" i="10"/>
  <c r="E60" i="10"/>
  <c r="J68" i="10"/>
  <c r="E66" i="10"/>
  <c r="J78" i="10"/>
  <c r="E87" i="10"/>
  <c r="J83" i="10"/>
  <c r="E80" i="10"/>
  <c r="J82" i="10"/>
  <c r="E79" i="10"/>
  <c r="J70" i="10"/>
  <c r="E69" i="10"/>
  <c r="J81" i="10"/>
  <c r="E78" i="10"/>
  <c r="J88" i="10"/>
  <c r="E86" i="10"/>
  <c r="J80" i="10"/>
  <c r="E77" i="10"/>
  <c r="J58" i="10"/>
  <c r="J105" i="10"/>
  <c r="E56" i="10"/>
  <c r="I102" i="9"/>
  <c r="H102" i="9"/>
  <c r="G102" i="9"/>
  <c r="J102" i="9"/>
  <c r="E102" i="9"/>
  <c r="D102" i="9"/>
  <c r="C102" i="9"/>
  <c r="B102" i="9"/>
  <c r="J75" i="9"/>
  <c r="E72" i="9"/>
  <c r="J101" i="9"/>
  <c r="E101" i="9"/>
  <c r="J83" i="9"/>
  <c r="E82" i="9"/>
  <c r="J100" i="9"/>
  <c r="E100" i="9"/>
  <c r="J67" i="9"/>
  <c r="E64" i="9"/>
  <c r="J63" i="9"/>
  <c r="E60" i="9"/>
  <c r="J70" i="9"/>
  <c r="E68" i="9"/>
  <c r="J69" i="9"/>
  <c r="E67" i="9"/>
  <c r="J57" i="9"/>
  <c r="E55" i="9"/>
  <c r="J56" i="9"/>
  <c r="E54" i="9"/>
  <c r="J82" i="9"/>
  <c r="E81" i="9"/>
  <c r="J74" i="9"/>
  <c r="E71" i="9"/>
  <c r="J99" i="9"/>
  <c r="E99" i="9"/>
  <c r="J61" i="9"/>
  <c r="E63" i="9"/>
  <c r="J98" i="9"/>
  <c r="E98" i="9"/>
  <c r="J81" i="9"/>
  <c r="E80" i="9"/>
  <c r="J62" i="9"/>
  <c r="E59" i="9"/>
  <c r="J97" i="9"/>
  <c r="E97" i="9"/>
  <c r="J73" i="9"/>
  <c r="E70" i="9"/>
  <c r="J84" i="9"/>
  <c r="E96" i="9"/>
  <c r="J96" i="9"/>
  <c r="E95" i="9"/>
  <c r="J64" i="9"/>
  <c r="E66" i="9"/>
  <c r="J80" i="9"/>
  <c r="E79" i="9"/>
  <c r="J95" i="9"/>
  <c r="E94" i="9"/>
  <c r="J94" i="9"/>
  <c r="E93" i="9"/>
  <c r="J66" i="9"/>
  <c r="E62" i="9"/>
  <c r="J79" i="9"/>
  <c r="E78" i="9"/>
  <c r="J65" i="9"/>
  <c r="E61" i="9"/>
  <c r="J60" i="9"/>
  <c r="E58" i="9"/>
  <c r="J54" i="9"/>
  <c r="E77" i="9"/>
  <c r="J78" i="9"/>
  <c r="E76" i="9"/>
  <c r="J93" i="9"/>
  <c r="E92" i="9"/>
  <c r="J68" i="9"/>
  <c r="E65" i="9"/>
  <c r="J92" i="9"/>
  <c r="E91" i="9"/>
  <c r="J72" i="9"/>
  <c r="E90" i="9"/>
  <c r="J91" i="9"/>
  <c r="E89" i="9"/>
  <c r="J71" i="9"/>
  <c r="E69" i="9"/>
  <c r="J77" i="9"/>
  <c r="E75" i="9"/>
  <c r="J59" i="9"/>
  <c r="E57" i="9"/>
  <c r="J90" i="9"/>
  <c r="E88" i="9"/>
  <c r="J89" i="9"/>
  <c r="E87" i="9"/>
  <c r="J88" i="9"/>
  <c r="E86" i="9"/>
  <c r="J58" i="9"/>
  <c r="E56" i="9"/>
  <c r="J76" i="9"/>
  <c r="E74" i="9"/>
  <c r="J87" i="9"/>
  <c r="E85" i="9"/>
  <c r="J86" i="9"/>
  <c r="E84" i="9"/>
  <c r="J55" i="9"/>
  <c r="E73" i="9"/>
  <c r="J85" i="9"/>
  <c r="E83" i="9"/>
  <c r="E105" i="10"/>
  <c r="Q8" i="3"/>
  <c r="Q6" i="10"/>
  <c r="N20" i="11"/>
  <c r="N19" i="6"/>
  <c r="J4" i="3"/>
  <c r="E4" i="3"/>
  <c r="J51" i="13"/>
  <c r="I51" i="13"/>
  <c r="N4" i="2"/>
  <c r="N10" i="2"/>
  <c r="F200" i="13"/>
  <c r="C174" i="13"/>
  <c r="J52" i="2"/>
  <c r="E52" i="2"/>
  <c r="F223" i="13"/>
  <c r="C187" i="13"/>
  <c r="Q11" i="1"/>
  <c r="K51" i="13"/>
  <c r="Q6" i="8"/>
  <c r="F77" i="13"/>
  <c r="C49" i="13"/>
  <c r="J33" i="13"/>
  <c r="I33" i="13"/>
  <c r="N9" i="5"/>
  <c r="J35" i="13"/>
  <c r="I35" i="13"/>
  <c r="Y10" i="6"/>
  <c r="N10" i="6"/>
  <c r="F271" i="13"/>
  <c r="C241" i="13"/>
  <c r="J37" i="6"/>
  <c r="E37" i="6"/>
  <c r="K35" i="13"/>
  <c r="K33" i="13"/>
  <c r="AF28" i="3"/>
  <c r="AF18" i="3"/>
  <c r="AF15" i="3"/>
  <c r="AF14" i="3"/>
  <c r="F276" i="13"/>
  <c r="C246" i="13"/>
  <c r="J37" i="8"/>
  <c r="E37" i="8"/>
  <c r="F238" i="13"/>
  <c r="C202" i="13"/>
  <c r="E15" i="8"/>
  <c r="J15" i="8"/>
  <c r="Q8" i="12"/>
  <c r="Q4" i="7"/>
  <c r="F295" i="13"/>
  <c r="C271" i="13"/>
  <c r="F247" i="13"/>
  <c r="C212" i="13"/>
  <c r="J21" i="3"/>
  <c r="E21" i="3"/>
  <c r="F246" i="13"/>
  <c r="C211" i="13"/>
  <c r="J20" i="9"/>
  <c r="E20" i="9"/>
  <c r="F296" i="13"/>
  <c r="C272" i="13"/>
  <c r="J49" i="3"/>
  <c r="E49" i="3"/>
  <c r="N5" i="10"/>
  <c r="F304" i="13"/>
  <c r="C281" i="13"/>
  <c r="F263" i="13"/>
  <c r="C230" i="13"/>
  <c r="J26" i="5"/>
  <c r="E26" i="5"/>
  <c r="F176" i="13"/>
  <c r="C145" i="13"/>
  <c r="J39" i="12"/>
  <c r="E39" i="12"/>
  <c r="F41" i="13"/>
  <c r="C434" i="13"/>
  <c r="J20" i="5"/>
  <c r="E20" i="5"/>
  <c r="F285" i="13"/>
  <c r="C259" i="13"/>
  <c r="N8" i="6"/>
  <c r="AE16" i="6"/>
  <c r="J41" i="13"/>
  <c r="I41" i="13"/>
  <c r="N9" i="1"/>
  <c r="F98" i="13"/>
  <c r="C239" i="13"/>
  <c r="K41" i="13"/>
  <c r="F43" i="13"/>
  <c r="C20" i="13"/>
  <c r="N6" i="3"/>
  <c r="F315" i="13"/>
  <c r="C294" i="13"/>
  <c r="F253" i="13"/>
  <c r="C219" i="13"/>
  <c r="AH28" i="1"/>
  <c r="AH20" i="1"/>
  <c r="AH19" i="1"/>
  <c r="J36" i="13"/>
  <c r="I36" i="13"/>
  <c r="W28" i="1"/>
  <c r="Q17" i="1"/>
  <c r="AN7" i="1"/>
  <c r="AK7" i="1"/>
  <c r="AH7" i="1"/>
  <c r="AE7" i="1"/>
  <c r="Y7" i="1"/>
  <c r="V7" i="1"/>
  <c r="N7" i="1"/>
  <c r="F105" i="13"/>
  <c r="C73" i="13"/>
  <c r="J7" i="1"/>
  <c r="E7" i="1"/>
  <c r="J23" i="13"/>
  <c r="I23" i="13"/>
  <c r="N7" i="5"/>
  <c r="F231" i="13"/>
  <c r="C195" i="13"/>
  <c r="N11" i="7"/>
  <c r="N10" i="7"/>
  <c r="N9" i="7"/>
  <c r="N8" i="7"/>
  <c r="K23" i="13"/>
  <c r="F18" i="13"/>
  <c r="C2" i="13"/>
  <c r="F182" i="13"/>
  <c r="C154" i="13"/>
  <c r="J49" i="6"/>
  <c r="E49" i="6"/>
  <c r="F28" i="13"/>
  <c r="C23" i="13"/>
  <c r="N6" i="11"/>
  <c r="J12" i="8"/>
  <c r="E12" i="8"/>
  <c r="C41" i="13"/>
  <c r="F29" i="13"/>
  <c r="J43" i="1"/>
  <c r="E43" i="1"/>
  <c r="J42" i="1"/>
  <c r="E42" i="1"/>
  <c r="J24" i="13"/>
  <c r="I24" i="13"/>
  <c r="F92" i="13"/>
  <c r="C66" i="13"/>
  <c r="F186" i="13"/>
  <c r="C159" i="13"/>
  <c r="N9" i="12"/>
  <c r="N8" i="12"/>
  <c r="N7" i="12"/>
  <c r="N6" i="12"/>
  <c r="F36" i="13"/>
  <c r="C265" i="13"/>
  <c r="J48" i="12"/>
  <c r="E48" i="12"/>
  <c r="N5" i="9"/>
  <c r="N4" i="9"/>
  <c r="AE16" i="7"/>
  <c r="AE15" i="9"/>
  <c r="AD17" i="5"/>
  <c r="AD26" i="2"/>
  <c r="AD18" i="2"/>
  <c r="AD17" i="2"/>
  <c r="AE18" i="10"/>
  <c r="AE16" i="4"/>
  <c r="I68" i="13"/>
  <c r="N10" i="9"/>
  <c r="V5" i="5"/>
  <c r="N5" i="5"/>
  <c r="N5" i="1"/>
  <c r="F110" i="13"/>
  <c r="C78" i="13"/>
  <c r="J9" i="11"/>
  <c r="E9" i="11"/>
  <c r="F579" i="13"/>
  <c r="C577" i="13"/>
  <c r="N9" i="6"/>
  <c r="F272" i="13"/>
  <c r="C242" i="13"/>
  <c r="J33" i="1"/>
  <c r="E33" i="1"/>
  <c r="F227" i="13"/>
  <c r="C191" i="13"/>
  <c r="N4" i="7"/>
  <c r="N25" i="2"/>
  <c r="I67" i="13"/>
  <c r="N4" i="3"/>
  <c r="F131" i="13"/>
  <c r="C102" i="13"/>
  <c r="J48" i="6"/>
  <c r="E48" i="6"/>
  <c r="F306" i="13"/>
  <c r="C284" i="13"/>
  <c r="J49" i="8"/>
  <c r="E49" i="8"/>
  <c r="F283" i="13"/>
  <c r="C257" i="13"/>
  <c r="J41" i="8"/>
  <c r="E41" i="8"/>
  <c r="F528" i="13"/>
  <c r="C520" i="13"/>
  <c r="J42" i="4"/>
  <c r="E42" i="4"/>
  <c r="F440" i="13"/>
  <c r="C424" i="13"/>
  <c r="N13" i="8"/>
  <c r="N16" i="9"/>
  <c r="N16" i="2"/>
  <c r="I60" i="13"/>
  <c r="N14" i="4"/>
  <c r="N4" i="5"/>
  <c r="N4" i="10"/>
  <c r="N17" i="11"/>
  <c r="AE11" i="7"/>
  <c r="AE9" i="7"/>
  <c r="AE8" i="7"/>
  <c r="AE4" i="7"/>
  <c r="N20" i="7"/>
  <c r="N19" i="7"/>
  <c r="N18" i="7"/>
  <c r="N16" i="7"/>
  <c r="AH16" i="6"/>
  <c r="AK16" i="6"/>
  <c r="AH9" i="6"/>
  <c r="AH4" i="6"/>
  <c r="F193" i="13"/>
  <c r="C167" i="13"/>
  <c r="J49" i="11"/>
  <c r="E49" i="11"/>
  <c r="F79" i="13"/>
  <c r="C51" i="13"/>
  <c r="J26" i="2"/>
  <c r="E26" i="2"/>
  <c r="F54" i="13"/>
  <c r="C28" i="13"/>
  <c r="J23" i="3"/>
  <c r="E23" i="3"/>
  <c r="N15" i="8"/>
  <c r="F268" i="13"/>
  <c r="C237" i="13"/>
  <c r="J31" i="8"/>
  <c r="E31" i="8"/>
  <c r="N17" i="2"/>
  <c r="V8" i="5"/>
  <c r="N18" i="5"/>
  <c r="F496" i="13"/>
  <c r="C484" i="13"/>
  <c r="F259" i="13"/>
  <c r="C225" i="13"/>
  <c r="J25" i="5"/>
  <c r="E25" i="5"/>
  <c r="J23" i="5"/>
  <c r="E23" i="5"/>
  <c r="AE4" i="5"/>
  <c r="AE10" i="12"/>
  <c r="AE7" i="12"/>
  <c r="AE5" i="12"/>
  <c r="AE4" i="12"/>
  <c r="N20" i="12"/>
  <c r="N15" i="12"/>
  <c r="F568" i="13"/>
  <c r="C563" i="13"/>
  <c r="F535" i="13"/>
  <c r="C527" i="13"/>
  <c r="J41" i="12"/>
  <c r="E41" i="12"/>
  <c r="F520" i="13"/>
  <c r="C511" i="13"/>
  <c r="J38" i="12"/>
  <c r="E38" i="12"/>
  <c r="F252" i="13"/>
  <c r="C218" i="13"/>
  <c r="AE13" i="10"/>
  <c r="AE9" i="10"/>
  <c r="AE4" i="10"/>
  <c r="AE9" i="2"/>
  <c r="AE8" i="2"/>
  <c r="AE7" i="2"/>
  <c r="AE6" i="4"/>
  <c r="AE5" i="4"/>
  <c r="F426" i="13"/>
  <c r="C409" i="13"/>
  <c r="F55" i="13"/>
  <c r="C29" i="13"/>
  <c r="J21" i="2"/>
  <c r="E21" i="2"/>
  <c r="N7" i="2"/>
  <c r="N4" i="11"/>
  <c r="AE7" i="11"/>
  <c r="AE6" i="11"/>
  <c r="AE5" i="11"/>
  <c r="AE4" i="11"/>
  <c r="AE11" i="1"/>
  <c r="AE5" i="1"/>
  <c r="F96" i="13"/>
  <c r="C120" i="13"/>
  <c r="J37" i="11"/>
  <c r="E37" i="11"/>
  <c r="N16" i="8"/>
  <c r="AE9" i="3"/>
  <c r="AE8" i="3"/>
  <c r="AE7" i="3"/>
  <c r="AE4" i="3"/>
  <c r="N16" i="3"/>
  <c r="N15" i="3"/>
  <c r="N15" i="4"/>
  <c r="N19" i="11"/>
  <c r="N21" i="11"/>
  <c r="AJ17" i="5"/>
  <c r="AG17" i="5"/>
  <c r="W17" i="5"/>
  <c r="T17" i="5"/>
  <c r="Q17" i="5"/>
  <c r="N17" i="5"/>
  <c r="N19" i="5"/>
  <c r="N22" i="11"/>
  <c r="N15" i="9"/>
  <c r="N13" i="4"/>
  <c r="C476" i="13"/>
  <c r="N20" i="2"/>
  <c r="N18" i="10"/>
  <c r="N19" i="1"/>
  <c r="N18" i="3"/>
  <c r="AE10" i="9"/>
  <c r="AE4" i="9"/>
  <c r="N7" i="8"/>
  <c r="F323" i="13"/>
  <c r="C536" i="13"/>
  <c r="F175" i="13"/>
  <c r="C144" i="13"/>
  <c r="N8" i="3"/>
  <c r="N7" i="3"/>
  <c r="J14" i="13"/>
  <c r="I14" i="13"/>
  <c r="N7" i="4"/>
  <c r="N4" i="4"/>
  <c r="J22" i="13"/>
  <c r="I22" i="13"/>
  <c r="N10" i="11"/>
  <c r="N5" i="11"/>
  <c r="I40" i="13"/>
  <c r="J40" i="13"/>
  <c r="N8" i="5"/>
  <c r="F91" i="13"/>
  <c r="C65" i="13"/>
  <c r="F149" i="13"/>
  <c r="C115" i="13"/>
  <c r="N8" i="8"/>
  <c r="J6" i="8"/>
  <c r="E6" i="8"/>
  <c r="C182" i="13"/>
  <c r="C45" i="13"/>
  <c r="C27" i="13"/>
  <c r="C327" i="13"/>
  <c r="C335" i="13"/>
  <c r="C338" i="13"/>
  <c r="C74" i="13"/>
  <c r="C358" i="13"/>
  <c r="C119" i="13"/>
  <c r="C367" i="13"/>
  <c r="C376" i="13"/>
  <c r="C48" i="13"/>
  <c r="C398" i="13"/>
  <c r="C403" i="13"/>
  <c r="C410" i="13"/>
  <c r="C412" i="13"/>
  <c r="C85" i="13"/>
  <c r="C426" i="13"/>
  <c r="C429" i="13"/>
  <c r="C131" i="13"/>
  <c r="C442" i="13"/>
  <c r="C448" i="13"/>
  <c r="C449" i="13"/>
  <c r="C453" i="13"/>
  <c r="C5" i="13"/>
  <c r="C473" i="13"/>
  <c r="C475" i="13"/>
  <c r="C480" i="13"/>
  <c r="C481" i="13"/>
  <c r="C487" i="13"/>
  <c r="C496" i="13"/>
  <c r="C499" i="13"/>
  <c r="C506" i="13"/>
  <c r="C97" i="13"/>
  <c r="C516" i="13"/>
  <c r="C517" i="13"/>
  <c r="C58" i="13"/>
  <c r="C525" i="13"/>
  <c r="C101" i="13"/>
  <c r="C550" i="13"/>
  <c r="C16" i="13"/>
  <c r="C157" i="13"/>
  <c r="C558" i="13"/>
  <c r="C104" i="13"/>
  <c r="C564" i="13"/>
  <c r="C565" i="13"/>
  <c r="C572" i="13"/>
  <c r="C586" i="13"/>
  <c r="C13" i="13"/>
  <c r="C282" i="13"/>
  <c r="C169" i="13"/>
  <c r="C171" i="13"/>
  <c r="C11" i="13"/>
  <c r="C68" i="13"/>
  <c r="C624" i="13"/>
  <c r="C178" i="13"/>
  <c r="C630" i="13"/>
  <c r="F27" i="13"/>
  <c r="F218" i="13"/>
  <c r="F73" i="13"/>
  <c r="F53" i="13"/>
  <c r="F349" i="13"/>
  <c r="F356" i="13"/>
  <c r="F359" i="13"/>
  <c r="F106" i="13"/>
  <c r="F378" i="13"/>
  <c r="F153" i="13"/>
  <c r="F387" i="13"/>
  <c r="F396" i="13"/>
  <c r="F76" i="13"/>
  <c r="F416" i="13"/>
  <c r="F421" i="13"/>
  <c r="F427" i="13"/>
  <c r="F429" i="13"/>
  <c r="F5" i="13"/>
  <c r="F442" i="13"/>
  <c r="F444" i="13"/>
  <c r="F164" i="13"/>
  <c r="F455" i="13"/>
  <c r="F460" i="13"/>
  <c r="F461" i="13"/>
  <c r="F465" i="13"/>
  <c r="F23" i="13"/>
  <c r="F485" i="13"/>
  <c r="F487" i="13"/>
  <c r="F492" i="13"/>
  <c r="F493" i="13"/>
  <c r="F499" i="13"/>
  <c r="F507" i="13"/>
  <c r="F510" i="13"/>
  <c r="F142" i="13"/>
  <c r="F128" i="13"/>
  <c r="F525" i="13"/>
  <c r="F526" i="13"/>
  <c r="F85" i="13"/>
  <c r="F533" i="13"/>
  <c r="F70" i="13"/>
  <c r="F556" i="13"/>
  <c r="F35" i="13"/>
  <c r="F185" i="13"/>
  <c r="F564" i="13"/>
  <c r="F133" i="13"/>
  <c r="F569" i="13"/>
  <c r="F570" i="13"/>
  <c r="F588" i="13"/>
  <c r="F13" i="13"/>
  <c r="F305" i="13"/>
  <c r="F195" i="13"/>
  <c r="F197" i="13"/>
  <c r="F32" i="13"/>
  <c r="F94" i="13"/>
  <c r="F624" i="13"/>
  <c r="F204" i="13"/>
  <c r="F630" i="13"/>
  <c r="F30" i="13"/>
  <c r="C9" i="13"/>
  <c r="C530" i="13"/>
  <c r="C304" i="13"/>
  <c r="C324" i="13"/>
  <c r="C328" i="13"/>
  <c r="C336" i="13"/>
  <c r="C341" i="13"/>
  <c r="C343" i="13"/>
  <c r="C196" i="13"/>
  <c r="C357" i="13"/>
  <c r="C198" i="13"/>
  <c r="C77" i="13"/>
  <c r="C383" i="13"/>
  <c r="C384" i="13"/>
  <c r="C388" i="13"/>
  <c r="C405" i="13"/>
  <c r="C419" i="13"/>
  <c r="C415" i="13"/>
  <c r="C435" i="13"/>
  <c r="C135" i="13"/>
  <c r="C446" i="13"/>
  <c r="C447" i="13"/>
  <c r="C94" i="13"/>
  <c r="C490" i="13"/>
  <c r="C491" i="13"/>
  <c r="C240" i="13"/>
  <c r="C500" i="13"/>
  <c r="C56" i="13"/>
  <c r="C518" i="13"/>
  <c r="C521" i="13"/>
  <c r="C146" i="13"/>
  <c r="C156" i="13"/>
  <c r="C61" i="13"/>
  <c r="C576" i="13"/>
  <c r="C64" i="13"/>
  <c r="C280" i="13"/>
  <c r="C604" i="13"/>
  <c r="C296" i="13"/>
  <c r="F538" i="13"/>
  <c r="F210" i="13"/>
  <c r="F346" i="13"/>
  <c r="F350" i="13"/>
  <c r="F357" i="13"/>
  <c r="F362" i="13"/>
  <c r="F364" i="13"/>
  <c r="F232" i="13"/>
  <c r="F377" i="13"/>
  <c r="F234" i="13"/>
  <c r="F109" i="13"/>
  <c r="F402" i="13"/>
  <c r="F403" i="13"/>
  <c r="F407" i="13"/>
  <c r="F423" i="13"/>
  <c r="F435" i="13"/>
  <c r="F432" i="13"/>
  <c r="F449" i="13"/>
  <c r="F168" i="13"/>
  <c r="F459" i="13"/>
  <c r="F21" i="13"/>
  <c r="F124" i="13"/>
  <c r="F502" i="13"/>
  <c r="F503" i="13"/>
  <c r="F270" i="13"/>
  <c r="F511" i="13"/>
  <c r="F83" i="13"/>
  <c r="F15" i="13"/>
  <c r="F529" i="13"/>
  <c r="F177" i="13"/>
  <c r="F184" i="13"/>
  <c r="F87" i="13"/>
  <c r="F578" i="13"/>
  <c r="F90" i="13"/>
  <c r="F303" i="13"/>
  <c r="F606" i="13"/>
  <c r="F317" i="13"/>
  <c r="J22" i="8"/>
  <c r="E22" i="8"/>
  <c r="B52" i="8"/>
  <c r="J28" i="7"/>
  <c r="E28" i="7"/>
  <c r="C222" i="13"/>
  <c r="C300" i="13"/>
  <c r="C183" i="13"/>
  <c r="C302" i="13"/>
  <c r="C309" i="13"/>
  <c r="C311" i="13"/>
  <c r="C72" i="13"/>
  <c r="C319" i="13"/>
  <c r="C322" i="13"/>
  <c r="C325" i="13"/>
  <c r="C334" i="13"/>
  <c r="C347" i="13"/>
  <c r="C200" i="13"/>
  <c r="C79" i="13"/>
  <c r="C124" i="13"/>
  <c r="C391" i="13"/>
  <c r="C127" i="13"/>
  <c r="C425" i="13"/>
  <c r="C431" i="13"/>
  <c r="C432" i="13"/>
  <c r="C89" i="13"/>
  <c r="C30" i="13"/>
  <c r="C31" i="13"/>
  <c r="C461" i="13"/>
  <c r="C462" i="13"/>
  <c r="C228" i="13"/>
  <c r="C35" i="13"/>
  <c r="C485" i="13"/>
  <c r="C238" i="13"/>
  <c r="C504" i="13"/>
  <c r="C505" i="13"/>
  <c r="C507" i="13"/>
  <c r="C508" i="13"/>
  <c r="C513" i="13"/>
  <c r="C524" i="13"/>
  <c r="C255" i="13"/>
  <c r="C531" i="13"/>
  <c r="C535" i="13"/>
  <c r="C539" i="13"/>
  <c r="C556" i="13"/>
  <c r="C266" i="13"/>
  <c r="C584" i="13"/>
  <c r="C587" i="13"/>
  <c r="C283" i="13"/>
  <c r="C601" i="13"/>
  <c r="C285" i="13"/>
  <c r="C610" i="13"/>
  <c r="C291" i="13"/>
  <c r="C620" i="13"/>
  <c r="F256" i="13"/>
  <c r="F324" i="13"/>
  <c r="F219" i="13"/>
  <c r="F326" i="13"/>
  <c r="F332" i="13"/>
  <c r="F334" i="13"/>
  <c r="F104" i="13"/>
  <c r="F341" i="13"/>
  <c r="F344" i="13"/>
  <c r="F347" i="13"/>
  <c r="F355" i="13"/>
  <c r="F367" i="13"/>
  <c r="F236" i="13"/>
  <c r="F111" i="13"/>
  <c r="F156" i="13"/>
  <c r="F410" i="13"/>
  <c r="F159" i="13"/>
  <c r="F441" i="13"/>
  <c r="F446" i="13"/>
  <c r="F447" i="13"/>
  <c r="F119" i="13"/>
  <c r="F56" i="13"/>
  <c r="F57" i="13"/>
  <c r="F473" i="13"/>
  <c r="F474" i="13"/>
  <c r="F50" i="13"/>
  <c r="F61" i="13"/>
  <c r="F497" i="13"/>
  <c r="F269" i="13"/>
  <c r="F514" i="13"/>
  <c r="F515" i="13"/>
  <c r="F516" i="13"/>
  <c r="F517" i="13"/>
  <c r="F522" i="13"/>
  <c r="F532" i="13"/>
  <c r="F214" i="13"/>
  <c r="F539" i="13"/>
  <c r="F543" i="13"/>
  <c r="F546" i="13"/>
  <c r="F562" i="13"/>
  <c r="F290" i="13"/>
  <c r="F586" i="13"/>
  <c r="F589" i="13"/>
  <c r="F209" i="13"/>
  <c r="F603" i="13"/>
  <c r="F307" i="13"/>
  <c r="F611" i="13"/>
  <c r="F8" i="13"/>
  <c r="F620" i="13"/>
  <c r="C303" i="13"/>
  <c r="C185" i="13"/>
  <c r="C351" i="13"/>
  <c r="C353" i="13"/>
  <c r="C360" i="13"/>
  <c r="C205" i="13"/>
  <c r="C386" i="13"/>
  <c r="C393" i="13"/>
  <c r="C397" i="13"/>
  <c r="C208" i="13"/>
  <c r="C400" i="13"/>
  <c r="C402" i="13"/>
  <c r="C210" i="13"/>
  <c r="C414" i="13"/>
  <c r="C428" i="13"/>
  <c r="C132" i="13"/>
  <c r="C221" i="13"/>
  <c r="C458" i="13"/>
  <c r="C482" i="13"/>
  <c r="C55" i="13"/>
  <c r="C502" i="13"/>
  <c r="C244" i="13"/>
  <c r="C249" i="13"/>
  <c r="C253" i="13"/>
  <c r="C261" i="13"/>
  <c r="C548" i="13"/>
  <c r="C562" i="13"/>
  <c r="C571" i="13"/>
  <c r="C573" i="13"/>
  <c r="C273" i="13"/>
  <c r="C107" i="13"/>
  <c r="C277" i="13"/>
  <c r="C278" i="13"/>
  <c r="C592" i="13"/>
  <c r="C595" i="13"/>
  <c r="C165" i="13"/>
  <c r="C289" i="13"/>
  <c r="C613" i="13"/>
  <c r="C172" i="13"/>
  <c r="C626" i="13"/>
  <c r="C299" i="13"/>
  <c r="C179" i="13"/>
  <c r="F327" i="13"/>
  <c r="F221" i="13"/>
  <c r="F371" i="13"/>
  <c r="F373" i="13"/>
  <c r="F380" i="13"/>
  <c r="F241" i="13"/>
  <c r="F405" i="13"/>
  <c r="F411" i="13"/>
  <c r="F415" i="13"/>
  <c r="F12" i="13"/>
  <c r="F418" i="13"/>
  <c r="F420" i="13"/>
  <c r="F245" i="13"/>
  <c r="F431" i="13"/>
  <c r="F33" i="13"/>
  <c r="F165" i="13"/>
  <c r="F255" i="13"/>
  <c r="F470" i="13"/>
  <c r="F494" i="13"/>
  <c r="F82" i="13"/>
  <c r="F127" i="13"/>
  <c r="F274" i="13"/>
  <c r="F279" i="13"/>
  <c r="F212" i="13"/>
  <c r="F99" i="13"/>
  <c r="F554" i="13"/>
  <c r="F567" i="13"/>
  <c r="F575" i="13"/>
  <c r="F576" i="13"/>
  <c r="F208" i="13"/>
  <c r="F136" i="13"/>
  <c r="F300" i="13"/>
  <c r="F301" i="13"/>
  <c r="F594" i="13"/>
  <c r="F597" i="13"/>
  <c r="F191" i="13"/>
  <c r="F311" i="13"/>
  <c r="F614" i="13"/>
  <c r="F198" i="13"/>
  <c r="F626" i="13"/>
  <c r="F320" i="13"/>
  <c r="F205" i="13"/>
  <c r="I53" i="13"/>
  <c r="J53" i="13"/>
  <c r="N11" i="5"/>
  <c r="N6" i="5"/>
  <c r="N4" i="12"/>
  <c r="C310" i="13"/>
  <c r="C318" i="13"/>
  <c r="C330" i="13"/>
  <c r="C333" i="13"/>
  <c r="C354" i="13"/>
  <c r="C76" i="13"/>
  <c r="C362" i="13"/>
  <c r="C372" i="13"/>
  <c r="C375" i="13"/>
  <c r="C123" i="13"/>
  <c r="C380" i="13"/>
  <c r="C396" i="13"/>
  <c r="C401" i="13"/>
  <c r="C406" i="13"/>
  <c r="C408" i="13"/>
  <c r="C128" i="13"/>
  <c r="C413" i="13"/>
  <c r="C213" i="13"/>
  <c r="C86" i="13"/>
  <c r="C87" i="13"/>
  <c r="C220" i="13"/>
  <c r="C91" i="13"/>
  <c r="C460" i="13"/>
  <c r="C477" i="13"/>
  <c r="C234" i="13"/>
  <c r="C139" i="13"/>
  <c r="C495" i="13"/>
  <c r="C497" i="13"/>
  <c r="C140" i="13"/>
  <c r="C509" i="13"/>
  <c r="C57" i="13"/>
  <c r="C250" i="13"/>
  <c r="C526" i="13"/>
  <c r="C100" i="13"/>
  <c r="C533" i="13"/>
  <c r="C152" i="13"/>
  <c r="C260" i="13"/>
  <c r="C39" i="13"/>
  <c r="C60" i="13"/>
  <c r="C269" i="13"/>
  <c r="C581" i="13"/>
  <c r="C108" i="13"/>
  <c r="C162" i="13"/>
  <c r="C596" i="13"/>
  <c r="C602" i="13"/>
  <c r="C609" i="13"/>
  <c r="C175" i="13"/>
  <c r="F333" i="13"/>
  <c r="F20" i="13"/>
  <c r="F352" i="13"/>
  <c r="F354" i="13"/>
  <c r="F374" i="13"/>
  <c r="F108" i="13"/>
  <c r="F382" i="13"/>
  <c r="F392" i="13"/>
  <c r="F395" i="13"/>
  <c r="F155" i="13"/>
  <c r="F400" i="13"/>
  <c r="F414" i="13"/>
  <c r="F419" i="13"/>
  <c r="F160" i="13"/>
  <c r="F425" i="13"/>
  <c r="F161" i="13"/>
  <c r="F430" i="13"/>
  <c r="F10" i="13"/>
  <c r="F116" i="13"/>
  <c r="F117" i="13"/>
  <c r="F254" i="13"/>
  <c r="F121" i="13"/>
  <c r="F472" i="13"/>
  <c r="F489" i="13"/>
  <c r="F266" i="13"/>
  <c r="F95" i="13"/>
  <c r="F506" i="13"/>
  <c r="F508" i="13"/>
  <c r="F171" i="13"/>
  <c r="F518" i="13"/>
  <c r="F84" i="13"/>
  <c r="F280" i="13"/>
  <c r="F534" i="13"/>
  <c r="F69" i="13"/>
  <c r="F541" i="13"/>
  <c r="F180" i="13"/>
  <c r="F286" i="13"/>
  <c r="F65" i="13"/>
  <c r="F86" i="13"/>
  <c r="F293" i="13"/>
  <c r="F583" i="13"/>
  <c r="F137" i="13"/>
  <c r="F189" i="13"/>
  <c r="F598" i="13"/>
  <c r="F604" i="13"/>
  <c r="F610" i="13"/>
  <c r="F201" i="13"/>
  <c r="C301" i="13"/>
  <c r="C46" i="13"/>
  <c r="C71" i="13"/>
  <c r="C345" i="13"/>
  <c r="C201" i="13"/>
  <c r="C392" i="13"/>
  <c r="C395" i="13"/>
  <c r="C209" i="13"/>
  <c r="C129" i="13"/>
  <c r="C418" i="13"/>
  <c r="C215" i="13"/>
  <c r="C223" i="13"/>
  <c r="C136" i="13"/>
  <c r="C457" i="13"/>
  <c r="C463" i="13"/>
  <c r="C464" i="13"/>
  <c r="C465" i="13"/>
  <c r="C467" i="13"/>
  <c r="C227" i="13"/>
  <c r="C52" i="13"/>
  <c r="C233" i="13"/>
  <c r="C95" i="13"/>
  <c r="C98" i="13"/>
  <c r="C248" i="13"/>
  <c r="C149" i="13"/>
  <c r="C547" i="13"/>
  <c r="C549" i="13"/>
  <c r="C17" i="13"/>
  <c r="C566" i="13"/>
  <c r="C574" i="13"/>
  <c r="C274" i="13"/>
  <c r="C275" i="13"/>
  <c r="C585" i="13"/>
  <c r="C590" i="13"/>
  <c r="C591" i="13"/>
  <c r="C42" i="13"/>
  <c r="C286" i="13"/>
  <c r="C287" i="13"/>
  <c r="C607" i="13"/>
  <c r="C168" i="13"/>
  <c r="C292" i="13"/>
  <c r="C614" i="13"/>
  <c r="C616" i="13"/>
  <c r="C618" i="13"/>
  <c r="C111" i="13"/>
  <c r="C297" i="13"/>
  <c r="F11" i="13"/>
  <c r="F325" i="13"/>
  <c r="F74" i="13"/>
  <c r="F103" i="13"/>
  <c r="F365" i="13"/>
  <c r="F237" i="13"/>
  <c r="F17" i="13"/>
  <c r="F413" i="13"/>
  <c r="F244" i="13"/>
  <c r="F162" i="13"/>
  <c r="F115" i="13"/>
  <c r="F249" i="13"/>
  <c r="F257" i="13"/>
  <c r="F169" i="13"/>
  <c r="F469" i="13"/>
  <c r="F475" i="13"/>
  <c r="F476" i="13"/>
  <c r="F477" i="13"/>
  <c r="F479" i="13"/>
  <c r="F261" i="13"/>
  <c r="F80" i="13"/>
  <c r="F97" i="13"/>
  <c r="F125" i="13"/>
  <c r="F129" i="13"/>
  <c r="F145" i="13"/>
  <c r="F553" i="13"/>
  <c r="F555" i="13"/>
  <c r="F39" i="13"/>
  <c r="F571" i="13"/>
  <c r="F577" i="13"/>
  <c r="F297" i="13"/>
  <c r="F298" i="13"/>
  <c r="F587" i="13"/>
  <c r="F592" i="13"/>
  <c r="F593" i="13"/>
  <c r="F67" i="13"/>
  <c r="F308" i="13"/>
  <c r="F309" i="13"/>
  <c r="F194" i="13"/>
  <c r="F313" i="13"/>
  <c r="F615" i="13"/>
  <c r="F617" i="13"/>
  <c r="F619" i="13"/>
  <c r="F140" i="13"/>
  <c r="F318" i="13"/>
  <c r="N7" i="9"/>
  <c r="N7" i="11"/>
  <c r="G58" i="11"/>
  <c r="C186" i="13"/>
  <c r="C348" i="13"/>
  <c r="C359" i="13"/>
  <c r="C366" i="13"/>
  <c r="C199" i="13"/>
  <c r="C368" i="13"/>
  <c r="C121" i="13"/>
  <c r="C47" i="13"/>
  <c r="C203" i="13"/>
  <c r="C83" i="13"/>
  <c r="C126" i="13"/>
  <c r="C399" i="13"/>
  <c r="C130" i="13"/>
  <c r="C430" i="13"/>
  <c r="C12" i="13"/>
  <c r="C50" i="13"/>
  <c r="C33" i="13"/>
  <c r="C451" i="13"/>
  <c r="C452" i="13"/>
  <c r="C454" i="13"/>
  <c r="C455" i="13"/>
  <c r="C472" i="13"/>
  <c r="C483" i="13"/>
  <c r="C236" i="13"/>
  <c r="C24" i="13"/>
  <c r="C143" i="13"/>
  <c r="C245" i="13"/>
  <c r="C522" i="13"/>
  <c r="C523" i="13"/>
  <c r="C251" i="13"/>
  <c r="C528" i="13"/>
  <c r="C254" i="13"/>
  <c r="C534" i="13"/>
  <c r="C258" i="13"/>
  <c r="C545" i="13"/>
  <c r="C546" i="13"/>
  <c r="C552" i="13"/>
  <c r="C263" i="13"/>
  <c r="C40" i="13"/>
  <c r="C578" i="13"/>
  <c r="C170" i="13"/>
  <c r="C615" i="13"/>
  <c r="C617" i="13"/>
  <c r="C26" i="13"/>
  <c r="F222" i="13"/>
  <c r="F368" i="13"/>
  <c r="F379" i="13"/>
  <c r="F386" i="13"/>
  <c r="F235" i="13"/>
  <c r="F388" i="13"/>
  <c r="F100" i="13"/>
  <c r="F75" i="13"/>
  <c r="F239" i="13"/>
  <c r="F7" i="13"/>
  <c r="F158" i="13"/>
  <c r="F417" i="13"/>
  <c r="F163" i="13"/>
  <c r="F445" i="13"/>
  <c r="F34" i="13"/>
  <c r="F78" i="13"/>
  <c r="F59" i="13"/>
  <c r="F463" i="13"/>
  <c r="F464" i="13"/>
  <c r="F466" i="13"/>
  <c r="F467" i="13"/>
  <c r="F484" i="13"/>
  <c r="F495" i="13"/>
  <c r="F16" i="13"/>
  <c r="F47" i="13"/>
  <c r="F174" i="13"/>
  <c r="F275" i="13"/>
  <c r="F530" i="13"/>
  <c r="F531" i="13"/>
  <c r="F281" i="13"/>
  <c r="F536" i="13"/>
  <c r="F213" i="13"/>
  <c r="F542" i="13"/>
  <c r="F284" i="13"/>
  <c r="F551" i="13"/>
  <c r="F552" i="13"/>
  <c r="F558" i="13"/>
  <c r="F288" i="13"/>
  <c r="F66" i="13"/>
  <c r="F580" i="13"/>
  <c r="F196" i="13"/>
  <c r="F616" i="13"/>
  <c r="F618" i="13"/>
  <c r="F49" i="13"/>
  <c r="C112" i="13"/>
  <c r="C184" i="13"/>
  <c r="C114" i="13"/>
  <c r="C70" i="13"/>
  <c r="C312" i="13"/>
  <c r="C323" i="13"/>
  <c r="C193" i="13"/>
  <c r="C344" i="13"/>
  <c r="C117" i="13"/>
  <c r="C350" i="13"/>
  <c r="C377" i="13"/>
  <c r="C379" i="13"/>
  <c r="C385" i="13"/>
  <c r="C84" i="13"/>
  <c r="C416" i="13"/>
  <c r="C214" i="13"/>
  <c r="C427" i="13"/>
  <c r="C433" i="13"/>
  <c r="C437" i="13"/>
  <c r="C438" i="13"/>
  <c r="C441" i="13"/>
  <c r="C466" i="13"/>
  <c r="C235" i="13"/>
  <c r="C493" i="13"/>
  <c r="C36" i="13"/>
  <c r="C498" i="13"/>
  <c r="C142" i="13"/>
  <c r="C510" i="13"/>
  <c r="C512" i="13"/>
  <c r="C529" i="13"/>
  <c r="C151" i="13"/>
  <c r="C543" i="13"/>
  <c r="C544" i="13"/>
  <c r="C7" i="13"/>
  <c r="C553" i="13"/>
  <c r="C555" i="13"/>
  <c r="C557" i="13"/>
  <c r="C559" i="13"/>
  <c r="C62" i="13"/>
  <c r="C569" i="13"/>
  <c r="C3" i="13"/>
  <c r="C594" i="13"/>
  <c r="C163" i="13"/>
  <c r="C288" i="13"/>
  <c r="C619" i="13"/>
  <c r="C177" i="13"/>
  <c r="F146" i="13"/>
  <c r="F220" i="13"/>
  <c r="F148" i="13"/>
  <c r="F102" i="13"/>
  <c r="F335" i="13"/>
  <c r="F345" i="13"/>
  <c r="F229" i="13"/>
  <c r="F44" i="13"/>
  <c r="F151" i="13"/>
  <c r="F370" i="13"/>
  <c r="F397" i="13"/>
  <c r="F399" i="13"/>
  <c r="F404" i="13"/>
  <c r="F52" i="13"/>
  <c r="F433" i="13"/>
  <c r="F248" i="13"/>
  <c r="F443" i="13"/>
  <c r="F448" i="13"/>
  <c r="F450" i="13"/>
  <c r="F451" i="13"/>
  <c r="F454" i="13"/>
  <c r="F478" i="13"/>
  <c r="F267" i="13"/>
  <c r="F504" i="13"/>
  <c r="F62" i="13"/>
  <c r="F509" i="13"/>
  <c r="F173" i="13"/>
  <c r="F519" i="13"/>
  <c r="F521" i="13"/>
  <c r="F537" i="13"/>
  <c r="F179" i="13"/>
  <c r="F549" i="13"/>
  <c r="F550" i="13"/>
  <c r="F25" i="13"/>
  <c r="F559" i="13"/>
  <c r="F561" i="13"/>
  <c r="F563" i="13"/>
  <c r="F565" i="13"/>
  <c r="F88" i="13"/>
  <c r="F573" i="13"/>
  <c r="F19" i="13"/>
  <c r="F596" i="13"/>
  <c r="F9" i="13"/>
  <c r="F310" i="13"/>
  <c r="F206" i="13"/>
  <c r="F203" i="13"/>
  <c r="N6" i="10"/>
  <c r="C308" i="13"/>
  <c r="C69" i="13"/>
  <c r="C321" i="13"/>
  <c r="C329" i="13"/>
  <c r="C331" i="13"/>
  <c r="C190" i="13"/>
  <c r="C192" i="13"/>
  <c r="C342" i="13"/>
  <c r="C116" i="13"/>
  <c r="C194" i="13"/>
  <c r="C349" i="13"/>
  <c r="C355" i="13"/>
  <c r="C364" i="13"/>
  <c r="C14" i="13"/>
  <c r="C204" i="13"/>
  <c r="C125" i="13"/>
  <c r="C417" i="13"/>
  <c r="C436" i="13"/>
  <c r="C440" i="13"/>
  <c r="C32" i="13"/>
  <c r="C444" i="13"/>
  <c r="C468" i="13"/>
  <c r="C470" i="13"/>
  <c r="C471" i="13"/>
  <c r="C137" i="13"/>
  <c r="C138" i="13"/>
  <c r="C34" i="13"/>
  <c r="C229" i="13"/>
  <c r="C54" i="13"/>
  <c r="C494" i="13"/>
  <c r="C501" i="13"/>
  <c r="C503" i="13"/>
  <c r="C243" i="13"/>
  <c r="C514" i="13"/>
  <c r="C15" i="13"/>
  <c r="C148" i="13"/>
  <c r="C103" i="13"/>
  <c r="C554" i="13"/>
  <c r="C267" i="13"/>
  <c r="C18" i="13"/>
  <c r="C105" i="13"/>
  <c r="C582" i="13"/>
  <c r="C583" i="13"/>
  <c r="C597" i="13"/>
  <c r="C605" i="13"/>
  <c r="C608" i="13"/>
  <c r="C611" i="13"/>
  <c r="C612" i="13"/>
  <c r="C629" i="13"/>
  <c r="F331" i="13"/>
  <c r="F101" i="13"/>
  <c r="F343" i="13"/>
  <c r="F351" i="13"/>
  <c r="F353" i="13"/>
  <c r="F226" i="13"/>
  <c r="F228" i="13"/>
  <c r="F363" i="13"/>
  <c r="F150" i="13"/>
  <c r="F230" i="13"/>
  <c r="F369" i="13"/>
  <c r="F375" i="13"/>
  <c r="F384" i="13"/>
  <c r="F37" i="13"/>
  <c r="F240" i="13"/>
  <c r="F157" i="13"/>
  <c r="F434" i="13"/>
  <c r="F42" i="13"/>
  <c r="F453" i="13"/>
  <c r="F58" i="13"/>
  <c r="F457" i="13"/>
  <c r="F480" i="13"/>
  <c r="F482" i="13"/>
  <c r="F483" i="13"/>
  <c r="F170" i="13"/>
  <c r="F141" i="13"/>
  <c r="F60" i="13"/>
  <c r="F488" i="13"/>
  <c r="F262" i="13"/>
  <c r="F81" i="13"/>
  <c r="F505" i="13"/>
  <c r="F512" i="13"/>
  <c r="F513" i="13"/>
  <c r="F273" i="13"/>
  <c r="F523" i="13"/>
  <c r="F38" i="13"/>
  <c r="F144" i="13"/>
  <c r="F132" i="13"/>
  <c r="F560" i="13"/>
  <c r="F291" i="13"/>
  <c r="F3" i="13"/>
  <c r="F134" i="13"/>
  <c r="F584" i="13"/>
  <c r="F585" i="13"/>
  <c r="F599" i="13"/>
  <c r="F607" i="13"/>
  <c r="F609" i="13"/>
  <c r="F612" i="13"/>
  <c r="F613" i="13"/>
  <c r="F629" i="13"/>
  <c r="C113" i="13"/>
  <c r="C306" i="13"/>
  <c r="C320" i="13"/>
  <c r="C337" i="13"/>
  <c r="C21" i="13"/>
  <c r="C369" i="13"/>
  <c r="C374" i="13"/>
  <c r="C122" i="13"/>
  <c r="C81" i="13"/>
  <c r="C82" i="13"/>
  <c r="C207" i="13"/>
  <c r="C407" i="13"/>
  <c r="C88" i="13"/>
  <c r="C217" i="13"/>
  <c r="C4" i="13"/>
  <c r="C133" i="13"/>
  <c r="C439" i="13"/>
  <c r="C445" i="13"/>
  <c r="C459" i="13"/>
  <c r="C224" i="13"/>
  <c r="C226" i="13"/>
  <c r="C231" i="13"/>
  <c r="C488" i="13"/>
  <c r="C96" i="13"/>
  <c r="C141" i="13"/>
  <c r="C247" i="13"/>
  <c r="C38" i="13"/>
  <c r="C147" i="13"/>
  <c r="C541" i="13"/>
  <c r="C561" i="13"/>
  <c r="C158" i="13"/>
  <c r="C8" i="13"/>
  <c r="C567" i="13"/>
  <c r="C568" i="13"/>
  <c r="C268" i="13"/>
  <c r="C575" i="13"/>
  <c r="C579" i="13"/>
  <c r="C580" i="13"/>
  <c r="C161" i="13"/>
  <c r="C279" i="13"/>
  <c r="C599" i="13"/>
  <c r="C173" i="13"/>
  <c r="C293" i="13"/>
  <c r="C295" i="13"/>
  <c r="C176" i="13"/>
  <c r="C627" i="13"/>
  <c r="C67" i="13"/>
  <c r="C628" i="13"/>
  <c r="F147" i="13"/>
  <c r="F329" i="13"/>
  <c r="F342" i="13"/>
  <c r="F358" i="13"/>
  <c r="F233" i="13"/>
  <c r="F45" i="13"/>
  <c r="F389" i="13"/>
  <c r="F394" i="13"/>
  <c r="F154" i="13"/>
  <c r="F113" i="13"/>
  <c r="F114" i="13"/>
  <c r="F243" i="13"/>
  <c r="F424" i="13"/>
  <c r="F118" i="13"/>
  <c r="F251" i="13"/>
  <c r="F22" i="13"/>
  <c r="F166" i="13"/>
  <c r="F452" i="13"/>
  <c r="F458" i="13"/>
  <c r="F471" i="13"/>
  <c r="F258" i="13"/>
  <c r="F260" i="13"/>
  <c r="F264" i="13"/>
  <c r="F500" i="13"/>
  <c r="F126" i="13"/>
  <c r="F172" i="13"/>
  <c r="F277" i="13"/>
  <c r="F64" i="13"/>
  <c r="F143" i="13"/>
  <c r="F548" i="13"/>
  <c r="F566" i="13"/>
  <c r="F6" i="13"/>
  <c r="F26" i="13"/>
  <c r="F215" i="13"/>
  <c r="F572" i="13"/>
  <c r="F292" i="13"/>
  <c r="F14" i="13"/>
  <c r="F581" i="13"/>
  <c r="F582" i="13"/>
  <c r="F188" i="13"/>
  <c r="F302" i="13"/>
  <c r="F601" i="13"/>
  <c r="F199" i="13"/>
  <c r="F314" i="13"/>
  <c r="F316" i="13"/>
  <c r="F202" i="13"/>
  <c r="F627" i="13"/>
  <c r="F93" i="13"/>
  <c r="F628" i="13"/>
  <c r="N5" i="4"/>
  <c r="N9" i="2"/>
  <c r="C305" i="13"/>
  <c r="C315" i="13"/>
  <c r="C316" i="13"/>
  <c r="C326" i="13"/>
  <c r="C332" i="13"/>
  <c r="C339" i="13"/>
  <c r="C340" i="13"/>
  <c r="C75" i="13"/>
  <c r="C346" i="13"/>
  <c r="C352" i="13"/>
  <c r="C356" i="13"/>
  <c r="C371" i="13"/>
  <c r="C373" i="13"/>
  <c r="C80" i="13"/>
  <c r="C378" i="13"/>
  <c r="C22" i="13"/>
  <c r="C206" i="13"/>
  <c r="C387" i="13"/>
  <c r="C390" i="13"/>
  <c r="C404" i="13"/>
  <c r="C411" i="13"/>
  <c r="C421" i="13"/>
  <c r="C423" i="13"/>
  <c r="C92" i="13"/>
  <c r="C232" i="13"/>
  <c r="C10" i="13"/>
  <c r="C37" i="13"/>
  <c r="C519" i="13"/>
  <c r="C99" i="13"/>
  <c r="C252" i="13"/>
  <c r="C532" i="13"/>
  <c r="C542" i="13"/>
  <c r="C551" i="13"/>
  <c r="C262" i="13"/>
  <c r="C106" i="13"/>
  <c r="C160" i="13"/>
  <c r="C588" i="13"/>
  <c r="C598" i="13"/>
  <c r="C600" i="13"/>
  <c r="C603" i="13"/>
  <c r="C606" i="13"/>
  <c r="C110" i="13"/>
  <c r="C290" i="13"/>
  <c r="C621" i="13"/>
  <c r="C622" i="13"/>
  <c r="C623" i="13"/>
  <c r="C298" i="13"/>
  <c r="F328" i="13"/>
  <c r="F338" i="13"/>
  <c r="F339" i="13"/>
  <c r="F348" i="13"/>
  <c r="F207" i="13"/>
  <c r="F360" i="13"/>
  <c r="F361" i="13"/>
  <c r="F107" i="13"/>
  <c r="F366" i="13"/>
  <c r="F372" i="13"/>
  <c r="F376" i="13"/>
  <c r="F391" i="13"/>
  <c r="F393" i="13"/>
  <c r="F112" i="13"/>
  <c r="F398" i="13"/>
  <c r="F46" i="13"/>
  <c r="F242" i="13"/>
  <c r="F406" i="13"/>
  <c r="F409" i="13"/>
  <c r="F422" i="13"/>
  <c r="F428" i="13"/>
  <c r="F437" i="13"/>
  <c r="F439" i="13"/>
  <c r="F122" i="13"/>
  <c r="F265" i="13"/>
  <c r="F31" i="13"/>
  <c r="F63" i="13"/>
  <c r="F527" i="13"/>
  <c r="F130" i="13"/>
  <c r="F211" i="13"/>
  <c r="F540" i="13"/>
  <c r="F2" i="13"/>
  <c r="F557" i="13"/>
  <c r="F287" i="13"/>
  <c r="F135" i="13"/>
  <c r="F187" i="13"/>
  <c r="F590" i="13"/>
  <c r="F600" i="13"/>
  <c r="F602" i="13"/>
  <c r="F605" i="13"/>
  <c r="F608" i="13"/>
  <c r="F139" i="13"/>
  <c r="F312" i="13"/>
  <c r="F621" i="13"/>
  <c r="F622" i="13"/>
  <c r="F623" i="13"/>
  <c r="F319" i="13"/>
  <c r="N11" i="1"/>
  <c r="N11" i="6"/>
  <c r="B62" i="6"/>
  <c r="C189" i="13"/>
  <c r="C361" i="13"/>
  <c r="C363" i="13"/>
  <c r="C365" i="13"/>
  <c r="C370" i="13"/>
  <c r="C381" i="13"/>
  <c r="C382" i="13"/>
  <c r="C389" i="13"/>
  <c r="C394" i="13"/>
  <c r="C420" i="13"/>
  <c r="C422" i="13"/>
  <c r="C216" i="13"/>
  <c r="C134" i="13"/>
  <c r="C90" i="13"/>
  <c r="C443" i="13"/>
  <c r="C450" i="13"/>
  <c r="C456" i="13"/>
  <c r="C469" i="13"/>
  <c r="C474" i="13"/>
  <c r="C478" i="13"/>
  <c r="C479" i="13"/>
  <c r="C93" i="13"/>
  <c r="C486" i="13"/>
  <c r="C53" i="13"/>
  <c r="C489" i="13"/>
  <c r="C6" i="13"/>
  <c r="C515" i="13"/>
  <c r="C25" i="13"/>
  <c r="C59" i="13"/>
  <c r="C537" i="13"/>
  <c r="C538" i="13"/>
  <c r="C150" i="13"/>
  <c r="C256" i="13"/>
  <c r="C540" i="13"/>
  <c r="C153" i="13"/>
  <c r="C155" i="13"/>
  <c r="C560" i="13"/>
  <c r="C570" i="13"/>
  <c r="C19" i="13"/>
  <c r="C276" i="13"/>
  <c r="C63" i="13"/>
  <c r="C589" i="13"/>
  <c r="C593" i="13"/>
  <c r="C164" i="13"/>
  <c r="C109" i="13"/>
  <c r="C625" i="13"/>
  <c r="F4" i="13"/>
  <c r="F225" i="13"/>
  <c r="F381" i="13"/>
  <c r="F383" i="13"/>
  <c r="F385" i="13"/>
  <c r="F390" i="13"/>
  <c r="F322" i="13"/>
  <c r="F401" i="13"/>
  <c r="F408" i="13"/>
  <c r="F412" i="13"/>
  <c r="F436" i="13"/>
  <c r="F438" i="13"/>
  <c r="F250" i="13"/>
  <c r="F167" i="13"/>
  <c r="F120" i="13"/>
  <c r="F456" i="13"/>
  <c r="F462" i="13"/>
  <c r="F468" i="13"/>
  <c r="F481" i="13"/>
  <c r="F486" i="13"/>
  <c r="F490" i="13"/>
  <c r="F491" i="13"/>
  <c r="F123" i="13"/>
  <c r="F498" i="13"/>
  <c r="F68" i="13"/>
  <c r="F501" i="13"/>
  <c r="F321" i="13"/>
  <c r="F24" i="13"/>
  <c r="F524" i="13"/>
  <c r="F48" i="13"/>
  <c r="F51" i="13"/>
  <c r="F544" i="13"/>
  <c r="F545" i="13"/>
  <c r="F178" i="13"/>
  <c r="F282" i="13"/>
  <c r="F547" i="13"/>
  <c r="F181" i="13"/>
  <c r="F183" i="13"/>
  <c r="F574" i="13"/>
  <c r="F40" i="13"/>
  <c r="F299" i="13"/>
  <c r="F89" i="13"/>
  <c r="F591" i="13"/>
  <c r="F595" i="13"/>
  <c r="F190" i="13"/>
  <c r="F138" i="13"/>
  <c r="F625" i="13"/>
  <c r="C180" i="13"/>
  <c r="C307" i="13"/>
  <c r="C313" i="13"/>
  <c r="C314" i="13"/>
  <c r="C317" i="13"/>
  <c r="F216" i="13"/>
  <c r="F330" i="13"/>
  <c r="F336" i="13"/>
  <c r="F337" i="13"/>
  <c r="F340" i="13"/>
  <c r="J42" i="13"/>
  <c r="I42" i="13"/>
  <c r="N7" i="6"/>
  <c r="J32" i="6"/>
  <c r="E32" i="6"/>
  <c r="B59" i="12"/>
  <c r="B64" i="7"/>
  <c r="B58" i="11"/>
  <c r="B52" i="10"/>
  <c r="B51" i="9"/>
  <c r="B54" i="5"/>
  <c r="B58" i="4"/>
  <c r="B57" i="3"/>
  <c r="B57" i="2"/>
  <c r="B57" i="1"/>
  <c r="G57" i="3"/>
  <c r="G59" i="12"/>
  <c r="G64" i="7"/>
  <c r="G52" i="10"/>
  <c r="G51" i="9"/>
  <c r="G52" i="8"/>
  <c r="G54" i="5"/>
  <c r="G58" i="4"/>
  <c r="G57" i="2"/>
  <c r="I75" i="13"/>
  <c r="I28" i="13"/>
  <c r="I16" i="13"/>
  <c r="I37" i="13"/>
  <c r="I47" i="13"/>
  <c r="I73" i="13"/>
  <c r="I74" i="13"/>
  <c r="I5" i="13"/>
  <c r="I63" i="13"/>
  <c r="I38" i="13"/>
  <c r="I69" i="13"/>
  <c r="I12" i="13"/>
  <c r="I19" i="13"/>
  <c r="I8" i="13"/>
  <c r="I66" i="13"/>
  <c r="I52" i="13"/>
  <c r="I70" i="13"/>
  <c r="I34" i="13"/>
  <c r="I13" i="13"/>
  <c r="G57" i="1"/>
  <c r="I31" i="13"/>
  <c r="I32" i="13"/>
  <c r="I17" i="13"/>
  <c r="I54" i="13"/>
  <c r="I45" i="13"/>
  <c r="I64" i="13"/>
  <c r="I11" i="13"/>
  <c r="I3" i="13"/>
  <c r="I46" i="13"/>
  <c r="I71" i="13"/>
  <c r="I2" i="13"/>
  <c r="I57" i="13"/>
  <c r="I26" i="13"/>
  <c r="I43" i="13"/>
  <c r="I25" i="13"/>
  <c r="I30" i="13"/>
  <c r="I76" i="13"/>
  <c r="I48" i="13"/>
  <c r="I9" i="13"/>
  <c r="I72" i="13"/>
  <c r="I4" i="13"/>
  <c r="I15" i="13"/>
  <c r="I39" i="13"/>
  <c r="I77" i="13"/>
  <c r="I44" i="13"/>
  <c r="I20" i="13"/>
  <c r="I56" i="13"/>
  <c r="I7" i="13"/>
  <c r="I6" i="13"/>
  <c r="I27" i="13"/>
  <c r="I59" i="13"/>
  <c r="I18" i="13"/>
  <c r="I61" i="13"/>
  <c r="I29" i="13"/>
  <c r="I58" i="13"/>
  <c r="I49" i="13"/>
  <c r="I21" i="13"/>
  <c r="I62" i="13"/>
  <c r="I10" i="13"/>
  <c r="I65" i="13"/>
  <c r="G62" i="6"/>
  <c r="N32" i="11"/>
  <c r="J9" i="6"/>
  <c r="E9" i="6"/>
  <c r="J5" i="6"/>
  <c r="E5" i="6"/>
  <c r="J44" i="2"/>
  <c r="E44" i="2"/>
  <c r="N30" i="7"/>
  <c r="N31" i="7"/>
  <c r="J45" i="1"/>
  <c r="E45" i="1"/>
  <c r="J34" i="3"/>
  <c r="E34" i="3"/>
  <c r="N29" i="11"/>
  <c r="J45" i="9"/>
  <c r="E45" i="9"/>
  <c r="J11" i="8"/>
  <c r="E11" i="8"/>
  <c r="J17" i="8"/>
  <c r="E17" i="8"/>
  <c r="J23" i="6"/>
  <c r="E23" i="6"/>
  <c r="J54" i="7"/>
  <c r="J61" i="7"/>
  <c r="E61" i="7"/>
  <c r="J47" i="10"/>
  <c r="E47" i="10"/>
  <c r="N27" i="3"/>
  <c r="N23" i="4"/>
  <c r="N22" i="4"/>
  <c r="J5" i="4"/>
  <c r="E5" i="4"/>
  <c r="J30" i="4"/>
  <c r="E30" i="4"/>
  <c r="N27" i="2"/>
  <c r="H59" i="12"/>
  <c r="D59" i="12"/>
  <c r="C59" i="12"/>
  <c r="I59" i="12"/>
  <c r="J41" i="10"/>
  <c r="J50" i="10"/>
  <c r="E50" i="10"/>
  <c r="J10" i="10"/>
  <c r="E10" i="10"/>
  <c r="N33" i="10"/>
  <c r="N29" i="10"/>
  <c r="T28" i="10"/>
  <c r="E41" i="10"/>
  <c r="J7" i="10"/>
  <c r="E7" i="10"/>
  <c r="J12" i="10"/>
  <c r="E12" i="10"/>
  <c r="J55" i="7"/>
  <c r="E55" i="7"/>
  <c r="J8" i="7"/>
  <c r="E8" i="7"/>
  <c r="N28" i="7"/>
  <c r="J18" i="8"/>
  <c r="E18" i="8"/>
  <c r="N29" i="12"/>
  <c r="N28" i="12"/>
  <c r="N30" i="1"/>
  <c r="N26" i="1"/>
  <c r="N25" i="6"/>
  <c r="J46" i="3"/>
  <c r="E46" i="3"/>
  <c r="N27" i="5"/>
  <c r="N25" i="5"/>
  <c r="J33" i="5"/>
  <c r="E33" i="5"/>
  <c r="N28" i="2"/>
  <c r="J55" i="2"/>
  <c r="E55" i="2"/>
  <c r="Q26" i="12"/>
  <c r="N26" i="12"/>
  <c r="N27" i="12"/>
  <c r="N33" i="7"/>
  <c r="N30" i="11"/>
  <c r="N27" i="11"/>
  <c r="N31" i="10"/>
  <c r="N32" i="9"/>
  <c r="N31" i="9"/>
  <c r="N24" i="8"/>
  <c r="N23" i="8"/>
  <c r="N26" i="5"/>
  <c r="N21" i="4"/>
  <c r="N24" i="3"/>
  <c r="N25" i="3"/>
  <c r="N26" i="2"/>
  <c r="N26" i="6"/>
  <c r="N27" i="6"/>
  <c r="N24" i="6"/>
  <c r="J39" i="4"/>
  <c r="J40" i="4"/>
  <c r="J22" i="4"/>
  <c r="J8" i="3"/>
  <c r="J17" i="3"/>
  <c r="J25" i="3"/>
  <c r="J41" i="3"/>
  <c r="E38" i="11"/>
  <c r="J38" i="11"/>
  <c r="J31" i="9"/>
  <c r="E31" i="9"/>
  <c r="E22" i="4"/>
  <c r="E41" i="3"/>
  <c r="E25" i="3"/>
  <c r="E8" i="3"/>
  <c r="E42" i="12"/>
  <c r="J42" i="12"/>
  <c r="J21" i="12"/>
  <c r="E21" i="12"/>
  <c r="J36" i="12"/>
  <c r="E36" i="12"/>
  <c r="J16" i="7"/>
  <c r="E16" i="7"/>
  <c r="J50" i="7"/>
  <c r="E50" i="7"/>
  <c r="J54" i="11"/>
  <c r="E54" i="11"/>
  <c r="J46" i="11"/>
  <c r="E46" i="11"/>
  <c r="J51" i="11"/>
  <c r="E51" i="11"/>
  <c r="J32" i="11"/>
  <c r="E32" i="11"/>
  <c r="J36" i="10"/>
  <c r="J17" i="10"/>
  <c r="E17" i="10"/>
  <c r="J33" i="8"/>
  <c r="E33" i="8"/>
  <c r="J28" i="5"/>
  <c r="E28" i="5"/>
  <c r="J15" i="5"/>
  <c r="E15" i="5"/>
  <c r="J24" i="2"/>
  <c r="E24" i="2"/>
  <c r="J54" i="2"/>
  <c r="E54" i="2"/>
  <c r="N27" i="1"/>
  <c r="Q25" i="1"/>
  <c r="Q29" i="12"/>
  <c r="Q28" i="12"/>
  <c r="Q27" i="12"/>
  <c r="Q20" i="12"/>
  <c r="Q19" i="12"/>
  <c r="Q17" i="12"/>
  <c r="Q16" i="12"/>
  <c r="Q15" i="12"/>
  <c r="V7" i="12"/>
  <c r="V4" i="12"/>
  <c r="Q31" i="7"/>
  <c r="Q30" i="7"/>
  <c r="Q26" i="7"/>
  <c r="Q19" i="7"/>
  <c r="Q18" i="7"/>
  <c r="Q17" i="7"/>
  <c r="V11" i="7"/>
  <c r="V9" i="7"/>
  <c r="V8" i="7"/>
  <c r="Q31" i="11"/>
  <c r="Q28" i="11"/>
  <c r="Q27" i="11"/>
  <c r="Q22" i="11"/>
  <c r="Q18" i="11"/>
  <c r="Q17" i="11"/>
  <c r="V7" i="11"/>
  <c r="V6" i="11"/>
  <c r="V5" i="11"/>
  <c r="V4" i="11"/>
  <c r="Q32" i="10"/>
  <c r="Q31" i="10"/>
  <c r="Q30" i="10"/>
  <c r="Q23" i="10"/>
  <c r="Q21" i="10"/>
  <c r="Q20" i="10"/>
  <c r="V13" i="10"/>
  <c r="V8" i="10"/>
  <c r="V7" i="10"/>
  <c r="V6" i="10"/>
  <c r="V5" i="10"/>
  <c r="V4" i="10"/>
  <c r="Q34" i="9"/>
  <c r="Q33" i="9"/>
  <c r="Q31" i="9"/>
  <c r="Q17" i="9"/>
  <c r="Q16" i="9"/>
  <c r="Q15" i="9"/>
  <c r="V10" i="9"/>
  <c r="V7" i="9"/>
  <c r="V5" i="9"/>
  <c r="V4" i="9"/>
  <c r="T13" i="8"/>
  <c r="Q26" i="5"/>
  <c r="V4" i="5"/>
  <c r="Q23" i="4"/>
  <c r="Q22" i="4"/>
  <c r="Q15" i="4"/>
  <c r="Q13" i="4"/>
  <c r="V5" i="4"/>
  <c r="V4" i="4"/>
  <c r="Q28" i="2"/>
  <c r="Q27" i="2"/>
  <c r="Q20" i="2"/>
  <c r="Q17" i="2"/>
  <c r="V9" i="2"/>
  <c r="V7" i="2"/>
  <c r="Q28" i="3"/>
  <c r="Q27" i="3"/>
  <c r="Q26" i="3"/>
  <c r="Q24" i="3"/>
  <c r="Q18" i="3"/>
  <c r="Q15" i="3"/>
  <c r="Q14" i="3"/>
  <c r="V8" i="3"/>
  <c r="V7" i="3"/>
  <c r="Q27" i="6"/>
  <c r="Q26" i="6"/>
  <c r="Q24" i="6"/>
  <c r="Q19" i="6"/>
  <c r="Q17" i="6"/>
  <c r="Q16" i="6"/>
  <c r="V11" i="6"/>
  <c r="V9" i="6"/>
  <c r="V6" i="6"/>
  <c r="V4" i="6"/>
  <c r="Q30" i="1"/>
  <c r="Q27" i="1"/>
  <c r="Q26" i="1"/>
  <c r="Q20" i="1"/>
  <c r="Q19" i="1"/>
  <c r="Q18" i="1"/>
  <c r="V11" i="1"/>
  <c r="V5" i="1"/>
  <c r="I55" i="13"/>
  <c r="J5" i="5"/>
  <c r="E5" i="5"/>
  <c r="I52" i="8"/>
  <c r="H52" i="8"/>
  <c r="D52" i="8"/>
  <c r="C52" i="8"/>
  <c r="J3" i="8"/>
  <c r="E3" i="8"/>
  <c r="I58" i="11"/>
  <c r="H58" i="11"/>
  <c r="D58" i="11"/>
  <c r="C58" i="11"/>
  <c r="J3" i="11"/>
  <c r="E3" i="11"/>
  <c r="J38" i="10"/>
  <c r="E38" i="10"/>
  <c r="J33" i="9"/>
  <c r="E33" i="9"/>
  <c r="E50" i="9"/>
  <c r="J13" i="6"/>
  <c r="E13" i="6"/>
  <c r="J17" i="5"/>
  <c r="E17" i="5"/>
  <c r="J15" i="12"/>
  <c r="E15" i="12"/>
  <c r="I57" i="3"/>
  <c r="H57" i="3"/>
  <c r="D57" i="3"/>
  <c r="C57" i="3"/>
  <c r="J8" i="8"/>
  <c r="E8" i="8"/>
  <c r="J5" i="10"/>
  <c r="E5" i="10"/>
  <c r="J7" i="9"/>
  <c r="E7" i="9"/>
  <c r="J44" i="5"/>
  <c r="E44" i="5"/>
  <c r="J19" i="6"/>
  <c r="E19" i="6"/>
  <c r="J27" i="1"/>
  <c r="E27" i="1"/>
  <c r="J28" i="2"/>
  <c r="E28" i="2"/>
  <c r="J46" i="6"/>
  <c r="E46" i="6"/>
  <c r="J41" i="4"/>
  <c r="E41" i="4"/>
  <c r="J21" i="11"/>
  <c r="E21" i="11"/>
  <c r="J13" i="10"/>
  <c r="E13" i="10"/>
  <c r="J55" i="1"/>
  <c r="E55" i="1"/>
  <c r="J54" i="3"/>
  <c r="E54" i="3"/>
  <c r="J24" i="11"/>
  <c r="E24" i="11"/>
  <c r="J43" i="9"/>
  <c r="E43" i="9"/>
  <c r="J12" i="9"/>
  <c r="E12" i="9"/>
  <c r="J34" i="13"/>
  <c r="J10" i="11"/>
  <c r="E10" i="11"/>
  <c r="J25" i="2"/>
  <c r="E25" i="2"/>
  <c r="J7" i="7"/>
  <c r="E7" i="7"/>
  <c r="J21" i="13"/>
  <c r="J14" i="10"/>
  <c r="E14" i="10"/>
  <c r="J31" i="13"/>
  <c r="J15" i="6"/>
  <c r="E15" i="6"/>
  <c r="I52" i="10"/>
  <c r="H52" i="10"/>
  <c r="D52" i="10"/>
  <c r="C52" i="10"/>
  <c r="J27" i="4"/>
  <c r="E27" i="4"/>
  <c r="J7" i="6"/>
  <c r="E7" i="6"/>
  <c r="J46" i="13"/>
  <c r="J39" i="2"/>
  <c r="E39" i="2"/>
  <c r="J11" i="5"/>
  <c r="E11" i="5"/>
  <c r="J23" i="11"/>
  <c r="E23" i="11"/>
  <c r="J26" i="7"/>
  <c r="E26" i="7"/>
  <c r="J4" i="7"/>
  <c r="E4" i="7"/>
  <c r="J10" i="3"/>
  <c r="E10" i="3"/>
  <c r="J13" i="3"/>
  <c r="E13" i="3"/>
  <c r="J48" i="3"/>
  <c r="E48" i="3"/>
  <c r="J51" i="1"/>
  <c r="E51" i="1"/>
  <c r="T33" i="9"/>
  <c r="J49" i="10"/>
  <c r="E49" i="10"/>
  <c r="J48" i="5"/>
  <c r="E48" i="5"/>
  <c r="AI18" i="3"/>
  <c r="AL18" i="3"/>
  <c r="W18" i="3"/>
  <c r="T18" i="3"/>
  <c r="J9" i="5"/>
  <c r="E9" i="5"/>
  <c r="J36" i="9"/>
  <c r="E36" i="9"/>
  <c r="J23" i="12"/>
  <c r="E23" i="12"/>
  <c r="Y9" i="7"/>
  <c r="J12" i="13"/>
  <c r="AK20" i="1"/>
  <c r="J37" i="12"/>
  <c r="E37" i="12"/>
  <c r="J33" i="12"/>
  <c r="E33" i="12"/>
  <c r="J14" i="12"/>
  <c r="E14" i="12"/>
  <c r="J13" i="12"/>
  <c r="E13" i="12"/>
  <c r="J11" i="12"/>
  <c r="E11" i="12"/>
  <c r="J44" i="11"/>
  <c r="E44" i="11"/>
  <c r="J19" i="11"/>
  <c r="E19" i="11"/>
  <c r="J42" i="8"/>
  <c r="E42" i="8"/>
  <c r="J3" i="10"/>
  <c r="E3" i="10"/>
  <c r="AN8" i="6"/>
  <c r="AK8" i="6"/>
  <c r="W16" i="6"/>
  <c r="J7" i="8"/>
  <c r="E7" i="8"/>
  <c r="J32" i="4"/>
  <c r="E32" i="4"/>
  <c r="J48" i="1"/>
  <c r="E48" i="1"/>
  <c r="I64" i="7"/>
  <c r="J63" i="7"/>
  <c r="H64" i="7"/>
  <c r="D64" i="7"/>
  <c r="E63" i="7"/>
  <c r="C64" i="7"/>
  <c r="J19" i="13"/>
  <c r="W20" i="12"/>
  <c r="Y4" i="12"/>
  <c r="AH4" i="12"/>
  <c r="T29" i="12"/>
  <c r="T17" i="12"/>
  <c r="T16" i="12"/>
  <c r="T15" i="12"/>
  <c r="Y10" i="12"/>
  <c r="Y7" i="12"/>
  <c r="Y6" i="12"/>
  <c r="Y5" i="12"/>
  <c r="J49" i="12"/>
  <c r="J29" i="12"/>
  <c r="J26" i="12"/>
  <c r="J57" i="12"/>
  <c r="E57" i="12"/>
  <c r="J18" i="12"/>
  <c r="E18" i="12"/>
  <c r="J55" i="12"/>
  <c r="E55" i="12"/>
  <c r="J53" i="12"/>
  <c r="E53" i="12"/>
  <c r="J34" i="12"/>
  <c r="E34" i="12"/>
  <c r="J20" i="12"/>
  <c r="E20" i="12"/>
  <c r="J16" i="12"/>
  <c r="E16" i="12"/>
  <c r="J8" i="12"/>
  <c r="E8" i="12"/>
  <c r="J9" i="12"/>
  <c r="E9" i="12"/>
  <c r="AH9" i="7"/>
  <c r="AK9" i="7"/>
  <c r="AN9" i="7"/>
  <c r="W30" i="7"/>
  <c r="T33" i="7"/>
  <c r="T32" i="7"/>
  <c r="T28" i="7"/>
  <c r="W18" i="7"/>
  <c r="T17" i="7"/>
  <c r="T16" i="7"/>
  <c r="Y11" i="7"/>
  <c r="Y4" i="7"/>
  <c r="J21" i="7"/>
  <c r="E21" i="7"/>
  <c r="J6" i="7"/>
  <c r="E6" i="7"/>
  <c r="J58" i="7"/>
  <c r="E58" i="7"/>
  <c r="J34" i="7"/>
  <c r="E34" i="7"/>
  <c r="J12" i="7"/>
  <c r="E12" i="7"/>
  <c r="J47" i="7"/>
  <c r="E47" i="7"/>
  <c r="J37" i="7"/>
  <c r="E37" i="7"/>
  <c r="J31" i="7"/>
  <c r="E31" i="7"/>
  <c r="J40" i="7"/>
  <c r="E40" i="7"/>
  <c r="J51" i="7"/>
  <c r="E51" i="7"/>
  <c r="J48" i="7"/>
  <c r="E48" i="7"/>
  <c r="J26" i="13"/>
  <c r="J37" i="13"/>
  <c r="AH30" i="11"/>
  <c r="T31" i="11"/>
  <c r="T28" i="11"/>
  <c r="T17" i="11"/>
  <c r="AH20" i="11"/>
  <c r="AH18" i="11"/>
  <c r="AH17" i="11"/>
  <c r="AK20" i="11"/>
  <c r="AK17" i="11"/>
  <c r="Y8" i="11"/>
  <c r="Y7" i="11"/>
  <c r="Y5" i="11"/>
  <c r="Y4" i="11"/>
  <c r="J52" i="11"/>
  <c r="J50" i="11"/>
  <c r="J36" i="11"/>
  <c r="J56" i="11"/>
  <c r="E56" i="11"/>
  <c r="J41" i="11"/>
  <c r="E41" i="11"/>
  <c r="J27" i="11"/>
  <c r="E27" i="11"/>
  <c r="J50" i="13"/>
  <c r="T34" i="10"/>
  <c r="T30" i="10"/>
  <c r="AH18" i="10"/>
  <c r="T23" i="10"/>
  <c r="T20" i="10"/>
  <c r="T18" i="10"/>
  <c r="Y7" i="10"/>
  <c r="Y5" i="10"/>
  <c r="Y4" i="10"/>
  <c r="J37" i="10"/>
  <c r="E37" i="10"/>
  <c r="J23" i="10"/>
  <c r="E23" i="10"/>
  <c r="J43" i="8"/>
  <c r="E43" i="8"/>
  <c r="AH15" i="9"/>
  <c r="T31" i="9"/>
  <c r="AK15" i="9"/>
  <c r="W15" i="9"/>
  <c r="T20" i="9"/>
  <c r="T19" i="9"/>
  <c r="T18" i="9"/>
  <c r="T15" i="9"/>
  <c r="AK4" i="9"/>
  <c r="AH4" i="9"/>
  <c r="Y10" i="9"/>
  <c r="Y7" i="9"/>
  <c r="Y5" i="9"/>
  <c r="Y4" i="9"/>
  <c r="J22" i="9"/>
  <c r="J21" i="9"/>
  <c r="J26" i="9"/>
  <c r="E26" i="9"/>
  <c r="J10" i="9"/>
  <c r="E10" i="9"/>
  <c r="I51" i="9"/>
  <c r="H51" i="9"/>
  <c r="D51" i="9"/>
  <c r="C51" i="9"/>
  <c r="J44" i="9"/>
  <c r="E44" i="9"/>
  <c r="J3" i="9"/>
  <c r="E3" i="9"/>
  <c r="J17" i="9"/>
  <c r="E17" i="9"/>
  <c r="J11" i="9"/>
  <c r="E11" i="9"/>
  <c r="J34" i="9"/>
  <c r="E34" i="9"/>
  <c r="J44" i="13"/>
  <c r="J20" i="13"/>
  <c r="J16" i="8"/>
  <c r="E16" i="8"/>
  <c r="J5" i="8"/>
  <c r="E5" i="8"/>
  <c r="J14" i="8"/>
  <c r="E14" i="8"/>
  <c r="J39" i="8"/>
  <c r="E39" i="8"/>
  <c r="J40" i="8"/>
  <c r="E40" i="8"/>
  <c r="J4" i="8"/>
  <c r="E4" i="8"/>
  <c r="J26" i="8"/>
  <c r="E26" i="8"/>
  <c r="J39" i="13"/>
  <c r="J15" i="13"/>
  <c r="AG24" i="5"/>
  <c r="T26" i="5"/>
  <c r="T25" i="5"/>
  <c r="Y4" i="5"/>
  <c r="J47" i="5"/>
  <c r="E47" i="5"/>
  <c r="J41" i="5"/>
  <c r="E41" i="5"/>
  <c r="E39" i="5"/>
  <c r="J39" i="5"/>
  <c r="J38" i="5"/>
  <c r="E38" i="5"/>
  <c r="J8" i="5"/>
  <c r="E8" i="5"/>
  <c r="J43" i="13"/>
  <c r="T23" i="4"/>
  <c r="T15" i="4"/>
  <c r="T13" i="4"/>
  <c r="Y5" i="4"/>
  <c r="Y4" i="4"/>
  <c r="J49" i="4"/>
  <c r="E49" i="4"/>
  <c r="J50" i="4"/>
  <c r="E50" i="4"/>
  <c r="J19" i="4"/>
  <c r="E19" i="4"/>
  <c r="J18" i="4"/>
  <c r="E18" i="4"/>
  <c r="J17" i="4"/>
  <c r="E17" i="4"/>
  <c r="J4" i="4"/>
  <c r="E4" i="4"/>
  <c r="AI28" i="3"/>
  <c r="AI27" i="3"/>
  <c r="AI14" i="3"/>
  <c r="AL14" i="3"/>
  <c r="AL15" i="3"/>
  <c r="AL17" i="3"/>
  <c r="T28" i="3"/>
  <c r="T27" i="3"/>
  <c r="T24" i="3"/>
  <c r="T15" i="3"/>
  <c r="T14" i="3"/>
  <c r="Y8" i="3"/>
  <c r="Y7" i="3"/>
  <c r="Y4" i="3"/>
  <c r="AN7" i="3"/>
  <c r="AK7" i="3"/>
  <c r="AH7" i="3"/>
  <c r="E17" i="3"/>
  <c r="J30" i="3"/>
  <c r="E30" i="3"/>
  <c r="J28" i="3"/>
  <c r="E28" i="3"/>
  <c r="J20" i="3"/>
  <c r="E20" i="3"/>
  <c r="J11" i="3"/>
  <c r="E11" i="3"/>
  <c r="J7" i="3"/>
  <c r="E7" i="3"/>
  <c r="AG29" i="2"/>
  <c r="AG26" i="2"/>
  <c r="AG19" i="2"/>
  <c r="AG18" i="2"/>
  <c r="AG17" i="2"/>
  <c r="T27" i="2"/>
  <c r="T20" i="2"/>
  <c r="T17" i="2"/>
  <c r="Y9" i="2"/>
  <c r="Y8" i="2"/>
  <c r="Y7" i="2"/>
  <c r="E22" i="2"/>
  <c r="J22" i="2"/>
  <c r="J17" i="13"/>
  <c r="J32" i="13"/>
  <c r="J52" i="6"/>
  <c r="E52" i="6"/>
  <c r="W27" i="6"/>
  <c r="J41" i="6"/>
  <c r="E41" i="6"/>
  <c r="J43" i="6"/>
  <c r="E43" i="6"/>
  <c r="J40" i="1"/>
  <c r="E40" i="1"/>
  <c r="J35" i="1"/>
  <c r="E35" i="1"/>
  <c r="J32" i="1"/>
  <c r="E32" i="1"/>
  <c r="J18" i="1"/>
  <c r="E18" i="1"/>
  <c r="J16" i="1"/>
  <c r="E16" i="1"/>
  <c r="J14" i="1"/>
  <c r="E14" i="1"/>
  <c r="J12" i="1"/>
  <c r="E12" i="1"/>
  <c r="J3" i="1"/>
  <c r="E3" i="1"/>
  <c r="T26" i="1"/>
  <c r="T20" i="1"/>
  <c r="T19" i="1"/>
  <c r="Y11" i="1"/>
  <c r="Y8" i="1"/>
  <c r="Y5" i="1"/>
  <c r="J44" i="3"/>
  <c r="E44" i="3"/>
  <c r="J3" i="5"/>
  <c r="J4" i="5"/>
  <c r="J6" i="5"/>
  <c r="J7" i="5"/>
  <c r="J10" i="5"/>
  <c r="J12" i="5"/>
  <c r="J13" i="5"/>
  <c r="J14" i="5"/>
  <c r="J16" i="5"/>
  <c r="J18" i="5"/>
  <c r="J19" i="5"/>
  <c r="J21" i="5"/>
  <c r="J22" i="5"/>
  <c r="J24" i="5"/>
  <c r="J27" i="5"/>
  <c r="J29" i="5"/>
  <c r="J30" i="5"/>
  <c r="J31" i="5"/>
  <c r="J32" i="5"/>
  <c r="J34" i="5"/>
  <c r="J36" i="5"/>
  <c r="J37" i="5"/>
  <c r="J40" i="5"/>
  <c r="J42" i="5"/>
  <c r="J43" i="5"/>
  <c r="J45" i="5"/>
  <c r="J46" i="5"/>
  <c r="J49" i="5"/>
  <c r="J50" i="5"/>
  <c r="J51" i="5"/>
  <c r="J52" i="5"/>
  <c r="J53" i="5"/>
  <c r="H54" i="5"/>
  <c r="I54" i="5"/>
  <c r="J12" i="11"/>
  <c r="E12" i="11"/>
  <c r="J5" i="9"/>
  <c r="E5" i="9"/>
  <c r="I57" i="1"/>
  <c r="J56" i="1"/>
  <c r="H57" i="1"/>
  <c r="D57" i="1"/>
  <c r="E56" i="1"/>
  <c r="C57" i="1"/>
  <c r="J6" i="1"/>
  <c r="E6" i="1"/>
  <c r="J38" i="1"/>
  <c r="E38" i="1"/>
  <c r="J50" i="1"/>
  <c r="E50" i="1"/>
  <c r="J10" i="2"/>
  <c r="E10" i="2"/>
  <c r="I50" i="13"/>
  <c r="J39" i="10"/>
  <c r="E39" i="10"/>
  <c r="E36" i="5"/>
  <c r="J6" i="6"/>
  <c r="E6" i="6"/>
  <c r="J19" i="1"/>
  <c r="E19" i="1"/>
  <c r="J45" i="2"/>
  <c r="E45" i="2"/>
  <c r="J34" i="11"/>
  <c r="E34" i="11"/>
  <c r="E36" i="11"/>
  <c r="J57" i="4"/>
  <c r="E57" i="4"/>
  <c r="J29" i="10"/>
  <c r="E29" i="10"/>
  <c r="J17" i="7"/>
  <c r="E17" i="7"/>
  <c r="E30" i="5"/>
  <c r="I62" i="6"/>
  <c r="H62" i="6"/>
  <c r="D62" i="6"/>
  <c r="C62" i="6"/>
  <c r="J31" i="6"/>
  <c r="E31" i="6"/>
  <c r="J19" i="10"/>
  <c r="E19" i="10"/>
  <c r="J11" i="1"/>
  <c r="E11" i="1"/>
  <c r="J47" i="11"/>
  <c r="E47" i="11"/>
  <c r="W20" i="1"/>
  <c r="J22" i="3"/>
  <c r="E22" i="3"/>
  <c r="J5" i="13"/>
  <c r="J42" i="3"/>
  <c r="E42" i="3"/>
  <c r="J52" i="7"/>
  <c r="E52" i="7"/>
  <c r="J46" i="10"/>
  <c r="E46" i="10"/>
  <c r="J25" i="4"/>
  <c r="E25" i="4"/>
  <c r="J12" i="4"/>
  <c r="E12" i="4"/>
  <c r="J3" i="3"/>
  <c r="J5" i="3"/>
  <c r="J6" i="3"/>
  <c r="J9" i="3"/>
  <c r="J12" i="3"/>
  <c r="J14" i="3"/>
  <c r="J15" i="3"/>
  <c r="J16" i="3"/>
  <c r="J18" i="3"/>
  <c r="J19" i="3"/>
  <c r="J24" i="3"/>
  <c r="J26" i="3"/>
  <c r="J27" i="3"/>
  <c r="J29" i="3"/>
  <c r="J31" i="3"/>
  <c r="J32" i="3"/>
  <c r="J33" i="3"/>
  <c r="J35" i="3"/>
  <c r="J36" i="3"/>
  <c r="J37" i="3"/>
  <c r="J38" i="3"/>
  <c r="J39" i="3"/>
  <c r="J40" i="3"/>
  <c r="J43" i="3"/>
  <c r="J45" i="3"/>
  <c r="J47" i="3"/>
  <c r="J50" i="3"/>
  <c r="J51" i="3"/>
  <c r="J52" i="3"/>
  <c r="J53" i="3"/>
  <c r="J55" i="3"/>
  <c r="J56" i="3"/>
  <c r="E18" i="5"/>
  <c r="E49" i="5"/>
  <c r="J32" i="9"/>
  <c r="E32" i="9"/>
  <c r="J30" i="9"/>
  <c r="E30" i="9"/>
  <c r="J9" i="7"/>
  <c r="E9" i="7"/>
  <c r="J30" i="12"/>
  <c r="E30" i="12"/>
  <c r="J18" i="13"/>
  <c r="E21" i="9"/>
  <c r="J18" i="9"/>
  <c r="E18" i="9"/>
  <c r="J41" i="7"/>
  <c r="E41" i="7"/>
  <c r="E27" i="3"/>
  <c r="E40" i="5"/>
  <c r="J17" i="1"/>
  <c r="E17" i="1"/>
  <c r="J26" i="4"/>
  <c r="E26" i="4"/>
  <c r="J20" i="4"/>
  <c r="E20" i="4"/>
  <c r="J31" i="11"/>
  <c r="E31" i="11"/>
  <c r="J51" i="10"/>
  <c r="E51" i="10"/>
  <c r="E47" i="3"/>
  <c r="J3" i="6"/>
  <c r="E3" i="6"/>
  <c r="J8" i="13"/>
  <c r="E29" i="12"/>
  <c r="J46" i="8"/>
  <c r="E46" i="8"/>
  <c r="E38" i="3"/>
  <c r="E3" i="3"/>
  <c r="J49" i="13"/>
  <c r="E27" i="5"/>
  <c r="J47" i="4"/>
  <c r="E47" i="4"/>
  <c r="J21" i="8"/>
  <c r="E21" i="8"/>
  <c r="J36" i="8"/>
  <c r="J35" i="8"/>
  <c r="E36" i="8"/>
  <c r="E35" i="8"/>
  <c r="J23" i="8"/>
  <c r="E23" i="8"/>
  <c r="J25" i="8"/>
  <c r="E25" i="8"/>
  <c r="J9" i="8"/>
  <c r="E9" i="8"/>
  <c r="J45" i="12"/>
  <c r="E45" i="12"/>
  <c r="J27" i="12"/>
  <c r="E27" i="12"/>
  <c r="J25" i="12"/>
  <c r="E25" i="12"/>
  <c r="J57" i="7"/>
  <c r="E57" i="7"/>
  <c r="J29" i="7"/>
  <c r="E29" i="7"/>
  <c r="J23" i="7"/>
  <c r="E23" i="7"/>
  <c r="J14" i="7"/>
  <c r="E14" i="7"/>
  <c r="J42" i="10"/>
  <c r="E42" i="10"/>
  <c r="J32" i="10"/>
  <c r="E32" i="10"/>
  <c r="J24" i="10"/>
  <c r="E24" i="10"/>
  <c r="J22" i="10"/>
  <c r="E22" i="10"/>
  <c r="E11" i="10"/>
  <c r="J11" i="10"/>
  <c r="J6" i="10"/>
  <c r="E6" i="10"/>
  <c r="J48" i="2"/>
  <c r="E48" i="2"/>
  <c r="J16" i="6"/>
  <c r="E16" i="6"/>
  <c r="AN5" i="1"/>
  <c r="AK5" i="1"/>
  <c r="AH5" i="1"/>
  <c r="J45" i="13"/>
  <c r="J47" i="1"/>
  <c r="E47" i="1"/>
  <c r="J36" i="1"/>
  <c r="E36" i="1"/>
  <c r="J4" i="13"/>
  <c r="AN4" i="5"/>
  <c r="AK4" i="5"/>
  <c r="AH4" i="5"/>
  <c r="E31" i="5"/>
  <c r="E21" i="5"/>
  <c r="E14" i="5"/>
  <c r="J56" i="12"/>
  <c r="E56" i="12"/>
  <c r="J30" i="6"/>
  <c r="E30" i="6"/>
  <c r="J51" i="6"/>
  <c r="E51" i="6"/>
  <c r="J12" i="6"/>
  <c r="E12" i="6"/>
  <c r="J57" i="6"/>
  <c r="E57" i="6"/>
  <c r="J36" i="6"/>
  <c r="E36" i="6"/>
  <c r="J33" i="6"/>
  <c r="E33" i="6"/>
  <c r="J38" i="6"/>
  <c r="E38" i="6"/>
  <c r="J34" i="6"/>
  <c r="E34" i="6"/>
  <c r="J58" i="6"/>
  <c r="E58" i="6"/>
  <c r="J54" i="6"/>
  <c r="E54" i="6"/>
  <c r="J35" i="6"/>
  <c r="E35" i="6"/>
  <c r="J48" i="9"/>
  <c r="E48" i="9"/>
  <c r="J41" i="9"/>
  <c r="E41" i="9"/>
  <c r="J42" i="9"/>
  <c r="E42" i="9"/>
  <c r="J16" i="9"/>
  <c r="E16" i="9"/>
  <c r="J55" i="11"/>
  <c r="E55" i="11"/>
  <c r="J45" i="11"/>
  <c r="E45" i="11"/>
  <c r="J28" i="4"/>
  <c r="E28" i="4"/>
  <c r="J48" i="4"/>
  <c r="E48" i="4"/>
  <c r="J35" i="4"/>
  <c r="E35" i="4"/>
  <c r="J7" i="4"/>
  <c r="J6" i="4"/>
  <c r="E7" i="4"/>
  <c r="E6" i="4"/>
  <c r="J11" i="4"/>
  <c r="E11" i="4"/>
  <c r="J33" i="4"/>
  <c r="E33" i="4"/>
  <c r="J49" i="2"/>
  <c r="E49" i="2"/>
  <c r="J35" i="2"/>
  <c r="E35" i="2"/>
  <c r="J16" i="2"/>
  <c r="E16" i="2"/>
  <c r="E22" i="5"/>
  <c r="J30" i="13"/>
  <c r="W19" i="3"/>
  <c r="W28" i="3"/>
  <c r="W14" i="3"/>
  <c r="AN4" i="3"/>
  <c r="AK4" i="3"/>
  <c r="AH4" i="3"/>
  <c r="E56" i="3"/>
  <c r="E40" i="3"/>
  <c r="E14" i="3"/>
  <c r="E6" i="3"/>
  <c r="E55" i="3"/>
  <c r="E13" i="5"/>
  <c r="J9" i="1"/>
  <c r="E9" i="1"/>
  <c r="W25" i="12"/>
  <c r="W18" i="12"/>
  <c r="W15" i="12"/>
  <c r="J58" i="12"/>
  <c r="J54" i="12"/>
  <c r="J52" i="12"/>
  <c r="J51" i="12"/>
  <c r="J50" i="12"/>
  <c r="J47" i="12"/>
  <c r="J46" i="12"/>
  <c r="J44" i="12"/>
  <c r="J43" i="12"/>
  <c r="J35" i="12"/>
  <c r="J32" i="12"/>
  <c r="J31" i="12"/>
  <c r="J28" i="12"/>
  <c r="J24" i="12"/>
  <c r="J22" i="12"/>
  <c r="J19" i="12"/>
  <c r="J17" i="12"/>
  <c r="J12" i="12"/>
  <c r="J10" i="12"/>
  <c r="J7" i="12"/>
  <c r="J6" i="12"/>
  <c r="J5" i="12"/>
  <c r="J4" i="12"/>
  <c r="E58" i="12"/>
  <c r="E54" i="12"/>
  <c r="E52" i="12"/>
  <c r="E51" i="12"/>
  <c r="E50" i="12"/>
  <c r="E49" i="12"/>
  <c r="E47" i="12"/>
  <c r="E46" i="12"/>
  <c r="E44" i="12"/>
  <c r="E43" i="12"/>
  <c r="E35" i="12"/>
  <c r="E32" i="12"/>
  <c r="E31" i="12"/>
  <c r="E28" i="12"/>
  <c r="E26" i="12"/>
  <c r="E24" i="12"/>
  <c r="E22" i="12"/>
  <c r="E19" i="12"/>
  <c r="E17" i="12"/>
  <c r="E12" i="12"/>
  <c r="E10" i="12"/>
  <c r="E7" i="12"/>
  <c r="E6" i="12"/>
  <c r="E5" i="12"/>
  <c r="E4" i="12"/>
  <c r="W33" i="7"/>
  <c r="W32" i="7"/>
  <c r="W29" i="7"/>
  <c r="W27" i="7"/>
  <c r="W25" i="7"/>
  <c r="W16" i="7"/>
  <c r="J62" i="7"/>
  <c r="J60" i="7"/>
  <c r="J59" i="7"/>
  <c r="J53" i="7"/>
  <c r="J49" i="7"/>
  <c r="J46" i="7"/>
  <c r="J45" i="7"/>
  <c r="J44" i="7"/>
  <c r="J43" i="7"/>
  <c r="J42" i="7"/>
  <c r="J39" i="7"/>
  <c r="J38" i="7"/>
  <c r="J36" i="7"/>
  <c r="J35" i="7"/>
  <c r="J33" i="7"/>
  <c r="J32" i="7"/>
  <c r="J30" i="7"/>
  <c r="J27" i="7"/>
  <c r="J25" i="7"/>
  <c r="J24" i="7"/>
  <c r="J22" i="7"/>
  <c r="J20" i="7"/>
  <c r="J19" i="7"/>
  <c r="J18" i="7"/>
  <c r="J15" i="7"/>
  <c r="J13" i="7"/>
  <c r="J11" i="7"/>
  <c r="J10" i="7"/>
  <c r="J5" i="7"/>
  <c r="E62" i="7"/>
  <c r="E60" i="7"/>
  <c r="E59" i="7"/>
  <c r="E54" i="7"/>
  <c r="E53" i="7"/>
  <c r="E49" i="7"/>
  <c r="E46" i="7"/>
  <c r="E45" i="7"/>
  <c r="E44" i="7"/>
  <c r="E43" i="7"/>
  <c r="E42" i="7"/>
  <c r="E39" i="7"/>
  <c r="E38" i="7"/>
  <c r="E36" i="7"/>
  <c r="E35" i="7"/>
  <c r="E33" i="7"/>
  <c r="E32" i="7"/>
  <c r="E30" i="7"/>
  <c r="E27" i="7"/>
  <c r="E25" i="7"/>
  <c r="E24" i="7"/>
  <c r="E22" i="7"/>
  <c r="E20" i="7"/>
  <c r="E19" i="7"/>
  <c r="E18" i="7"/>
  <c r="E15" i="7"/>
  <c r="E13" i="7"/>
  <c r="E11" i="7"/>
  <c r="E10" i="7"/>
  <c r="E5" i="7"/>
  <c r="W32" i="11"/>
  <c r="W31" i="11"/>
  <c r="W28" i="11"/>
  <c r="W27" i="11"/>
  <c r="W18" i="11"/>
  <c r="W17" i="11"/>
  <c r="J57" i="11"/>
  <c r="J53" i="11"/>
  <c r="J48" i="11"/>
  <c r="J43" i="11"/>
  <c r="J42" i="11"/>
  <c r="J40" i="11"/>
  <c r="J39" i="11"/>
  <c r="J35" i="11"/>
  <c r="J33" i="11"/>
  <c r="J30" i="11"/>
  <c r="J29" i="11"/>
  <c r="J28" i="11"/>
  <c r="J26" i="11"/>
  <c r="J25" i="11"/>
  <c r="J22" i="11"/>
  <c r="J20" i="11"/>
  <c r="J18" i="11"/>
  <c r="J17" i="11"/>
  <c r="J16" i="11"/>
  <c r="J15" i="11"/>
  <c r="J14" i="11"/>
  <c r="J13" i="11"/>
  <c r="J11" i="11"/>
  <c r="J8" i="11"/>
  <c r="J7" i="11"/>
  <c r="J6" i="11"/>
  <c r="J5" i="11"/>
  <c r="J4" i="11"/>
  <c r="E57" i="11"/>
  <c r="E53" i="11"/>
  <c r="E52" i="11"/>
  <c r="E50" i="11"/>
  <c r="E48" i="11"/>
  <c r="E43" i="11"/>
  <c r="E42" i="11"/>
  <c r="E40" i="11"/>
  <c r="E39" i="11"/>
  <c r="E35" i="11"/>
  <c r="E33" i="11"/>
  <c r="E30" i="11"/>
  <c r="E29" i="11"/>
  <c r="E28" i="11"/>
  <c r="E26" i="11"/>
  <c r="E25" i="11"/>
  <c r="E22" i="11"/>
  <c r="E20" i="11"/>
  <c r="E18" i="11"/>
  <c r="E17" i="11"/>
  <c r="E16" i="11"/>
  <c r="E15" i="11"/>
  <c r="E14" i="11"/>
  <c r="E13" i="11"/>
  <c r="E11" i="11"/>
  <c r="E8" i="11"/>
  <c r="E7" i="11"/>
  <c r="E6" i="11"/>
  <c r="E5" i="11"/>
  <c r="E4" i="11"/>
  <c r="W18" i="10"/>
  <c r="J48" i="10"/>
  <c r="J45" i="10"/>
  <c r="J44" i="10"/>
  <c r="J43" i="10"/>
  <c r="J40" i="10"/>
  <c r="J35" i="10"/>
  <c r="J34" i="10"/>
  <c r="J33" i="10"/>
  <c r="J31" i="10"/>
  <c r="J30" i="10"/>
  <c r="J28" i="10"/>
  <c r="J27" i="10"/>
  <c r="J26" i="10"/>
  <c r="J25" i="10"/>
  <c r="J21" i="10"/>
  <c r="J20" i="10"/>
  <c r="J18" i="10"/>
  <c r="J16" i="10"/>
  <c r="J15" i="10"/>
  <c r="J9" i="10"/>
  <c r="J8" i="10"/>
  <c r="J4" i="10"/>
  <c r="E48" i="10"/>
  <c r="E45" i="10"/>
  <c r="E44" i="10"/>
  <c r="E43" i="10"/>
  <c r="E40" i="10"/>
  <c r="E36" i="10"/>
  <c r="E35" i="10"/>
  <c r="E34" i="10"/>
  <c r="E33" i="10"/>
  <c r="E31" i="10"/>
  <c r="E30" i="10"/>
  <c r="E28" i="10"/>
  <c r="E27" i="10"/>
  <c r="E26" i="10"/>
  <c r="E25" i="10"/>
  <c r="E21" i="10"/>
  <c r="E20" i="10"/>
  <c r="E18" i="10"/>
  <c r="E16" i="10"/>
  <c r="E15" i="10"/>
  <c r="E9" i="10"/>
  <c r="E8" i="10"/>
  <c r="E4" i="10"/>
  <c r="W18" i="9"/>
  <c r="J50" i="9"/>
  <c r="J49" i="9"/>
  <c r="J47" i="9"/>
  <c r="J46" i="9"/>
  <c r="J40" i="9"/>
  <c r="J39" i="9"/>
  <c r="J38" i="9"/>
  <c r="J37" i="9"/>
  <c r="J35" i="9"/>
  <c r="J29" i="9"/>
  <c r="J28" i="9"/>
  <c r="J27" i="9"/>
  <c r="J25" i="9"/>
  <c r="J24" i="9"/>
  <c r="J23" i="9"/>
  <c r="J19" i="9"/>
  <c r="J15" i="9"/>
  <c r="J14" i="9"/>
  <c r="J13" i="9"/>
  <c r="J9" i="9"/>
  <c r="J8" i="9"/>
  <c r="J6" i="9"/>
  <c r="J4" i="9"/>
  <c r="E49" i="9"/>
  <c r="E47" i="9"/>
  <c r="E46" i="9"/>
  <c r="E40" i="9"/>
  <c r="E39" i="9"/>
  <c r="E38" i="9"/>
  <c r="E37" i="9"/>
  <c r="E35" i="9"/>
  <c r="E29" i="9"/>
  <c r="E28" i="9"/>
  <c r="E27" i="9"/>
  <c r="E25" i="9"/>
  <c r="E24" i="9"/>
  <c r="E23" i="9"/>
  <c r="E22" i="9"/>
  <c r="E19" i="9"/>
  <c r="E15" i="9"/>
  <c r="E14" i="9"/>
  <c r="E13" i="9"/>
  <c r="E9" i="9"/>
  <c r="E8" i="9"/>
  <c r="E6" i="9"/>
  <c r="E4" i="9"/>
  <c r="J51" i="8"/>
  <c r="J50" i="8"/>
  <c r="J48" i="8"/>
  <c r="J47" i="8"/>
  <c r="J45" i="8"/>
  <c r="J44" i="8"/>
  <c r="J38" i="8"/>
  <c r="J34" i="8"/>
  <c r="J32" i="8"/>
  <c r="J30" i="8"/>
  <c r="J29" i="8"/>
  <c r="J28" i="8"/>
  <c r="J27" i="8"/>
  <c r="J24" i="8"/>
  <c r="J20" i="8"/>
  <c r="J19" i="8"/>
  <c r="J13" i="8"/>
  <c r="J10" i="8"/>
  <c r="E51" i="8"/>
  <c r="E50" i="8"/>
  <c r="E48" i="8"/>
  <c r="E47" i="8"/>
  <c r="E45" i="8"/>
  <c r="E44" i="8"/>
  <c r="E38" i="8"/>
  <c r="E34" i="8"/>
  <c r="E32" i="8"/>
  <c r="E30" i="8"/>
  <c r="E29" i="8"/>
  <c r="E28" i="8"/>
  <c r="E27" i="8"/>
  <c r="E24" i="8"/>
  <c r="E20" i="8"/>
  <c r="E19" i="8"/>
  <c r="E13" i="8"/>
  <c r="E10" i="8"/>
  <c r="J61" i="6"/>
  <c r="J60" i="6"/>
  <c r="J59" i="6"/>
  <c r="J56" i="6"/>
  <c r="J55" i="6"/>
  <c r="J53" i="6"/>
  <c r="J50" i="6"/>
  <c r="J47" i="6"/>
  <c r="J45" i="6"/>
  <c r="J44" i="6"/>
  <c r="J42" i="6"/>
  <c r="J40" i="6"/>
  <c r="J39" i="6"/>
  <c r="J29" i="6"/>
  <c r="J28" i="6"/>
  <c r="J27" i="6"/>
  <c r="J26" i="6"/>
  <c r="J25" i="6"/>
  <c r="J24" i="6"/>
  <c r="J22" i="6"/>
  <c r="J21" i="6"/>
  <c r="J20" i="6"/>
  <c r="J18" i="6"/>
  <c r="J17" i="6"/>
  <c r="J14" i="6"/>
  <c r="J11" i="6"/>
  <c r="J10" i="6"/>
  <c r="J4" i="6"/>
  <c r="E61" i="6"/>
  <c r="E60" i="6"/>
  <c r="E59" i="6"/>
  <c r="E56" i="6"/>
  <c r="E55" i="6"/>
  <c r="E53" i="6"/>
  <c r="E50" i="6"/>
  <c r="E47" i="6"/>
  <c r="E45" i="6"/>
  <c r="E44" i="6"/>
  <c r="E42" i="6"/>
  <c r="E40" i="6"/>
  <c r="E39" i="6"/>
  <c r="E29" i="6"/>
  <c r="E28" i="6"/>
  <c r="E27" i="6"/>
  <c r="E26" i="6"/>
  <c r="E25" i="6"/>
  <c r="E24" i="6"/>
  <c r="E22" i="6"/>
  <c r="E21" i="6"/>
  <c r="E20" i="6"/>
  <c r="E18" i="6"/>
  <c r="E17" i="6"/>
  <c r="E14" i="6"/>
  <c r="E11" i="6"/>
  <c r="E10" i="6"/>
  <c r="E4" i="6"/>
  <c r="W25" i="5"/>
  <c r="E53" i="5"/>
  <c r="E52" i="5"/>
  <c r="E51" i="5"/>
  <c r="E50" i="5"/>
  <c r="E46" i="5"/>
  <c r="E45" i="5"/>
  <c r="E43" i="5"/>
  <c r="E42" i="5"/>
  <c r="E37" i="5"/>
  <c r="E34" i="5"/>
  <c r="E32" i="5"/>
  <c r="E29" i="5"/>
  <c r="E24" i="5"/>
  <c r="E19" i="5"/>
  <c r="E16" i="5"/>
  <c r="E12" i="5"/>
  <c r="E10" i="5"/>
  <c r="E7" i="5"/>
  <c r="E6" i="5"/>
  <c r="E4" i="5"/>
  <c r="E3" i="5"/>
  <c r="W23" i="4"/>
  <c r="J56" i="4"/>
  <c r="J55" i="4"/>
  <c r="J54" i="4"/>
  <c r="J53" i="4"/>
  <c r="J52" i="4"/>
  <c r="J51" i="4"/>
  <c r="J46" i="4"/>
  <c r="J45" i="4"/>
  <c r="J44" i="4"/>
  <c r="J43" i="4"/>
  <c r="J38" i="4"/>
  <c r="J37" i="4"/>
  <c r="J36" i="4"/>
  <c r="J34" i="4"/>
  <c r="J31" i="4"/>
  <c r="J29" i="4"/>
  <c r="J24" i="4"/>
  <c r="J23" i="4"/>
  <c r="J21" i="4"/>
  <c r="J16" i="4"/>
  <c r="J15" i="4"/>
  <c r="J14" i="4"/>
  <c r="J13" i="4"/>
  <c r="J10" i="4"/>
  <c r="J9" i="4"/>
  <c r="J8" i="4"/>
  <c r="E56" i="4"/>
  <c r="E55" i="4"/>
  <c r="E54" i="4"/>
  <c r="E53" i="4"/>
  <c r="E52" i="4"/>
  <c r="E51" i="4"/>
  <c r="E46" i="4"/>
  <c r="E45" i="4"/>
  <c r="E44" i="4"/>
  <c r="E43" i="4"/>
  <c r="E40" i="4"/>
  <c r="E39" i="4"/>
  <c r="E38" i="4"/>
  <c r="E37" i="4"/>
  <c r="E36" i="4"/>
  <c r="E34" i="4"/>
  <c r="E31" i="4"/>
  <c r="E29" i="4"/>
  <c r="E24" i="4"/>
  <c r="E23" i="4"/>
  <c r="E21" i="4"/>
  <c r="E16" i="4"/>
  <c r="E15" i="4"/>
  <c r="E14" i="4"/>
  <c r="E13" i="4"/>
  <c r="E10" i="4"/>
  <c r="E9" i="4"/>
  <c r="E8" i="4"/>
  <c r="W24" i="3"/>
  <c r="W15" i="3"/>
  <c r="E53" i="3"/>
  <c r="E52" i="3"/>
  <c r="E51" i="3"/>
  <c r="E50" i="3"/>
  <c r="E45" i="3"/>
  <c r="E43" i="3"/>
  <c r="E39" i="3"/>
  <c r="E37" i="3"/>
  <c r="E36" i="3"/>
  <c r="E35" i="3"/>
  <c r="E33" i="3"/>
  <c r="E32" i="3"/>
  <c r="E31" i="3"/>
  <c r="E29" i="3"/>
  <c r="E26" i="3"/>
  <c r="E24" i="3"/>
  <c r="E19" i="3"/>
  <c r="E18" i="3"/>
  <c r="E16" i="3"/>
  <c r="E15" i="3"/>
  <c r="E12" i="3"/>
  <c r="E9" i="3"/>
  <c r="E5" i="3"/>
  <c r="W27" i="2"/>
  <c r="W20" i="2"/>
  <c r="W18" i="2"/>
  <c r="W17" i="2"/>
  <c r="J56" i="2"/>
  <c r="J53" i="2"/>
  <c r="J51" i="2"/>
  <c r="J50" i="2"/>
  <c r="J47" i="2"/>
  <c r="J46" i="2"/>
  <c r="J43" i="2"/>
  <c r="J41" i="2"/>
  <c r="J40" i="2"/>
  <c r="J38" i="2"/>
  <c r="J37" i="2"/>
  <c r="J36" i="2"/>
  <c r="J34" i="2"/>
  <c r="J33" i="2"/>
  <c r="J32" i="2"/>
  <c r="J31" i="2"/>
  <c r="J30" i="2"/>
  <c r="J29" i="2"/>
  <c r="J27" i="2"/>
  <c r="J23" i="2"/>
  <c r="J20" i="2"/>
  <c r="J19" i="2"/>
  <c r="J18" i="2"/>
  <c r="J17" i="2"/>
  <c r="J15" i="2"/>
  <c r="J14" i="2"/>
  <c r="J13" i="2"/>
  <c r="J12" i="2"/>
  <c r="J11" i="2"/>
  <c r="J9" i="2"/>
  <c r="J8" i="2"/>
  <c r="J7" i="2"/>
  <c r="J6" i="2"/>
  <c r="J5" i="2"/>
  <c r="J4" i="2"/>
  <c r="E56" i="2"/>
  <c r="E53" i="2"/>
  <c r="E51" i="2"/>
  <c r="E50" i="2"/>
  <c r="E47" i="2"/>
  <c r="E46" i="2"/>
  <c r="E43" i="2"/>
  <c r="E41" i="2"/>
  <c r="E40" i="2"/>
  <c r="E38" i="2"/>
  <c r="E37" i="2"/>
  <c r="E36" i="2"/>
  <c r="E34" i="2"/>
  <c r="E33" i="2"/>
  <c r="E32" i="2"/>
  <c r="E31" i="2"/>
  <c r="E30" i="2"/>
  <c r="E29" i="2"/>
  <c r="E27" i="2"/>
  <c r="E23" i="2"/>
  <c r="E20" i="2"/>
  <c r="E19" i="2"/>
  <c r="E18" i="2"/>
  <c r="E17" i="2"/>
  <c r="E15" i="2"/>
  <c r="E14" i="2"/>
  <c r="E13" i="2"/>
  <c r="E12" i="2"/>
  <c r="E11" i="2"/>
  <c r="E9" i="2"/>
  <c r="E8" i="2"/>
  <c r="E7" i="2"/>
  <c r="E6" i="2"/>
  <c r="E5" i="2"/>
  <c r="E4" i="2"/>
  <c r="W30" i="1"/>
  <c r="W19" i="1"/>
  <c r="W17" i="1"/>
  <c r="J54" i="1"/>
  <c r="J53" i="1"/>
  <c r="J52" i="1"/>
  <c r="J49" i="1"/>
  <c r="J46" i="1"/>
  <c r="J44" i="1"/>
  <c r="J41" i="1"/>
  <c r="J39" i="1"/>
  <c r="J37" i="1"/>
  <c r="J34" i="1"/>
  <c r="J31" i="1"/>
  <c r="J30" i="1"/>
  <c r="J29" i="1"/>
  <c r="J28" i="1"/>
  <c r="J26" i="1"/>
  <c r="J25" i="1"/>
  <c r="J24" i="1"/>
  <c r="J23" i="1"/>
  <c r="J22" i="1"/>
  <c r="J21" i="1"/>
  <c r="J20" i="1"/>
  <c r="J15" i="1"/>
  <c r="J13" i="1"/>
  <c r="J10" i="1"/>
  <c r="J8" i="1"/>
  <c r="J5" i="1"/>
  <c r="J4" i="1"/>
  <c r="E54" i="1"/>
  <c r="E53" i="1"/>
  <c r="E52" i="1"/>
  <c r="E49" i="1"/>
  <c r="E46" i="1"/>
  <c r="E44" i="1"/>
  <c r="E41" i="1"/>
  <c r="E39" i="1"/>
  <c r="E37" i="1"/>
  <c r="E34" i="1"/>
  <c r="E31" i="1"/>
  <c r="E30" i="1"/>
  <c r="E29" i="1"/>
  <c r="E28" i="1"/>
  <c r="E26" i="1"/>
  <c r="E25" i="1"/>
  <c r="E24" i="1"/>
  <c r="E23" i="1"/>
  <c r="E22" i="1"/>
  <c r="E21" i="1"/>
  <c r="E20" i="1"/>
  <c r="E15" i="1"/>
  <c r="E13" i="1"/>
  <c r="E10" i="1"/>
  <c r="E8" i="1"/>
  <c r="E5" i="1"/>
  <c r="E4" i="1"/>
  <c r="N25" i="9"/>
  <c r="J27" i="13"/>
  <c r="J48" i="13"/>
  <c r="J28" i="13"/>
  <c r="J11" i="13"/>
  <c r="J52" i="13"/>
  <c r="J3" i="13"/>
  <c r="J38" i="13"/>
  <c r="J3" i="2"/>
  <c r="E3" i="2"/>
  <c r="J25" i="13"/>
  <c r="J9" i="13"/>
  <c r="J16" i="13"/>
  <c r="J3" i="12"/>
  <c r="E3" i="12"/>
  <c r="J7" i="13"/>
  <c r="I58" i="4"/>
  <c r="H58" i="4"/>
  <c r="D58" i="4"/>
  <c r="C58" i="4"/>
  <c r="J3" i="4"/>
  <c r="E3" i="4"/>
  <c r="AJ18" i="2"/>
  <c r="AJ17" i="2"/>
  <c r="AK16" i="7"/>
  <c r="AH10" i="12"/>
  <c r="AH4" i="7"/>
  <c r="J3" i="7"/>
  <c r="E3" i="7"/>
  <c r="AH7" i="11"/>
  <c r="AH6" i="11"/>
  <c r="AH5" i="11"/>
  <c r="AH4" i="11"/>
  <c r="J47" i="13"/>
  <c r="AH10" i="9"/>
  <c r="D54" i="5"/>
  <c r="AH8" i="3"/>
  <c r="I57" i="2"/>
  <c r="D57" i="2"/>
  <c r="AH8" i="2"/>
  <c r="AH7" i="2"/>
  <c r="AH11" i="1"/>
  <c r="J29" i="13"/>
  <c r="AK11" i="7"/>
  <c r="AK11" i="11"/>
  <c r="AK7" i="11"/>
  <c r="AK6" i="11"/>
  <c r="AK5" i="11"/>
  <c r="AK4" i="11"/>
  <c r="AK8" i="3"/>
  <c r="AK8" i="2"/>
  <c r="AK7" i="2"/>
  <c r="N37" i="11"/>
  <c r="J10" i="13"/>
  <c r="J6" i="13"/>
  <c r="J13" i="13"/>
  <c r="J2" i="13"/>
  <c r="AN7" i="11"/>
  <c r="AN6" i="11"/>
  <c r="AN4" i="11"/>
  <c r="AN4" i="9"/>
  <c r="AN4" i="7"/>
  <c r="AQ4" i="7"/>
  <c r="AN8" i="3"/>
  <c r="AN11" i="2"/>
  <c r="AN8" i="2"/>
  <c r="AN7" i="2"/>
  <c r="C54" i="5"/>
  <c r="H57" i="2"/>
  <c r="C57" i="2"/>
  <c r="K50" i="13"/>
  <c r="K46" i="13"/>
  <c r="K49" i="13"/>
  <c r="K53" i="13"/>
  <c r="K44" i="13"/>
  <c r="K31" i="13"/>
  <c r="K43" i="13"/>
  <c r="K52" i="13"/>
  <c r="K38" i="13"/>
  <c r="K48" i="13"/>
  <c r="K37" i="13"/>
  <c r="K39" i="13"/>
  <c r="K29" i="13"/>
  <c r="K34" i="13"/>
  <c r="K45" i="13"/>
  <c r="K32" i="13"/>
  <c r="K27" i="13"/>
  <c r="K5" i="13"/>
  <c r="K30" i="13"/>
  <c r="E52" i="8"/>
  <c r="J57" i="1"/>
  <c r="E51" i="9"/>
  <c r="J51" i="9"/>
  <c r="E64" i="7"/>
  <c r="E58" i="4"/>
  <c r="K22" i="13"/>
  <c r="K14" i="13"/>
  <c r="J64" i="7"/>
  <c r="K20" i="13"/>
  <c r="K36" i="13"/>
  <c r="K16" i="13"/>
  <c r="K42" i="13"/>
  <c r="K15" i="13"/>
  <c r="K6" i="13"/>
  <c r="K4" i="13"/>
  <c r="K26" i="13"/>
  <c r="K17" i="13"/>
  <c r="K19" i="13"/>
  <c r="K28" i="13"/>
  <c r="K21" i="13"/>
  <c r="K8" i="13"/>
  <c r="K10" i="13"/>
  <c r="K18" i="13"/>
  <c r="K7" i="13"/>
  <c r="K12" i="13"/>
  <c r="K47" i="13"/>
  <c r="K9" i="13"/>
  <c r="K25" i="13"/>
  <c r="K2" i="13"/>
  <c r="K11" i="13"/>
  <c r="K13" i="13"/>
  <c r="K24" i="13"/>
  <c r="K40" i="13"/>
  <c r="E54" i="5"/>
  <c r="J59" i="12"/>
  <c r="E59" i="12"/>
  <c r="J62" i="6"/>
  <c r="E57" i="1"/>
  <c r="J58" i="4"/>
  <c r="J52" i="8"/>
  <c r="E62" i="6"/>
  <c r="J52" i="10"/>
  <c r="E52" i="10"/>
  <c r="E58" i="11"/>
  <c r="E57" i="3"/>
  <c r="J57" i="3"/>
  <c r="J58" i="11"/>
  <c r="J54" i="5"/>
  <c r="F631" i="13"/>
  <c r="K3" i="13"/>
  <c r="C631" i="13"/>
  <c r="J57" i="2"/>
  <c r="E57" i="2"/>
</calcChain>
</file>

<file path=xl/sharedStrings.xml><?xml version="1.0" encoding="utf-8"?>
<sst xmlns="http://schemas.openxmlformats.org/spreadsheetml/2006/main" count="9724" uniqueCount="1262">
  <si>
    <t>TRIES</t>
  </si>
  <si>
    <t>Tot</t>
  </si>
  <si>
    <t>POINTS</t>
  </si>
  <si>
    <t>TOTALS</t>
  </si>
  <si>
    <t>Evans</t>
  </si>
  <si>
    <t>Wood</t>
  </si>
  <si>
    <t>Penalty Tries</t>
  </si>
  <si>
    <t>Thompstone</t>
  </si>
  <si>
    <t>Williams</t>
  </si>
  <si>
    <t>George</t>
  </si>
  <si>
    <t>Farrell</t>
  </si>
  <si>
    <t>Trinder</t>
  </si>
  <si>
    <t>Yarde</t>
  </si>
  <si>
    <t>Steenson</t>
  </si>
  <si>
    <t>Spencer</t>
  </si>
  <si>
    <t>Joseph</t>
  </si>
  <si>
    <t>Marler</t>
  </si>
  <si>
    <t>Brown</t>
  </si>
  <si>
    <t>Buchanan</t>
  </si>
  <si>
    <t>Care</t>
  </si>
  <si>
    <t>Bassett</t>
  </si>
  <si>
    <t>Johnson</t>
  </si>
  <si>
    <t>Goode</t>
  </si>
  <si>
    <t>Launchbury</t>
  </si>
  <si>
    <t>Slater</t>
  </si>
  <si>
    <t>James</t>
  </si>
  <si>
    <t>Most Points</t>
  </si>
  <si>
    <t>Rokoduguni</t>
  </si>
  <si>
    <t>Cooper-Woolley</t>
  </si>
  <si>
    <t>Thompson</t>
  </si>
  <si>
    <t>Youngs B</t>
  </si>
  <si>
    <t>Cook</t>
  </si>
  <si>
    <t>May</t>
  </si>
  <si>
    <t>Sharples</t>
  </si>
  <si>
    <t>Twelvetrees</t>
  </si>
  <si>
    <t>Stooke</t>
  </si>
  <si>
    <t>Att</t>
  </si>
  <si>
    <t>%</t>
  </si>
  <si>
    <t>Goals</t>
  </si>
  <si>
    <t>Ordered</t>
  </si>
  <si>
    <t>ordered</t>
  </si>
  <si>
    <t>TOTAL</t>
  </si>
  <si>
    <t>This Season</t>
  </si>
  <si>
    <t>-</t>
  </si>
  <si>
    <t>Vunipola B</t>
  </si>
  <si>
    <t>Vunipola M</t>
  </si>
  <si>
    <t>Whitten</t>
  </si>
  <si>
    <t>Slade</t>
  </si>
  <si>
    <t>Mulchrone</t>
  </si>
  <si>
    <t>Simpson</t>
  </si>
  <si>
    <t>McIntyre</t>
  </si>
  <si>
    <t>Youngs T</t>
  </si>
  <si>
    <t>Prem</t>
  </si>
  <si>
    <t>na</t>
  </si>
  <si>
    <t>Ewers</t>
  </si>
  <si>
    <t>Miller</t>
  </si>
  <si>
    <t>n/a</t>
  </si>
  <si>
    <t>Dollman</t>
  </si>
  <si>
    <t>Thomas</t>
  </si>
  <si>
    <t>Clifford</t>
  </si>
  <si>
    <t>Kalamafoni</t>
  </si>
  <si>
    <t>Hughes</t>
  </si>
  <si>
    <t>Barrington</t>
  </si>
  <si>
    <t>Tompkins</t>
  </si>
  <si>
    <t>Harrison</t>
  </si>
  <si>
    <t>Walker</t>
  </si>
  <si>
    <t>Gaskell</t>
  </si>
  <si>
    <t>Roberts</t>
  </si>
  <si>
    <t>Garvey</t>
  </si>
  <si>
    <t>Bateman</t>
  </si>
  <si>
    <t>Earle</t>
  </si>
  <si>
    <t>Wray</t>
  </si>
  <si>
    <t xml:space="preserve"> </t>
  </si>
  <si>
    <t>Holmes</t>
  </si>
  <si>
    <t>Mills</t>
  </si>
  <si>
    <t xml:space="preserve">Twelvetrees </t>
  </si>
  <si>
    <t>Kruis</t>
  </si>
  <si>
    <t>Collins</t>
  </si>
  <si>
    <t>Smith</t>
  </si>
  <si>
    <t>Armand</t>
  </si>
  <si>
    <t>Wigglesworth</t>
  </si>
  <si>
    <t>Daly</t>
  </si>
  <si>
    <t>Woodburn</t>
  </si>
  <si>
    <t>Watson</t>
  </si>
  <si>
    <t>Louw</t>
  </si>
  <si>
    <t>Lewis</t>
  </si>
  <si>
    <t>Young</t>
  </si>
  <si>
    <t>Morris</t>
  </si>
  <si>
    <t>Morgan</t>
  </si>
  <si>
    <t>Haywood</t>
  </si>
  <si>
    <t>Kvesic</t>
  </si>
  <si>
    <t>Clark</t>
  </si>
  <si>
    <t>Most Tries</t>
  </si>
  <si>
    <t>McGuigan</t>
  </si>
  <si>
    <t>Yeandle</t>
  </si>
  <si>
    <t>Batty</t>
  </si>
  <si>
    <t>Hill</t>
  </si>
  <si>
    <t>Ellis</t>
  </si>
  <si>
    <t>Barritt</t>
  </si>
  <si>
    <t>CM</t>
  </si>
  <si>
    <t>Last Season</t>
  </si>
  <si>
    <t>CL</t>
  </si>
  <si>
    <t>Catt</t>
  </si>
  <si>
    <t>Dunn</t>
  </si>
  <si>
    <t>Cowan-Dickie</t>
  </si>
  <si>
    <t>Francis</t>
  </si>
  <si>
    <t>Taione</t>
  </si>
  <si>
    <t>Nowell</t>
  </si>
  <si>
    <t>Chudley</t>
  </si>
  <si>
    <t>Townsend</t>
  </si>
  <si>
    <t>Atkinson</t>
  </si>
  <si>
    <t>Braley</t>
  </si>
  <si>
    <t>Burns</t>
  </si>
  <si>
    <t>Afoa</t>
  </si>
  <si>
    <t>Chisholm R</t>
  </si>
  <si>
    <t>Lambert</t>
  </si>
  <si>
    <t>Sinckler</t>
  </si>
  <si>
    <t>Collier</t>
  </si>
  <si>
    <t>Matthews</t>
  </si>
  <si>
    <t>Robshaw</t>
  </si>
  <si>
    <t>Cole</t>
  </si>
  <si>
    <t>Balmain</t>
  </si>
  <si>
    <t>Lozowski</t>
  </si>
  <si>
    <t>Hepburn</t>
  </si>
  <si>
    <t>Rowlands</t>
  </si>
  <si>
    <t>Brookes</t>
  </si>
  <si>
    <t>Lawes</t>
  </si>
  <si>
    <t>Beaumont</t>
  </si>
  <si>
    <t>Figallo</t>
  </si>
  <si>
    <t>Sal</t>
  </si>
  <si>
    <t>© Hillsport Media Ltd</t>
  </si>
  <si>
    <t>Spurling</t>
  </si>
  <si>
    <t>Top Strike Rates*</t>
  </si>
  <si>
    <t>Itoje</t>
  </si>
  <si>
    <t>Tuala</t>
  </si>
  <si>
    <t>SANLAM CHALLENGE</t>
  </si>
  <si>
    <t>Homer T</t>
  </si>
  <si>
    <t>Bodilly</t>
  </si>
  <si>
    <t>Ewels</t>
  </si>
  <si>
    <t>Priestland</t>
  </si>
  <si>
    <t>2013/14</t>
  </si>
  <si>
    <t>Last Match             (all comps)</t>
  </si>
  <si>
    <t>Atkins</t>
  </si>
  <si>
    <t>Hendrickson</t>
  </si>
  <si>
    <t>Hill J</t>
  </si>
  <si>
    <t>Hill S</t>
  </si>
  <si>
    <t>Moon</t>
  </si>
  <si>
    <t>Short</t>
  </si>
  <si>
    <t>Woolmore</t>
  </si>
  <si>
    <t>Heinz</t>
  </si>
  <si>
    <t>Marshall</t>
  </si>
  <si>
    <t>Last Match             (All Comps)</t>
  </si>
  <si>
    <t>Symons</t>
  </si>
  <si>
    <t>Gopperth</t>
  </si>
  <si>
    <t>van Velze</t>
  </si>
  <si>
    <t xml:space="preserve">2013/14 </t>
  </si>
  <si>
    <t xml:space="preserve">2012/13 </t>
  </si>
  <si>
    <t>Rhodes</t>
  </si>
  <si>
    <t>Fish</t>
  </si>
  <si>
    <t>Gibson</t>
  </si>
  <si>
    <t>Hutchinson</t>
  </si>
  <si>
    <t>Ludlam</t>
  </si>
  <si>
    <t>Neild</t>
  </si>
  <si>
    <t>Nott</t>
  </si>
  <si>
    <t>Rieder</t>
  </si>
  <si>
    <t>Robson</t>
  </si>
  <si>
    <t>Annett</t>
  </si>
  <si>
    <t>Baldwin</t>
  </si>
  <si>
    <t>Bower</t>
  </si>
  <si>
    <t>Hammond</t>
  </si>
  <si>
    <t>Mama</t>
  </si>
  <si>
    <t>Pennell</t>
  </si>
  <si>
    <t>Schonert</t>
  </si>
  <si>
    <t>Veainu</t>
  </si>
  <si>
    <t xml:space="preserve">This Season </t>
  </si>
  <si>
    <t>2012/13</t>
  </si>
  <si>
    <t>Gls</t>
  </si>
  <si>
    <t xml:space="preserve">Last Season </t>
  </si>
  <si>
    <t>Mallinder</t>
  </si>
  <si>
    <t>Thacker H</t>
  </si>
  <si>
    <t>Hougaard</t>
  </si>
  <si>
    <t>Potgieter</t>
  </si>
  <si>
    <t>Ludlow</t>
  </si>
  <si>
    <t>Marchant</t>
  </si>
  <si>
    <t>Thorley</t>
  </si>
  <si>
    <t>Evans L</t>
  </si>
  <si>
    <t>2014/15</t>
  </si>
  <si>
    <t>2013/14                        (Chall Cup)</t>
  </si>
  <si>
    <t>MacGinty</t>
  </si>
  <si>
    <t>Phillips</t>
  </si>
  <si>
    <t>Webber</t>
  </si>
  <si>
    <t>Dennis</t>
  </si>
  <si>
    <t>Devoto</t>
  </si>
  <si>
    <t>Hohneck</t>
  </si>
  <si>
    <t>Genge</t>
  </si>
  <si>
    <t>Koch</t>
  </si>
  <si>
    <t>Maitland</t>
  </si>
  <si>
    <t>Cipriani</t>
  </si>
  <si>
    <t>Cruse</t>
  </si>
  <si>
    <t>Garratt</t>
  </si>
  <si>
    <t>Taylor</t>
  </si>
  <si>
    <t>Woolstencroft</t>
  </si>
  <si>
    <t xml:space="preserve">Humphreys </t>
  </si>
  <si>
    <t>Humphreys</t>
  </si>
  <si>
    <t>Willison</t>
  </si>
  <si>
    <t>2015/16</t>
  </si>
  <si>
    <t>Langdon</t>
  </si>
  <si>
    <t>Brew</t>
  </si>
  <si>
    <t>Ratuniyarawa</t>
  </si>
  <si>
    <t>Shillcock</t>
  </si>
  <si>
    <t>Chisholm J</t>
  </si>
  <si>
    <t>Tapuai</t>
  </si>
  <si>
    <t>Curry T</t>
  </si>
  <si>
    <t>Worth</t>
  </si>
  <si>
    <t>Umaga</t>
  </si>
  <si>
    <t>Eastgate</t>
  </si>
  <si>
    <t>Whiteley</t>
  </si>
  <si>
    <t>Lang</t>
  </si>
  <si>
    <t>Howe</t>
  </si>
  <si>
    <t>Simmonds J</t>
  </si>
  <si>
    <t>Simmonds S</t>
  </si>
  <si>
    <t>Gallagher</t>
  </si>
  <si>
    <t>Taufete'e</t>
  </si>
  <si>
    <t>Solomona</t>
  </si>
  <si>
    <t>Lamositele</t>
  </si>
  <si>
    <t>Malins</t>
  </si>
  <si>
    <t>Singleton</t>
  </si>
  <si>
    <t>Seals</t>
  </si>
  <si>
    <t>Waters</t>
  </si>
  <si>
    <t>Faletau</t>
  </si>
  <si>
    <t>Curry B</t>
  </si>
  <si>
    <t>CHAMPS CUP PO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</si>
  <si>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</si>
  <si>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</si>
  <si>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</si>
  <si>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</si>
  <si>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</si>
  <si>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</si>
  <si>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</si>
  <si>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Bothma</t>
  </si>
  <si>
    <t>Glynn</t>
  </si>
  <si>
    <t>McNulty</t>
  </si>
  <si>
    <t>Saili</t>
  </si>
  <si>
    <t>Skelton</t>
  </si>
  <si>
    <t>Eadie</t>
  </si>
  <si>
    <t xml:space="preserve">Francis </t>
  </si>
  <si>
    <t>Ribbans</t>
  </si>
  <si>
    <t>Reinach</t>
  </si>
  <si>
    <t>van Wyk</t>
  </si>
  <si>
    <t>Cokanasiga</t>
  </si>
  <si>
    <t>Waller</t>
  </si>
  <si>
    <t>Ford G</t>
  </si>
  <si>
    <t>Obano</t>
  </si>
  <si>
    <t>Underhill</t>
  </si>
  <si>
    <t>Cliff</t>
  </si>
  <si>
    <t>de Klerk</t>
  </si>
  <si>
    <t>John</t>
  </si>
  <si>
    <t>Ross</t>
  </si>
  <si>
    <t>de Jongh</t>
  </si>
  <si>
    <t>Langley</t>
  </si>
  <si>
    <t>Lovobalavu</t>
  </si>
  <si>
    <t>Stuart</t>
  </si>
  <si>
    <t>2014/15                                (Chall Cup)</t>
  </si>
  <si>
    <t>*Burns</t>
  </si>
  <si>
    <t>*Qual 10 attempts</t>
  </si>
  <si>
    <t>Willis J</t>
  </si>
  <si>
    <t>Ackermann</t>
  </si>
  <si>
    <t>Polledri</t>
  </si>
  <si>
    <t>Lance</t>
  </si>
  <si>
    <t>Elia</t>
  </si>
  <si>
    <t>Davis</t>
  </si>
  <si>
    <t>Hudson</t>
  </si>
  <si>
    <t>O'Sullivan</t>
  </si>
  <si>
    <t>Furbank</t>
  </si>
  <si>
    <t>Grayson</t>
  </si>
  <si>
    <t>Lawrence</t>
  </si>
  <si>
    <t>Carr</t>
  </si>
  <si>
    <t>Mitchell</t>
  </si>
  <si>
    <t>White</t>
  </si>
  <si>
    <t>Hardwick</t>
  </si>
  <si>
    <t>Lamb</t>
  </si>
  <si>
    <t>Ibitoye</t>
  </si>
  <si>
    <t>Hanson</t>
  </si>
  <si>
    <t>Vailanu</t>
  </si>
  <si>
    <t>James S</t>
  </si>
  <si>
    <t xml:space="preserve">James L </t>
  </si>
  <si>
    <t>James L</t>
  </si>
  <si>
    <t>Olowofela J</t>
  </si>
  <si>
    <t>Foster</t>
  </si>
  <si>
    <t>Segun</t>
  </si>
  <si>
    <t>Reffell</t>
  </si>
  <si>
    <t>Douglas</t>
  </si>
  <si>
    <t>*Williams</t>
  </si>
  <si>
    <t>*Woodward</t>
  </si>
  <si>
    <t>Simmons</t>
  </si>
  <si>
    <t>Reed</t>
  </si>
  <si>
    <t>Redpath</t>
  </si>
  <si>
    <t>Lindsay</t>
  </si>
  <si>
    <t>Bayliss</t>
  </si>
  <si>
    <t>Earl</t>
  </si>
  <si>
    <t>Vaughan</t>
  </si>
  <si>
    <t>Butler</t>
  </si>
  <si>
    <t>Seabrook</t>
  </si>
  <si>
    <t>2016/17</t>
  </si>
  <si>
    <t>PREM CUP</t>
  </si>
  <si>
    <t>PR</t>
  </si>
  <si>
    <t>PC</t>
  </si>
  <si>
    <t>GLO</t>
  </si>
  <si>
    <t>WOR</t>
  </si>
  <si>
    <t>SAL</t>
  </si>
  <si>
    <t>BTH</t>
  </si>
  <si>
    <t>NOR</t>
  </si>
  <si>
    <t xml:space="preserve">Atkins D </t>
  </si>
  <si>
    <t xml:space="preserve">Mercer Z </t>
  </si>
  <si>
    <t xml:space="preserve">Penalty Tries </t>
  </si>
  <si>
    <t xml:space="preserve">Watson A </t>
  </si>
  <si>
    <t xml:space="preserve">Evans G </t>
  </si>
  <si>
    <t xml:space="preserve">Evans L </t>
  </si>
  <si>
    <t xml:space="preserve">Marshall T </t>
  </si>
  <si>
    <t xml:space="preserve">Williams O </t>
  </si>
  <si>
    <t xml:space="preserve">Chisholm J </t>
  </si>
  <si>
    <t xml:space="preserve">Chisholm R </t>
  </si>
  <si>
    <t xml:space="preserve">Ford G </t>
  </si>
  <si>
    <t xml:space="preserve">Ford J </t>
  </si>
  <si>
    <t xml:space="preserve">Holmes J </t>
  </si>
  <si>
    <t xml:space="preserve">White B </t>
  </si>
  <si>
    <t xml:space="preserve">Youngs B </t>
  </si>
  <si>
    <t xml:space="preserve">Youngs T </t>
  </si>
  <si>
    <t xml:space="preserve">Francis P </t>
  </si>
  <si>
    <t xml:space="preserve">Waller A </t>
  </si>
  <si>
    <t xml:space="preserve">Curry B </t>
  </si>
  <si>
    <t xml:space="preserve">Curry T </t>
  </si>
  <si>
    <t xml:space="preserve">James S </t>
  </si>
  <si>
    <t xml:space="preserve">Jones M </t>
  </si>
  <si>
    <t xml:space="preserve">Taylor D </t>
  </si>
  <si>
    <t xml:space="preserve">Vunipola B </t>
  </si>
  <si>
    <t xml:space="preserve">Williams L </t>
  </si>
  <si>
    <t xml:space="preserve">James O </t>
  </si>
  <si>
    <t xml:space="preserve">Watson M </t>
  </si>
  <si>
    <t xml:space="preserve">Willis J </t>
  </si>
  <si>
    <t xml:space="preserve">Lewis S </t>
  </si>
  <si>
    <t xml:space="preserve">Phillips P </t>
  </si>
  <si>
    <t xml:space="preserve">Waller E </t>
  </si>
  <si>
    <t xml:space="preserve">Davis P </t>
  </si>
  <si>
    <t xml:space="preserve">Francis T </t>
  </si>
  <si>
    <t xml:space="preserve">Hill J </t>
  </si>
  <si>
    <t xml:space="preserve">Hill S </t>
  </si>
  <si>
    <t xml:space="preserve">Holmes G </t>
  </si>
  <si>
    <t xml:space="preserve">Simmonds J </t>
  </si>
  <si>
    <t xml:space="preserve">Simmonds S </t>
  </si>
  <si>
    <t xml:space="preserve">White N </t>
  </si>
  <si>
    <t xml:space="preserve">Williams H </t>
  </si>
  <si>
    <t>HAR</t>
  </si>
  <si>
    <t>EXE</t>
  </si>
  <si>
    <t>WAS</t>
  </si>
  <si>
    <t>SAR</t>
  </si>
  <si>
    <t>LEIC</t>
  </si>
  <si>
    <t>Harris A (TJ)</t>
  </si>
  <si>
    <t xml:space="preserve">Harris B </t>
  </si>
  <si>
    <t xml:space="preserve">Harrison R </t>
  </si>
  <si>
    <t xml:space="preserve">Harrison T </t>
  </si>
  <si>
    <t>Williams O</t>
  </si>
  <si>
    <t>Burns F</t>
  </si>
  <si>
    <t xml:space="preserve">Davies </t>
  </si>
  <si>
    <t>Davies</t>
  </si>
  <si>
    <t>Davies A</t>
  </si>
  <si>
    <t>McConnochie</t>
  </si>
  <si>
    <t>Noguera</t>
  </si>
  <si>
    <t>*Tapuai</t>
  </si>
  <si>
    <t>*Devoto</t>
  </si>
  <si>
    <t>BRI</t>
  </si>
  <si>
    <t>Batley</t>
  </si>
  <si>
    <t>Cosgrove</t>
  </si>
  <si>
    <t>Crane</t>
  </si>
  <si>
    <t>Edwards</t>
  </si>
  <si>
    <t>Faletau T</t>
  </si>
  <si>
    <t>Faletau S</t>
  </si>
  <si>
    <t>Heenan</t>
  </si>
  <si>
    <t>Hurrell</t>
  </si>
  <si>
    <t>Jeffries</t>
  </si>
  <si>
    <t>Joyce</t>
  </si>
  <si>
    <t>Lay, James</t>
  </si>
  <si>
    <t>Lay, Jordan</t>
  </si>
  <si>
    <t>Leiua</t>
  </si>
  <si>
    <t>Luatua</t>
  </si>
  <si>
    <t>Madigan</t>
  </si>
  <si>
    <t>Morahan</t>
  </si>
  <si>
    <t>Muldowney</t>
  </si>
  <si>
    <t>O'Conor</t>
  </si>
  <si>
    <t>Pincus</t>
  </si>
  <si>
    <t>Pisi T</t>
  </si>
  <si>
    <t>Piutau C</t>
  </si>
  <si>
    <t>Piutau S</t>
  </si>
  <si>
    <t>Protheroe</t>
  </si>
  <si>
    <t>Randall</t>
  </si>
  <si>
    <t>Sheedy</t>
  </si>
  <si>
    <t>Stirzaker</t>
  </si>
  <si>
    <t>Thacker</t>
  </si>
  <si>
    <t>Thiede</t>
  </si>
  <si>
    <t>Thomas D</t>
  </si>
  <si>
    <t>Thomas H</t>
  </si>
  <si>
    <t>Thomas Y</t>
  </si>
  <si>
    <t>Uren</t>
  </si>
  <si>
    <t>Vui</t>
  </si>
  <si>
    <t>PREM  CUP</t>
  </si>
  <si>
    <t>Last Match            (All Comps)</t>
  </si>
  <si>
    <t>Smith G</t>
  </si>
  <si>
    <t>Cuthbert</t>
  </si>
  <si>
    <t>Banahan</t>
  </si>
  <si>
    <t>Dreyer</t>
  </si>
  <si>
    <t>Gleave</t>
  </si>
  <si>
    <t>Grobler</t>
  </si>
  <si>
    <t>Kriel</t>
  </si>
  <si>
    <t>Marais</t>
  </si>
  <si>
    <t>Mostert</t>
  </si>
  <si>
    <t>*Cipriani</t>
  </si>
  <si>
    <t>*Banahan</t>
  </si>
  <si>
    <t>Chall Cup</t>
  </si>
  <si>
    <t>2016/17            (Chall Cup)</t>
  </si>
  <si>
    <t>2015/16           (Chall Cup)</t>
  </si>
  <si>
    <t>2014/15             (Chall Cup)</t>
  </si>
  <si>
    <t>Auterac</t>
  </si>
  <si>
    <t>Crumpton</t>
  </si>
  <si>
    <t>Dombrandt</t>
  </si>
  <si>
    <t>Symons M</t>
  </si>
  <si>
    <t>Aspland-Rob'son</t>
  </si>
  <si>
    <t>Cortes</t>
  </si>
  <si>
    <t>Spencer W</t>
  </si>
  <si>
    <t>Biggar</t>
  </si>
  <si>
    <t>Naiyaravoro</t>
  </si>
  <si>
    <t>Franks</t>
  </si>
  <si>
    <t>Symons A</t>
  </si>
  <si>
    <t>*Biggar</t>
  </si>
  <si>
    <t>Jones J</t>
  </si>
  <si>
    <t xml:space="preserve">O'Connor J </t>
  </si>
  <si>
    <t>Lewington</t>
  </si>
  <si>
    <t>Wigg'worth</t>
  </si>
  <si>
    <t>Shields</t>
  </si>
  <si>
    <t>Sopoaga</t>
  </si>
  <si>
    <t>Le Bourgeois</t>
  </si>
  <si>
    <t>Searle</t>
  </si>
  <si>
    <t>Curtis</t>
  </si>
  <si>
    <t>West</t>
  </si>
  <si>
    <t>Willis T</t>
  </si>
  <si>
    <t>*Searle</t>
  </si>
  <si>
    <t>*Sopoaga</t>
  </si>
  <si>
    <t>Black</t>
  </si>
  <si>
    <t>Beck</t>
  </si>
  <si>
    <t>du Preez</t>
  </si>
  <si>
    <t>Heaney</t>
  </si>
  <si>
    <t>van Breda</t>
  </si>
  <si>
    <t>Venter</t>
  </si>
  <si>
    <t>Weir</t>
  </si>
  <si>
    <t>Miller I</t>
  </si>
  <si>
    <t>*Weir</t>
  </si>
  <si>
    <t>Atkins O</t>
  </si>
  <si>
    <t>Atkinson M</t>
  </si>
  <si>
    <t>Clark M</t>
  </si>
  <si>
    <t>Clark C</t>
  </si>
  <si>
    <t>Davies C</t>
  </si>
  <si>
    <t>Davis W</t>
  </si>
  <si>
    <t>Davis L</t>
  </si>
  <si>
    <t>Evans W</t>
  </si>
  <si>
    <t>Evans B</t>
  </si>
  <si>
    <t>Hill P</t>
  </si>
  <si>
    <t>Holmes E</t>
  </si>
  <si>
    <t>Marshall R</t>
  </si>
  <si>
    <t>McGuigan B</t>
  </si>
  <si>
    <t>Miller R</t>
  </si>
  <si>
    <t>Morris A</t>
  </si>
  <si>
    <t>Phillips J</t>
  </si>
  <si>
    <t>Spencer B</t>
  </si>
  <si>
    <t>Stuart W</t>
  </si>
  <si>
    <t xml:space="preserve">Taylor H </t>
  </si>
  <si>
    <t>Taylor T</t>
  </si>
  <si>
    <t xml:space="preserve">Williams, Matt </t>
  </si>
  <si>
    <t>Young T</t>
  </si>
  <si>
    <t>Zhvania</t>
  </si>
  <si>
    <t>Wright</t>
  </si>
  <si>
    <t>Lasike</t>
  </si>
  <si>
    <t>Ackermann R</t>
  </si>
  <si>
    <t>Adams J</t>
  </si>
  <si>
    <t>Afoa J</t>
  </si>
  <si>
    <t>Annett N</t>
  </si>
  <si>
    <t>Armand D</t>
  </si>
  <si>
    <t>Arr J</t>
  </si>
  <si>
    <t>Aspland-R'son S</t>
  </si>
  <si>
    <t>Attwood D</t>
  </si>
  <si>
    <t>Auterac N</t>
  </si>
  <si>
    <t>Baldwin L</t>
  </si>
  <si>
    <t>Balmain F</t>
  </si>
  <si>
    <t>Banahan M</t>
  </si>
  <si>
    <t>Barrington R</t>
  </si>
  <si>
    <t>Barritt B</t>
  </si>
  <si>
    <t>Barrow D</t>
  </si>
  <si>
    <t>Barry D</t>
  </si>
  <si>
    <t>Bassett J</t>
  </si>
  <si>
    <t>Batty R</t>
  </si>
  <si>
    <t>Bayliss J</t>
  </si>
  <si>
    <t>Beaumont J</t>
  </si>
  <si>
    <t>Beck A</t>
  </si>
  <si>
    <t>Biggar D</t>
  </si>
  <si>
    <t>Black C</t>
  </si>
  <si>
    <t>Bodilly M</t>
  </si>
  <si>
    <t>Bothma R</t>
  </si>
  <si>
    <t>Bower R</t>
  </si>
  <si>
    <t>Boyce L</t>
  </si>
  <si>
    <t>Braley C</t>
  </si>
  <si>
    <t>Brew A</t>
  </si>
  <si>
    <t>Brookes K</t>
  </si>
  <si>
    <t>Brown M</t>
  </si>
  <si>
    <t>Brussow B</t>
  </si>
  <si>
    <t>Buchanan R</t>
  </si>
  <si>
    <t>Burrell L</t>
  </si>
  <si>
    <t>Bateman G</t>
  </si>
  <si>
    <t>Batley J</t>
  </si>
  <si>
    <t>Butler W</t>
  </si>
  <si>
    <t>Campagnaro M</t>
  </si>
  <si>
    <t>Care D</t>
  </si>
  <si>
    <t>Carr N</t>
  </si>
  <si>
    <t>Catt N</t>
  </si>
  <si>
    <t>Charteris L</t>
  </si>
  <si>
    <t>Cheeseman T</t>
  </si>
  <si>
    <t>Chudley W</t>
  </si>
  <si>
    <t>Cipriani D</t>
  </si>
  <si>
    <t>Clarke F</t>
  </si>
  <si>
    <t>Cliff W</t>
  </si>
  <si>
    <t>Clifford J</t>
  </si>
  <si>
    <t>Cokanasiga J</t>
  </si>
  <si>
    <t>Cole D</t>
  </si>
  <si>
    <t>Collier W</t>
  </si>
  <si>
    <t>Collins T</t>
  </si>
  <si>
    <t>Cook C</t>
  </si>
  <si>
    <t>Cooper-W J</t>
  </si>
  <si>
    <t>Cortes G</t>
  </si>
  <si>
    <t>Cosgrove J</t>
  </si>
  <si>
    <t>Cowan-Dickie L</t>
  </si>
  <si>
    <t>Craig J</t>
  </si>
  <si>
    <t>Crane J</t>
  </si>
  <si>
    <t>Crumpton M</t>
  </si>
  <si>
    <t>Cruse T</t>
  </si>
  <si>
    <t>Cullen R</t>
  </si>
  <si>
    <t>Curtis A</t>
  </si>
  <si>
    <t>Cuthbert A</t>
  </si>
  <si>
    <t>Daly E</t>
  </si>
  <si>
    <t>de Jongh J</t>
  </si>
  <si>
    <t>de Klerk F</t>
  </si>
  <si>
    <t>Denman G</t>
  </si>
  <si>
    <t>Dennis D</t>
  </si>
  <si>
    <t>Devoto O</t>
  </si>
  <si>
    <t>Dollman P</t>
  </si>
  <si>
    <t>Dombrandt A</t>
  </si>
  <si>
    <t>Douglas L</t>
  </si>
  <si>
    <t>Dreyer R</t>
  </si>
  <si>
    <t>du Preez C</t>
  </si>
  <si>
    <t>Dunn T</t>
  </si>
  <si>
    <t>Eadie M</t>
  </si>
  <si>
    <t>Earl B</t>
  </si>
  <si>
    <t>Earle N</t>
  </si>
  <si>
    <t>Edwards R</t>
  </si>
  <si>
    <t>Elia E</t>
  </si>
  <si>
    <t>Ellis T</t>
  </si>
  <si>
    <t>Ewels C</t>
  </si>
  <si>
    <t>Ewers D</t>
  </si>
  <si>
    <t>Faosiliva A</t>
  </si>
  <si>
    <t>Farrell O</t>
  </si>
  <si>
    <t>Fenton-Wells N</t>
  </si>
  <si>
    <t>Figallo J</t>
  </si>
  <si>
    <t>Fish J</t>
  </si>
  <si>
    <t>Fitzgerald M</t>
  </si>
  <si>
    <t>Flynn J</t>
  </si>
  <si>
    <t>Ford-Robinson J</t>
  </si>
  <si>
    <t>Foster N</t>
  </si>
  <si>
    <t>Fotuali'I K</t>
  </si>
  <si>
    <t>Franks B</t>
  </si>
  <si>
    <t>Furbank G</t>
  </si>
  <si>
    <t>Gallagher M</t>
  </si>
  <si>
    <t>Garratt M</t>
  </si>
  <si>
    <t>Garvey M</t>
  </si>
  <si>
    <t>Gaskell J</t>
  </si>
  <si>
    <t>Genge E</t>
  </si>
  <si>
    <t>George J</t>
  </si>
  <si>
    <t>Gibson J</t>
  </si>
  <si>
    <t>Gleave G</t>
  </si>
  <si>
    <t>Glynn B</t>
  </si>
  <si>
    <t>Goode A</t>
  </si>
  <si>
    <t>Gopperth J</t>
  </si>
  <si>
    <t>Grant P</t>
  </si>
  <si>
    <t>Grayson J</t>
  </si>
  <si>
    <t>Grobler G</t>
  </si>
  <si>
    <t>Haining N</t>
  </si>
  <si>
    <t>Hammond D</t>
  </si>
  <si>
    <t>Hampson C</t>
  </si>
  <si>
    <t>Hanson J</t>
  </si>
  <si>
    <t>Hardwick R</t>
  </si>
  <si>
    <t>Haywood M</t>
  </si>
  <si>
    <t>Heaney P</t>
  </si>
  <si>
    <t>Heenan J</t>
  </si>
  <si>
    <t>Heinz W</t>
  </si>
  <si>
    <t>Hendrickson T</t>
  </si>
  <si>
    <t>Hepburn A</t>
  </si>
  <si>
    <t>Hohneck J</t>
  </si>
  <si>
    <t>Horwill J</t>
  </si>
  <si>
    <t>Hougaard F</t>
  </si>
  <si>
    <t>Howe T</t>
  </si>
  <si>
    <t>Hudson T</t>
  </si>
  <si>
    <t>Hughes N</t>
  </si>
  <si>
    <t>Humphreys P</t>
  </si>
  <si>
    <t>Hurrell W</t>
  </si>
  <si>
    <t>Hutchinson R</t>
  </si>
  <si>
    <t>Ibitoye G</t>
  </si>
  <si>
    <t>Ibuanokpe J</t>
  </si>
  <si>
    <t>Innard J</t>
  </si>
  <si>
    <t>Itoje M</t>
  </si>
  <si>
    <t>Jeffries S</t>
  </si>
  <si>
    <t>Jennings L</t>
  </si>
  <si>
    <t>John W</t>
  </si>
  <si>
    <t>Johnson A</t>
  </si>
  <si>
    <t>Joseph J</t>
  </si>
  <si>
    <t>Joyce J</t>
  </si>
  <si>
    <t>Kalamafoni S</t>
  </si>
  <si>
    <t>Kellaway A</t>
  </si>
  <si>
    <t>Kerrod S</t>
  </si>
  <si>
    <t>Koch V</t>
  </si>
  <si>
    <t>Kriel J</t>
  </si>
  <si>
    <t>Kruis G</t>
  </si>
  <si>
    <t>Kvesic M</t>
  </si>
  <si>
    <t>Lam J</t>
  </si>
  <si>
    <t>Lamb D</t>
  </si>
  <si>
    <t>Lambert M</t>
  </si>
  <si>
    <t>Lamositele T</t>
  </si>
  <si>
    <t>Lance J</t>
  </si>
  <si>
    <t>Lang J</t>
  </si>
  <si>
    <t>Langdon C</t>
  </si>
  <si>
    <t>Langley D</t>
  </si>
  <si>
    <t>Lasike P</t>
  </si>
  <si>
    <t>Latta J</t>
  </si>
  <si>
    <t>Launchbury J</t>
  </si>
  <si>
    <t>Lawday T</t>
  </si>
  <si>
    <t>Lawes C</t>
  </si>
  <si>
    <t>Lawrence O</t>
  </si>
  <si>
    <t>Le Bourgeois M</t>
  </si>
  <si>
    <t>le Roux W</t>
  </si>
  <si>
    <t>Leiua A</t>
  </si>
  <si>
    <t>Leota J</t>
  </si>
  <si>
    <t>Lewington A</t>
  </si>
  <si>
    <t>Lindsay T</t>
  </si>
  <si>
    <t>Louw F</t>
  </si>
  <si>
    <t>Lovobalavu G</t>
  </si>
  <si>
    <t>Low M</t>
  </si>
  <si>
    <t>Lozowski A</t>
  </si>
  <si>
    <t>Luatua S</t>
  </si>
  <si>
    <t>Ludlam L</t>
  </si>
  <si>
    <t>Ludlow L</t>
  </si>
  <si>
    <t>MacGinty A</t>
  </si>
  <si>
    <t>Madigan I</t>
  </si>
  <si>
    <t>Maitland S</t>
  </si>
  <si>
    <t>Malins M</t>
  </si>
  <si>
    <t>Mallinder H</t>
  </si>
  <si>
    <t>Mama M</t>
  </si>
  <si>
    <t>Marais F</t>
  </si>
  <si>
    <t>Marchant J</t>
  </si>
  <si>
    <t>Marler J</t>
  </si>
  <si>
    <t>Matthews C</t>
  </si>
  <si>
    <t>Maunder J</t>
  </si>
  <si>
    <t>May J</t>
  </si>
  <si>
    <t>McAllister P</t>
  </si>
  <si>
    <t>McConnochie R</t>
  </si>
  <si>
    <t>McIntyre S</t>
  </si>
  <si>
    <t>McNulty J</t>
  </si>
  <si>
    <t>Merrick G</t>
  </si>
  <si>
    <t>Mills R</t>
  </si>
  <si>
    <t>Mitchell A</t>
  </si>
  <si>
    <t>Moon B</t>
  </si>
  <si>
    <t>Morahan L</t>
  </si>
  <si>
    <t>Morgan B</t>
  </si>
  <si>
    <t>Mostert F</t>
  </si>
  <si>
    <t>Mulchrone C</t>
  </si>
  <si>
    <t>Muldowney A</t>
  </si>
  <si>
    <t>Mullan M</t>
  </si>
  <si>
    <t>Myall K</t>
  </si>
  <si>
    <t>Naiyaravoro T</t>
  </si>
  <si>
    <t>Neild C</t>
  </si>
  <si>
    <t>Noguera L</t>
  </si>
  <si>
    <t>Nott G</t>
  </si>
  <si>
    <t>Nowell J</t>
  </si>
  <si>
    <t>Obano B</t>
  </si>
  <si>
    <t>O'Conor P</t>
  </si>
  <si>
    <t>Odogwu P</t>
  </si>
  <si>
    <t>O'Flaherty T</t>
  </si>
  <si>
    <t>Olivier W</t>
  </si>
  <si>
    <t>O'Sullivan A</t>
  </si>
  <si>
    <t>Pearce L</t>
  </si>
  <si>
    <t>Pennell C</t>
  </si>
  <si>
    <t>Perenise A</t>
  </si>
  <si>
    <t>Peters J</t>
  </si>
  <si>
    <t>Pincus T</t>
  </si>
  <si>
    <t>Polledri J</t>
  </si>
  <si>
    <t>Potgieter D</t>
  </si>
  <si>
    <t>Priestland R</t>
  </si>
  <si>
    <t>Protheroe M</t>
  </si>
  <si>
    <t>Purdy H</t>
  </si>
  <si>
    <t>Randall H</t>
  </si>
  <si>
    <t>Rapava Ruskin V</t>
  </si>
  <si>
    <t>Ratuniyarawa A</t>
  </si>
  <si>
    <t>Redpath C</t>
  </si>
  <si>
    <t>Reed A</t>
  </si>
  <si>
    <t>Reffell S</t>
  </si>
  <si>
    <t>Reinach C</t>
  </si>
  <si>
    <t>Rhodes M</t>
  </si>
  <si>
    <t>Ribbans D</t>
  </si>
  <si>
    <t>Rieder A</t>
  </si>
  <si>
    <t>Roberts J</t>
  </si>
  <si>
    <t>Robshaw C</t>
  </si>
  <si>
    <t>Robson D</t>
  </si>
  <si>
    <t>Rokoduguni S</t>
  </si>
  <si>
    <t>Ross J</t>
  </si>
  <si>
    <t>Rowlands W</t>
  </si>
  <si>
    <t>Safe W</t>
  </si>
  <si>
    <t>Saili F</t>
  </si>
  <si>
    <t>Savage T</t>
  </si>
  <si>
    <t>Schonert N</t>
  </si>
  <si>
    <t>Seabrook T</t>
  </si>
  <si>
    <t>Seals W</t>
  </si>
  <si>
    <t>Searle B</t>
  </si>
  <si>
    <t>Segun R</t>
  </si>
  <si>
    <t>Sharples C</t>
  </si>
  <si>
    <t>Sheedy C</t>
  </si>
  <si>
    <t>Shields B</t>
  </si>
  <si>
    <t>Shillcock J</t>
  </si>
  <si>
    <t>Short J</t>
  </si>
  <si>
    <t>Simmons H</t>
  </si>
  <si>
    <t>Simpson J</t>
  </si>
  <si>
    <t>Sinckler K</t>
  </si>
  <si>
    <t>Singleton J</t>
  </si>
  <si>
    <t>Skelton W</t>
  </si>
  <si>
    <t>Skinner S</t>
  </si>
  <si>
    <t>Slade H</t>
  </si>
  <si>
    <t>Slater E</t>
  </si>
  <si>
    <t>Solomona D</t>
  </si>
  <si>
    <t>Sopoaga L</t>
  </si>
  <si>
    <t>Spurling S</t>
  </si>
  <si>
    <t>Steenson G</t>
  </si>
  <si>
    <t>Stirzaker N</t>
  </si>
  <si>
    <t>Stooke E</t>
  </si>
  <si>
    <t>Strauss J</t>
  </si>
  <si>
    <t>Strong H</t>
  </si>
  <si>
    <t>Taione E</t>
  </si>
  <si>
    <t>Tapuai B</t>
  </si>
  <si>
    <t>Taufete'e J</t>
  </si>
  <si>
    <t>Te'o B</t>
  </si>
  <si>
    <t>Thiede L</t>
  </si>
  <si>
    <t>Thompson G</t>
  </si>
  <si>
    <t>Thompstone A</t>
  </si>
  <si>
    <t>Thorley O</t>
  </si>
  <si>
    <t>Tolofua C</t>
  </si>
  <si>
    <t>Tompkins N</t>
  </si>
  <si>
    <t>Toomua M</t>
  </si>
  <si>
    <t>Tovey J</t>
  </si>
  <si>
    <t>Townsend S</t>
  </si>
  <si>
    <t>Trinder H</t>
  </si>
  <si>
    <t>Tuala A</t>
  </si>
  <si>
    <t>Tuilagi M</t>
  </si>
  <si>
    <t>Tuitavake N</t>
  </si>
  <si>
    <t>Twelvetrees B</t>
  </si>
  <si>
    <t>Twomey S</t>
  </si>
  <si>
    <t>Umaga J</t>
  </si>
  <si>
    <t>Underhill S</t>
  </si>
  <si>
    <t>Uren A</t>
  </si>
  <si>
    <t>Vailanu S</t>
  </si>
  <si>
    <t>van Breda S</t>
  </si>
  <si>
    <t>van der Sluys W</t>
  </si>
  <si>
    <t>van Rooyen J</t>
  </si>
  <si>
    <t>van Velze GJ</t>
  </si>
  <si>
    <t>van Wyk F</t>
  </si>
  <si>
    <t>Vaughan W</t>
  </si>
  <si>
    <t>Veainu T</t>
  </si>
  <si>
    <t>Vellacott B</t>
  </si>
  <si>
    <t>Venter F</t>
  </si>
  <si>
    <t>Visser T</t>
  </si>
  <si>
    <t>Vui C</t>
  </si>
  <si>
    <t>Vuna C</t>
  </si>
  <si>
    <t>Walker C</t>
  </si>
  <si>
    <t>Wallace L</t>
  </si>
  <si>
    <t>Ward D</t>
  </si>
  <si>
    <t>Waters C</t>
  </si>
  <si>
    <t>Webber R</t>
  </si>
  <si>
    <t>Weir D</t>
  </si>
  <si>
    <t>West T</t>
  </si>
  <si>
    <t>Whiteley T</t>
  </si>
  <si>
    <t>Whitten I</t>
  </si>
  <si>
    <t>Wigglesworth R</t>
  </si>
  <si>
    <t>Willison J</t>
  </si>
  <si>
    <t>Wilson J</t>
  </si>
  <si>
    <t>Wright M</t>
  </si>
  <si>
    <t>Wood T</t>
  </si>
  <si>
    <t>Woodburn O</t>
  </si>
  <si>
    <t>Woodward J</t>
  </si>
  <si>
    <t>Woolmore J</t>
  </si>
  <si>
    <t>Woolstencroft T</t>
  </si>
  <si>
    <t>Worth G</t>
  </si>
  <si>
    <t>Wray J</t>
  </si>
  <si>
    <t>Yarde M</t>
  </si>
  <si>
    <t>Yeandle J</t>
  </si>
  <si>
    <t>Zhvania Z</t>
  </si>
  <si>
    <t>Francis P</t>
  </si>
  <si>
    <t>Hardwick T</t>
  </si>
  <si>
    <t>Ashton</t>
  </si>
  <si>
    <t>Isiekwe</t>
  </si>
  <si>
    <t>Isiekwe N</t>
  </si>
  <si>
    <t>Thompson-Stringer</t>
  </si>
  <si>
    <t>Bresler</t>
  </si>
  <si>
    <t>Bresler A</t>
  </si>
  <si>
    <t>Clegg</t>
  </si>
  <si>
    <t>Clegg J</t>
  </si>
  <si>
    <t>Milasinovich</t>
  </si>
  <si>
    <t>Milasinovich G</t>
  </si>
  <si>
    <t>Mudariki</t>
  </si>
  <si>
    <t>Mudariki F</t>
  </si>
  <si>
    <t>*Williams with Leicester before 2017/18, Woodward with Bristol in 2016/17</t>
  </si>
  <si>
    <t>Smith M</t>
  </si>
  <si>
    <t>^regular season</t>
  </si>
  <si>
    <t>Mercer</t>
  </si>
  <si>
    <t>2013/14           (European Cup)</t>
  </si>
  <si>
    <t>Hill T</t>
  </si>
  <si>
    <t>Painter</t>
  </si>
  <si>
    <t>Painter E</t>
  </si>
  <si>
    <t>Homer</t>
  </si>
  <si>
    <t>Eastmond</t>
  </si>
  <si>
    <t>Janse van Rensburg</t>
  </si>
  <si>
    <t>Janse van Rensburg R</t>
  </si>
  <si>
    <t>*Madigan</t>
  </si>
  <si>
    <t>Olowofela</t>
  </si>
  <si>
    <t xml:space="preserve">*Cipriani previous seasons with Wasps (Cmps Cup) </t>
  </si>
  <si>
    <t>Wells</t>
  </si>
  <si>
    <t>Wells H</t>
  </si>
  <si>
    <t>Wilkinson</t>
  </si>
  <si>
    <t>Wilkinson K</t>
  </si>
  <si>
    <t>Walker J</t>
  </si>
  <si>
    <t>Coetzer</t>
  </si>
  <si>
    <t>Coetzer D</t>
  </si>
  <si>
    <t>Chapman</t>
  </si>
  <si>
    <t>Chapman C</t>
  </si>
  <si>
    <t>Barbeary</t>
  </si>
  <si>
    <t>Barbeary A</t>
  </si>
  <si>
    <t>Jardine</t>
  </si>
  <si>
    <t>Jardine S</t>
  </si>
  <si>
    <t>Feao</t>
  </si>
  <si>
    <t>Feao D</t>
  </si>
  <si>
    <t>Skinner H</t>
  </si>
  <si>
    <t>Bedlow</t>
  </si>
  <si>
    <t>Bedlow S</t>
  </si>
  <si>
    <t>Kunatani</t>
  </si>
  <si>
    <t>Kunatani S</t>
  </si>
  <si>
    <t>Eden</t>
  </si>
  <si>
    <t>Eden T</t>
  </si>
  <si>
    <t>Atkins D</t>
  </si>
  <si>
    <t>Reffell T</t>
  </si>
  <si>
    <t>du Preez R</t>
  </si>
  <si>
    <t>Capstick</t>
  </si>
  <si>
    <t>Capstick R</t>
  </si>
  <si>
    <t>Keast</t>
  </si>
  <si>
    <t>Keast B</t>
  </si>
  <si>
    <t>Ashton C</t>
  </si>
  <si>
    <t>Dingwall</t>
  </si>
  <si>
    <t>Dingwall F</t>
  </si>
  <si>
    <t>Sleightholme</t>
  </si>
  <si>
    <t>Sleightholme O</t>
  </si>
  <si>
    <t>Kpoku, Joel</t>
  </si>
  <si>
    <t>Kpoku, Jonathan</t>
  </si>
  <si>
    <t>Wilson, James</t>
  </si>
  <si>
    <t>du Preez J-L</t>
  </si>
  <si>
    <t>Williams M</t>
  </si>
  <si>
    <t>Judge C</t>
  </si>
  <si>
    <t>Murley</t>
  </si>
  <si>
    <t>Murley C</t>
  </si>
  <si>
    <t>Powell</t>
  </si>
  <si>
    <t>Powell C</t>
  </si>
  <si>
    <t>Lonsdale</t>
  </si>
  <si>
    <t>Lonsdale S</t>
  </si>
  <si>
    <t>Graham</t>
  </si>
  <si>
    <t>Graham S</t>
  </si>
  <si>
    <t>Tuilagi F</t>
  </si>
  <si>
    <t>Coles</t>
  </si>
  <si>
    <t>Coles A</t>
  </si>
  <si>
    <t>David</t>
  </si>
  <si>
    <t>David N</t>
  </si>
  <si>
    <t>Top Try Scorer^</t>
  </si>
  <si>
    <t>*Madigan for Bordeaux (2016/17) Top 14 &amp; Cmps Cup &amp; Leinster (pre-2016/17) PRO12 &amp; Cmps Cup</t>
  </si>
  <si>
    <t>Morozov</t>
  </si>
  <si>
    <t>Morozov V</t>
  </si>
  <si>
    <t>Gigena</t>
  </si>
  <si>
    <t>Gigena F</t>
  </si>
  <si>
    <t>Daniels</t>
  </si>
  <si>
    <t>Daniels L</t>
  </si>
  <si>
    <t xml:space="preserve">Golden Boot^ </t>
  </si>
  <si>
    <t>Moon A</t>
  </si>
  <si>
    <t>Postlethwaite</t>
  </si>
  <si>
    <t>Postlethwaite M</t>
  </si>
  <si>
    <t>Adams-Hale</t>
  </si>
  <si>
    <t>Adams-Hale R</t>
  </si>
  <si>
    <t>Hidalgo-Clyne S</t>
  </si>
  <si>
    <t>Morris D</t>
  </si>
  <si>
    <t>BATH 2019/20 SCORERS</t>
  </si>
  <si>
    <t>BRISTOL 2019/20 SCORERS</t>
  </si>
  <si>
    <t>GLOUCESTER 2019/20 SCORERS</t>
  </si>
  <si>
    <t>EXETER 2019/20 SCORERS</t>
  </si>
  <si>
    <t>HARLEQUINS 2019/20 SCORERS</t>
  </si>
  <si>
    <t>LEICESTER 2019/20 SCORERS</t>
  </si>
  <si>
    <t>LONDON IRISH 2019/20 SCORERS</t>
  </si>
  <si>
    <t>NORTHAMPTON 2019/20 SCORERS</t>
  </si>
  <si>
    <t>SALE 2019/20 SCORERS</t>
  </si>
  <si>
    <t>SARACENS 2019/20 SCORERS</t>
  </si>
  <si>
    <t>WASPS 2019/20 SCORERS</t>
  </si>
  <si>
    <t>WORCESTER 2019/20 SCORERS</t>
  </si>
  <si>
    <t>2017/18</t>
  </si>
  <si>
    <t>2017/18       (Chall Cup)</t>
  </si>
  <si>
    <t>2013/14  (European Cup)</t>
  </si>
  <si>
    <t>LIR</t>
  </si>
  <si>
    <t>Brand</t>
  </si>
  <si>
    <t>Brophy-Clews</t>
  </si>
  <si>
    <t>Campbell</t>
  </si>
  <si>
    <t>Chawatawa</t>
  </si>
  <si>
    <t>Cilliers</t>
  </si>
  <si>
    <t>Cowan</t>
  </si>
  <si>
    <t>Elrington</t>
  </si>
  <si>
    <t>Fowlie</t>
  </si>
  <si>
    <t>Goodrick-Clarke</t>
  </si>
  <si>
    <t>Gilsenan</t>
  </si>
  <si>
    <t>Hepetama</t>
  </si>
  <si>
    <t>Hoskins</t>
  </si>
  <si>
    <t>Ioane</t>
  </si>
  <si>
    <t>Jackson</t>
  </si>
  <si>
    <t>Loader</t>
  </si>
  <si>
    <t>Macken</t>
  </si>
  <si>
    <t>Maddison</t>
  </si>
  <si>
    <t>Meehan</t>
  </si>
  <si>
    <t>Matu'u</t>
  </si>
  <si>
    <t>Myler</t>
  </si>
  <si>
    <t>Parton</t>
  </si>
  <si>
    <t>Rogerson</t>
  </si>
  <si>
    <t>Rona</t>
  </si>
  <si>
    <t>Steele</t>
  </si>
  <si>
    <t>Stephenson</t>
  </si>
  <si>
    <t>Tuisue</t>
  </si>
  <si>
    <t>Veitokani</t>
  </si>
  <si>
    <t>Atkins J</t>
  </si>
  <si>
    <t>Brophy-Clews T</t>
  </si>
  <si>
    <t>Jackson P</t>
  </si>
  <si>
    <t>Myler S</t>
  </si>
  <si>
    <t>*Myler</t>
  </si>
  <si>
    <t>*Jackson</t>
  </si>
  <si>
    <t>*Biggar for Ospreys (P14) before last season</t>
  </si>
  <si>
    <t>*Searle played for Bristol &amp; Sopoaga for Highlanders (SR) before last season</t>
  </si>
  <si>
    <t>*Daly</t>
  </si>
  <si>
    <t>*Weir for Edinburgh &amp; Glasgow (P12/14) before last season</t>
  </si>
  <si>
    <t>Rees-Zammit</t>
  </si>
  <si>
    <t>Hinkley</t>
  </si>
  <si>
    <t>Barton</t>
  </si>
  <si>
    <t>Wyatt</t>
  </si>
  <si>
    <t>Karea</t>
  </si>
  <si>
    <t>Herron</t>
  </si>
  <si>
    <t>Forsyth</t>
  </si>
  <si>
    <t>McPhilips</t>
  </si>
  <si>
    <t>McMillan</t>
  </si>
  <si>
    <t>Hammersley</t>
  </si>
  <si>
    <t>Hammersley S</t>
  </si>
  <si>
    <t>Watson C</t>
  </si>
  <si>
    <t>Willemse D</t>
  </si>
  <si>
    <t>Sirker C</t>
  </si>
  <si>
    <t>Flament T</t>
  </si>
  <si>
    <t>Montgomery C</t>
  </si>
  <si>
    <t>Hearle A</t>
  </si>
  <si>
    <t>Barton G</t>
  </si>
  <si>
    <t xml:space="preserve">Barton G </t>
  </si>
  <si>
    <t>Hinkley A</t>
  </si>
  <si>
    <t>Rees-Zammit L</t>
  </si>
  <si>
    <t xml:space="preserve">GLO </t>
  </si>
  <si>
    <t>Karea B</t>
  </si>
  <si>
    <t xml:space="preserve">EXE </t>
  </si>
  <si>
    <t>Wyatt T</t>
  </si>
  <si>
    <t>Herron B</t>
  </si>
  <si>
    <t>Forsyth A</t>
  </si>
  <si>
    <t>McPhilips J</t>
  </si>
  <si>
    <t>McMilan R</t>
  </si>
  <si>
    <t>McMIlan R</t>
  </si>
  <si>
    <t>Matthews T</t>
  </si>
  <si>
    <t>Willemse</t>
  </si>
  <si>
    <t>Vermeulen</t>
  </si>
  <si>
    <t>Vermeulen J</t>
  </si>
  <si>
    <t>Reid</t>
  </si>
  <si>
    <t>Reid N</t>
  </si>
  <si>
    <t>Fainga'a</t>
  </si>
  <si>
    <t>Cardall</t>
  </si>
  <si>
    <t>Cardall T</t>
  </si>
  <si>
    <t>du Preez D</t>
  </si>
  <si>
    <t>Cooper-Woolley J</t>
  </si>
  <si>
    <t>Roebuck</t>
  </si>
  <si>
    <t>Roebuck T</t>
  </si>
  <si>
    <t xml:space="preserve">Curtis </t>
  </si>
  <si>
    <t>Curtis T</t>
  </si>
  <si>
    <t>Williams J</t>
  </si>
  <si>
    <t>Landajo</t>
  </si>
  <si>
    <t>Landajo M</t>
  </si>
  <si>
    <t>Baldwin S</t>
  </si>
  <si>
    <t>Van der Merwe A</t>
  </si>
  <si>
    <t>Wolstenholme</t>
  </si>
  <si>
    <t>Wolstenhome S</t>
  </si>
  <si>
    <t>Wolstenholme S</t>
  </si>
  <si>
    <t>Englefield</t>
  </si>
  <si>
    <t>Cooke</t>
  </si>
  <si>
    <t>Morris J</t>
  </si>
  <si>
    <t>Street</t>
  </si>
  <si>
    <t>Street M</t>
  </si>
  <si>
    <t>Bates</t>
  </si>
  <si>
    <t>Bates J</t>
  </si>
  <si>
    <t>Capon</t>
  </si>
  <si>
    <t>Capon W</t>
  </si>
  <si>
    <t>Lloyd</t>
  </si>
  <si>
    <t>Lloyd I</t>
  </si>
  <si>
    <t>Viljoen EW</t>
  </si>
  <si>
    <t>Hassell-Collins</t>
  </si>
  <si>
    <t>Hassell-Collins O</t>
  </si>
  <si>
    <t>Botha</t>
  </si>
  <si>
    <t>Botha R</t>
  </si>
  <si>
    <t>van der Merwe A</t>
  </si>
  <si>
    <t>Vunipola, Manu</t>
  </si>
  <si>
    <t>Seq</t>
  </si>
  <si>
    <t>PREM</t>
  </si>
  <si>
    <t>CHAMPS CUP</t>
  </si>
  <si>
    <t>Last Season   (CHAMPS CUP)</t>
  </si>
  <si>
    <t>2017/18 (CHAMPS CUP)</t>
  </si>
  <si>
    <t>2016/17  (CHAMPS CUP)</t>
  </si>
  <si>
    <t>2015/16  (CHAMPS CUP)</t>
  </si>
  <si>
    <t>2014/15  (CHAMPS CUP)</t>
  </si>
  <si>
    <t>*Myler for Northampton before last season (Prem/CHAMPS CUP)</t>
  </si>
  <si>
    <t>*Jackson for Perpignan (Top 14) last season &amp; Ulster (PRO rugby &amp; CHAMPS CUP) before that</t>
  </si>
  <si>
    <t>Last Season (CHAMPS CUP)</t>
  </si>
  <si>
    <t>2016/17 (CHAMPS CUP)</t>
  </si>
  <si>
    <t>2015/16 (CHAMPS CUP)</t>
  </si>
  <si>
    <t>2014/15 (CHAMPS CUP)</t>
  </si>
  <si>
    <t>CHALL CUP</t>
  </si>
  <si>
    <t>Last Season          (CHALL CUP)</t>
  </si>
  <si>
    <t>2016/17 (CHALL CUP)</t>
  </si>
  <si>
    <t>2015/16                (CHALL CUP)</t>
  </si>
  <si>
    <t>2013/14                           (CHALL CUP)</t>
  </si>
  <si>
    <t>Last Season   (CHALL CUP)</t>
  </si>
  <si>
    <t>Last Season  (CHALL CUP)</t>
  </si>
  <si>
    <t>*Daly for Wasps in previous seasons (CHALL CUP in 2013/14)</t>
  </si>
  <si>
    <t>Kibirige</t>
  </si>
  <si>
    <t>Naholo</t>
  </si>
  <si>
    <t>Naholo W</t>
  </si>
  <si>
    <t>Phipps</t>
  </si>
  <si>
    <t>Phipps N</t>
  </si>
  <si>
    <t>Kibirige Z</t>
  </si>
  <si>
    <t>Hamer-Webb</t>
  </si>
  <si>
    <t>Hamer-Webb G</t>
  </si>
  <si>
    <t>Oosthuizen</t>
  </si>
  <si>
    <t>Oosthuizen C</t>
  </si>
  <si>
    <t>Harris</t>
  </si>
  <si>
    <t xml:space="preserve">Franks </t>
  </si>
  <si>
    <t>Proctor</t>
  </si>
  <si>
    <t>Proctor M</t>
  </si>
  <si>
    <t>Jones</t>
  </si>
  <si>
    <t>Hogg</t>
  </si>
  <si>
    <t>Hogg S</t>
  </si>
  <si>
    <t>Fricker</t>
  </si>
  <si>
    <t>Fricker T</t>
  </si>
  <si>
    <t>*Tapuai for Bath before last season</t>
  </si>
  <si>
    <t>Heward</t>
  </si>
  <si>
    <t>Heward N</t>
  </si>
  <si>
    <t>Kitto</t>
  </si>
  <si>
    <t>Kitto J</t>
  </si>
  <si>
    <t>Morris O</t>
  </si>
  <si>
    <t>Palframan</t>
  </si>
  <si>
    <t>Palframan R</t>
  </si>
  <si>
    <t>Simpson G</t>
  </si>
  <si>
    <t>Ford</t>
  </si>
  <si>
    <t>*Ford</t>
  </si>
  <si>
    <t>Steward</t>
  </si>
  <si>
    <t>Steward F</t>
  </si>
  <si>
    <t>Leatigaga</t>
  </si>
  <si>
    <t>Leatigaga N</t>
  </si>
  <si>
    <t>Coghlan</t>
  </si>
  <si>
    <t>Coghlan J</t>
  </si>
  <si>
    <t>Kerr</t>
  </si>
  <si>
    <t>Kerr J</t>
  </si>
  <si>
    <t>*Ford played for Bath from 2013/14-2016/17; Reid for Leinster (PRO14) in previous seasons</t>
  </si>
  <si>
    <t>*Reid</t>
  </si>
  <si>
    <t>Mafi</t>
  </si>
  <si>
    <t>Mafi S</t>
  </si>
  <si>
    <t>Harris C</t>
  </si>
  <si>
    <t>Taufua</t>
  </si>
  <si>
    <t>Taufua J</t>
  </si>
  <si>
    <t>Kirsten</t>
  </si>
  <si>
    <t>Kirsten J</t>
  </si>
  <si>
    <t>Vunipola, Mako</t>
  </si>
  <si>
    <t>Coleman</t>
  </si>
  <si>
    <t>Coleman A</t>
  </si>
  <si>
    <t>Lewies</t>
  </si>
  <si>
    <t>Lewies S</t>
  </si>
  <si>
    <t>Fekitoa</t>
  </si>
  <si>
    <t>Fekitoa M</t>
  </si>
  <si>
    <t>Minozzi</t>
  </si>
  <si>
    <t>Minozzi M</t>
  </si>
  <si>
    <t>Fidow</t>
  </si>
  <si>
    <t>Fidow E</t>
  </si>
  <si>
    <t>Tuatagaloa</t>
  </si>
  <si>
    <t>Tuatagaloa B</t>
  </si>
  <si>
    <t>*Devoto for Bath in 2014/15, Hogg for Glasgow in previous seasons (Champions Cup/European Cup)</t>
  </si>
  <si>
    <t>Attwood</t>
  </si>
  <si>
    <t>Hamilton</t>
  </si>
  <si>
    <t>Hamilton L</t>
  </si>
  <si>
    <t>Northmore</t>
  </si>
  <si>
    <t>Northmore L</t>
  </si>
  <si>
    <t>Porecki</t>
  </si>
  <si>
    <t>Porecki D</t>
  </si>
  <si>
    <t>van der Merwe</t>
  </si>
  <si>
    <t>van der Merwe F</t>
  </si>
  <si>
    <t>Purdy</t>
  </si>
  <si>
    <t>Exeter missed their first Prem kick of the 2019/20 season in Round 9, after 27 successes, it was Steenson's first</t>
  </si>
  <si>
    <t>Price</t>
  </si>
  <si>
    <t>Price T</t>
  </si>
  <si>
    <t>Morley</t>
  </si>
  <si>
    <t>Morley S</t>
  </si>
  <si>
    <t>Alo</t>
  </si>
  <si>
    <t>Alo B</t>
  </si>
  <si>
    <t>miss in all comps after 24 successes (29 including the end of 2018/19)</t>
  </si>
  <si>
    <t>Tuisue A</t>
  </si>
  <si>
    <t>Young G</t>
  </si>
  <si>
    <t>Lawday</t>
  </si>
  <si>
    <t>Carre</t>
  </si>
  <si>
    <t>Carre R</t>
  </si>
  <si>
    <t>McNally</t>
  </si>
  <si>
    <t>McNally J</t>
  </si>
  <si>
    <t>Rona C</t>
  </si>
  <si>
    <t>2017/18     (CHALL CUP)</t>
  </si>
  <si>
    <t>2015/16    (CHALL CUP)</t>
  </si>
  <si>
    <t>2013/14    (CHALL CUP)</t>
  </si>
  <si>
    <t>Oghre</t>
  </si>
  <si>
    <t>Oghre G</t>
  </si>
  <si>
    <t>Crossdale</t>
  </si>
  <si>
    <t>Crossdale A</t>
  </si>
  <si>
    <t>Simmonds got 18/18 (19/19 inc previous season) in the Prem until missing on Feb 23 2020</t>
  </si>
  <si>
    <t>Cavubati</t>
  </si>
  <si>
    <t>Cavubati T</t>
  </si>
  <si>
    <t>McPhillips J</t>
  </si>
  <si>
    <t>*McPhillips</t>
  </si>
  <si>
    <t>*McPhillips for Ulster (PRO14) in previous seasons</t>
  </si>
  <si>
    <t>C'holm R</t>
  </si>
  <si>
    <t>S'monds J</t>
  </si>
  <si>
    <t>WAS/WOR</t>
  </si>
  <si>
    <t>SAR/GLO</t>
  </si>
  <si>
    <t>Varney</t>
  </si>
  <si>
    <t>Varney S</t>
  </si>
  <si>
    <t>SAR/BTH</t>
  </si>
  <si>
    <t>Cornish</t>
  </si>
  <si>
    <t>SAR/BRI</t>
  </si>
  <si>
    <t>Radradra</t>
  </si>
  <si>
    <t>Radradra S</t>
  </si>
  <si>
    <t>Cutting</t>
  </si>
  <si>
    <t>Cutting B</t>
  </si>
  <si>
    <t>Steele S</t>
  </si>
  <si>
    <t>LIR/HAR</t>
  </si>
  <si>
    <t>Clare</t>
  </si>
  <si>
    <t>Clare C</t>
  </si>
  <si>
    <t>Wallace</t>
  </si>
  <si>
    <t>Henry</t>
  </si>
  <si>
    <t>Henry Z</t>
  </si>
  <si>
    <t>Boyce</t>
  </si>
  <si>
    <t>de Glanville</t>
  </si>
  <si>
    <t>de Glanville T</t>
  </si>
  <si>
    <t>*Burns for Leicester &amp; Gloucester, Spencer for Saracens, Redpath for Sale in previous seasons</t>
  </si>
  <si>
    <t>*Spencer</t>
  </si>
  <si>
    <t>Spencer 7/8 in Prem, 3/5 Champs Cup &amp; 5/6 Prem Cup for Saracens in 2019/20</t>
  </si>
  <si>
    <t>Hidalgo-Clyne</t>
  </si>
  <si>
    <t>Williams D</t>
  </si>
  <si>
    <t>Walker H</t>
  </si>
  <si>
    <t>SAL/HAR</t>
  </si>
  <si>
    <t>Ashton (+ Sal)</t>
  </si>
  <si>
    <t>Ashton (+Sal)</t>
  </si>
  <si>
    <t>Matavesi</t>
  </si>
  <si>
    <t>Matavesi Josh</t>
  </si>
  <si>
    <t>Matavesi J</t>
  </si>
  <si>
    <t>Smith 15 straight successes Feb-Aug 2020</t>
  </si>
  <si>
    <t>Olowofela R</t>
  </si>
  <si>
    <t>Henderson</t>
  </si>
  <si>
    <t>Henderson C</t>
  </si>
  <si>
    <t>Potter</t>
  </si>
  <si>
    <t>Potter H</t>
  </si>
  <si>
    <t>Creevy</t>
  </si>
  <si>
    <t>Creevy A</t>
  </si>
  <si>
    <t>Nanai</t>
  </si>
  <si>
    <t>Nanai M</t>
  </si>
  <si>
    <t>Liebenberg</t>
  </si>
  <si>
    <t>Liebenberg H</t>
  </si>
  <si>
    <t>Ford 20 in a row all comps (16 in Prem) Jan-Sep 2020</t>
  </si>
  <si>
    <t>Tuilagi (+Leic)</t>
  </si>
  <si>
    <t>LEIC/SAL</t>
  </si>
  <si>
    <t>Stanley</t>
  </si>
  <si>
    <t>Stanley J</t>
  </si>
  <si>
    <t>Gillespie</t>
  </si>
  <si>
    <t>Gillespie J</t>
  </si>
  <si>
    <t>Gray</t>
  </si>
  <si>
    <t>Gray J</t>
  </si>
  <si>
    <t>Spink</t>
  </si>
  <si>
    <t>Spink S</t>
  </si>
  <si>
    <t>Donnell</t>
  </si>
  <si>
    <t>Donnell B</t>
  </si>
  <si>
    <t>Norton</t>
  </si>
  <si>
    <t>Norton D</t>
  </si>
  <si>
    <t>McCabe</t>
  </si>
  <si>
    <t>McCabe P</t>
  </si>
  <si>
    <t>Malins (+ Sar)</t>
  </si>
  <si>
    <t>BTH/LIR</t>
  </si>
  <si>
    <t>Jackson slotted 13 straight in Prem (17 all comps) Dec 14 2019-Sep 5 2020</t>
  </si>
  <si>
    <t>Boon</t>
  </si>
  <si>
    <t>Boon C</t>
  </si>
  <si>
    <t>Obatoyinbo</t>
  </si>
  <si>
    <t>Venter J</t>
  </si>
  <si>
    <t>Cordero</t>
  </si>
  <si>
    <t>Witty</t>
  </si>
  <si>
    <t>Witty W</t>
  </si>
  <si>
    <t>Hodge</t>
  </si>
  <si>
    <t>Hodge J</t>
  </si>
  <si>
    <t>Alemanno</t>
  </si>
  <si>
    <t>Obatoyinbo E</t>
  </si>
  <si>
    <t>Earl (+ Sar)</t>
  </si>
  <si>
    <t>Nadolo</t>
  </si>
  <si>
    <t>Nadolo N</t>
  </si>
  <si>
    <t>Byrne</t>
  </si>
  <si>
    <t>Byrne B</t>
  </si>
  <si>
    <t>Searle (+ Was)</t>
  </si>
  <si>
    <t>*Other</t>
  </si>
  <si>
    <t>*Gloucester awarded four tries to create a 20-0 BP win v Northampton on Oct 4 2020</t>
  </si>
  <si>
    <t>Scott</t>
  </si>
  <si>
    <t>Scott M</t>
  </si>
  <si>
    <t>Swinson</t>
  </si>
  <si>
    <t>Swinson T</t>
  </si>
  <si>
    <t>Spencer B (+ Sar)</t>
  </si>
  <si>
    <t>Vellacott</t>
  </si>
  <si>
    <t>Southworth</t>
  </si>
  <si>
    <t>Southworth D</t>
  </si>
  <si>
    <t>~Other</t>
  </si>
  <si>
    <t>~Worcester awarded four tries to create a 20-0 BP win v Sale on Oct 7 2020</t>
  </si>
  <si>
    <t>Cordero F</t>
  </si>
  <si>
    <t>Alemanno M</t>
  </si>
  <si>
    <t>Eastmond K</t>
  </si>
  <si>
    <t>Hoskins O</t>
  </si>
  <si>
    <t>Parton T</t>
  </si>
  <si>
    <t>Rogerson M</t>
  </si>
  <si>
    <t>Cornish M</t>
  </si>
  <si>
    <t>Cowan B</t>
  </si>
  <si>
    <t>Matu'u M</t>
  </si>
  <si>
    <t>Loader B</t>
  </si>
  <si>
    <t>Meehan B</t>
  </si>
  <si>
    <t>Brand R</t>
  </si>
  <si>
    <t>SAR/NOR</t>
  </si>
  <si>
    <t>Other</t>
  </si>
  <si>
    <t>"Other" refers to the four tries and 20 points awarded after Sale were unable  to field a team on Oct 7 2020</t>
  </si>
  <si>
    <t>"Other" refers to the four tries and 20 points awarded after Northampton were unable  to field a team on Oct 4 2020</t>
  </si>
  <si>
    <t>Simmonds 34 in a row Aug 30-Nov 20 (20 in Prem)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</si>
</sst>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E2AC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2"/>
      <color theme="6" tint="0.79998168889431442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rgb="FFA6A6A6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339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6294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01">
    <xf numFmtId="0" fontId="0" fillId="0" borderId="0" xfId="0"/>
    <xf numFmtId="0" fontId="9" fillId="4" borderId="4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right" vertical="center" wrapText="1"/>
    </xf>
    <xf numFmtId="0" fontId="9" fillId="0" borderId="0" xfId="0" applyFont="1"/>
    <xf numFmtId="0" fontId="16" fillId="3" borderId="4" xfId="0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right" vertical="center" wrapText="1"/>
    </xf>
    <xf numFmtId="0" fontId="11" fillId="7" borderId="4" xfId="0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/>
    <xf numFmtId="0" fontId="11" fillId="7" borderId="3" xfId="0" applyFont="1" applyFill="1" applyBorder="1"/>
    <xf numFmtId="0" fontId="11" fillId="7" borderId="4" xfId="0" applyFont="1" applyFill="1" applyBorder="1"/>
    <xf numFmtId="0" fontId="2" fillId="7" borderId="2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top" wrapText="1"/>
    </xf>
    <xf numFmtId="0" fontId="15" fillId="7" borderId="0" xfId="0" applyFont="1" applyFill="1" applyAlignment="1">
      <alignment vertical="center"/>
    </xf>
    <xf numFmtId="0" fontId="20" fillId="2" borderId="4" xfId="0" applyFont="1" applyFill="1" applyBorder="1" applyAlignment="1">
      <alignment horizontal="right" vertical="center" wrapText="1"/>
    </xf>
    <xf numFmtId="0" fontId="14" fillId="8" borderId="3" xfId="0" applyFont="1" applyFill="1" applyBorder="1" applyAlignment="1">
      <alignment vertical="center" wrapText="1"/>
    </xf>
    <xf numFmtId="0" fontId="11" fillId="4" borderId="4" xfId="0" applyFont="1" applyFill="1" applyBorder="1"/>
    <xf numFmtId="0" fontId="11" fillId="4" borderId="3" xfId="0" applyFont="1" applyFill="1" applyBorder="1"/>
    <xf numFmtId="0" fontId="11" fillId="4" borderId="1" xfId="0" applyFont="1" applyFill="1" applyBorder="1" applyAlignment="1">
      <alignment horizontal="right" vertical="center" wrapText="1"/>
    </xf>
    <xf numFmtId="0" fontId="11" fillId="4" borderId="1" xfId="0" applyFont="1" applyFill="1" applyBorder="1"/>
    <xf numFmtId="0" fontId="9" fillId="4" borderId="1" xfId="0" applyFont="1" applyFill="1" applyBorder="1"/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/>
    <xf numFmtId="0" fontId="11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6" fillId="2" borderId="4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9" fillId="9" borderId="1" xfId="0" applyFont="1" applyFill="1" applyBorder="1"/>
    <xf numFmtId="1" fontId="9" fillId="9" borderId="1" xfId="0" applyNumberFormat="1" applyFont="1" applyFill="1" applyBorder="1"/>
    <xf numFmtId="0" fontId="7" fillId="7" borderId="1" xfId="0" applyFont="1" applyFill="1" applyBorder="1" applyAlignment="1">
      <alignment vertical="center" wrapText="1"/>
    </xf>
    <xf numFmtId="14" fontId="17" fillId="7" borderId="3" xfId="0" applyNumberFormat="1" applyFont="1" applyFill="1" applyBorder="1" applyAlignment="1">
      <alignment horizontal="left" vertical="center" wrapText="1"/>
    </xf>
    <xf numFmtId="14" fontId="0" fillId="7" borderId="3" xfId="0" applyNumberForma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1" fillId="7" borderId="8" xfId="0" applyFont="1" applyFill="1" applyBorder="1" applyAlignment="1">
      <alignment vertical="center" wrapText="1"/>
    </xf>
    <xf numFmtId="0" fontId="21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1" fontId="14" fillId="3" borderId="4" xfId="0" applyNumberFormat="1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 wrapText="1"/>
    </xf>
    <xf numFmtId="0" fontId="10" fillId="7" borderId="0" xfId="0" applyFont="1" applyFill="1" applyAlignment="1">
      <alignment horizontal="right" vertical="center" wrapText="1"/>
    </xf>
    <xf numFmtId="0" fontId="9" fillId="7" borderId="0" xfId="0" applyFont="1" applyFill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9" fillId="7" borderId="8" xfId="0" applyFont="1" applyFill="1" applyBorder="1" applyAlignment="1">
      <alignment vertical="center" wrapText="1"/>
    </xf>
    <xf numFmtId="0" fontId="5" fillId="0" borderId="0" xfId="0" applyFont="1"/>
    <xf numFmtId="0" fontId="22" fillId="7" borderId="0" xfId="0" applyFont="1" applyFill="1" applyAlignment="1">
      <alignment vertical="center" wrapText="1"/>
    </xf>
    <xf numFmtId="0" fontId="23" fillId="10" borderId="4" xfId="0" applyFont="1" applyFill="1" applyBorder="1" applyAlignment="1">
      <alignment horizontal="right" vertical="center" wrapText="1"/>
    </xf>
    <xf numFmtId="0" fontId="17" fillId="7" borderId="0" xfId="0" applyFont="1" applyFill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9" fillId="7" borderId="1" xfId="0" applyFont="1" applyFill="1" applyBorder="1"/>
    <xf numFmtId="0" fontId="11" fillId="9" borderId="1" xfId="0" applyFont="1" applyFill="1" applyBorder="1"/>
    <xf numFmtId="0" fontId="20" fillId="2" borderId="3" xfId="0" applyFont="1" applyFill="1" applyBorder="1" applyAlignment="1">
      <alignment vertical="center" wrapText="1"/>
    </xf>
    <xf numFmtId="0" fontId="19" fillId="7" borderId="0" xfId="0" applyFont="1" applyFill="1"/>
    <xf numFmtId="0" fontId="19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13" fillId="7" borderId="12" xfId="0" applyFont="1" applyFill="1" applyBorder="1" applyAlignment="1">
      <alignment horizontal="right" vertical="center" wrapText="1"/>
    </xf>
    <xf numFmtId="1" fontId="13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3" fillId="7" borderId="12" xfId="0" applyFont="1" applyFill="1" applyBorder="1" applyAlignment="1">
      <alignment vertical="center" wrapText="1"/>
    </xf>
    <xf numFmtId="0" fontId="9" fillId="4" borderId="4" xfId="0" applyFont="1" applyFill="1" applyBorder="1"/>
    <xf numFmtId="0" fontId="19" fillId="7" borderId="5" xfId="0" applyFont="1" applyFill="1" applyBorder="1"/>
    <xf numFmtId="1" fontId="19" fillId="7" borderId="0" xfId="0" applyNumberFormat="1" applyFont="1" applyFill="1" applyAlignment="1">
      <alignment horizontal="right" vertical="center" wrapText="1"/>
    </xf>
    <xf numFmtId="0" fontId="0" fillId="0" borderId="12" xfId="0" applyBorder="1"/>
    <xf numFmtId="0" fontId="12" fillId="7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right" vertical="center" wrapText="1"/>
    </xf>
    <xf numFmtId="1" fontId="12" fillId="7" borderId="5" xfId="0" applyNumberFormat="1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9" fillId="7" borderId="4" xfId="0" applyFont="1" applyFill="1" applyBorder="1"/>
    <xf numFmtId="0" fontId="11" fillId="7" borderId="3" xfId="0" applyFont="1" applyFill="1" applyBorder="1" applyAlignment="1">
      <alignment vertical="center" wrapText="1"/>
    </xf>
    <xf numFmtId="0" fontId="13" fillId="7" borderId="0" xfId="0" applyFont="1" applyFill="1" applyAlignment="1">
      <alignment vertical="center" wrapText="1"/>
    </xf>
    <xf numFmtId="0" fontId="14" fillId="7" borderId="14" xfId="0" applyFont="1" applyFill="1" applyBorder="1" applyAlignment="1">
      <alignment vertical="center" wrapText="1"/>
    </xf>
    <xf numFmtId="0" fontId="17" fillId="7" borderId="8" xfId="0" applyFont="1" applyFill="1" applyBorder="1"/>
    <xf numFmtId="0" fontId="17" fillId="7" borderId="0" xfId="0" applyFont="1" applyFill="1"/>
    <xf numFmtId="0" fontId="16" fillId="10" borderId="4" xfId="0" applyFont="1" applyFill="1" applyBorder="1" applyAlignment="1">
      <alignment horizontal="right" vertical="center" wrapText="1"/>
    </xf>
    <xf numFmtId="0" fontId="23" fillId="10" borderId="4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26" fillId="0" borderId="0" xfId="0" applyFont="1"/>
    <xf numFmtId="0" fontId="28" fillId="0" borderId="0" xfId="0" applyFont="1"/>
    <xf numFmtId="0" fontId="28" fillId="0" borderId="8" xfId="0" applyFont="1" applyBorder="1"/>
    <xf numFmtId="0" fontId="28" fillId="7" borderId="0" xfId="0" applyFont="1" applyFill="1"/>
    <xf numFmtId="0" fontId="25" fillId="7" borderId="0" xfId="0" applyFont="1" applyFill="1" applyAlignment="1">
      <alignment vertical="center"/>
    </xf>
    <xf numFmtId="0" fontId="2" fillId="7" borderId="13" xfId="0" applyFont="1" applyFill="1" applyBorder="1" applyAlignment="1">
      <alignment vertical="center"/>
    </xf>
    <xf numFmtId="0" fontId="17" fillId="0" borderId="0" xfId="0" applyFont="1"/>
    <xf numFmtId="0" fontId="4" fillId="7" borderId="0" xfId="0" applyFont="1" applyFill="1"/>
    <xf numFmtId="0" fontId="29" fillId="0" borderId="0" xfId="0" applyFont="1"/>
    <xf numFmtId="0" fontId="16" fillId="6" borderId="3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vertical="center" wrapText="1"/>
    </xf>
    <xf numFmtId="0" fontId="16" fillId="13" borderId="4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31" fillId="3" borderId="4" xfId="0" applyFont="1" applyFill="1" applyBorder="1" applyAlignment="1">
      <alignment horizontal="right" vertical="center" wrapText="1"/>
    </xf>
    <xf numFmtId="0" fontId="31" fillId="10" borderId="4" xfId="0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right" vertical="center" wrapText="1"/>
    </xf>
    <xf numFmtId="0" fontId="19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30" fillId="7" borderId="0" xfId="0" applyNumberFormat="1" applyFont="1" applyFill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9" fillId="7" borderId="3" xfId="0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vertical="center" wrapText="1"/>
    </xf>
    <xf numFmtId="0" fontId="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right" vertical="center" wrapText="1"/>
    </xf>
    <xf numFmtId="0" fontId="14" fillId="7" borderId="0" xfId="0" applyFont="1" applyFill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vertical="center"/>
    </xf>
    <xf numFmtId="0" fontId="14" fillId="8" borderId="4" xfId="0" applyFont="1" applyFill="1" applyBorder="1" applyAlignment="1">
      <alignment horizontal="right" vertical="center" wrapText="1"/>
    </xf>
    <xf numFmtId="1" fontId="14" fillId="8" borderId="4" xfId="0" applyNumberFormat="1" applyFont="1" applyFill="1" applyBorder="1" applyAlignment="1">
      <alignment horizontal="right" vertical="center" wrapText="1"/>
    </xf>
    <xf numFmtId="0" fontId="14" fillId="8" borderId="10" xfId="0" applyFont="1" applyFill="1" applyBorder="1" applyAlignment="1">
      <alignment vertical="center" wrapText="1"/>
    </xf>
    <xf numFmtId="0" fontId="14" fillId="3" borderId="11" xfId="0" applyFont="1" applyFill="1" applyBorder="1"/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34" fillId="0" borderId="0" xfId="0" applyFont="1"/>
    <xf numFmtId="0" fontId="34" fillId="0" borderId="8" xfId="0" applyFont="1" applyBorder="1"/>
    <xf numFmtId="0" fontId="34" fillId="7" borderId="0" xfId="0" applyFont="1" applyFill="1"/>
    <xf numFmtId="0" fontId="9" fillId="7" borderId="1" xfId="0" applyFont="1" applyFill="1" applyBorder="1" applyAlignment="1">
      <alignment horizontal="right" vertical="center" wrapText="1"/>
    </xf>
    <xf numFmtId="14" fontId="16" fillId="2" borderId="3" xfId="0" applyNumberFormat="1" applyFont="1" applyFill="1" applyBorder="1" applyAlignment="1">
      <alignment horizontal="left" vertical="center" wrapText="1"/>
    </xf>
    <xf numFmtId="14" fontId="11" fillId="7" borderId="3" xfId="0" applyNumberFormat="1" applyFont="1" applyFill="1" applyBorder="1" applyAlignment="1">
      <alignment horizontal="left" vertical="center" wrapText="1"/>
    </xf>
    <xf numFmtId="14" fontId="17" fillId="7" borderId="1" xfId="0" applyNumberFormat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6" fillId="7" borderId="11" xfId="0" applyFont="1" applyFill="1" applyBorder="1" applyAlignment="1">
      <alignment vertical="center" wrapText="1"/>
    </xf>
    <xf numFmtId="0" fontId="32" fillId="7" borderId="9" xfId="0" applyFont="1" applyFill="1" applyBorder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16" fillId="17" borderId="4" xfId="0" applyFont="1" applyFill="1" applyBorder="1" applyAlignment="1">
      <alignment horizontal="right" vertical="center" wrapText="1"/>
    </xf>
    <xf numFmtId="0" fontId="36" fillId="17" borderId="3" xfId="0" applyFont="1" applyFill="1" applyBorder="1" applyAlignment="1">
      <alignment vertical="center" wrapText="1"/>
    </xf>
    <xf numFmtId="0" fontId="36" fillId="13" borderId="3" xfId="0" applyFont="1" applyFill="1" applyBorder="1" applyAlignment="1">
      <alignment vertical="center" wrapText="1"/>
    </xf>
    <xf numFmtId="0" fontId="37" fillId="0" borderId="8" xfId="0" applyFont="1" applyBorder="1"/>
    <xf numFmtId="0" fontId="37" fillId="7" borderId="0" xfId="0" applyFont="1" applyFill="1"/>
    <xf numFmtId="0" fontId="36" fillId="17" borderId="4" xfId="0" applyFont="1" applyFill="1" applyBorder="1" applyAlignment="1">
      <alignment horizontal="right" vertical="center" wrapText="1"/>
    </xf>
    <xf numFmtId="1" fontId="36" fillId="17" borderId="4" xfId="0" applyNumberFormat="1" applyFont="1" applyFill="1" applyBorder="1" applyAlignment="1">
      <alignment horizontal="right" vertical="center" wrapText="1"/>
    </xf>
    <xf numFmtId="14" fontId="36" fillId="17" borderId="3" xfId="0" applyNumberFormat="1" applyFont="1" applyFill="1" applyBorder="1" applyAlignment="1">
      <alignment horizontal="left" vertical="center" wrapText="1"/>
    </xf>
    <xf numFmtId="0" fontId="9" fillId="7" borderId="13" xfId="0" applyFont="1" applyFill="1" applyBorder="1"/>
    <xf numFmtId="0" fontId="0" fillId="0" borderId="8" xfId="0" applyBorder="1" applyAlignment="1">
      <alignment vertical="center" wrapText="1"/>
    </xf>
    <xf numFmtId="0" fontId="16" fillId="6" borderId="2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14" fillId="6" borderId="2" xfId="0" applyFont="1" applyFill="1" applyBorder="1" applyAlignment="1">
      <alignment horizontal="right" vertical="center" wrapText="1"/>
    </xf>
    <xf numFmtId="0" fontId="36" fillId="17" borderId="1" xfId="0" applyFont="1" applyFill="1" applyBorder="1" applyAlignment="1">
      <alignment vertical="center" wrapText="1"/>
    </xf>
    <xf numFmtId="0" fontId="16" fillId="17" borderId="2" xfId="0" applyFont="1" applyFill="1" applyBorder="1" applyAlignment="1">
      <alignment horizontal="right" vertical="center" wrapText="1"/>
    </xf>
    <xf numFmtId="0" fontId="36" fillId="13" borderId="2" xfId="0" applyFont="1" applyFill="1" applyBorder="1" applyAlignment="1">
      <alignment vertical="center" wrapText="1"/>
    </xf>
    <xf numFmtId="0" fontId="16" fillId="13" borderId="2" xfId="0" applyFont="1" applyFill="1" applyBorder="1" applyAlignment="1">
      <alignment horizontal="right" vertical="center" wrapText="1"/>
    </xf>
    <xf numFmtId="0" fontId="31" fillId="10" borderId="2" xfId="0" applyFont="1" applyFill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vertical="center" wrapText="1"/>
    </xf>
    <xf numFmtId="0" fontId="23" fillId="10" borderId="2" xfId="0" applyFont="1" applyFill="1" applyBorder="1" applyAlignment="1">
      <alignment vertical="center" wrapText="1"/>
    </xf>
    <xf numFmtId="0" fontId="23" fillId="10" borderId="2" xfId="0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top" wrapText="1"/>
    </xf>
    <xf numFmtId="0" fontId="7" fillId="9" borderId="2" xfId="0" applyFont="1" applyFill="1" applyBorder="1" applyAlignment="1">
      <alignment vertical="center" wrapText="1"/>
    </xf>
    <xf numFmtId="0" fontId="9" fillId="7" borderId="0" xfId="0" applyFont="1" applyFill="1"/>
    <xf numFmtId="0" fontId="14" fillId="3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38" fillId="7" borderId="0" xfId="0" applyFont="1" applyFill="1" applyAlignment="1">
      <alignment horizontal="right" vertical="center" wrapText="1"/>
    </xf>
    <xf numFmtId="0" fontId="16" fillId="7" borderId="0" xfId="0" applyFont="1" applyFill="1"/>
    <xf numFmtId="14" fontId="14" fillId="3" borderId="3" xfId="0" applyNumberFormat="1" applyFont="1" applyFill="1" applyBorder="1" applyAlignment="1">
      <alignment horizontal="left" vertical="center" wrapText="1"/>
    </xf>
    <xf numFmtId="0" fontId="40" fillId="0" borderId="0" xfId="0" applyFont="1"/>
    <xf numFmtId="0" fontId="36" fillId="13" borderId="4" xfId="0" applyFont="1" applyFill="1" applyBorder="1" applyAlignment="1">
      <alignment vertical="center" wrapText="1"/>
    </xf>
    <xf numFmtId="0" fontId="27" fillId="20" borderId="2" xfId="0" applyFont="1" applyFill="1" applyBorder="1" applyAlignment="1">
      <alignment horizontal="right" vertical="center" wrapText="1"/>
    </xf>
    <xf numFmtId="0" fontId="27" fillId="20" borderId="4" xfId="0" applyFont="1" applyFill="1" applyBorder="1" applyAlignment="1">
      <alignment horizontal="right" vertical="center" wrapText="1"/>
    </xf>
    <xf numFmtId="0" fontId="42" fillId="3" borderId="1" xfId="0" applyFont="1" applyFill="1" applyBorder="1" applyAlignment="1">
      <alignment vertical="center" wrapText="1"/>
    </xf>
    <xf numFmtId="0" fontId="42" fillId="3" borderId="3" xfId="0" applyFont="1" applyFill="1" applyBorder="1" applyAlignment="1">
      <alignment vertical="center" wrapText="1"/>
    </xf>
    <xf numFmtId="0" fontId="42" fillId="18" borderId="2" xfId="0" applyFont="1" applyFill="1" applyBorder="1" applyAlignment="1">
      <alignment vertical="center" wrapText="1"/>
    </xf>
    <xf numFmtId="0" fontId="42" fillId="18" borderId="4" xfId="0" applyFont="1" applyFill="1" applyBorder="1" applyAlignment="1">
      <alignment vertical="center" wrapText="1"/>
    </xf>
    <xf numFmtId="0" fontId="42" fillId="18" borderId="3" xfId="0" applyFont="1" applyFill="1" applyBorder="1" applyAlignment="1">
      <alignment vertical="center" wrapText="1"/>
    </xf>
    <xf numFmtId="0" fontId="42" fillId="18" borderId="2" xfId="0" applyFont="1" applyFill="1" applyBorder="1" applyAlignment="1">
      <alignment horizontal="right" vertical="center" wrapText="1"/>
    </xf>
    <xf numFmtId="0" fontId="42" fillId="18" borderId="4" xfId="0" applyFont="1" applyFill="1" applyBorder="1" applyAlignment="1">
      <alignment horizontal="right" vertical="center" wrapText="1"/>
    </xf>
    <xf numFmtId="0" fontId="42" fillId="18" borderId="1" xfId="0" applyFont="1" applyFill="1" applyBorder="1" applyAlignment="1">
      <alignment horizontal="right" vertical="center" wrapText="1"/>
    </xf>
    <xf numFmtId="0" fontId="42" fillId="18" borderId="3" xfId="0" applyFont="1" applyFill="1" applyBorder="1" applyAlignment="1">
      <alignment horizontal="right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right" vertical="center" wrapText="1"/>
    </xf>
    <xf numFmtId="1" fontId="42" fillId="3" borderId="4" xfId="0" applyNumberFormat="1" applyFont="1" applyFill="1" applyBorder="1" applyAlignment="1">
      <alignment horizontal="right" vertical="center" wrapText="1"/>
    </xf>
    <xf numFmtId="0" fontId="42" fillId="3" borderId="2" xfId="0" applyFont="1" applyFill="1" applyBorder="1" applyAlignment="1">
      <alignment horizontal="right" vertical="center" wrapText="1"/>
    </xf>
    <xf numFmtId="14" fontId="42" fillId="3" borderId="3" xfId="0" applyNumberFormat="1" applyFont="1" applyFill="1" applyBorder="1" applyAlignment="1">
      <alignment horizontal="left" vertical="center" wrapText="1"/>
    </xf>
    <xf numFmtId="0" fontId="43" fillId="0" borderId="0" xfId="0" applyFont="1"/>
    <xf numFmtId="0" fontId="31" fillId="6" borderId="2" xfId="0" applyFont="1" applyFill="1" applyBorder="1" applyAlignment="1">
      <alignment horizontal="right" vertical="center" wrapText="1"/>
    </xf>
    <xf numFmtId="0" fontId="31" fillId="6" borderId="4" xfId="0" applyFont="1" applyFill="1" applyBorder="1" applyAlignment="1">
      <alignment horizontal="right" vertical="center" wrapText="1"/>
    </xf>
    <xf numFmtId="0" fontId="44" fillId="7" borderId="8" xfId="0" applyFont="1" applyFill="1" applyBorder="1" applyAlignment="1">
      <alignment horizontal="right" vertical="center" wrapText="1"/>
    </xf>
    <xf numFmtId="0" fontId="43" fillId="7" borderId="0" xfId="0" applyFont="1" applyFill="1"/>
    <xf numFmtId="0" fontId="43" fillId="0" borderId="8" xfId="0" applyFont="1" applyBorder="1"/>
    <xf numFmtId="0" fontId="31" fillId="20" borderId="4" xfId="0" applyFont="1" applyFill="1" applyBorder="1" applyAlignment="1">
      <alignment horizontal="right" vertical="center" wrapText="1"/>
    </xf>
    <xf numFmtId="0" fontId="43" fillId="7" borderId="8" xfId="0" applyFont="1" applyFill="1" applyBorder="1"/>
    <xf numFmtId="0" fontId="13" fillId="18" borderId="3" xfId="0" applyFont="1" applyFill="1" applyBorder="1" applyAlignment="1">
      <alignment vertical="center" wrapText="1"/>
    </xf>
    <xf numFmtId="0" fontId="31" fillId="18" borderId="4" xfId="0" applyFont="1" applyFill="1" applyBorder="1" applyAlignment="1">
      <alignment horizontal="right" vertical="center" wrapText="1"/>
    </xf>
    <xf numFmtId="0" fontId="27" fillId="18" borderId="4" xfId="0" applyFont="1" applyFill="1" applyBorder="1" applyAlignment="1">
      <alignment horizontal="right" vertical="center" wrapText="1"/>
    </xf>
    <xf numFmtId="0" fontId="16" fillId="18" borderId="4" xfId="0" applyFont="1" applyFill="1" applyBorder="1" applyAlignment="1">
      <alignment horizontal="right" vertical="center" wrapText="1"/>
    </xf>
    <xf numFmtId="0" fontId="13" fillId="18" borderId="1" xfId="0" applyFont="1" applyFill="1" applyBorder="1" applyAlignment="1">
      <alignment vertical="center" wrapText="1"/>
    </xf>
    <xf numFmtId="0" fontId="31" fillId="18" borderId="2" xfId="0" applyFont="1" applyFill="1" applyBorder="1" applyAlignment="1">
      <alignment horizontal="right" vertical="center" wrapText="1"/>
    </xf>
    <xf numFmtId="0" fontId="27" fillId="18" borderId="2" xfId="0" applyFont="1" applyFill="1" applyBorder="1" applyAlignment="1">
      <alignment horizontal="right" vertical="center" wrapText="1"/>
    </xf>
    <xf numFmtId="0" fontId="16" fillId="18" borderId="2" xfId="0" applyFont="1" applyFill="1" applyBorder="1" applyAlignment="1">
      <alignment horizontal="right" vertical="center" wrapText="1"/>
    </xf>
    <xf numFmtId="0" fontId="16" fillId="18" borderId="5" xfId="0" applyFont="1" applyFill="1" applyBorder="1" applyAlignment="1">
      <alignment horizontal="right" vertical="center" wrapText="1"/>
    </xf>
    <xf numFmtId="0" fontId="31" fillId="2" borderId="2" xfId="0" applyFont="1" applyFill="1" applyBorder="1" applyAlignment="1">
      <alignment horizontal="right" vertical="center" wrapText="1"/>
    </xf>
    <xf numFmtId="0" fontId="31" fillId="2" borderId="4" xfId="0" applyFont="1" applyFill="1" applyBorder="1" applyAlignment="1">
      <alignment horizontal="right" vertical="center" wrapText="1"/>
    </xf>
    <xf numFmtId="0" fontId="44" fillId="7" borderId="0" xfId="0" applyFont="1" applyFill="1" applyAlignment="1">
      <alignment vertical="center"/>
    </xf>
    <xf numFmtId="0" fontId="31" fillId="15" borderId="2" xfId="0" applyFont="1" applyFill="1" applyBorder="1" applyAlignment="1">
      <alignment horizontal="right" vertical="center" wrapText="1"/>
    </xf>
    <xf numFmtId="0" fontId="31" fillId="15" borderId="4" xfId="0" applyFont="1" applyFill="1" applyBorder="1" applyAlignment="1">
      <alignment horizontal="right" vertical="center" wrapText="1"/>
    </xf>
    <xf numFmtId="0" fontId="31" fillId="19" borderId="2" xfId="0" applyFont="1" applyFill="1" applyBorder="1" applyAlignment="1">
      <alignment horizontal="right" vertical="center" wrapText="1"/>
    </xf>
    <xf numFmtId="0" fontId="31" fillId="19" borderId="4" xfId="0" applyFont="1" applyFill="1" applyBorder="1" applyAlignment="1">
      <alignment horizontal="right" vertical="center" wrapText="1"/>
    </xf>
    <xf numFmtId="0" fontId="31" fillId="17" borderId="2" xfId="0" applyFont="1" applyFill="1" applyBorder="1" applyAlignment="1">
      <alignment horizontal="right" vertical="center" wrapText="1"/>
    </xf>
    <xf numFmtId="0" fontId="31" fillId="17" borderId="4" xfId="0" applyFont="1" applyFill="1" applyBorder="1" applyAlignment="1">
      <alignment horizontal="right" vertical="center" wrapText="1"/>
    </xf>
    <xf numFmtId="0" fontId="31" fillId="13" borderId="2" xfId="0" applyFont="1" applyFill="1" applyBorder="1" applyAlignment="1">
      <alignment horizontal="right" vertical="center" wrapText="1"/>
    </xf>
    <xf numFmtId="0" fontId="31" fillId="13" borderId="4" xfId="0" applyFont="1" applyFill="1" applyBorder="1" applyAlignment="1">
      <alignment horizontal="right" vertical="center" wrapText="1"/>
    </xf>
    <xf numFmtId="0" fontId="31" fillId="7" borderId="8" xfId="0" applyFont="1" applyFill="1" applyBorder="1" applyAlignment="1">
      <alignment horizontal="right" vertical="center" wrapText="1"/>
    </xf>
    <xf numFmtId="0" fontId="31" fillId="7" borderId="0" xfId="0" applyFont="1" applyFill="1" applyAlignment="1">
      <alignment horizontal="right" vertical="center" wrapText="1"/>
    </xf>
    <xf numFmtId="0" fontId="45" fillId="0" borderId="0" xfId="0" applyFont="1"/>
    <xf numFmtId="0" fontId="12" fillId="7" borderId="8" xfId="0" applyFont="1" applyFill="1" applyBorder="1" applyAlignment="1">
      <alignment horizontal="right" vertical="center" wrapText="1"/>
    </xf>
    <xf numFmtId="0" fontId="11" fillId="9" borderId="12" xfId="0" applyFont="1" applyFill="1" applyBorder="1"/>
    <xf numFmtId="0" fontId="46" fillId="0" borderId="0" xfId="0" applyFont="1"/>
    <xf numFmtId="0" fontId="46" fillId="7" borderId="8" xfId="0" applyFont="1" applyFill="1" applyBorder="1"/>
    <xf numFmtId="0" fontId="46" fillId="7" borderId="0" xfId="0" applyFont="1" applyFill="1"/>
    <xf numFmtId="0" fontId="46" fillId="0" borderId="8" xfId="0" applyFont="1" applyBorder="1"/>
    <xf numFmtId="0" fontId="36" fillId="7" borderId="0" xfId="0" applyFont="1" applyFill="1" applyAlignment="1">
      <alignment horizontal="right" vertical="center" wrapText="1"/>
    </xf>
    <xf numFmtId="0" fontId="12" fillId="20" borderId="1" xfId="0" applyFont="1" applyFill="1" applyBorder="1" applyAlignment="1">
      <alignment vertical="center" wrapText="1"/>
    </xf>
    <xf numFmtId="0" fontId="31" fillId="20" borderId="2" xfId="0" applyFont="1" applyFill="1" applyBorder="1" applyAlignment="1">
      <alignment horizontal="right" vertical="center" wrapText="1"/>
    </xf>
    <xf numFmtId="0" fontId="12" fillId="20" borderId="2" xfId="0" applyFont="1" applyFill="1" applyBorder="1" applyAlignment="1">
      <alignment horizontal="right" vertical="center" wrapText="1"/>
    </xf>
    <xf numFmtId="0" fontId="12" fillId="20" borderId="3" xfId="0" applyFont="1" applyFill="1" applyBorder="1" applyAlignment="1">
      <alignment vertical="center" wrapText="1"/>
    </xf>
    <xf numFmtId="0" fontId="12" fillId="20" borderId="4" xfId="0" applyFont="1" applyFill="1" applyBorder="1" applyAlignment="1">
      <alignment horizontal="right" vertical="center" wrapText="1"/>
    </xf>
    <xf numFmtId="1" fontId="12" fillId="20" borderId="4" xfId="0" applyNumberFormat="1" applyFont="1" applyFill="1" applyBorder="1" applyAlignment="1">
      <alignment horizontal="right" vertical="center" wrapText="1"/>
    </xf>
    <xf numFmtId="14" fontId="12" fillId="20" borderId="3" xfId="0" applyNumberFormat="1" applyFont="1" applyFill="1" applyBorder="1" applyAlignment="1">
      <alignment horizontal="left" vertical="center" wrapText="1"/>
    </xf>
    <xf numFmtId="0" fontId="47" fillId="3" borderId="2" xfId="0" applyFont="1" applyFill="1" applyBorder="1" applyAlignment="1">
      <alignment horizontal="right" vertical="center" wrapText="1"/>
    </xf>
    <xf numFmtId="0" fontId="47" fillId="3" borderId="4" xfId="0" applyFont="1" applyFill="1" applyBorder="1" applyAlignment="1">
      <alignment horizontal="right" vertical="center" wrapText="1"/>
    </xf>
    <xf numFmtId="0" fontId="47" fillId="18" borderId="2" xfId="0" applyFont="1" applyFill="1" applyBorder="1" applyAlignment="1">
      <alignment horizontal="right" vertical="center" wrapText="1"/>
    </xf>
    <xf numFmtId="0" fontId="47" fillId="18" borderId="4" xfId="0" applyFont="1" applyFill="1" applyBorder="1" applyAlignment="1">
      <alignment horizontal="right" vertical="center" wrapText="1"/>
    </xf>
    <xf numFmtId="0" fontId="47" fillId="17" borderId="2" xfId="0" applyFont="1" applyFill="1" applyBorder="1" applyAlignment="1">
      <alignment horizontal="right" vertical="center" wrapText="1"/>
    </xf>
    <xf numFmtId="0" fontId="47" fillId="17" borderId="4" xfId="0" applyFont="1" applyFill="1" applyBorder="1" applyAlignment="1">
      <alignment horizontal="right" vertical="center" wrapText="1"/>
    </xf>
    <xf numFmtId="0" fontId="47" fillId="13" borderId="2" xfId="0" applyFont="1" applyFill="1" applyBorder="1" applyAlignment="1">
      <alignment horizontal="right" vertical="center" wrapText="1"/>
    </xf>
    <xf numFmtId="0" fontId="47" fillId="13" borderId="4" xfId="0" applyFont="1" applyFill="1" applyBorder="1" applyAlignment="1">
      <alignment horizontal="right" vertical="center" wrapText="1"/>
    </xf>
    <xf numFmtId="0" fontId="47" fillId="20" borderId="2" xfId="0" applyFont="1" applyFill="1" applyBorder="1" applyAlignment="1">
      <alignment horizontal="right" vertical="center" wrapText="1"/>
    </xf>
    <xf numFmtId="0" fontId="47" fillId="20" borderId="4" xfId="0" applyFont="1" applyFill="1" applyBorder="1" applyAlignment="1">
      <alignment horizontal="right" vertical="center" wrapText="1"/>
    </xf>
    <xf numFmtId="0" fontId="11" fillId="10" borderId="4" xfId="0" applyFont="1" applyFill="1" applyBorder="1" applyAlignment="1">
      <alignment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47" fillId="10" borderId="4" xfId="0" applyFont="1" applyFill="1" applyBorder="1" applyAlignment="1">
      <alignment horizontal="right" vertical="center" wrapText="1"/>
    </xf>
    <xf numFmtId="0" fontId="11" fillId="10" borderId="4" xfId="0" applyFont="1" applyFill="1" applyBorder="1" applyAlignment="1">
      <alignment horizontal="right" vertical="center" wrapText="1"/>
    </xf>
    <xf numFmtId="0" fontId="11" fillId="10" borderId="2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right" vertical="center" wrapText="1"/>
    </xf>
    <xf numFmtId="0" fontId="47" fillId="10" borderId="2" xfId="0" applyFont="1" applyFill="1" applyBorder="1" applyAlignment="1">
      <alignment horizontal="right" vertical="center" wrapText="1"/>
    </xf>
    <xf numFmtId="0" fontId="11" fillId="10" borderId="2" xfId="0" applyFont="1" applyFill="1" applyBorder="1" applyAlignment="1">
      <alignment horizontal="right" vertical="center" wrapText="1"/>
    </xf>
    <xf numFmtId="0" fontId="11" fillId="10" borderId="3" xfId="0" applyFont="1" applyFill="1" applyBorder="1" applyAlignment="1">
      <alignment vertical="center" wrapText="1"/>
    </xf>
    <xf numFmtId="0" fontId="48" fillId="2" borderId="2" xfId="0" applyFont="1" applyFill="1" applyBorder="1" applyAlignment="1">
      <alignment horizontal="right" vertical="center" wrapText="1"/>
    </xf>
    <xf numFmtId="0" fontId="48" fillId="2" borderId="4" xfId="0" applyFont="1" applyFill="1" applyBorder="1" applyAlignment="1">
      <alignment horizontal="right" vertical="center" wrapText="1"/>
    </xf>
    <xf numFmtId="0" fontId="48" fillId="6" borderId="2" xfId="0" applyFont="1" applyFill="1" applyBorder="1" applyAlignment="1">
      <alignment horizontal="right" vertical="center" wrapText="1"/>
    </xf>
    <xf numFmtId="0" fontId="48" fillId="6" borderId="4" xfId="0" applyFont="1" applyFill="1" applyBorder="1" applyAlignment="1">
      <alignment horizontal="right" vertical="center" wrapText="1"/>
    </xf>
    <xf numFmtId="0" fontId="47" fillId="15" borderId="2" xfId="0" applyFont="1" applyFill="1" applyBorder="1" applyAlignment="1">
      <alignment horizontal="right" vertical="center" wrapText="1"/>
    </xf>
    <xf numFmtId="0" fontId="47" fillId="15" borderId="4" xfId="0" applyFont="1" applyFill="1" applyBorder="1" applyAlignment="1">
      <alignment horizontal="right" vertical="center" wrapText="1"/>
    </xf>
    <xf numFmtId="0" fontId="47" fillId="19" borderId="2" xfId="0" applyFont="1" applyFill="1" applyBorder="1" applyAlignment="1">
      <alignment horizontal="right" vertical="center" wrapText="1"/>
    </xf>
    <xf numFmtId="0" fontId="47" fillId="19" borderId="4" xfId="0" applyFont="1" applyFill="1" applyBorder="1" applyAlignment="1">
      <alignment horizontal="right" vertical="center" wrapText="1"/>
    </xf>
    <xf numFmtId="0" fontId="14" fillId="10" borderId="2" xfId="0" applyFont="1" applyFill="1" applyBorder="1" applyAlignment="1">
      <alignment vertical="center" wrapText="1"/>
    </xf>
    <xf numFmtId="0" fontId="14" fillId="10" borderId="4" xfId="0" applyFont="1" applyFill="1" applyBorder="1" applyAlignment="1">
      <alignment vertical="center" wrapText="1"/>
    </xf>
    <xf numFmtId="0" fontId="14" fillId="10" borderId="3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27" fillId="10" borderId="2" xfId="0" applyFont="1" applyFill="1" applyBorder="1" applyAlignment="1">
      <alignment horizontal="right" vertical="center" wrapText="1"/>
    </xf>
    <xf numFmtId="0" fontId="12" fillId="10" borderId="2" xfId="0" applyFont="1" applyFill="1" applyBorder="1" applyAlignment="1">
      <alignment horizontal="right" vertical="center" wrapText="1"/>
    </xf>
    <xf numFmtId="0" fontId="12" fillId="10" borderId="3" xfId="0" applyFont="1" applyFill="1" applyBorder="1" applyAlignment="1">
      <alignment vertical="center" wrapText="1"/>
    </xf>
    <xf numFmtId="0" fontId="27" fillId="10" borderId="4" xfId="0" applyFont="1" applyFill="1" applyBorder="1" applyAlignment="1">
      <alignment horizontal="right" vertical="center" wrapText="1"/>
    </xf>
    <xf numFmtId="0" fontId="12" fillId="10" borderId="4" xfId="0" applyFont="1" applyFill="1" applyBorder="1" applyAlignment="1">
      <alignment horizontal="right" vertical="center" wrapText="1"/>
    </xf>
    <xf numFmtId="0" fontId="39" fillId="0" borderId="0" xfId="0" applyFont="1"/>
    <xf numFmtId="0" fontId="11" fillId="7" borderId="0" xfId="0" applyFont="1" applyFill="1" applyBorder="1"/>
    <xf numFmtId="1" fontId="20" fillId="2" borderId="4" xfId="0" applyNumberFormat="1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0" fillId="0" borderId="0" xfId="0"/>
    <xf numFmtId="0" fontId="2" fillId="7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7" borderId="0" xfId="0" applyFont="1" applyFill="1"/>
    <xf numFmtId="0" fontId="17" fillId="0" borderId="0" xfId="0" applyFont="1"/>
    <xf numFmtId="0" fontId="17" fillId="7" borderId="0" xfId="0" applyFont="1" applyFill="1"/>
    <xf numFmtId="0" fontId="11" fillId="7" borderId="20" xfId="0" applyFont="1" applyFill="1" applyBorder="1" applyAlignment="1">
      <alignment horizontal="right" vertical="center" wrapText="1"/>
    </xf>
    <xf numFmtId="1" fontId="11" fillId="7" borderId="2" xfId="0" applyNumberFormat="1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right" vertical="center" wrapText="1"/>
    </xf>
    <xf numFmtId="1" fontId="11" fillId="7" borderId="4" xfId="0" applyNumberFormat="1" applyFont="1" applyFill="1" applyBorder="1" applyAlignment="1">
      <alignment horizontal="right" vertical="center" wrapText="1"/>
    </xf>
    <xf numFmtId="0" fontId="11" fillId="7" borderId="22" xfId="0" applyFont="1" applyFill="1" applyBorder="1" applyAlignment="1">
      <alignment horizontal="right" vertical="center" wrapText="1"/>
    </xf>
    <xf numFmtId="0" fontId="11" fillId="7" borderId="18" xfId="0" applyFont="1" applyFill="1" applyBorder="1" applyAlignment="1">
      <alignment horizontal="right" vertical="center" wrapText="1"/>
    </xf>
    <xf numFmtId="0" fontId="11" fillId="7" borderId="17" xfId="0" applyFont="1" applyFill="1" applyBorder="1" applyAlignment="1">
      <alignment horizontal="right" vertical="center" wrapText="1"/>
    </xf>
    <xf numFmtId="0" fontId="11" fillId="7" borderId="19" xfId="0" applyFont="1" applyFill="1" applyBorder="1" applyAlignment="1">
      <alignment horizontal="right" vertical="center" wrapText="1"/>
    </xf>
    <xf numFmtId="0" fontId="11" fillId="7" borderId="15" xfId="0" applyFont="1" applyFill="1" applyBorder="1" applyAlignment="1">
      <alignment horizontal="right" vertical="center" wrapText="1"/>
    </xf>
    <xf numFmtId="0" fontId="11" fillId="7" borderId="16" xfId="0" applyFont="1" applyFill="1" applyBorder="1" applyAlignment="1">
      <alignment horizontal="right" vertical="center" wrapText="1"/>
    </xf>
    <xf numFmtId="0" fontId="40" fillId="7" borderId="0" xfId="0" applyFont="1" applyFill="1"/>
    <xf numFmtId="0" fontId="11" fillId="7" borderId="14" xfId="0" applyFont="1" applyFill="1" applyBorder="1" applyAlignment="1">
      <alignment horizontal="right" vertical="center" wrapText="1"/>
    </xf>
    <xf numFmtId="1" fontId="11" fillId="7" borderId="1" xfId="0" applyNumberFormat="1" applyFont="1" applyFill="1" applyBorder="1" applyAlignment="1">
      <alignment horizontal="right" vertical="center" wrapText="1"/>
    </xf>
    <xf numFmtId="1" fontId="11" fillId="7" borderId="14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horizontal="right" vertical="center" wrapText="1"/>
    </xf>
    <xf numFmtId="0" fontId="17" fillId="0" borderId="12" xfId="0" applyFont="1" applyBorder="1"/>
    <xf numFmtId="0" fontId="2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/>
    <xf numFmtId="0" fontId="2" fillId="7" borderId="0" xfId="0" applyFont="1" applyFill="1" applyAlignment="1">
      <alignment horizontal="center" vertical="center" wrapText="1"/>
    </xf>
    <xf numFmtId="0" fontId="11" fillId="7" borderId="13" xfId="0" applyFont="1" applyFill="1" applyBorder="1" applyAlignment="1">
      <alignment horizontal="right" vertical="center" wrapText="1"/>
    </xf>
    <xf numFmtId="0" fontId="17" fillId="7" borderId="1" xfId="0" applyFont="1" applyFill="1" applyBorder="1"/>
    <xf numFmtId="0" fontId="11" fillId="7" borderId="5" xfId="0" applyFont="1" applyFill="1" applyBorder="1" applyAlignment="1">
      <alignment horizontal="right" vertical="center" wrapText="1"/>
    </xf>
    <xf numFmtId="1" fontId="11" fillId="7" borderId="16" xfId="0" applyNumberFormat="1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horizontal="center" vertical="center" wrapText="1"/>
    </xf>
    <xf numFmtId="1" fontId="11" fillId="7" borderId="3" xfId="0" applyNumberFormat="1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1" fontId="11" fillId="7" borderId="1" xfId="0" applyNumberFormat="1" applyFont="1" applyFill="1" applyBorder="1"/>
    <xf numFmtId="0" fontId="13" fillId="3" borderId="1" xfId="0" applyFont="1" applyFill="1" applyBorder="1"/>
    <xf numFmtId="0" fontId="0" fillId="0" borderId="0" xfId="0"/>
    <xf numFmtId="0" fontId="13" fillId="9" borderId="1" xfId="0" applyFont="1" applyFill="1" applyBorder="1"/>
    <xf numFmtId="0" fontId="2" fillId="7" borderId="0" xfId="0" applyFont="1" applyFill="1" applyBorder="1" applyAlignment="1">
      <alignment horizontal="center" vertical="center" wrapText="1"/>
    </xf>
    <xf numFmtId="0" fontId="0" fillId="0" borderId="0" xfId="0"/>
    <xf numFmtId="0" fontId="17" fillId="7" borderId="0" xfId="0" applyFont="1" applyFill="1"/>
    <xf numFmtId="0" fontId="14" fillId="17" borderId="2" xfId="0" applyFont="1" applyFill="1" applyBorder="1" applyAlignment="1">
      <alignment horizontal="right" vertical="center" wrapText="1"/>
    </xf>
    <xf numFmtId="0" fontId="14" fillId="17" borderId="4" xfId="0" applyFont="1" applyFill="1" applyBorder="1" applyAlignment="1">
      <alignment horizontal="right" vertical="center" wrapText="1"/>
    </xf>
    <xf numFmtId="0" fontId="14" fillId="13" borderId="2" xfId="0" applyFont="1" applyFill="1" applyBorder="1" applyAlignment="1">
      <alignment horizontal="right" vertical="center" wrapText="1"/>
    </xf>
    <xf numFmtId="0" fontId="14" fillId="13" borderId="4" xfId="0" applyFont="1" applyFill="1" applyBorder="1" applyAlignment="1">
      <alignment horizontal="right" vertical="center" wrapText="1"/>
    </xf>
    <xf numFmtId="0" fontId="14" fillId="18" borderId="2" xfId="0" applyFont="1" applyFill="1" applyBorder="1" applyAlignment="1">
      <alignment horizontal="right" vertical="center" wrapText="1"/>
    </xf>
    <xf numFmtId="0" fontId="14" fillId="18" borderId="4" xfId="0" applyFont="1" applyFill="1" applyBorder="1" applyAlignment="1">
      <alignment horizontal="right" vertical="center" wrapText="1"/>
    </xf>
    <xf numFmtId="0" fontId="0" fillId="0" borderId="0" xfId="0"/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49" fillId="15" borderId="2" xfId="0" applyFont="1" applyFill="1" applyBorder="1" applyAlignment="1">
      <alignment horizontal="right" vertical="center" wrapText="1"/>
    </xf>
    <xf numFmtId="0" fontId="49" fillId="15" borderId="4" xfId="0" applyFont="1" applyFill="1" applyBorder="1" applyAlignment="1">
      <alignment horizontal="right" vertical="center" wrapText="1"/>
    </xf>
    <xf numFmtId="0" fontId="49" fillId="19" borderId="2" xfId="0" applyFont="1" applyFill="1" applyBorder="1" applyAlignment="1">
      <alignment horizontal="right" vertical="center" wrapText="1"/>
    </xf>
    <xf numFmtId="0" fontId="49" fillId="19" borderId="4" xfId="0" applyFont="1" applyFill="1" applyBorder="1" applyAlignment="1">
      <alignment horizontal="right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49" fillId="10" borderId="2" xfId="0" applyFont="1" applyFill="1" applyBorder="1" applyAlignment="1">
      <alignment horizontal="right" vertical="center" wrapText="1"/>
    </xf>
    <xf numFmtId="0" fontId="49" fillId="10" borderId="4" xfId="0" applyFont="1" applyFill="1" applyBorder="1" applyAlignment="1">
      <alignment horizontal="right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/>
    <xf numFmtId="0" fontId="17" fillId="7" borderId="0" xfId="0" applyFont="1" applyFill="1"/>
    <xf numFmtId="0" fontId="11" fillId="22" borderId="2" xfId="0" applyFont="1" applyFill="1" applyBorder="1" applyAlignment="1">
      <alignment horizontal="right" vertical="center" wrapText="1"/>
    </xf>
    <xf numFmtId="0" fontId="11" fillId="22" borderId="4" xfId="0" applyFont="1" applyFill="1" applyBorder="1" applyAlignment="1">
      <alignment horizontal="right" vertical="center" wrapText="1"/>
    </xf>
    <xf numFmtId="0" fontId="17" fillId="0" borderId="13" xfId="0" applyFont="1" applyBorder="1" applyAlignment="1">
      <alignment vertical="center" wrapText="1"/>
    </xf>
    <xf numFmtId="0" fontId="11" fillId="5" borderId="4" xfId="0" applyFont="1" applyFill="1" applyBorder="1" applyAlignment="1">
      <alignment horizontal="right" vertical="center" wrapText="1"/>
    </xf>
    <xf numFmtId="0" fontId="0" fillId="0" borderId="0" xfId="0"/>
    <xf numFmtId="0" fontId="1" fillId="7" borderId="13" xfId="0" applyFont="1" applyFill="1" applyBorder="1" applyAlignment="1">
      <alignment horizontal="center" vertical="center" wrapText="1"/>
    </xf>
    <xf numFmtId="0" fontId="17" fillId="7" borderId="0" xfId="0" applyFont="1" applyFill="1"/>
    <xf numFmtId="0" fontId="49" fillId="3" borderId="2" xfId="0" applyFont="1" applyFill="1" applyBorder="1" applyAlignment="1">
      <alignment horizontal="right" vertical="center" wrapText="1"/>
    </xf>
    <xf numFmtId="0" fontId="49" fillId="3" borderId="4" xfId="0" applyFont="1" applyFill="1" applyBorder="1" applyAlignment="1">
      <alignment horizontal="right" vertical="center" wrapText="1"/>
    </xf>
    <xf numFmtId="0" fontId="14" fillId="8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right" vertical="center" wrapText="1"/>
    </xf>
    <xf numFmtId="1" fontId="14" fillId="3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17" fillId="7" borderId="0" xfId="0" applyFont="1" applyFill="1"/>
    <xf numFmtId="0" fontId="9" fillId="0" borderId="1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50" fillId="22" borderId="2" xfId="0" applyFont="1" applyFill="1" applyBorder="1" applyAlignment="1">
      <alignment horizontal="right" vertical="center" wrapText="1"/>
    </xf>
    <xf numFmtId="0" fontId="50" fillId="22" borderId="4" xfId="0" applyFont="1" applyFill="1" applyBorder="1" applyAlignment="1">
      <alignment horizontal="right" vertical="center" wrapText="1"/>
    </xf>
    <xf numFmtId="0" fontId="50" fillId="0" borderId="0" xfId="0" applyFont="1"/>
    <xf numFmtId="0" fontId="51" fillId="0" borderId="0" xfId="0" applyFont="1"/>
    <xf numFmtId="0" fontId="52" fillId="22" borderId="2" xfId="0" applyFont="1" applyFill="1" applyBorder="1" applyAlignment="1">
      <alignment horizontal="right" vertical="center" wrapText="1"/>
    </xf>
    <xf numFmtId="0" fontId="52" fillId="22" borderId="4" xfId="0" applyFont="1" applyFill="1" applyBorder="1" applyAlignment="1">
      <alignment horizontal="right" vertical="center" wrapText="1"/>
    </xf>
    <xf numFmtId="0" fontId="52" fillId="0" borderId="0" xfId="0" applyFont="1"/>
    <xf numFmtId="0" fontId="53" fillId="0" borderId="0" xfId="0" applyFont="1"/>
    <xf numFmtId="0" fontId="0" fillId="0" borderId="0" xfId="0"/>
    <xf numFmtId="0" fontId="17" fillId="7" borderId="0" xfId="0" applyFont="1" applyFill="1"/>
    <xf numFmtId="0" fontId="16" fillId="15" borderId="1" xfId="0" applyFont="1" applyFill="1" applyBorder="1" applyAlignment="1">
      <alignment vertical="center" wrapText="1"/>
    </xf>
    <xf numFmtId="0" fontId="16" fillId="15" borderId="3" xfId="0" applyFont="1" applyFill="1" applyBorder="1" applyAlignment="1">
      <alignment vertical="center" wrapText="1"/>
    </xf>
    <xf numFmtId="0" fontId="16" fillId="15" borderId="2" xfId="0" applyFont="1" applyFill="1" applyBorder="1" applyAlignment="1">
      <alignment horizontal="right" vertical="center" wrapText="1"/>
    </xf>
    <xf numFmtId="0" fontId="16" fillId="19" borderId="2" xfId="0" applyFont="1" applyFill="1" applyBorder="1" applyAlignment="1">
      <alignment vertical="center" wrapText="1"/>
    </xf>
    <xf numFmtId="0" fontId="16" fillId="15" borderId="4" xfId="0" applyFont="1" applyFill="1" applyBorder="1" applyAlignment="1">
      <alignment horizontal="right" vertical="center" wrapText="1"/>
    </xf>
    <xf numFmtId="0" fontId="16" fillId="19" borderId="4" xfId="0" applyFont="1" applyFill="1" applyBorder="1" applyAlignment="1">
      <alignment vertical="center" wrapText="1"/>
    </xf>
    <xf numFmtId="0" fontId="16" fillId="19" borderId="3" xfId="0" applyFont="1" applyFill="1" applyBorder="1" applyAlignment="1">
      <alignment vertical="center" wrapText="1"/>
    </xf>
    <xf numFmtId="0" fontId="16" fillId="19" borderId="2" xfId="0" applyFont="1" applyFill="1" applyBorder="1" applyAlignment="1">
      <alignment horizontal="right" vertical="center" wrapText="1"/>
    </xf>
    <xf numFmtId="0" fontId="16" fillId="19" borderId="4" xfId="0" applyFont="1" applyFill="1" applyBorder="1" applyAlignment="1">
      <alignment horizontal="right" vertical="center" wrapText="1"/>
    </xf>
    <xf numFmtId="1" fontId="16" fillId="15" borderId="4" xfId="0" applyNumberFormat="1" applyFont="1" applyFill="1" applyBorder="1" applyAlignment="1">
      <alignment horizontal="right" vertical="center" wrapText="1"/>
    </xf>
    <xf numFmtId="0" fontId="0" fillId="0" borderId="0" xfId="0"/>
    <xf numFmtId="0" fontId="9" fillId="7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right" vertical="center" wrapText="1"/>
    </xf>
    <xf numFmtId="0" fontId="19" fillId="10" borderId="1" xfId="0" applyFont="1" applyFill="1" applyBorder="1" applyAlignment="1">
      <alignment vertical="center" wrapText="1"/>
    </xf>
    <xf numFmtId="0" fontId="19" fillId="10" borderId="3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right" vertical="center" wrapText="1"/>
    </xf>
    <xf numFmtId="0" fontId="19" fillId="10" borderId="4" xfId="0" applyFont="1" applyFill="1" applyBorder="1" applyAlignment="1">
      <alignment horizontal="right" vertical="center" wrapText="1"/>
    </xf>
    <xf numFmtId="1" fontId="19" fillId="3" borderId="4" xfId="0" applyNumberFormat="1" applyFont="1" applyFill="1" applyBorder="1" applyAlignment="1">
      <alignment horizontal="right" vertical="center" wrapText="1"/>
    </xf>
    <xf numFmtId="0" fontId="19" fillId="3" borderId="3" xfId="0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Alignment="1"/>
    <xf numFmtId="0" fontId="17" fillId="7" borderId="0" xfId="0" applyFont="1" applyFill="1"/>
    <xf numFmtId="0" fontId="0" fillId="0" borderId="0" xfId="0" applyAlignment="1"/>
    <xf numFmtId="0" fontId="17" fillId="7" borderId="0" xfId="0" applyFont="1" applyFill="1"/>
    <xf numFmtId="0" fontId="0" fillId="0" borderId="0" xfId="0"/>
    <xf numFmtId="0" fontId="0" fillId="0" borderId="0" xfId="0" applyAlignment="1"/>
    <xf numFmtId="0" fontId="0" fillId="0" borderId="0" xfId="0" applyAlignment="1"/>
    <xf numFmtId="0" fontId="0" fillId="0" borderId="0" xfId="0"/>
    <xf numFmtId="0" fontId="0" fillId="0" borderId="0" xfId="0" applyAlignment="1"/>
    <xf numFmtId="0" fontId="9" fillId="7" borderId="3" xfId="0" applyFont="1" applyFill="1" applyBorder="1"/>
    <xf numFmtId="0" fontId="55" fillId="22" borderId="1" xfId="0" applyFont="1" applyFill="1" applyBorder="1" applyAlignment="1">
      <alignment vertical="center" wrapText="1"/>
    </xf>
    <xf numFmtId="0" fontId="55" fillId="22" borderId="3" xfId="0" applyFont="1" applyFill="1" applyBorder="1" applyAlignment="1">
      <alignment vertical="center" wrapText="1"/>
    </xf>
    <xf numFmtId="0" fontId="55" fillId="10" borderId="2" xfId="0" applyFont="1" applyFill="1" applyBorder="1" applyAlignment="1">
      <alignment vertical="center" wrapText="1"/>
    </xf>
    <xf numFmtId="0" fontId="55" fillId="10" borderId="4" xfId="0" applyFont="1" applyFill="1" applyBorder="1" applyAlignment="1">
      <alignment vertical="center" wrapText="1"/>
    </xf>
    <xf numFmtId="0" fontId="55" fillId="10" borderId="3" xfId="0" applyFont="1" applyFill="1" applyBorder="1" applyAlignment="1">
      <alignment vertical="center" wrapText="1"/>
    </xf>
    <xf numFmtId="0" fontId="55" fillId="10" borderId="2" xfId="0" applyFont="1" applyFill="1" applyBorder="1" applyAlignment="1">
      <alignment horizontal="right" vertical="center" wrapText="1"/>
    </xf>
    <xf numFmtId="0" fontId="55" fillId="10" borderId="4" xfId="0" applyFont="1" applyFill="1" applyBorder="1" applyAlignment="1">
      <alignment horizontal="right" vertical="center" wrapText="1"/>
    </xf>
    <xf numFmtId="14" fontId="55" fillId="22" borderId="3" xfId="0" applyNumberFormat="1" applyFont="1" applyFill="1" applyBorder="1" applyAlignment="1">
      <alignment horizontal="left" vertical="center" wrapText="1"/>
    </xf>
    <xf numFmtId="0" fontId="55" fillId="22" borderId="4" xfId="0" applyFont="1" applyFill="1" applyBorder="1" applyAlignment="1">
      <alignment horizontal="right" vertical="center" wrapText="1"/>
    </xf>
    <xf numFmtId="1" fontId="55" fillId="22" borderId="4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/>
    <xf numFmtId="0" fontId="11" fillId="7" borderId="0" xfId="0" applyFont="1" applyFill="1" applyBorder="1" applyAlignment="1">
      <alignment horizontal="right" vertical="center" wrapText="1"/>
    </xf>
    <xf numFmtId="0" fontId="11" fillId="7" borderId="21" xfId="0" applyFont="1" applyFill="1" applyBorder="1" applyAlignment="1">
      <alignment horizontal="right" vertical="center" wrapText="1"/>
    </xf>
    <xf numFmtId="0" fontId="0" fillId="0" borderId="0" xfId="0" applyAlignment="1"/>
    <xf numFmtId="0" fontId="17" fillId="7" borderId="0" xfId="0" applyFont="1" applyFill="1"/>
    <xf numFmtId="0" fontId="11" fillId="7" borderId="9" xfId="0" applyFont="1" applyFill="1" applyBorder="1" applyAlignment="1">
      <alignment horizontal="right" vertical="center" wrapText="1"/>
    </xf>
    <xf numFmtId="0" fontId="11" fillId="7" borderId="8" xfId="0" applyFont="1" applyFill="1" applyBorder="1" applyAlignment="1">
      <alignment horizontal="right" vertical="center" wrapText="1"/>
    </xf>
    <xf numFmtId="0" fontId="11" fillId="7" borderId="6" xfId="0" applyFont="1" applyFill="1" applyBorder="1" applyAlignment="1">
      <alignment horizontal="right" vertical="center" wrapText="1"/>
    </xf>
    <xf numFmtId="0" fontId="0" fillId="0" borderId="0" xfId="0"/>
    <xf numFmtId="0" fontId="11" fillId="4" borderId="1" xfId="0" applyFont="1" applyFill="1" applyBorder="1" applyAlignment="1">
      <alignment vertical="top" wrapText="1"/>
    </xf>
    <xf numFmtId="0" fontId="0" fillId="0" borderId="0" xfId="0"/>
    <xf numFmtId="0" fontId="0" fillId="0" borderId="0" xfId="0" applyAlignment="1"/>
    <xf numFmtId="0" fontId="11" fillId="7" borderId="1" xfId="0" applyFont="1" applyFill="1" applyBorder="1" applyAlignment="1">
      <alignment vertical="top" wrapText="1"/>
    </xf>
    <xf numFmtId="0" fontId="9" fillId="4" borderId="3" xfId="0" applyFont="1" applyFill="1" applyBorder="1" applyAlignment="1">
      <alignment vertical="center" wrapText="1"/>
    </xf>
    <xf numFmtId="14" fontId="19" fillId="3" borderId="21" xfId="0" applyNumberFormat="1" applyFont="1" applyFill="1" applyBorder="1" applyAlignment="1">
      <alignment horizontal="left" vertical="center" wrapText="1"/>
    </xf>
    <xf numFmtId="0" fontId="19" fillId="3" borderId="20" xfId="0" applyFont="1" applyFill="1" applyBorder="1" applyAlignment="1">
      <alignment horizontal="right" vertical="center" wrapText="1"/>
    </xf>
    <xf numFmtId="1" fontId="19" fillId="3" borderId="2" xfId="0" applyNumberFormat="1" applyFont="1" applyFill="1" applyBorder="1" applyAlignment="1">
      <alignment horizontal="right" vertical="center" wrapText="1"/>
    </xf>
    <xf numFmtId="14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right" vertical="center" wrapText="1"/>
    </xf>
    <xf numFmtId="0" fontId="19" fillId="3" borderId="21" xfId="0" applyFont="1" applyFill="1" applyBorder="1" applyAlignment="1">
      <alignment vertical="center" wrapText="1"/>
    </xf>
    <xf numFmtId="0" fontId="19" fillId="3" borderId="17" xfId="0" applyFont="1" applyFill="1" applyBorder="1" applyAlignment="1">
      <alignment vertical="center" wrapText="1"/>
    </xf>
    <xf numFmtId="0" fontId="13" fillId="24" borderId="1" xfId="0" applyFont="1" applyFill="1" applyBorder="1" applyAlignment="1">
      <alignment vertical="center" wrapText="1"/>
    </xf>
    <xf numFmtId="0" fontId="31" fillId="24" borderId="2" xfId="0" applyFont="1" applyFill="1" applyBorder="1" applyAlignment="1">
      <alignment horizontal="center" vertical="center" wrapText="1"/>
    </xf>
    <xf numFmtId="0" fontId="27" fillId="24" borderId="2" xfId="0" applyFont="1" applyFill="1" applyBorder="1" applyAlignment="1">
      <alignment horizontal="right" vertical="center" wrapText="1"/>
    </xf>
    <xf numFmtId="0" fontId="47" fillId="24" borderId="2" xfId="0" applyFont="1" applyFill="1" applyBorder="1" applyAlignment="1">
      <alignment horizontal="right" vertical="center" wrapText="1"/>
    </xf>
    <xf numFmtId="0" fontId="16" fillId="24" borderId="2" xfId="0" applyFont="1" applyFill="1" applyBorder="1" applyAlignment="1">
      <alignment horizontal="right" vertical="center" wrapText="1"/>
    </xf>
    <xf numFmtId="0" fontId="13" fillId="24" borderId="3" xfId="0" applyFont="1" applyFill="1" applyBorder="1" applyAlignment="1">
      <alignment vertical="center" wrapText="1"/>
    </xf>
    <xf numFmtId="0" fontId="31" fillId="24" borderId="4" xfId="0" applyFont="1" applyFill="1" applyBorder="1" applyAlignment="1">
      <alignment horizontal="right" vertical="center" wrapText="1"/>
    </xf>
    <xf numFmtId="0" fontId="27" fillId="24" borderId="4" xfId="0" applyFont="1" applyFill="1" applyBorder="1" applyAlignment="1">
      <alignment horizontal="right" vertical="center" wrapText="1"/>
    </xf>
    <xf numFmtId="0" fontId="47" fillId="24" borderId="4" xfId="0" applyFont="1" applyFill="1" applyBorder="1" applyAlignment="1">
      <alignment horizontal="right" vertical="center" wrapText="1"/>
    </xf>
    <xf numFmtId="0" fontId="16" fillId="24" borderId="4" xfId="0" applyFont="1" applyFill="1" applyBorder="1" applyAlignment="1">
      <alignment horizontal="right" vertical="center" wrapText="1"/>
    </xf>
    <xf numFmtId="0" fontId="13" fillId="24" borderId="16" xfId="0" applyFont="1" applyFill="1" applyBorder="1" applyAlignment="1">
      <alignment horizontal="right" vertical="center" wrapText="1"/>
    </xf>
    <xf numFmtId="1" fontId="13" fillId="24" borderId="4" xfId="0" applyNumberFormat="1" applyFont="1" applyFill="1" applyBorder="1" applyAlignment="1">
      <alignment horizontal="right" vertical="center" wrapText="1"/>
    </xf>
    <xf numFmtId="0" fontId="13" fillId="24" borderId="1" xfId="0" applyFont="1" applyFill="1" applyBorder="1" applyAlignment="1">
      <alignment horizontal="right" vertical="center" wrapText="1"/>
    </xf>
    <xf numFmtId="1" fontId="13" fillId="24" borderId="1" xfId="0" applyNumberFormat="1" applyFont="1" applyFill="1" applyBorder="1" applyAlignment="1">
      <alignment horizontal="right" vertical="center" wrapText="1"/>
    </xf>
    <xf numFmtId="0" fontId="13" fillId="24" borderId="2" xfId="0" applyFont="1" applyFill="1" applyBorder="1" applyAlignment="1">
      <alignment horizontal="right" vertical="center" wrapText="1"/>
    </xf>
    <xf numFmtId="14" fontId="13" fillId="24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56" fillId="22" borderId="2" xfId="0" applyFont="1" applyFill="1" applyBorder="1" applyAlignment="1">
      <alignment horizontal="right" vertical="center" wrapText="1"/>
    </xf>
    <xf numFmtId="0" fontId="56" fillId="22" borderId="4" xfId="0" applyFont="1" applyFill="1" applyBorder="1" applyAlignment="1">
      <alignment horizontal="right" vertical="center" wrapText="1"/>
    </xf>
    <xf numFmtId="0" fontId="56" fillId="0" borderId="0" xfId="0" applyFont="1"/>
    <xf numFmtId="0" fontId="57" fillId="0" borderId="0" xfId="0" applyFont="1"/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9" fillId="4" borderId="6" xfId="0" applyFont="1" applyFill="1" applyBorder="1"/>
    <xf numFmtId="0" fontId="22" fillId="7" borderId="0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vertical="center" wrapText="1"/>
    </xf>
    <xf numFmtId="0" fontId="9" fillId="4" borderId="2" xfId="0" applyFont="1" applyFill="1" applyBorder="1"/>
    <xf numFmtId="0" fontId="19" fillId="25" borderId="1" xfId="0" applyFont="1" applyFill="1" applyBorder="1" applyAlignment="1">
      <alignment vertical="center" wrapText="1"/>
    </xf>
    <xf numFmtId="0" fontId="31" fillId="25" borderId="2" xfId="0" applyFont="1" applyFill="1" applyBorder="1" applyAlignment="1">
      <alignment horizontal="right" vertical="center" wrapText="1"/>
    </xf>
    <xf numFmtId="0" fontId="14" fillId="25" borderId="2" xfId="0" applyFont="1" applyFill="1" applyBorder="1" applyAlignment="1">
      <alignment horizontal="right" vertical="center" wrapText="1"/>
    </xf>
    <xf numFmtId="0" fontId="47" fillId="25" borderId="2" xfId="0" applyFont="1" applyFill="1" applyBorder="1" applyAlignment="1">
      <alignment horizontal="right" vertical="center" wrapText="1"/>
    </xf>
    <xf numFmtId="0" fontId="19" fillId="25" borderId="2" xfId="0" applyFont="1" applyFill="1" applyBorder="1" applyAlignment="1">
      <alignment horizontal="right" vertical="center" wrapText="1"/>
    </xf>
    <xf numFmtId="0" fontId="19" fillId="25" borderId="3" xfId="0" applyFont="1" applyFill="1" applyBorder="1" applyAlignment="1">
      <alignment vertical="center" wrapText="1"/>
    </xf>
    <xf numFmtId="0" fontId="31" fillId="25" borderId="4" xfId="0" applyFont="1" applyFill="1" applyBorder="1" applyAlignment="1">
      <alignment horizontal="right" vertical="center" wrapText="1"/>
    </xf>
    <xf numFmtId="0" fontId="14" fillId="25" borderId="4" xfId="0" applyFont="1" applyFill="1" applyBorder="1" applyAlignment="1">
      <alignment horizontal="right" vertical="center" wrapText="1"/>
    </xf>
    <xf numFmtId="0" fontId="47" fillId="25" borderId="4" xfId="0" applyFont="1" applyFill="1" applyBorder="1" applyAlignment="1">
      <alignment horizontal="right" vertical="center" wrapText="1"/>
    </xf>
    <xf numFmtId="0" fontId="19" fillId="25" borderId="4" xfId="0" applyFont="1" applyFill="1" applyBorder="1" applyAlignment="1">
      <alignment horizontal="right" vertical="center" wrapText="1"/>
    </xf>
    <xf numFmtId="0" fontId="17" fillId="7" borderId="9" xfId="0" applyFont="1" applyFill="1" applyBorder="1" applyAlignment="1">
      <alignment vertical="center" wrapText="1"/>
    </xf>
    <xf numFmtId="0" fontId="0" fillId="0" borderId="8" xfId="0" applyBorder="1" applyAlignment="1"/>
    <xf numFmtId="0" fontId="0" fillId="0" borderId="0" xfId="0" applyBorder="1" applyAlignment="1"/>
    <xf numFmtId="0" fontId="11" fillId="7" borderId="13" xfId="0" applyFont="1" applyFill="1" applyBorder="1" applyAlignment="1">
      <alignment vertical="center" wrapText="1"/>
    </xf>
    <xf numFmtId="0" fontId="9" fillId="0" borderId="0" xfId="0" applyFont="1" applyAlignment="1"/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left"/>
    </xf>
    <xf numFmtId="0" fontId="15" fillId="3" borderId="12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11" fillId="21" borderId="7" xfId="0" applyFont="1" applyFill="1" applyBorder="1" applyAlignment="1">
      <alignment vertical="center" wrapText="1"/>
    </xf>
    <xf numFmtId="0" fontId="11" fillId="21" borderId="3" xfId="0" applyFont="1" applyFill="1" applyBorder="1" applyAlignment="1">
      <alignment vertical="center" wrapText="1"/>
    </xf>
    <xf numFmtId="0" fontId="11" fillId="23" borderId="7" xfId="0" applyFont="1" applyFill="1" applyBorder="1" applyAlignment="1">
      <alignment vertical="center" wrapText="1"/>
    </xf>
    <xf numFmtId="0" fontId="11" fillId="23" borderId="3" xfId="0" applyFont="1" applyFill="1" applyBorder="1" applyAlignment="1">
      <alignment vertical="center" wrapText="1"/>
    </xf>
    <xf numFmtId="0" fontId="11" fillId="14" borderId="7" xfId="0" applyFont="1" applyFill="1" applyBorder="1" applyAlignment="1">
      <alignment vertical="center" wrapText="1"/>
    </xf>
    <xf numFmtId="0" fontId="11" fillId="14" borderId="3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0" fillId="0" borderId="0" xfId="0"/>
    <xf numFmtId="0" fontId="33" fillId="24" borderId="9" xfId="0" applyFont="1" applyFill="1" applyBorder="1" applyAlignment="1">
      <alignment horizontal="left" vertical="center"/>
    </xf>
    <xf numFmtId="0" fontId="33" fillId="24" borderId="8" xfId="0" applyFont="1" applyFill="1" applyBorder="1" applyAlignment="1">
      <alignment horizontal="left" vertical="center"/>
    </xf>
    <xf numFmtId="0" fontId="33" fillId="24" borderId="6" xfId="0" applyFont="1" applyFill="1" applyBorder="1" applyAlignment="1">
      <alignment horizontal="left" vertical="center"/>
    </xf>
    <xf numFmtId="0" fontId="11" fillId="12" borderId="6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vertical="center" wrapText="1"/>
    </xf>
    <xf numFmtId="0" fontId="17" fillId="7" borderId="13" xfId="0" applyFont="1" applyFill="1" applyBorder="1" applyAlignment="1">
      <alignment vertical="center" wrapText="1"/>
    </xf>
    <xf numFmtId="0" fontId="0" fillId="0" borderId="0" xfId="0" applyAlignment="1"/>
    <xf numFmtId="0" fontId="17" fillId="7" borderId="8" xfId="0" applyFont="1" applyFill="1" applyBorder="1" applyAlignment="1"/>
    <xf numFmtId="0" fontId="22" fillId="7" borderId="0" xfId="0" applyFont="1" applyFill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center" vertical="center" wrapText="1"/>
    </xf>
    <xf numFmtId="0" fontId="58" fillId="25" borderId="11" xfId="0" applyFont="1" applyFill="1" applyBorder="1" applyAlignment="1">
      <alignment horizontal="left" vertical="center"/>
    </xf>
    <xf numFmtId="0" fontId="58" fillId="25" borderId="12" xfId="0" applyFont="1" applyFill="1" applyBorder="1" applyAlignment="1">
      <alignment horizontal="left" vertical="center"/>
    </xf>
    <xf numFmtId="0" fontId="58" fillId="25" borderId="2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11" fillId="23" borderId="6" xfId="0" applyFont="1" applyFill="1" applyBorder="1" applyAlignment="1">
      <alignment vertical="center" wrapText="1"/>
    </xf>
    <xf numFmtId="0" fontId="11" fillId="23" borderId="4" xfId="0" applyFont="1" applyFill="1" applyBorder="1" applyAlignment="1">
      <alignment vertical="center" wrapText="1"/>
    </xf>
    <xf numFmtId="0" fontId="17" fillId="7" borderId="0" xfId="0" applyFont="1" applyFill="1" applyAlignment="1"/>
    <xf numFmtId="0" fontId="6" fillId="15" borderId="11" xfId="0" applyFont="1" applyFill="1" applyBorder="1" applyAlignment="1">
      <alignment vertical="center"/>
    </xf>
    <xf numFmtId="0" fontId="5" fillId="15" borderId="12" xfId="0" applyFont="1" applyFill="1" applyBorder="1"/>
    <xf numFmtId="0" fontId="5" fillId="15" borderId="2" xfId="0" applyFont="1" applyFill="1" applyBorder="1"/>
    <xf numFmtId="0" fontId="11" fillId="12" borderId="7" xfId="0" applyFont="1" applyFill="1" applyBorder="1" applyAlignment="1">
      <alignment vertical="center" wrapText="1"/>
    </xf>
    <xf numFmtId="0" fontId="11" fillId="12" borderId="3" xfId="0" applyFont="1" applyFill="1" applyBorder="1" applyAlignment="1">
      <alignment vertical="center" wrapText="1"/>
    </xf>
    <xf numFmtId="0" fontId="0" fillId="0" borderId="13" xfId="0" applyBorder="1" applyAlignment="1"/>
    <xf numFmtId="0" fontId="0" fillId="0" borderId="13" xfId="0" applyBorder="1"/>
    <xf numFmtId="0" fontId="17" fillId="7" borderId="8" xfId="0" applyFont="1" applyFill="1" applyBorder="1"/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54" fillId="22" borderId="9" xfId="0" applyFont="1" applyFill="1" applyBorder="1" applyAlignment="1">
      <alignment horizontal="left" vertical="center"/>
    </xf>
    <xf numFmtId="0" fontId="54" fillId="22" borderId="8" xfId="0" applyFont="1" applyFill="1" applyBorder="1" applyAlignment="1">
      <alignment horizontal="left" vertical="center"/>
    </xf>
    <xf numFmtId="0" fontId="54" fillId="22" borderId="6" xfId="0" applyFont="1" applyFill="1" applyBorder="1" applyAlignment="1">
      <alignment horizontal="left" vertical="center"/>
    </xf>
    <xf numFmtId="0" fontId="41" fillId="3" borderId="9" xfId="0" applyFont="1" applyFill="1" applyBorder="1" applyAlignment="1">
      <alignment horizontal="left" vertical="center"/>
    </xf>
    <xf numFmtId="0" fontId="41" fillId="3" borderId="8" xfId="0" applyFont="1" applyFill="1" applyBorder="1" applyAlignment="1">
      <alignment horizontal="left" vertical="center"/>
    </xf>
    <xf numFmtId="0" fontId="41" fillId="3" borderId="6" xfId="0" applyFont="1" applyFill="1" applyBorder="1" applyAlignment="1">
      <alignment horizontal="left" vertical="center"/>
    </xf>
    <xf numFmtId="0" fontId="11" fillId="16" borderId="7" xfId="0" applyFont="1" applyFill="1" applyBorder="1" applyAlignment="1">
      <alignment vertical="center" wrapText="1"/>
    </xf>
    <xf numFmtId="0" fontId="11" fillId="16" borderId="3" xfId="0" applyFont="1" applyFill="1" applyBorder="1" applyAlignment="1">
      <alignment vertical="center" wrapText="1"/>
    </xf>
    <xf numFmtId="0" fontId="35" fillId="17" borderId="9" xfId="0" applyFont="1" applyFill="1" applyBorder="1" applyAlignment="1">
      <alignment horizontal="left" vertical="center"/>
    </xf>
    <xf numFmtId="0" fontId="35" fillId="17" borderId="8" xfId="0" applyFont="1" applyFill="1" applyBorder="1" applyAlignment="1">
      <alignment horizontal="left" vertical="center"/>
    </xf>
    <xf numFmtId="0" fontId="35" fillId="17" borderId="6" xfId="0" applyFont="1" applyFill="1" applyBorder="1" applyAlignment="1">
      <alignment horizontal="left" vertical="center"/>
    </xf>
    <xf numFmtId="0" fontId="33" fillId="3" borderId="9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 vertical="center"/>
    </xf>
    <xf numFmtId="0" fontId="33" fillId="3" borderId="6" xfId="0" applyFont="1" applyFill="1" applyBorder="1" applyAlignment="1">
      <alignment horizontal="left" vertical="center"/>
    </xf>
    <xf numFmtId="0" fontId="9" fillId="11" borderId="7" xfId="0" applyFont="1" applyFill="1" applyBorder="1" applyAlignment="1">
      <alignment vertical="center" wrapText="1"/>
    </xf>
    <xf numFmtId="0" fontId="9" fillId="11" borderId="3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7" fillId="7" borderId="0" xfId="0" applyFont="1" applyFill="1"/>
    <xf numFmtId="0" fontId="8" fillId="20" borderId="9" xfId="0" applyFont="1" applyFill="1" applyBorder="1" applyAlignment="1">
      <alignment horizontal="left" vertical="center"/>
    </xf>
    <xf numFmtId="0" fontId="8" fillId="20" borderId="8" xfId="0" applyFont="1" applyFill="1" applyBorder="1" applyAlignment="1">
      <alignment horizontal="left" vertical="center"/>
    </xf>
    <xf numFmtId="0" fontId="8" fillId="20" borderId="6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7" borderId="9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008000"/>
      <color rgb="FF682300"/>
      <color rgb="FFFF80FF"/>
      <color rgb="FF133926"/>
      <color rgb="FFE2AC00"/>
      <color rgb="FFC09200"/>
      <color rgb="FFBC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6"/>
  <sheetViews>
    <sheetView tabSelected="1" workbookViewId="0">
      <selection activeCell="AL20" sqref="AL20:AN20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5" width="4.7109375" customWidth="1"/>
    <col min="6" max="6" width="16.42578125" customWidth="1"/>
    <col min="7" max="10" width="5.28515625" customWidth="1"/>
    <col min="11" max="11" width="16.42578125" bestFit="1" customWidth="1"/>
    <col min="12" max="17" width="4.7109375" customWidth="1"/>
    <col min="18" max="19" width="5.7109375" customWidth="1"/>
    <col min="20" max="34" width="4.7109375" customWidth="1"/>
    <col min="35" max="37" width="5.42578125" customWidth="1"/>
    <col min="38" max="43" width="5.7109375" customWidth="1"/>
  </cols>
  <sheetData>
    <row r="1" spans="1:51" ht="15.95" customHeight="1" thickBot="1" x14ac:dyDescent="0.3">
      <c r="A1" s="506" t="s">
        <v>903</v>
      </c>
      <c r="B1" s="507"/>
      <c r="C1" s="507"/>
      <c r="D1" s="507"/>
      <c r="E1" s="507"/>
      <c r="F1" s="507"/>
      <c r="G1" s="507"/>
      <c r="H1" s="507"/>
      <c r="I1" s="507"/>
      <c r="J1" s="508"/>
      <c r="K1" s="513" t="s">
        <v>1028</v>
      </c>
      <c r="L1" s="500" t="s">
        <v>42</v>
      </c>
      <c r="M1" s="501"/>
      <c r="N1" s="502"/>
      <c r="O1" s="500" t="s">
        <v>141</v>
      </c>
      <c r="P1" s="501"/>
      <c r="Q1" s="502"/>
      <c r="R1" s="500" t="s">
        <v>1027</v>
      </c>
      <c r="S1" s="502"/>
      <c r="T1" s="494" t="s">
        <v>100</v>
      </c>
      <c r="U1" s="495"/>
      <c r="V1" s="496"/>
      <c r="W1" s="494" t="s">
        <v>915</v>
      </c>
      <c r="X1" s="495"/>
      <c r="Y1" s="496"/>
      <c r="Z1" s="335"/>
      <c r="AA1" s="344"/>
      <c r="AB1" s="345"/>
      <c r="AC1" s="494" t="s">
        <v>303</v>
      </c>
      <c r="AD1" s="495"/>
      <c r="AE1" s="496"/>
      <c r="AF1" s="494" t="s">
        <v>205</v>
      </c>
      <c r="AG1" s="495"/>
      <c r="AH1" s="496"/>
      <c r="AI1" s="494" t="s">
        <v>186</v>
      </c>
      <c r="AJ1" s="495"/>
      <c r="AK1" s="496"/>
      <c r="AL1" s="494" t="s">
        <v>140</v>
      </c>
      <c r="AM1" s="495"/>
      <c r="AN1" s="496"/>
      <c r="AO1" s="494" t="s">
        <v>175</v>
      </c>
      <c r="AP1" s="495"/>
      <c r="AQ1" s="496"/>
      <c r="AR1" s="113"/>
      <c r="AS1" s="5"/>
      <c r="AT1" s="5"/>
      <c r="AU1" s="5"/>
      <c r="AW1" s="5"/>
    </row>
    <row r="2" spans="1:51" ht="15" customHeight="1" thickBot="1" x14ac:dyDescent="0.3">
      <c r="A2" s="389" t="s">
        <v>0</v>
      </c>
      <c r="B2" s="169" t="s">
        <v>305</v>
      </c>
      <c r="C2" s="153" t="s">
        <v>99</v>
      </c>
      <c r="D2" s="244" t="s">
        <v>306</v>
      </c>
      <c r="E2" s="391" t="s">
        <v>1</v>
      </c>
      <c r="F2" s="258" t="s">
        <v>2</v>
      </c>
      <c r="G2" s="160" t="s">
        <v>305</v>
      </c>
      <c r="H2" s="259" t="s">
        <v>99</v>
      </c>
      <c r="I2" s="260" t="s">
        <v>306</v>
      </c>
      <c r="J2" s="395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497"/>
      <c r="U2" s="498"/>
      <c r="V2" s="499"/>
      <c r="W2" s="497"/>
      <c r="X2" s="498"/>
      <c r="Y2" s="499"/>
      <c r="Z2" s="335"/>
      <c r="AA2" s="344"/>
      <c r="AB2" s="345"/>
      <c r="AC2" s="497"/>
      <c r="AD2" s="498"/>
      <c r="AE2" s="499"/>
      <c r="AF2" s="497"/>
      <c r="AG2" s="498"/>
      <c r="AH2" s="499"/>
      <c r="AI2" s="497"/>
      <c r="AJ2" s="498"/>
      <c r="AK2" s="499"/>
      <c r="AL2" s="497"/>
      <c r="AM2" s="498"/>
      <c r="AN2" s="499"/>
      <c r="AO2" s="497"/>
      <c r="AP2" s="498"/>
      <c r="AQ2" s="499"/>
      <c r="AR2" s="113"/>
      <c r="AW2" s="5"/>
      <c r="AX2" s="5"/>
      <c r="AY2" s="5"/>
    </row>
    <row r="3" spans="1:51" ht="15" customHeight="1" thickBot="1" x14ac:dyDescent="0.3">
      <c r="A3" s="390" t="s">
        <v>142</v>
      </c>
      <c r="B3" s="104">
        <v>0</v>
      </c>
      <c r="C3" s="47">
        <v>0</v>
      </c>
      <c r="D3" s="245">
        <v>0</v>
      </c>
      <c r="E3" s="392">
        <f>SUM(B3:D3)</f>
        <v>0</v>
      </c>
      <c r="F3" s="254" t="s">
        <v>142</v>
      </c>
      <c r="G3" s="105">
        <v>0</v>
      </c>
      <c r="H3" s="255">
        <v>0</v>
      </c>
      <c r="I3" s="256">
        <v>0</v>
      </c>
      <c r="J3" s="396">
        <f>SUM(G3:I3)</f>
        <v>0</v>
      </c>
      <c r="K3" s="35" t="s">
        <v>72</v>
      </c>
      <c r="L3" s="4" t="s">
        <v>176</v>
      </c>
      <c r="M3" s="4" t="s">
        <v>36</v>
      </c>
      <c r="N3" s="4" t="s">
        <v>37</v>
      </c>
      <c r="O3" s="4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106" t="s">
        <v>176</v>
      </c>
      <c r="U3" s="106" t="s">
        <v>36</v>
      </c>
      <c r="V3" s="106" t="s">
        <v>37</v>
      </c>
      <c r="W3" s="111" t="s">
        <v>176</v>
      </c>
      <c r="X3" s="106" t="s">
        <v>36</v>
      </c>
      <c r="Y3" s="106" t="s">
        <v>37</v>
      </c>
      <c r="Z3" s="126"/>
      <c r="AA3" s="127"/>
      <c r="AB3" s="341"/>
      <c r="AC3" s="111" t="s">
        <v>176</v>
      </c>
      <c r="AD3" s="106" t="s">
        <v>36</v>
      </c>
      <c r="AE3" s="132" t="s">
        <v>37</v>
      </c>
      <c r="AF3" s="132" t="s">
        <v>176</v>
      </c>
      <c r="AG3" s="106" t="s">
        <v>36</v>
      </c>
      <c r="AH3" s="106" t="s">
        <v>37</v>
      </c>
      <c r="AI3" s="106" t="s">
        <v>176</v>
      </c>
      <c r="AJ3" s="106" t="s">
        <v>36</v>
      </c>
      <c r="AK3" s="106" t="s">
        <v>37</v>
      </c>
      <c r="AL3" s="106" t="s">
        <v>176</v>
      </c>
      <c r="AM3" s="106" t="s">
        <v>36</v>
      </c>
      <c r="AN3" s="106" t="s">
        <v>37</v>
      </c>
      <c r="AO3" s="106" t="s">
        <v>176</v>
      </c>
      <c r="AP3" s="106" t="s">
        <v>36</v>
      </c>
      <c r="AQ3" s="106" t="s">
        <v>37</v>
      </c>
      <c r="AR3" s="54"/>
      <c r="AS3" s="5"/>
      <c r="AT3" s="5"/>
      <c r="AU3" s="5"/>
    </row>
    <row r="4" spans="1:51" ht="15" customHeight="1" thickBot="1" x14ac:dyDescent="0.3">
      <c r="A4" s="390" t="s">
        <v>72</v>
      </c>
      <c r="B4" s="104">
        <v>0</v>
      </c>
      <c r="C4" s="47">
        <v>0</v>
      </c>
      <c r="D4" s="245">
        <v>0</v>
      </c>
      <c r="E4" s="392">
        <f t="shared" ref="E4:E56" si="0">SUM(B4:D4)</f>
        <v>0</v>
      </c>
      <c r="F4" s="262" t="s">
        <v>72</v>
      </c>
      <c r="G4" s="105">
        <v>0</v>
      </c>
      <c r="H4" s="255">
        <v>0</v>
      </c>
      <c r="I4" s="256">
        <v>0</v>
      </c>
      <c r="J4" s="396">
        <f t="shared" ref="J4:J56" si="1">SUM(G4:I4)</f>
        <v>0</v>
      </c>
      <c r="K4" s="440" t="s">
        <v>142</v>
      </c>
      <c r="L4" s="392" t="s">
        <v>43</v>
      </c>
      <c r="M4" s="392" t="s">
        <v>43</v>
      </c>
      <c r="N4" s="397" t="s">
        <v>43</v>
      </c>
      <c r="O4" s="392" t="s">
        <v>43</v>
      </c>
      <c r="P4" s="392" t="s">
        <v>43</v>
      </c>
      <c r="Q4" s="397" t="s">
        <v>43</v>
      </c>
      <c r="R4" s="441">
        <v>1</v>
      </c>
      <c r="S4" s="441">
        <v>1</v>
      </c>
      <c r="T4" s="7">
        <v>1</v>
      </c>
      <c r="U4" s="7">
        <v>2</v>
      </c>
      <c r="V4" s="291">
        <v>50</v>
      </c>
      <c r="W4" s="298" t="s">
        <v>43</v>
      </c>
      <c r="X4" s="291" t="s">
        <v>43</v>
      </c>
      <c r="Y4" s="291" t="s">
        <v>43</v>
      </c>
      <c r="Z4" s="126"/>
      <c r="AA4" s="127"/>
      <c r="AB4" s="341"/>
      <c r="AC4" s="298" t="s">
        <v>43</v>
      </c>
      <c r="AD4" s="291" t="s">
        <v>43</v>
      </c>
      <c r="AE4" s="291" t="s">
        <v>43</v>
      </c>
      <c r="AF4" s="7" t="s">
        <v>43</v>
      </c>
      <c r="AG4" s="291" t="s">
        <v>43</v>
      </c>
      <c r="AH4" s="291" t="s">
        <v>43</v>
      </c>
      <c r="AI4" s="291" t="s">
        <v>43</v>
      </c>
      <c r="AJ4" s="291" t="s">
        <v>43</v>
      </c>
      <c r="AK4" s="291" t="s">
        <v>43</v>
      </c>
      <c r="AL4" s="291" t="s">
        <v>43</v>
      </c>
      <c r="AM4" s="291" t="s">
        <v>43</v>
      </c>
      <c r="AN4" s="291" t="s">
        <v>43</v>
      </c>
      <c r="AO4" s="291" t="s">
        <v>43</v>
      </c>
      <c r="AP4" s="291" t="s">
        <v>43</v>
      </c>
      <c r="AQ4" s="291" t="s">
        <v>43</v>
      </c>
      <c r="AR4" s="109"/>
    </row>
    <row r="5" spans="1:51" ht="15" customHeight="1" thickBot="1" x14ac:dyDescent="0.3">
      <c r="A5" s="390" t="s">
        <v>95</v>
      </c>
      <c r="B5" s="104">
        <v>0</v>
      </c>
      <c r="C5" s="47">
        <v>1</v>
      </c>
      <c r="D5" s="245">
        <v>1</v>
      </c>
      <c r="E5" s="392">
        <f t="shared" si="0"/>
        <v>2</v>
      </c>
      <c r="F5" s="262" t="s">
        <v>95</v>
      </c>
      <c r="G5" s="105">
        <v>0</v>
      </c>
      <c r="H5" s="255">
        <v>5</v>
      </c>
      <c r="I5" s="256">
        <v>5</v>
      </c>
      <c r="J5" s="396">
        <f t="shared" si="1"/>
        <v>10</v>
      </c>
      <c r="K5" s="389" t="s">
        <v>263</v>
      </c>
      <c r="L5" s="392">
        <v>3</v>
      </c>
      <c r="M5" s="392">
        <v>5</v>
      </c>
      <c r="N5" s="397">
        <f>SUM(L5/M5)*100</f>
        <v>60</v>
      </c>
      <c r="O5" s="392" t="s">
        <v>43</v>
      </c>
      <c r="P5" s="392" t="s">
        <v>43</v>
      </c>
      <c r="Q5" s="397" t="s">
        <v>43</v>
      </c>
      <c r="R5" s="391">
        <v>-1</v>
      </c>
      <c r="S5" s="391">
        <v>-1</v>
      </c>
      <c r="T5" s="8">
        <v>40</v>
      </c>
      <c r="U5" s="8">
        <v>56</v>
      </c>
      <c r="V5" s="292">
        <f>SUM(T5/U5)*100</f>
        <v>71.428571428571431</v>
      </c>
      <c r="W5" s="7">
        <v>35</v>
      </c>
      <c r="X5" s="293">
        <v>45</v>
      </c>
      <c r="Y5" s="292">
        <f>SUM(W5/X5)*100</f>
        <v>77.777777777777786</v>
      </c>
      <c r="Z5" s="126"/>
      <c r="AA5" s="127"/>
      <c r="AB5" s="341"/>
      <c r="AC5" s="7">
        <v>62</v>
      </c>
      <c r="AD5" s="293">
        <v>72</v>
      </c>
      <c r="AE5" s="292">
        <f>SUM(AC5/AD5)*100</f>
        <v>86.111111111111114</v>
      </c>
      <c r="AF5" s="7">
        <v>39</v>
      </c>
      <c r="AG5" s="293">
        <v>49</v>
      </c>
      <c r="AH5" s="292">
        <f>SUM(AF5/AG5)*100</f>
        <v>79.591836734693871</v>
      </c>
      <c r="AI5" s="293">
        <v>55</v>
      </c>
      <c r="AJ5" s="293">
        <v>80</v>
      </c>
      <c r="AK5" s="292">
        <f>SUM(AI5/AJ5)*100</f>
        <v>68.75</v>
      </c>
      <c r="AL5" s="293">
        <v>40</v>
      </c>
      <c r="AM5" s="293">
        <v>70</v>
      </c>
      <c r="AN5" s="292">
        <f>SUM(AL5/AM5)*100</f>
        <v>57.142857142857139</v>
      </c>
      <c r="AO5" s="293">
        <v>87</v>
      </c>
      <c r="AP5" s="293">
        <v>117</v>
      </c>
      <c r="AQ5" s="293">
        <v>74</v>
      </c>
      <c r="AR5" s="110"/>
      <c r="AW5" s="5"/>
      <c r="AX5" s="5"/>
      <c r="AY5" s="5"/>
    </row>
    <row r="6" spans="1:51" ht="15" customHeight="1" thickBot="1" x14ac:dyDescent="0.3">
      <c r="A6" s="390" t="s">
        <v>298</v>
      </c>
      <c r="B6" s="104">
        <v>0</v>
      </c>
      <c r="C6" s="47">
        <v>1</v>
      </c>
      <c r="D6" s="245">
        <v>0</v>
      </c>
      <c r="E6" s="392">
        <f t="shared" si="0"/>
        <v>1</v>
      </c>
      <c r="F6" s="262" t="s">
        <v>298</v>
      </c>
      <c r="G6" s="105">
        <v>0</v>
      </c>
      <c r="H6" s="255">
        <v>5</v>
      </c>
      <c r="I6" s="256">
        <v>0</v>
      </c>
      <c r="J6" s="396">
        <f t="shared" si="1"/>
        <v>5</v>
      </c>
      <c r="K6" s="389" t="s">
        <v>364</v>
      </c>
      <c r="L6" s="392" t="s">
        <v>43</v>
      </c>
      <c r="M6" s="392" t="s">
        <v>43</v>
      </c>
      <c r="N6" s="397" t="s">
        <v>43</v>
      </c>
      <c r="O6" s="392" t="s">
        <v>43</v>
      </c>
      <c r="P6" s="392" t="s">
        <v>43</v>
      </c>
      <c r="Q6" s="397" t="s">
        <v>43</v>
      </c>
      <c r="R6" s="391">
        <v>-1</v>
      </c>
      <c r="S6" s="391">
        <v>-1</v>
      </c>
      <c r="T6" s="8">
        <v>1</v>
      </c>
      <c r="U6" s="8">
        <v>2</v>
      </c>
      <c r="V6" s="8">
        <v>50</v>
      </c>
      <c r="W6" s="7" t="s">
        <v>43</v>
      </c>
      <c r="X6" s="293" t="s">
        <v>43</v>
      </c>
      <c r="Y6" s="293" t="s">
        <v>43</v>
      </c>
      <c r="Z6" s="126"/>
      <c r="AA6" s="127"/>
      <c r="AB6" s="341"/>
      <c r="AC6" s="7" t="s">
        <v>43</v>
      </c>
      <c r="AD6" s="293" t="s">
        <v>43</v>
      </c>
      <c r="AE6" s="293" t="s">
        <v>43</v>
      </c>
      <c r="AF6" s="7"/>
      <c r="AG6" s="293"/>
      <c r="AH6" s="292"/>
      <c r="AI6" s="293"/>
      <c r="AJ6" s="293"/>
      <c r="AK6" s="292"/>
      <c r="AL6" s="293"/>
      <c r="AM6" s="293"/>
      <c r="AN6" s="292"/>
      <c r="AO6" s="293"/>
      <c r="AP6" s="293"/>
      <c r="AQ6" s="293"/>
      <c r="AR6" s="110"/>
    </row>
    <row r="7" spans="1:51" ht="15" customHeight="1" thickBot="1" x14ac:dyDescent="0.3">
      <c r="A7" s="390" t="s">
        <v>1169</v>
      </c>
      <c r="B7" s="104">
        <v>3</v>
      </c>
      <c r="C7" s="47">
        <v>0</v>
      </c>
      <c r="D7" s="245">
        <v>0</v>
      </c>
      <c r="E7" s="392">
        <f t="shared" si="0"/>
        <v>3</v>
      </c>
      <c r="F7" s="262" t="s">
        <v>1169</v>
      </c>
      <c r="G7" s="105">
        <v>15</v>
      </c>
      <c r="H7" s="255">
        <v>0</v>
      </c>
      <c r="I7" s="256">
        <v>0</v>
      </c>
      <c r="J7" s="396">
        <f t="shared" si="1"/>
        <v>15</v>
      </c>
      <c r="K7" s="389" t="s">
        <v>1173</v>
      </c>
      <c r="L7" s="392">
        <v>1</v>
      </c>
      <c r="M7" s="392">
        <v>1</v>
      </c>
      <c r="N7" s="397">
        <f>SUM(L7/M7)*100</f>
        <v>100</v>
      </c>
      <c r="O7" s="392" t="s">
        <v>43</v>
      </c>
      <c r="P7" s="392" t="s">
        <v>43</v>
      </c>
      <c r="Q7" s="397" t="s">
        <v>43</v>
      </c>
      <c r="R7" s="391">
        <v>1</v>
      </c>
      <c r="S7" s="391">
        <v>1</v>
      </c>
      <c r="T7" s="8">
        <v>14</v>
      </c>
      <c r="U7" s="8">
        <v>20</v>
      </c>
      <c r="V7" s="294">
        <f t="shared" ref="V7" si="2">SUM(T7/U7)*100</f>
        <v>70</v>
      </c>
      <c r="W7" s="283">
        <v>15</v>
      </c>
      <c r="X7" s="8">
        <v>20</v>
      </c>
      <c r="Y7" s="294">
        <f>SUM(W7/X7)*100</f>
        <v>75</v>
      </c>
      <c r="Z7" s="126"/>
      <c r="AA7" s="127"/>
      <c r="AB7" s="341"/>
      <c r="AC7" s="283">
        <v>7</v>
      </c>
      <c r="AD7" s="8">
        <v>8</v>
      </c>
      <c r="AE7" s="294">
        <f>SUM(AC7/AD7)*100</f>
        <v>87.5</v>
      </c>
      <c r="AF7" s="283">
        <v>7</v>
      </c>
      <c r="AG7" s="8">
        <v>9</v>
      </c>
      <c r="AH7" s="294">
        <f>SUM(AF7/AG7)*100</f>
        <v>77.777777777777786</v>
      </c>
      <c r="AI7" s="8">
        <v>3</v>
      </c>
      <c r="AJ7" s="8">
        <v>3</v>
      </c>
      <c r="AK7" s="294">
        <f>SUM(AI7/AJ7)*100</f>
        <v>100</v>
      </c>
      <c r="AL7" s="8">
        <v>3</v>
      </c>
      <c r="AM7" s="8">
        <v>4</v>
      </c>
      <c r="AN7" s="294">
        <f>SUM(AL7/AM7)*100</f>
        <v>75</v>
      </c>
      <c r="AO7" s="293" t="s">
        <v>43</v>
      </c>
      <c r="AP7" s="293" t="s">
        <v>43</v>
      </c>
      <c r="AQ7" s="293" t="s">
        <v>43</v>
      </c>
      <c r="AR7" s="110"/>
    </row>
    <row r="8" spans="1:51" ht="15" customHeight="1" thickBot="1" x14ac:dyDescent="0.3">
      <c r="A8" s="390" t="s">
        <v>207</v>
      </c>
      <c r="B8" s="104">
        <v>0</v>
      </c>
      <c r="C8" s="47">
        <v>0</v>
      </c>
      <c r="D8" s="245">
        <v>1</v>
      </c>
      <c r="E8" s="392">
        <f t="shared" si="0"/>
        <v>1</v>
      </c>
      <c r="F8" s="262" t="s">
        <v>207</v>
      </c>
      <c r="G8" s="105">
        <v>0</v>
      </c>
      <c r="H8" s="255">
        <v>0</v>
      </c>
      <c r="I8" s="256">
        <v>5</v>
      </c>
      <c r="J8" s="396">
        <f t="shared" si="1"/>
        <v>5</v>
      </c>
      <c r="K8" s="390" t="s">
        <v>15</v>
      </c>
      <c r="L8" s="392" t="s">
        <v>43</v>
      </c>
      <c r="M8" s="392" t="s">
        <v>43</v>
      </c>
      <c r="N8" s="397" t="s">
        <v>43</v>
      </c>
      <c r="O8" s="392" t="s">
        <v>43</v>
      </c>
      <c r="P8" s="392" t="s">
        <v>43</v>
      </c>
      <c r="Q8" s="397" t="s">
        <v>43</v>
      </c>
      <c r="R8" s="392">
        <v>1</v>
      </c>
      <c r="S8" s="392">
        <v>1</v>
      </c>
      <c r="T8" s="8" t="s">
        <v>43</v>
      </c>
      <c r="U8" s="8" t="s">
        <v>43</v>
      </c>
      <c r="V8" s="8" t="s">
        <v>43</v>
      </c>
      <c r="W8" s="7">
        <v>1</v>
      </c>
      <c r="X8" s="293">
        <v>1</v>
      </c>
      <c r="Y8" s="292">
        <f>SUM(W8/X8)*100</f>
        <v>100</v>
      </c>
      <c r="Z8" s="126"/>
      <c r="AA8" s="127"/>
      <c r="AB8" s="341"/>
      <c r="AC8" s="283" t="s">
        <v>43</v>
      </c>
      <c r="AD8" s="8" t="s">
        <v>43</v>
      </c>
      <c r="AE8" s="8" t="s">
        <v>43</v>
      </c>
      <c r="AF8" s="283" t="s">
        <v>43</v>
      </c>
      <c r="AG8" s="8" t="s">
        <v>43</v>
      </c>
      <c r="AH8" s="8" t="s">
        <v>43</v>
      </c>
      <c r="AI8" s="8" t="s">
        <v>43</v>
      </c>
      <c r="AJ8" s="8" t="s">
        <v>43</v>
      </c>
      <c r="AK8" s="8" t="s">
        <v>43</v>
      </c>
      <c r="AL8" s="8" t="s">
        <v>43</v>
      </c>
      <c r="AM8" s="8" t="s">
        <v>43</v>
      </c>
      <c r="AN8" s="8" t="s">
        <v>43</v>
      </c>
      <c r="AO8" s="8" t="s">
        <v>43</v>
      </c>
      <c r="AP8" s="8" t="s">
        <v>43</v>
      </c>
      <c r="AQ8" s="8" t="s">
        <v>43</v>
      </c>
    </row>
    <row r="9" spans="1:51" ht="15" customHeight="1" thickBot="1" x14ac:dyDescent="0.3">
      <c r="A9" s="390" t="s">
        <v>112</v>
      </c>
      <c r="B9" s="104">
        <v>0</v>
      </c>
      <c r="C9" s="47">
        <v>0</v>
      </c>
      <c r="D9" s="245">
        <v>1</v>
      </c>
      <c r="E9" s="392">
        <f t="shared" si="0"/>
        <v>1</v>
      </c>
      <c r="F9" s="262" t="s">
        <v>112</v>
      </c>
      <c r="G9" s="105">
        <v>8</v>
      </c>
      <c r="H9" s="255">
        <v>34</v>
      </c>
      <c r="I9" s="256">
        <v>9</v>
      </c>
      <c r="J9" s="396">
        <f t="shared" si="1"/>
        <v>51</v>
      </c>
      <c r="K9" s="390" t="s">
        <v>1181</v>
      </c>
      <c r="L9" s="392">
        <v>6</v>
      </c>
      <c r="M9" s="392">
        <v>9</v>
      </c>
      <c r="N9" s="397">
        <f>SUM(L9/M9)*100</f>
        <v>66.666666666666657</v>
      </c>
      <c r="O9" s="392" t="s">
        <v>43</v>
      </c>
      <c r="P9" s="392" t="s">
        <v>43</v>
      </c>
      <c r="Q9" s="397" t="s">
        <v>43</v>
      </c>
      <c r="R9" s="392">
        <v>3</v>
      </c>
      <c r="S9" s="392">
        <v>3</v>
      </c>
      <c r="T9" s="8" t="s">
        <v>43</v>
      </c>
      <c r="U9" s="8" t="s">
        <v>43</v>
      </c>
      <c r="V9" s="8" t="s">
        <v>43</v>
      </c>
      <c r="W9" s="8" t="s">
        <v>43</v>
      </c>
      <c r="X9" s="8" t="s">
        <v>43</v>
      </c>
      <c r="Y9" s="8" t="s">
        <v>43</v>
      </c>
      <c r="Z9" s="126"/>
      <c r="AA9" s="127"/>
      <c r="AB9" s="341"/>
      <c r="AC9" s="8" t="s">
        <v>43</v>
      </c>
      <c r="AD9" s="8" t="s">
        <v>43</v>
      </c>
      <c r="AE9" s="8" t="s">
        <v>43</v>
      </c>
      <c r="AF9" s="8" t="s">
        <v>43</v>
      </c>
      <c r="AG9" s="8" t="s">
        <v>43</v>
      </c>
      <c r="AH9" s="8" t="s">
        <v>43</v>
      </c>
      <c r="AI9" s="8" t="s">
        <v>43</v>
      </c>
      <c r="AJ9" s="8" t="s">
        <v>43</v>
      </c>
      <c r="AK9" s="8" t="s">
        <v>43</v>
      </c>
      <c r="AL9" s="8" t="s">
        <v>43</v>
      </c>
      <c r="AM9" s="8" t="s">
        <v>43</v>
      </c>
      <c r="AN9" s="8" t="s">
        <v>43</v>
      </c>
      <c r="AO9" s="8" t="s">
        <v>43</v>
      </c>
      <c r="AP9" s="8" t="s">
        <v>43</v>
      </c>
      <c r="AQ9" s="8" t="s">
        <v>43</v>
      </c>
    </row>
    <row r="10" spans="1:51" ht="15" customHeight="1" thickBot="1" x14ac:dyDescent="0.3">
      <c r="A10" s="390" t="s">
        <v>102</v>
      </c>
      <c r="B10" s="104">
        <v>0</v>
      </c>
      <c r="C10" s="47">
        <v>0</v>
      </c>
      <c r="D10" s="245">
        <v>0</v>
      </c>
      <c r="E10" s="392">
        <f t="shared" si="0"/>
        <v>0</v>
      </c>
      <c r="F10" s="262" t="s">
        <v>102</v>
      </c>
      <c r="G10" s="105">
        <v>0</v>
      </c>
      <c r="H10" s="255">
        <v>0</v>
      </c>
      <c r="I10" s="256">
        <v>0</v>
      </c>
      <c r="J10" s="396">
        <f t="shared" si="1"/>
        <v>0</v>
      </c>
      <c r="K10" s="390" t="s">
        <v>296</v>
      </c>
      <c r="L10" s="392" t="s">
        <v>43</v>
      </c>
      <c r="M10" s="392" t="s">
        <v>43</v>
      </c>
      <c r="N10" s="397" t="s">
        <v>43</v>
      </c>
      <c r="O10" s="392" t="s">
        <v>43</v>
      </c>
      <c r="P10" s="392" t="s">
        <v>43</v>
      </c>
      <c r="Q10" s="397" t="s">
        <v>43</v>
      </c>
      <c r="R10" s="392">
        <v>-1</v>
      </c>
      <c r="S10" s="392">
        <v>-1</v>
      </c>
      <c r="T10" s="8">
        <v>0</v>
      </c>
      <c r="U10" s="8">
        <v>1</v>
      </c>
      <c r="V10" s="8">
        <v>0</v>
      </c>
      <c r="W10" s="8" t="s">
        <v>43</v>
      </c>
      <c r="X10" s="8" t="s">
        <v>43</v>
      </c>
      <c r="Y10" s="8" t="s">
        <v>43</v>
      </c>
      <c r="Z10" s="126"/>
      <c r="AA10" s="127"/>
      <c r="AB10" s="341"/>
      <c r="AC10" s="8" t="s">
        <v>43</v>
      </c>
      <c r="AD10" s="8" t="s">
        <v>43</v>
      </c>
      <c r="AE10" s="8" t="s">
        <v>43</v>
      </c>
      <c r="AF10" s="8" t="s">
        <v>43</v>
      </c>
      <c r="AG10" s="8" t="s">
        <v>43</v>
      </c>
      <c r="AH10" s="8" t="s">
        <v>43</v>
      </c>
      <c r="AI10" s="8" t="s">
        <v>43</v>
      </c>
      <c r="AJ10" s="8" t="s">
        <v>43</v>
      </c>
      <c r="AK10" s="8" t="s">
        <v>43</v>
      </c>
      <c r="AL10" s="8" t="s">
        <v>43</v>
      </c>
      <c r="AM10" s="8" t="s">
        <v>43</v>
      </c>
      <c r="AN10" s="8" t="s">
        <v>43</v>
      </c>
      <c r="AO10" s="8" t="s">
        <v>43</v>
      </c>
      <c r="AP10" s="8" t="s">
        <v>43</v>
      </c>
      <c r="AQ10" s="8" t="s">
        <v>43</v>
      </c>
      <c r="AS10" s="5"/>
      <c r="AT10" s="5"/>
      <c r="AU10" s="5"/>
    </row>
    <row r="11" spans="1:51" ht="15" customHeight="1" thickBot="1" x14ac:dyDescent="0.3">
      <c r="A11" s="390" t="s">
        <v>72</v>
      </c>
      <c r="B11" s="104">
        <v>0</v>
      </c>
      <c r="C11" s="47">
        <v>0</v>
      </c>
      <c r="D11" s="245">
        <v>0</v>
      </c>
      <c r="E11" s="392">
        <f t="shared" si="0"/>
        <v>0</v>
      </c>
      <c r="F11" s="262" t="s">
        <v>72</v>
      </c>
      <c r="G11" s="105">
        <v>0</v>
      </c>
      <c r="H11" s="255">
        <v>0</v>
      </c>
      <c r="I11" s="256">
        <v>0</v>
      </c>
      <c r="J11" s="396">
        <f t="shared" si="1"/>
        <v>0</v>
      </c>
      <c r="K11" s="390" t="s">
        <v>139</v>
      </c>
      <c r="L11" s="392">
        <v>80</v>
      </c>
      <c r="M11" s="392">
        <v>102</v>
      </c>
      <c r="N11" s="442">
        <f>SUM(L11/M11)*100</f>
        <v>78.431372549019613</v>
      </c>
      <c r="O11" s="392">
        <v>2</v>
      </c>
      <c r="P11" s="392">
        <v>2</v>
      </c>
      <c r="Q11" s="397">
        <f>SUM(O11/P11)*100</f>
        <v>100</v>
      </c>
      <c r="R11" s="392">
        <v>9</v>
      </c>
      <c r="S11" s="392">
        <v>9</v>
      </c>
      <c r="T11" s="8">
        <v>40</v>
      </c>
      <c r="U11" s="8">
        <v>50</v>
      </c>
      <c r="V11" s="292">
        <f>SUM(T11/U11)*100</f>
        <v>80</v>
      </c>
      <c r="W11" s="283">
        <v>52</v>
      </c>
      <c r="X11" s="8">
        <v>60</v>
      </c>
      <c r="Y11" s="292">
        <f>SUM(W11/X11)*100</f>
        <v>86.666666666666671</v>
      </c>
      <c r="Z11" s="126"/>
      <c r="AA11" s="127"/>
      <c r="AB11" s="341"/>
      <c r="AC11" s="283">
        <v>22</v>
      </c>
      <c r="AD11" s="8">
        <v>29</v>
      </c>
      <c r="AE11" s="294">
        <f>SUM(AC11/AD11)*100</f>
        <v>75.862068965517238</v>
      </c>
      <c r="AF11" s="283">
        <v>19</v>
      </c>
      <c r="AG11" s="8">
        <v>29</v>
      </c>
      <c r="AH11" s="294">
        <f>SUM(AF11/AG11)*100</f>
        <v>65.517241379310349</v>
      </c>
      <c r="AI11" s="8" t="s">
        <v>43</v>
      </c>
      <c r="AJ11" s="8" t="s">
        <v>43</v>
      </c>
      <c r="AK11" s="8" t="s">
        <v>43</v>
      </c>
      <c r="AL11" s="8" t="s">
        <v>43</v>
      </c>
      <c r="AM11" s="8" t="s">
        <v>43</v>
      </c>
      <c r="AN11" s="8" t="s">
        <v>43</v>
      </c>
      <c r="AO11" s="8" t="s">
        <v>43</v>
      </c>
      <c r="AP11" s="8" t="s">
        <v>43</v>
      </c>
      <c r="AQ11" s="8" t="s">
        <v>43</v>
      </c>
    </row>
    <row r="12" spans="1:51" ht="15" customHeight="1" thickBot="1" x14ac:dyDescent="0.3">
      <c r="A12" s="390" t="s">
        <v>108</v>
      </c>
      <c r="B12" s="104">
        <v>3</v>
      </c>
      <c r="C12" s="47">
        <v>0</v>
      </c>
      <c r="D12" s="245">
        <v>1</v>
      </c>
      <c r="E12" s="392">
        <f t="shared" si="0"/>
        <v>4</v>
      </c>
      <c r="F12" s="262" t="s">
        <v>108</v>
      </c>
      <c r="G12" s="105">
        <v>15</v>
      </c>
      <c r="H12" s="255">
        <v>0</v>
      </c>
      <c r="I12" s="256">
        <v>5</v>
      </c>
      <c r="J12" s="396">
        <f t="shared" si="1"/>
        <v>20</v>
      </c>
    </row>
    <row r="13" spans="1:51" ht="15" customHeight="1" thickBot="1" x14ac:dyDescent="0.3">
      <c r="A13" s="390" t="s">
        <v>91</v>
      </c>
      <c r="B13" s="104">
        <v>0</v>
      </c>
      <c r="C13" s="47">
        <v>0</v>
      </c>
      <c r="D13" s="245">
        <v>0</v>
      </c>
      <c r="E13" s="392">
        <f t="shared" si="0"/>
        <v>0</v>
      </c>
      <c r="F13" s="262" t="s">
        <v>91</v>
      </c>
      <c r="G13" s="105">
        <v>0</v>
      </c>
      <c r="H13" s="255">
        <v>0</v>
      </c>
      <c r="I13" s="256">
        <v>0</v>
      </c>
      <c r="J13" s="396">
        <f t="shared" si="1"/>
        <v>0</v>
      </c>
      <c r="K13" s="511" t="s">
        <v>1029</v>
      </c>
      <c r="L13" s="500" t="s">
        <v>42</v>
      </c>
      <c r="M13" s="501"/>
      <c r="N13" s="502"/>
      <c r="O13" s="494" t="s">
        <v>100</v>
      </c>
      <c r="P13" s="495"/>
      <c r="Q13" s="496"/>
      <c r="R13" s="494" t="s">
        <v>915</v>
      </c>
      <c r="S13" s="495"/>
      <c r="T13" s="496"/>
      <c r="U13" s="494" t="s">
        <v>303</v>
      </c>
      <c r="V13" s="495"/>
      <c r="W13" s="496"/>
      <c r="X13" s="344"/>
      <c r="Y13" s="344"/>
      <c r="Z13" s="344"/>
      <c r="AA13" s="113"/>
      <c r="AB13" s="113"/>
      <c r="AC13" s="284"/>
      <c r="AD13" s="284"/>
      <c r="AE13" s="284"/>
      <c r="AF13" s="494" t="s">
        <v>205</v>
      </c>
      <c r="AG13" s="495"/>
      <c r="AH13" s="496"/>
      <c r="AI13" s="494" t="s">
        <v>186</v>
      </c>
      <c r="AJ13" s="495"/>
      <c r="AK13" s="496"/>
      <c r="AL13" s="494" t="s">
        <v>187</v>
      </c>
      <c r="AM13" s="495"/>
      <c r="AN13" s="496"/>
      <c r="AQ13" s="5"/>
      <c r="AR13" s="5"/>
      <c r="AS13" s="5"/>
      <c r="AT13" s="5"/>
    </row>
    <row r="14" spans="1:51" ht="15" customHeight="1" thickBot="1" x14ac:dyDescent="0.3">
      <c r="A14" s="390" t="s">
        <v>249</v>
      </c>
      <c r="B14" s="104">
        <v>0</v>
      </c>
      <c r="C14" s="47">
        <v>0</v>
      </c>
      <c r="D14" s="245">
        <v>0</v>
      </c>
      <c r="E14" s="392">
        <f t="shared" si="0"/>
        <v>0</v>
      </c>
      <c r="F14" s="262" t="s">
        <v>249</v>
      </c>
      <c r="G14" s="105">
        <v>0</v>
      </c>
      <c r="H14" s="255">
        <v>0</v>
      </c>
      <c r="I14" s="256">
        <v>0</v>
      </c>
      <c r="J14" s="396">
        <f t="shared" si="1"/>
        <v>0</v>
      </c>
      <c r="K14" s="512"/>
      <c r="L14" s="503"/>
      <c r="M14" s="504"/>
      <c r="N14" s="505"/>
      <c r="O14" s="497"/>
      <c r="P14" s="498"/>
      <c r="Q14" s="499"/>
      <c r="R14" s="497"/>
      <c r="S14" s="498"/>
      <c r="T14" s="499"/>
      <c r="U14" s="497"/>
      <c r="V14" s="498"/>
      <c r="W14" s="499"/>
      <c r="X14" s="344"/>
      <c r="Y14" s="344"/>
      <c r="Z14" s="344"/>
      <c r="AA14" s="113"/>
      <c r="AB14" s="113"/>
      <c r="AC14" s="284"/>
      <c r="AD14" s="284"/>
      <c r="AE14" s="284"/>
      <c r="AF14" s="497"/>
      <c r="AG14" s="498"/>
      <c r="AH14" s="499"/>
      <c r="AI14" s="497"/>
      <c r="AJ14" s="498"/>
      <c r="AK14" s="499"/>
      <c r="AL14" s="497"/>
      <c r="AM14" s="498"/>
      <c r="AN14" s="499"/>
      <c r="AU14" s="5"/>
    </row>
    <row r="15" spans="1:51" ht="15" customHeight="1" thickBot="1" x14ac:dyDescent="0.3">
      <c r="A15" s="390" t="s">
        <v>31</v>
      </c>
      <c r="B15" s="104">
        <v>0</v>
      </c>
      <c r="C15" s="47">
        <v>0</v>
      </c>
      <c r="D15" s="245">
        <v>1</v>
      </c>
      <c r="E15" s="392">
        <f t="shared" si="0"/>
        <v>1</v>
      </c>
      <c r="F15" s="262" t="s">
        <v>31</v>
      </c>
      <c r="G15" s="105">
        <v>0</v>
      </c>
      <c r="H15" s="255">
        <v>0</v>
      </c>
      <c r="I15" s="256">
        <v>5</v>
      </c>
      <c r="J15" s="396">
        <f t="shared" si="1"/>
        <v>5</v>
      </c>
      <c r="K15" s="35"/>
      <c r="L15" s="4" t="s">
        <v>176</v>
      </c>
      <c r="M15" s="4" t="s">
        <v>36</v>
      </c>
      <c r="N15" s="4" t="s">
        <v>37</v>
      </c>
      <c r="O15" s="106" t="s">
        <v>176</v>
      </c>
      <c r="P15" s="106" t="s">
        <v>36</v>
      </c>
      <c r="Q15" s="106" t="s">
        <v>37</v>
      </c>
      <c r="R15" s="106" t="s">
        <v>176</v>
      </c>
      <c r="S15" s="106" t="s">
        <v>36</v>
      </c>
      <c r="T15" s="106" t="s">
        <v>37</v>
      </c>
      <c r="U15" s="111" t="s">
        <v>176</v>
      </c>
      <c r="V15" s="106" t="s">
        <v>36</v>
      </c>
      <c r="W15" s="106" t="s">
        <v>37</v>
      </c>
      <c r="X15" s="426"/>
      <c r="Y15" s="426"/>
      <c r="Z15" s="426"/>
      <c r="AC15" s="285"/>
      <c r="AD15" s="285"/>
      <c r="AE15" s="285"/>
      <c r="AF15" s="111" t="s">
        <v>176</v>
      </c>
      <c r="AG15" s="106" t="s">
        <v>36</v>
      </c>
      <c r="AH15" s="106" t="s">
        <v>37</v>
      </c>
      <c r="AI15" s="111" t="s">
        <v>176</v>
      </c>
      <c r="AJ15" s="106" t="s">
        <v>36</v>
      </c>
      <c r="AK15" s="106" t="s">
        <v>37</v>
      </c>
      <c r="AL15" s="132" t="s">
        <v>176</v>
      </c>
      <c r="AM15" s="106" t="s">
        <v>36</v>
      </c>
      <c r="AN15" s="106" t="s">
        <v>37</v>
      </c>
      <c r="AV15" s="5"/>
      <c r="AW15" s="5"/>
      <c r="AX15" s="5"/>
    </row>
    <row r="16" spans="1:51" ht="15" customHeight="1" thickBot="1" x14ac:dyDescent="0.3">
      <c r="A16" s="390" t="s">
        <v>363</v>
      </c>
      <c r="B16" s="104">
        <v>0</v>
      </c>
      <c r="C16" s="47">
        <v>0</v>
      </c>
      <c r="D16" s="245">
        <v>0</v>
      </c>
      <c r="E16" s="392">
        <f t="shared" si="0"/>
        <v>0</v>
      </c>
      <c r="F16" s="262" t="s">
        <v>364</v>
      </c>
      <c r="G16" s="105">
        <v>0</v>
      </c>
      <c r="H16" s="255">
        <v>0</v>
      </c>
      <c r="I16" s="256">
        <v>6</v>
      </c>
      <c r="J16" s="396">
        <f t="shared" si="1"/>
        <v>6</v>
      </c>
      <c r="K16" s="443" t="s">
        <v>142</v>
      </c>
      <c r="L16" s="444" t="s">
        <v>43</v>
      </c>
      <c r="M16" s="444" t="s">
        <v>43</v>
      </c>
      <c r="N16" s="444" t="s">
        <v>43</v>
      </c>
      <c r="O16" s="7" t="s">
        <v>43</v>
      </c>
      <c r="P16" s="7" t="s">
        <v>43</v>
      </c>
      <c r="Q16" s="7" t="s">
        <v>43</v>
      </c>
      <c r="R16" s="7" t="s">
        <v>43</v>
      </c>
      <c r="S16" s="7" t="s">
        <v>43</v>
      </c>
      <c r="T16" s="7" t="s">
        <v>43</v>
      </c>
      <c r="U16" s="7" t="s">
        <v>43</v>
      </c>
      <c r="V16" s="7" t="s">
        <v>43</v>
      </c>
      <c r="W16" s="7" t="s">
        <v>43</v>
      </c>
      <c r="X16" s="426"/>
      <c r="Y16" s="426"/>
      <c r="Z16" s="426"/>
      <c r="AA16" s="181"/>
      <c r="AB16" s="181"/>
      <c r="AC16" s="181"/>
      <c r="AD16" s="181"/>
      <c r="AE16" s="181"/>
      <c r="AF16" s="7" t="s">
        <v>43</v>
      </c>
      <c r="AG16" s="7" t="s">
        <v>43</v>
      </c>
      <c r="AH16" s="7" t="s">
        <v>43</v>
      </c>
      <c r="AI16" s="346" t="s">
        <v>43</v>
      </c>
      <c r="AJ16" s="7" t="s">
        <v>43</v>
      </c>
      <c r="AK16" s="293" t="s">
        <v>43</v>
      </c>
      <c r="AL16" s="7" t="s">
        <v>43</v>
      </c>
      <c r="AM16" s="293" t="s">
        <v>43</v>
      </c>
      <c r="AN16" s="293" t="s">
        <v>43</v>
      </c>
    </row>
    <row r="17" spans="1:50" ht="15.75" thickBot="1" x14ac:dyDescent="0.3">
      <c r="A17" s="390" t="s">
        <v>270</v>
      </c>
      <c r="B17" s="104">
        <v>0</v>
      </c>
      <c r="C17" s="47">
        <v>0</v>
      </c>
      <c r="D17" s="245">
        <v>3</v>
      </c>
      <c r="E17" s="392">
        <f t="shared" si="0"/>
        <v>3</v>
      </c>
      <c r="F17" s="262" t="s">
        <v>270</v>
      </c>
      <c r="G17" s="105">
        <v>0</v>
      </c>
      <c r="H17" s="255">
        <v>0</v>
      </c>
      <c r="I17" s="256">
        <v>15</v>
      </c>
      <c r="J17" s="396">
        <f t="shared" si="1"/>
        <v>15</v>
      </c>
      <c r="K17" s="389" t="s">
        <v>1173</v>
      </c>
      <c r="L17" s="444" t="s">
        <v>43</v>
      </c>
      <c r="M17" s="444" t="s">
        <v>43</v>
      </c>
      <c r="N17" s="441" t="s">
        <v>43</v>
      </c>
      <c r="O17" s="7">
        <v>4</v>
      </c>
      <c r="P17" s="7">
        <v>4</v>
      </c>
      <c r="Q17" s="291">
        <f>SUM(O17/P17)*100</f>
        <v>100</v>
      </c>
      <c r="R17" s="7" t="s">
        <v>43</v>
      </c>
      <c r="S17" s="7" t="s">
        <v>43</v>
      </c>
      <c r="T17" s="7" t="s">
        <v>43</v>
      </c>
      <c r="U17" s="428">
        <v>7</v>
      </c>
      <c r="V17" s="7">
        <v>9</v>
      </c>
      <c r="W17" s="303">
        <f>SUM(U17/V17)*100</f>
        <v>77.777777777777786</v>
      </c>
      <c r="X17" s="426"/>
      <c r="Y17" s="426"/>
      <c r="Z17" s="426"/>
      <c r="AC17" s="285"/>
      <c r="AD17" s="285"/>
      <c r="AE17" s="285"/>
      <c r="AF17" s="7" t="s">
        <v>43</v>
      </c>
      <c r="AG17" s="7" t="s">
        <v>43</v>
      </c>
      <c r="AH17" s="7" t="s">
        <v>43</v>
      </c>
      <c r="AI17" s="7" t="s">
        <v>43</v>
      </c>
      <c r="AJ17" s="8" t="s">
        <v>43</v>
      </c>
      <c r="AK17" s="8" t="s">
        <v>43</v>
      </c>
      <c r="AL17" s="283" t="s">
        <v>43</v>
      </c>
      <c r="AM17" s="8" t="s">
        <v>43</v>
      </c>
      <c r="AN17" s="8" t="s">
        <v>43</v>
      </c>
    </row>
    <row r="18" spans="1:50" ht="15.75" thickBot="1" x14ac:dyDescent="0.3">
      <c r="A18" s="390" t="s">
        <v>1170</v>
      </c>
      <c r="B18" s="104">
        <v>3</v>
      </c>
      <c r="C18" s="47">
        <v>0</v>
      </c>
      <c r="D18" s="245">
        <v>0</v>
      </c>
      <c r="E18" s="392">
        <f t="shared" si="0"/>
        <v>3</v>
      </c>
      <c r="F18" s="262" t="s">
        <v>1170</v>
      </c>
      <c r="G18" s="105">
        <v>15</v>
      </c>
      <c r="H18" s="255">
        <v>0</v>
      </c>
      <c r="I18" s="256">
        <v>0</v>
      </c>
      <c r="J18" s="396">
        <f t="shared" si="1"/>
        <v>15</v>
      </c>
      <c r="K18" s="389" t="s">
        <v>364</v>
      </c>
      <c r="L18" s="444" t="s">
        <v>43</v>
      </c>
      <c r="M18" s="444" t="s">
        <v>43</v>
      </c>
      <c r="N18" s="444" t="s">
        <v>43</v>
      </c>
      <c r="O18" s="7">
        <v>0</v>
      </c>
      <c r="P18" s="7">
        <v>1</v>
      </c>
      <c r="Q18" s="303">
        <f>SUM(O18/P18)*100</f>
        <v>0</v>
      </c>
      <c r="R18" s="7" t="s">
        <v>43</v>
      </c>
      <c r="S18" s="7" t="s">
        <v>43</v>
      </c>
      <c r="T18" s="7" t="s">
        <v>43</v>
      </c>
      <c r="U18" s="7" t="s">
        <v>43</v>
      </c>
      <c r="V18" s="7" t="s">
        <v>43</v>
      </c>
      <c r="W18" s="7" t="s">
        <v>43</v>
      </c>
      <c r="X18" s="426"/>
      <c r="Y18" s="426"/>
      <c r="Z18" s="426"/>
      <c r="AB18" s="427" t="s">
        <v>72</v>
      </c>
      <c r="AC18" s="285"/>
      <c r="AD18" s="285"/>
      <c r="AE18" s="285"/>
      <c r="AF18" s="7" t="s">
        <v>43</v>
      </c>
      <c r="AG18" s="302" t="s">
        <v>43</v>
      </c>
      <c r="AH18" s="7" t="s">
        <v>43</v>
      </c>
      <c r="AI18" s="7" t="s">
        <v>43</v>
      </c>
      <c r="AJ18" s="293" t="s">
        <v>43</v>
      </c>
      <c r="AK18" s="293" t="s">
        <v>43</v>
      </c>
      <c r="AL18" s="7" t="s">
        <v>43</v>
      </c>
      <c r="AM18" s="293" t="s">
        <v>43</v>
      </c>
      <c r="AN18" s="293" t="s">
        <v>43</v>
      </c>
    </row>
    <row r="19" spans="1:50" ht="15.75" thickBot="1" x14ac:dyDescent="0.3">
      <c r="A19" s="390" t="s">
        <v>291</v>
      </c>
      <c r="B19" s="104">
        <v>0</v>
      </c>
      <c r="C19" s="47">
        <v>0</v>
      </c>
      <c r="D19" s="245">
        <v>0</v>
      </c>
      <c r="E19" s="392">
        <f t="shared" si="0"/>
        <v>0</v>
      </c>
      <c r="F19" s="262" t="s">
        <v>291</v>
      </c>
      <c r="G19" s="105">
        <v>0</v>
      </c>
      <c r="H19" s="255">
        <v>0</v>
      </c>
      <c r="I19" s="256">
        <v>0</v>
      </c>
      <c r="J19" s="396">
        <f t="shared" si="1"/>
        <v>0</v>
      </c>
      <c r="K19" s="389" t="s">
        <v>139</v>
      </c>
      <c r="L19" s="392">
        <v>3</v>
      </c>
      <c r="M19" s="392">
        <v>4</v>
      </c>
      <c r="N19" s="442">
        <f>SUM(L19/M19)*100</f>
        <v>75</v>
      </c>
      <c r="O19" s="8">
        <v>6</v>
      </c>
      <c r="P19" s="8">
        <v>7</v>
      </c>
      <c r="Q19" s="292">
        <f>SUM(O19/P19)*100</f>
        <v>85.714285714285708</v>
      </c>
      <c r="R19" s="8">
        <v>14</v>
      </c>
      <c r="S19" s="8">
        <v>19</v>
      </c>
      <c r="T19" s="292">
        <f>SUM(R19/S19)*100</f>
        <v>73.68421052631578</v>
      </c>
      <c r="U19" s="7">
        <v>17</v>
      </c>
      <c r="V19" s="7">
        <v>19</v>
      </c>
      <c r="W19" s="303">
        <f>SUM(U19/V19)*100</f>
        <v>89.473684210526315</v>
      </c>
      <c r="X19" s="426"/>
      <c r="Y19" s="426"/>
      <c r="Z19" s="426"/>
      <c r="AC19" s="285"/>
      <c r="AD19" s="285"/>
      <c r="AE19" s="285"/>
      <c r="AF19" s="7">
        <v>1</v>
      </c>
      <c r="AG19" s="7">
        <v>1</v>
      </c>
      <c r="AH19" s="304">
        <f>SUM(AF19/AG19)*100</f>
        <v>100</v>
      </c>
      <c r="AI19" s="7" t="s">
        <v>43</v>
      </c>
      <c r="AJ19" s="293" t="s">
        <v>43</v>
      </c>
      <c r="AK19" s="293" t="s">
        <v>43</v>
      </c>
      <c r="AL19" s="7" t="s">
        <v>43</v>
      </c>
      <c r="AM19" s="293" t="s">
        <v>43</v>
      </c>
      <c r="AN19" s="293" t="s">
        <v>43</v>
      </c>
    </row>
    <row r="20" spans="1:50" ht="15.75" thickBot="1" x14ac:dyDescent="0.3">
      <c r="A20" s="390" t="s">
        <v>103</v>
      </c>
      <c r="B20" s="104">
        <v>6</v>
      </c>
      <c r="C20" s="47">
        <v>1</v>
      </c>
      <c r="D20" s="245">
        <v>0</v>
      </c>
      <c r="E20" s="392">
        <f t="shared" si="0"/>
        <v>7</v>
      </c>
      <c r="F20" s="262" t="s">
        <v>103</v>
      </c>
      <c r="G20" s="105">
        <v>30</v>
      </c>
      <c r="H20" s="255">
        <v>5</v>
      </c>
      <c r="I20" s="256">
        <v>0</v>
      </c>
      <c r="J20" s="396">
        <f t="shared" si="1"/>
        <v>35</v>
      </c>
      <c r="K20" s="389" t="s">
        <v>263</v>
      </c>
      <c r="L20" s="444">
        <v>14</v>
      </c>
      <c r="M20" s="444">
        <v>18</v>
      </c>
      <c r="N20" s="444">
        <v>78</v>
      </c>
      <c r="O20" s="8">
        <v>9</v>
      </c>
      <c r="P20" s="8">
        <v>12</v>
      </c>
      <c r="Q20" s="303">
        <f>SUM(O20/P20)*100</f>
        <v>75</v>
      </c>
      <c r="R20" s="8">
        <v>8</v>
      </c>
      <c r="S20" s="8">
        <v>8</v>
      </c>
      <c r="T20" s="292">
        <f>SUM(R20/S20)*100</f>
        <v>100</v>
      </c>
      <c r="U20" s="283">
        <v>5</v>
      </c>
      <c r="V20" s="8">
        <v>8</v>
      </c>
      <c r="W20" s="294">
        <f>SUM(U20/V20)*100</f>
        <v>62.5</v>
      </c>
      <c r="X20" s="426"/>
      <c r="Y20" s="426"/>
      <c r="Z20" s="426"/>
      <c r="AC20" s="285"/>
      <c r="AD20" s="285"/>
      <c r="AE20" s="285"/>
      <c r="AF20" s="283">
        <v>15</v>
      </c>
      <c r="AG20" s="8">
        <v>19</v>
      </c>
      <c r="AH20" s="303">
        <f>SUM(AF20/AG20)*100</f>
        <v>78.94736842105263</v>
      </c>
      <c r="AI20" s="283">
        <v>6</v>
      </c>
      <c r="AJ20" s="8">
        <v>9</v>
      </c>
      <c r="AK20" s="294">
        <f>SUM(AI20/AJ20)*100</f>
        <v>66.666666666666657</v>
      </c>
      <c r="AL20" s="283">
        <v>10</v>
      </c>
      <c r="AM20" s="8">
        <v>15</v>
      </c>
      <c r="AN20" s="8">
        <v>67</v>
      </c>
      <c r="AU20" s="5"/>
    </row>
    <row r="21" spans="1:50" ht="15" customHeight="1" thickBot="1" x14ac:dyDescent="0.3">
      <c r="A21" s="390" t="s">
        <v>97</v>
      </c>
      <c r="B21" s="104">
        <v>1</v>
      </c>
      <c r="C21" s="47">
        <v>0</v>
      </c>
      <c r="D21" s="245">
        <v>0</v>
      </c>
      <c r="E21" s="392">
        <f t="shared" si="0"/>
        <v>1</v>
      </c>
      <c r="F21" s="262" t="s">
        <v>97</v>
      </c>
      <c r="G21" s="105">
        <v>5</v>
      </c>
      <c r="H21" s="255">
        <v>0</v>
      </c>
      <c r="I21" s="256">
        <v>0</v>
      </c>
      <c r="J21" s="396">
        <f t="shared" si="1"/>
        <v>5</v>
      </c>
      <c r="X21" s="426"/>
      <c r="Y21" s="426"/>
      <c r="Z21" s="426"/>
      <c r="AF21" s="425"/>
      <c r="AG21" s="425"/>
      <c r="AH21" s="425"/>
      <c r="AI21" s="41"/>
      <c r="AJ21" s="41"/>
      <c r="AK21" s="41"/>
      <c r="AO21" s="5"/>
      <c r="AV21" s="5"/>
      <c r="AW21" s="5"/>
      <c r="AX21" s="5"/>
    </row>
    <row r="22" spans="1:50" ht="15" customHeight="1" thickBot="1" x14ac:dyDescent="0.3">
      <c r="A22" s="390" t="s">
        <v>138</v>
      </c>
      <c r="B22" s="104">
        <v>0</v>
      </c>
      <c r="C22" s="47">
        <v>0</v>
      </c>
      <c r="D22" s="245">
        <v>0</v>
      </c>
      <c r="E22" s="392">
        <f t="shared" si="0"/>
        <v>0</v>
      </c>
      <c r="F22" s="262" t="s">
        <v>138</v>
      </c>
      <c r="G22" s="105">
        <v>0</v>
      </c>
      <c r="H22" s="255">
        <v>0</v>
      </c>
      <c r="I22" s="256">
        <v>0</v>
      </c>
      <c r="J22" s="396">
        <f t="shared" si="1"/>
        <v>0</v>
      </c>
      <c r="K22" s="509" t="s">
        <v>304</v>
      </c>
      <c r="L22" s="500" t="s">
        <v>42</v>
      </c>
      <c r="M22" s="501"/>
      <c r="N22" s="502"/>
      <c r="O22" s="494" t="s">
        <v>100</v>
      </c>
      <c r="P22" s="495"/>
      <c r="Q22" s="496"/>
      <c r="R22" s="494" t="s">
        <v>915</v>
      </c>
      <c r="S22" s="495"/>
      <c r="T22" s="496"/>
      <c r="U22" s="494" t="s">
        <v>303</v>
      </c>
      <c r="V22" s="495"/>
      <c r="W22" s="496"/>
      <c r="X22" s="426"/>
      <c r="Y22" s="426"/>
      <c r="Z22" s="426"/>
      <c r="AC22" s="285"/>
      <c r="AD22" s="285"/>
      <c r="AE22" s="285"/>
      <c r="AF22" s="494" t="s">
        <v>186</v>
      </c>
      <c r="AG22" s="495"/>
      <c r="AH22" s="496"/>
      <c r="AI22" s="494" t="s">
        <v>140</v>
      </c>
      <c r="AJ22" s="495"/>
      <c r="AK22" s="496"/>
      <c r="AL22" s="41"/>
      <c r="AM22" s="41"/>
      <c r="AN22" s="41"/>
    </row>
    <row r="23" spans="1:50" ht="15" customHeight="1" thickBot="1" x14ac:dyDescent="0.3">
      <c r="A23" s="390" t="s">
        <v>229</v>
      </c>
      <c r="B23" s="104">
        <v>0</v>
      </c>
      <c r="C23" s="47">
        <v>0</v>
      </c>
      <c r="D23" s="245">
        <v>0</v>
      </c>
      <c r="E23" s="392">
        <f t="shared" si="0"/>
        <v>0</v>
      </c>
      <c r="F23" s="254" t="s">
        <v>229</v>
      </c>
      <c r="G23" s="105">
        <v>0</v>
      </c>
      <c r="H23" s="255">
        <v>0</v>
      </c>
      <c r="I23" s="256">
        <v>0</v>
      </c>
      <c r="J23" s="396">
        <f t="shared" si="1"/>
        <v>0</v>
      </c>
      <c r="K23" s="510"/>
      <c r="L23" s="503"/>
      <c r="M23" s="504"/>
      <c r="N23" s="505"/>
      <c r="O23" s="497"/>
      <c r="P23" s="498"/>
      <c r="Q23" s="499"/>
      <c r="R23" s="497"/>
      <c r="S23" s="498"/>
      <c r="T23" s="499"/>
      <c r="U23" s="497"/>
      <c r="V23" s="498"/>
      <c r="W23" s="499"/>
      <c r="X23" s="426"/>
      <c r="Y23" s="426"/>
      <c r="Z23" s="426"/>
      <c r="AC23" s="285"/>
      <c r="AD23" s="285"/>
      <c r="AE23" s="285"/>
      <c r="AF23" s="497"/>
      <c r="AG23" s="498"/>
      <c r="AH23" s="499"/>
      <c r="AI23" s="497"/>
      <c r="AJ23" s="498"/>
      <c r="AK23" s="499"/>
      <c r="AL23" s="41"/>
      <c r="AM23" s="41"/>
      <c r="AN23" s="41"/>
    </row>
    <row r="24" spans="1:50" ht="15" customHeight="1" thickBot="1" x14ac:dyDescent="0.3">
      <c r="A24" s="390" t="s">
        <v>72</v>
      </c>
      <c r="B24" s="104">
        <v>0</v>
      </c>
      <c r="C24" s="47">
        <v>0</v>
      </c>
      <c r="D24" s="245">
        <v>0</v>
      </c>
      <c r="E24" s="392">
        <f t="shared" si="0"/>
        <v>0</v>
      </c>
      <c r="F24" s="254" t="s">
        <v>72</v>
      </c>
      <c r="G24" s="105">
        <v>0</v>
      </c>
      <c r="H24" s="255">
        <v>0</v>
      </c>
      <c r="I24" s="256">
        <v>0</v>
      </c>
      <c r="J24" s="396">
        <f t="shared" si="1"/>
        <v>0</v>
      </c>
      <c r="K24" s="35" t="s">
        <v>72</v>
      </c>
      <c r="L24" s="4" t="s">
        <v>176</v>
      </c>
      <c r="M24" s="4" t="s">
        <v>36</v>
      </c>
      <c r="N24" s="4" t="s">
        <v>37</v>
      </c>
      <c r="O24" s="106" t="s">
        <v>176</v>
      </c>
      <c r="P24" s="106" t="s">
        <v>36</v>
      </c>
      <c r="Q24" s="106" t="s">
        <v>37</v>
      </c>
      <c r="R24" s="106" t="s">
        <v>176</v>
      </c>
      <c r="S24" s="106" t="s">
        <v>36</v>
      </c>
      <c r="T24" s="106" t="s">
        <v>37</v>
      </c>
      <c r="U24" s="111" t="s">
        <v>176</v>
      </c>
      <c r="V24" s="106" t="s">
        <v>36</v>
      </c>
      <c r="W24" s="106" t="s">
        <v>37</v>
      </c>
      <c r="X24" s="426"/>
      <c r="Y24" s="426"/>
      <c r="Z24" s="426"/>
      <c r="AC24" s="285"/>
      <c r="AD24" s="285"/>
      <c r="AE24" s="285"/>
      <c r="AF24" s="111" t="s">
        <v>176</v>
      </c>
      <c r="AG24" s="106" t="s">
        <v>36</v>
      </c>
      <c r="AH24" s="106" t="s">
        <v>37</v>
      </c>
      <c r="AI24" s="111" t="s">
        <v>176</v>
      </c>
      <c r="AJ24" s="106" t="s">
        <v>36</v>
      </c>
      <c r="AK24" s="106" t="s">
        <v>37</v>
      </c>
      <c r="AL24" s="41"/>
      <c r="AM24" s="41"/>
      <c r="AN24" s="41"/>
      <c r="AV24" s="5"/>
      <c r="AW24" s="5"/>
      <c r="AX24" s="5"/>
    </row>
    <row r="25" spans="1:50" ht="15.75" thickBot="1" x14ac:dyDescent="0.3">
      <c r="A25" s="390" t="s">
        <v>68</v>
      </c>
      <c r="B25" s="104">
        <v>0</v>
      </c>
      <c r="C25" s="47">
        <v>0</v>
      </c>
      <c r="D25" s="245">
        <v>0</v>
      </c>
      <c r="E25" s="392">
        <f t="shared" si="0"/>
        <v>0</v>
      </c>
      <c r="F25" s="262" t="s">
        <v>68</v>
      </c>
      <c r="G25" s="105">
        <v>0</v>
      </c>
      <c r="H25" s="255">
        <v>0</v>
      </c>
      <c r="I25" s="256">
        <v>0</v>
      </c>
      <c r="J25" s="396">
        <f t="shared" si="1"/>
        <v>0</v>
      </c>
      <c r="K25" s="440" t="s">
        <v>142</v>
      </c>
      <c r="L25" s="444"/>
      <c r="M25" s="444"/>
      <c r="N25" s="444"/>
      <c r="O25" s="7">
        <v>0</v>
      </c>
      <c r="P25" s="7">
        <v>1</v>
      </c>
      <c r="Q25" s="292">
        <f>SUM(O25/P25)*100</f>
        <v>0</v>
      </c>
      <c r="R25" s="297" t="s">
        <v>43</v>
      </c>
      <c r="S25" s="296" t="s">
        <v>43</v>
      </c>
      <c r="T25" s="296" t="s">
        <v>43</v>
      </c>
      <c r="U25" s="297" t="s">
        <v>43</v>
      </c>
      <c r="V25" s="296" t="s">
        <v>43</v>
      </c>
      <c r="W25" s="296" t="s">
        <v>43</v>
      </c>
      <c r="X25" s="426"/>
      <c r="Y25" s="426"/>
      <c r="Z25" s="426"/>
      <c r="AC25" s="285"/>
      <c r="AD25" s="285"/>
      <c r="AE25" s="285"/>
      <c r="AF25" s="297" t="s">
        <v>43</v>
      </c>
      <c r="AG25" s="296" t="s">
        <v>43</v>
      </c>
      <c r="AH25" s="296" t="s">
        <v>43</v>
      </c>
      <c r="AI25" s="295" t="s">
        <v>43</v>
      </c>
      <c r="AJ25" s="296" t="s">
        <v>43</v>
      </c>
      <c r="AK25" s="296" t="s">
        <v>43</v>
      </c>
      <c r="AL25" s="41"/>
      <c r="AM25" s="41"/>
      <c r="AN25" s="41"/>
    </row>
    <row r="26" spans="1:50" ht="15.75" thickBot="1" x14ac:dyDescent="0.3">
      <c r="A26" s="390" t="s">
        <v>72</v>
      </c>
      <c r="B26" s="104">
        <v>0</v>
      </c>
      <c r="C26" s="47">
        <v>0</v>
      </c>
      <c r="D26" s="245">
        <v>0</v>
      </c>
      <c r="E26" s="392">
        <f t="shared" si="0"/>
        <v>0</v>
      </c>
      <c r="F26" s="262" t="s">
        <v>72</v>
      </c>
      <c r="G26" s="105">
        <v>0</v>
      </c>
      <c r="H26" s="255">
        <v>0</v>
      </c>
      <c r="I26" s="256">
        <v>0</v>
      </c>
      <c r="J26" s="396">
        <f t="shared" si="1"/>
        <v>0</v>
      </c>
      <c r="K26" s="389" t="s">
        <v>263</v>
      </c>
      <c r="L26" s="444">
        <v>2</v>
      </c>
      <c r="M26" s="444">
        <v>4</v>
      </c>
      <c r="N26" s="444">
        <f>SUM(L26/M26)*100</f>
        <v>50</v>
      </c>
      <c r="O26" s="8">
        <v>2</v>
      </c>
      <c r="P26" s="8">
        <v>2</v>
      </c>
      <c r="Q26" s="292">
        <f>SUM(O26/P26)*100</f>
        <v>100</v>
      </c>
      <c r="R26" s="293">
        <v>17</v>
      </c>
      <c r="S26" s="293">
        <v>18</v>
      </c>
      <c r="T26" s="292">
        <f>SUM(R26/S26)*100</f>
        <v>94.444444444444443</v>
      </c>
      <c r="U26" s="299" t="s">
        <v>43</v>
      </c>
      <c r="V26" s="300" t="s">
        <v>43</v>
      </c>
      <c r="W26" s="300" t="s">
        <v>43</v>
      </c>
      <c r="X26" s="426"/>
      <c r="Y26" s="426"/>
      <c r="Z26" s="426"/>
      <c r="AC26" s="285"/>
      <c r="AD26" s="285"/>
      <c r="AE26" s="285"/>
      <c r="AF26" s="299" t="s">
        <v>43</v>
      </c>
      <c r="AG26" s="300" t="s">
        <v>43</v>
      </c>
      <c r="AH26" s="300" t="s">
        <v>43</v>
      </c>
      <c r="AI26" s="299" t="s">
        <v>43</v>
      </c>
      <c r="AJ26" s="300" t="s">
        <v>43</v>
      </c>
      <c r="AK26" s="300" t="s">
        <v>43</v>
      </c>
      <c r="AL26" s="301"/>
      <c r="AM26" s="301"/>
      <c r="AN26" s="301"/>
      <c r="AO26" s="181"/>
      <c r="AP26" s="181"/>
      <c r="AQ26" s="181"/>
    </row>
    <row r="27" spans="1:50" ht="15.75" thickBot="1" x14ac:dyDescent="0.3">
      <c r="A27" s="390" t="s">
        <v>1055</v>
      </c>
      <c r="B27" s="104">
        <v>0</v>
      </c>
      <c r="C27" s="47">
        <v>2</v>
      </c>
      <c r="D27" s="245">
        <v>0</v>
      </c>
      <c r="E27" s="392">
        <f t="shared" si="0"/>
        <v>2</v>
      </c>
      <c r="F27" s="262" t="s">
        <v>1055</v>
      </c>
      <c r="G27" s="105">
        <v>0</v>
      </c>
      <c r="H27" s="255">
        <v>10</v>
      </c>
      <c r="I27" s="256">
        <v>0</v>
      </c>
      <c r="J27" s="396">
        <f t="shared" si="1"/>
        <v>10</v>
      </c>
      <c r="K27" s="390" t="s">
        <v>364</v>
      </c>
      <c r="L27" s="444">
        <v>3</v>
      </c>
      <c r="M27" s="444">
        <v>4</v>
      </c>
      <c r="N27" s="444">
        <f>SUM(L27/M27)*100</f>
        <v>75</v>
      </c>
      <c r="O27" s="7">
        <v>4</v>
      </c>
      <c r="P27" s="293">
        <v>7</v>
      </c>
      <c r="Q27" s="303">
        <f>SUM(O27/P27)*100</f>
        <v>57.142857142857139</v>
      </c>
      <c r="R27" s="7" t="s">
        <v>43</v>
      </c>
      <c r="S27" s="293" t="s">
        <v>43</v>
      </c>
      <c r="T27" s="293" t="s">
        <v>43</v>
      </c>
      <c r="U27" s="7" t="s">
        <v>43</v>
      </c>
      <c r="V27" s="293" t="s">
        <v>43</v>
      </c>
      <c r="W27" s="293" t="s">
        <v>43</v>
      </c>
      <c r="X27" s="426"/>
      <c r="Y27" s="426"/>
      <c r="Z27" s="426"/>
      <c r="AC27" s="285"/>
      <c r="AD27" s="285"/>
      <c r="AE27" s="285"/>
      <c r="AF27" s="7" t="s">
        <v>43</v>
      </c>
      <c r="AG27" s="293" t="s">
        <v>43</v>
      </c>
      <c r="AH27" s="293" t="s">
        <v>43</v>
      </c>
      <c r="AI27" s="7" t="s">
        <v>43</v>
      </c>
      <c r="AJ27" s="7" t="s">
        <v>43</v>
      </c>
      <c r="AK27" s="293" t="s">
        <v>43</v>
      </c>
      <c r="AL27" s="301"/>
      <c r="AM27" s="301"/>
      <c r="AN27" s="301"/>
      <c r="AO27" s="181"/>
      <c r="AP27" s="181"/>
      <c r="AQ27" s="181"/>
    </row>
    <row r="28" spans="1:50" ht="15.75" thickBot="1" x14ac:dyDescent="0.3">
      <c r="A28" s="390" t="s">
        <v>827</v>
      </c>
      <c r="B28" s="104">
        <v>3</v>
      </c>
      <c r="C28" s="47">
        <v>0</v>
      </c>
      <c r="D28" s="245">
        <v>0</v>
      </c>
      <c r="E28" s="392">
        <f t="shared" si="0"/>
        <v>3</v>
      </c>
      <c r="F28" s="262" t="s">
        <v>827</v>
      </c>
      <c r="G28" s="105">
        <v>15</v>
      </c>
      <c r="H28" s="255">
        <v>0</v>
      </c>
      <c r="I28" s="256">
        <v>0</v>
      </c>
      <c r="J28" s="396">
        <f t="shared" si="1"/>
        <v>15</v>
      </c>
      <c r="K28" s="389" t="s">
        <v>1173</v>
      </c>
      <c r="L28" s="392"/>
      <c r="M28" s="392"/>
      <c r="N28" s="392"/>
      <c r="O28" s="7" t="s">
        <v>43</v>
      </c>
      <c r="P28" s="293" t="s">
        <v>43</v>
      </c>
      <c r="Q28" s="293" t="s">
        <v>43</v>
      </c>
      <c r="R28" s="7" t="s">
        <v>43</v>
      </c>
      <c r="S28" s="293" t="s">
        <v>43</v>
      </c>
      <c r="T28" s="293" t="s">
        <v>43</v>
      </c>
      <c r="U28" s="283">
        <v>3</v>
      </c>
      <c r="V28" s="8">
        <v>4</v>
      </c>
      <c r="W28" s="294">
        <f>SUM(U28/V28)*100</f>
        <v>75</v>
      </c>
      <c r="X28" s="426"/>
      <c r="Y28" s="426"/>
      <c r="Z28" s="426"/>
      <c r="AA28" s="425"/>
      <c r="AB28" s="425"/>
      <c r="AC28" s="425"/>
      <c r="AD28" s="425"/>
      <c r="AE28" s="425"/>
      <c r="AF28" s="283">
        <v>27</v>
      </c>
      <c r="AG28" s="8">
        <v>36</v>
      </c>
      <c r="AH28" s="294">
        <f>SUM(AF28/AG28)*100</f>
        <v>75</v>
      </c>
      <c r="AI28" s="7" t="s">
        <v>43</v>
      </c>
      <c r="AJ28" s="293" t="s">
        <v>43</v>
      </c>
      <c r="AK28" s="293" t="s">
        <v>43</v>
      </c>
      <c r="AL28" s="301"/>
      <c r="AM28" s="301"/>
      <c r="AN28" s="301"/>
      <c r="AO28" s="181"/>
      <c r="AP28" s="181"/>
      <c r="AQ28" s="181"/>
    </row>
    <row r="29" spans="1:50" ht="15.75" thickBot="1" x14ac:dyDescent="0.3">
      <c r="A29" s="390" t="s">
        <v>15</v>
      </c>
      <c r="B29" s="104">
        <v>3</v>
      </c>
      <c r="C29" s="47">
        <v>1</v>
      </c>
      <c r="D29" s="245">
        <v>0</v>
      </c>
      <c r="E29" s="392">
        <f t="shared" si="0"/>
        <v>4</v>
      </c>
      <c r="F29" s="262" t="s">
        <v>15</v>
      </c>
      <c r="G29" s="105">
        <v>15</v>
      </c>
      <c r="H29" s="255">
        <v>5</v>
      </c>
      <c r="I29" s="256">
        <v>0</v>
      </c>
      <c r="J29" s="396">
        <f t="shared" si="1"/>
        <v>20</v>
      </c>
      <c r="K29" s="445" t="s">
        <v>296</v>
      </c>
      <c r="L29" s="392" t="s">
        <v>43</v>
      </c>
      <c r="M29" s="392" t="s">
        <v>43</v>
      </c>
      <c r="N29" s="397" t="s">
        <v>43</v>
      </c>
      <c r="O29" s="8" t="s">
        <v>43</v>
      </c>
      <c r="P29" s="8" t="s">
        <v>43</v>
      </c>
      <c r="Q29" s="8" t="s">
        <v>43</v>
      </c>
      <c r="R29" s="7">
        <v>1</v>
      </c>
      <c r="S29" s="293">
        <v>1</v>
      </c>
      <c r="T29" s="293">
        <v>100</v>
      </c>
      <c r="U29" s="283" t="s">
        <v>43</v>
      </c>
      <c r="V29" s="8" t="s">
        <v>43</v>
      </c>
      <c r="W29" s="8" t="s">
        <v>43</v>
      </c>
      <c r="X29" s="426"/>
      <c r="Y29" s="426"/>
      <c r="Z29" s="426"/>
      <c r="AA29" s="399"/>
      <c r="AB29" s="399"/>
      <c r="AC29" s="399"/>
      <c r="AD29" s="399"/>
      <c r="AE29" s="399"/>
      <c r="AF29" s="7" t="s">
        <v>43</v>
      </c>
      <c r="AG29" s="8" t="s">
        <v>43</v>
      </c>
      <c r="AH29" s="8" t="s">
        <v>43</v>
      </c>
      <c r="AI29" s="7" t="s">
        <v>43</v>
      </c>
      <c r="AJ29" s="8" t="s">
        <v>43</v>
      </c>
      <c r="AK29" s="8" t="s">
        <v>43</v>
      </c>
      <c r="AL29" s="301"/>
      <c r="AM29" s="301"/>
      <c r="AN29" s="301"/>
      <c r="AO29" s="181"/>
      <c r="AP29" s="181"/>
      <c r="AQ29" s="181"/>
      <c r="AU29" s="5"/>
    </row>
    <row r="30" spans="1:50" ht="15.75" thickBot="1" x14ac:dyDescent="0.3">
      <c r="A30" s="390" t="s">
        <v>1181</v>
      </c>
      <c r="B30" s="104">
        <v>1</v>
      </c>
      <c r="C30" s="47">
        <v>0</v>
      </c>
      <c r="D30" s="245">
        <v>0</v>
      </c>
      <c r="E30" s="392">
        <f t="shared" si="0"/>
        <v>1</v>
      </c>
      <c r="F30" s="254" t="s">
        <v>1181</v>
      </c>
      <c r="G30" s="105">
        <v>18</v>
      </c>
      <c r="H30" s="255">
        <v>0</v>
      </c>
      <c r="I30" s="256">
        <v>0</v>
      </c>
      <c r="J30" s="396">
        <f t="shared" si="1"/>
        <v>18</v>
      </c>
      <c r="K30" s="446" t="s">
        <v>139</v>
      </c>
      <c r="L30" s="444">
        <v>5</v>
      </c>
      <c r="M30" s="444">
        <v>5</v>
      </c>
      <c r="N30" s="444">
        <f>SUM(L30/M30)*100</f>
        <v>100</v>
      </c>
      <c r="O30" s="8">
        <v>6</v>
      </c>
      <c r="P30" s="8">
        <v>6</v>
      </c>
      <c r="Q30" s="292">
        <f>SUM(O30/P30)*100</f>
        <v>100</v>
      </c>
      <c r="R30" s="291" t="s">
        <v>43</v>
      </c>
      <c r="S30" s="291" t="s">
        <v>43</v>
      </c>
      <c r="T30" s="291" t="s">
        <v>43</v>
      </c>
      <c r="U30" s="283">
        <v>7</v>
      </c>
      <c r="V30" s="8">
        <v>8</v>
      </c>
      <c r="W30" s="294">
        <f>SUM(U30/V30)*100</f>
        <v>87.5</v>
      </c>
      <c r="X30" s="426"/>
      <c r="Y30" s="426"/>
      <c r="Z30" s="426"/>
      <c r="AC30" s="285"/>
      <c r="AD30" s="285"/>
      <c r="AE30" s="285"/>
      <c r="AF30" s="283" t="s">
        <v>43</v>
      </c>
      <c r="AG30" s="8" t="s">
        <v>43</v>
      </c>
      <c r="AH30" s="8" t="s">
        <v>43</v>
      </c>
      <c r="AI30" s="283" t="s">
        <v>43</v>
      </c>
      <c r="AJ30" s="8" t="s">
        <v>43</v>
      </c>
      <c r="AK30" s="8" t="s">
        <v>43</v>
      </c>
      <c r="AL30" s="301"/>
      <c r="AM30" s="301"/>
      <c r="AN30" s="301"/>
      <c r="AO30" s="181"/>
      <c r="AP30" s="181"/>
      <c r="AQ30" s="181"/>
    </row>
    <row r="31" spans="1:50" ht="15.75" thickBot="1" x14ac:dyDescent="0.3">
      <c r="A31" s="390" t="s">
        <v>84</v>
      </c>
      <c r="B31" s="104">
        <v>1</v>
      </c>
      <c r="C31" s="47">
        <v>0</v>
      </c>
      <c r="D31" s="245">
        <v>0</v>
      </c>
      <c r="E31" s="392">
        <f t="shared" si="0"/>
        <v>1</v>
      </c>
      <c r="F31" s="262" t="s">
        <v>84</v>
      </c>
      <c r="G31" s="105">
        <v>5</v>
      </c>
      <c r="H31" s="255">
        <v>0</v>
      </c>
      <c r="I31" s="256">
        <v>0</v>
      </c>
      <c r="J31" s="396">
        <f t="shared" si="1"/>
        <v>5</v>
      </c>
      <c r="K31" s="489" t="s">
        <v>1172</v>
      </c>
      <c r="L31" s="490"/>
      <c r="M31" s="490"/>
      <c r="N31" s="490"/>
      <c r="O31" s="490"/>
      <c r="P31" s="490"/>
      <c r="Q31" s="490"/>
      <c r="R31" s="490"/>
      <c r="S31" s="490"/>
      <c r="T31" s="490"/>
      <c r="U31" s="490"/>
      <c r="V31" s="490"/>
      <c r="W31" s="490"/>
      <c r="X31" s="491"/>
      <c r="Y31" s="491"/>
      <c r="Z31" s="491"/>
      <c r="AP31" s="5"/>
      <c r="AQ31" s="5"/>
      <c r="AR31" s="5"/>
    </row>
    <row r="32" spans="1:50" ht="15.75" thickBot="1" x14ac:dyDescent="0.3">
      <c r="A32" s="390" t="s">
        <v>366</v>
      </c>
      <c r="B32" s="104">
        <v>9</v>
      </c>
      <c r="C32" s="47">
        <v>2</v>
      </c>
      <c r="D32" s="245">
        <v>0</v>
      </c>
      <c r="E32" s="392">
        <f t="shared" si="0"/>
        <v>11</v>
      </c>
      <c r="F32" s="262" t="s">
        <v>366</v>
      </c>
      <c r="G32" s="105">
        <v>45</v>
      </c>
      <c r="H32" s="255">
        <v>10</v>
      </c>
      <c r="I32" s="256">
        <v>0</v>
      </c>
      <c r="J32" s="396">
        <f t="shared" si="1"/>
        <v>55</v>
      </c>
      <c r="K32" s="492" t="s">
        <v>1174</v>
      </c>
      <c r="L32" s="493"/>
      <c r="M32" s="493"/>
      <c r="N32" s="493"/>
      <c r="O32" s="493"/>
      <c r="P32" s="493"/>
      <c r="Q32" s="493"/>
      <c r="R32" s="493"/>
      <c r="S32" s="493"/>
      <c r="T32" s="493"/>
      <c r="U32" s="493"/>
      <c r="V32" s="493"/>
      <c r="W32" s="493"/>
      <c r="X32" s="493"/>
      <c r="Y32" s="493"/>
      <c r="Z32" s="493"/>
    </row>
    <row r="33" spans="1:41" ht="15.75" thickBot="1" x14ac:dyDescent="0.3">
      <c r="A33" s="390" t="s">
        <v>1133</v>
      </c>
      <c r="B33" s="104">
        <v>1</v>
      </c>
      <c r="C33" s="47">
        <v>0</v>
      </c>
      <c r="D33" s="245">
        <v>0</v>
      </c>
      <c r="E33" s="392">
        <f t="shared" si="0"/>
        <v>1</v>
      </c>
      <c r="F33" s="262" t="s">
        <v>1133</v>
      </c>
      <c r="G33" s="105">
        <v>5</v>
      </c>
      <c r="H33" s="255">
        <v>0</v>
      </c>
      <c r="I33" s="256">
        <v>0</v>
      </c>
      <c r="J33" s="396">
        <f t="shared" si="1"/>
        <v>5</v>
      </c>
    </row>
    <row r="34" spans="1:41" ht="15.75" thickBot="1" x14ac:dyDescent="0.3">
      <c r="A34" s="390" t="s">
        <v>822</v>
      </c>
      <c r="B34" s="104">
        <v>5</v>
      </c>
      <c r="C34" s="47">
        <v>0</v>
      </c>
      <c r="D34" s="245">
        <v>0</v>
      </c>
      <c r="E34" s="392">
        <f t="shared" si="0"/>
        <v>5</v>
      </c>
      <c r="F34" s="262" t="s">
        <v>822</v>
      </c>
      <c r="G34" s="105">
        <v>25</v>
      </c>
      <c r="H34" s="255">
        <v>0</v>
      </c>
      <c r="I34" s="256">
        <v>0</v>
      </c>
      <c r="J34" s="396">
        <f t="shared" si="1"/>
        <v>25</v>
      </c>
    </row>
    <row r="35" spans="1:41" ht="15.75" thickBot="1" x14ac:dyDescent="0.3">
      <c r="A35" s="390" t="s">
        <v>367</v>
      </c>
      <c r="B35" s="104">
        <v>0</v>
      </c>
      <c r="C35" s="47">
        <v>0</v>
      </c>
      <c r="D35" s="245">
        <v>0</v>
      </c>
      <c r="E35" s="392">
        <f t="shared" si="0"/>
        <v>0</v>
      </c>
      <c r="F35" s="262" t="s">
        <v>367</v>
      </c>
      <c r="G35" s="105">
        <v>0</v>
      </c>
      <c r="H35" s="255">
        <v>0</v>
      </c>
      <c r="I35" s="256">
        <v>0</v>
      </c>
      <c r="J35" s="396">
        <f t="shared" si="1"/>
        <v>0</v>
      </c>
    </row>
    <row r="36" spans="1:41" ht="15.75" thickBot="1" x14ac:dyDescent="0.3">
      <c r="A36" s="390" t="s">
        <v>252</v>
      </c>
      <c r="B36" s="104">
        <v>3</v>
      </c>
      <c r="C36" s="47">
        <v>0</v>
      </c>
      <c r="D36" s="245">
        <v>0</v>
      </c>
      <c r="E36" s="392">
        <f t="shared" si="0"/>
        <v>3</v>
      </c>
      <c r="F36" s="262" t="s">
        <v>252</v>
      </c>
      <c r="G36" s="105">
        <v>15</v>
      </c>
      <c r="H36" s="255">
        <v>0</v>
      </c>
      <c r="I36" s="256">
        <v>0</v>
      </c>
      <c r="J36" s="396">
        <f t="shared" si="1"/>
        <v>15</v>
      </c>
      <c r="AJ36" s="5"/>
      <c r="AK36" s="5"/>
      <c r="AL36" s="5"/>
      <c r="AM36" s="5"/>
      <c r="AN36" s="5"/>
    </row>
    <row r="37" spans="1:41" ht="15.75" thickBot="1" x14ac:dyDescent="0.3">
      <c r="A37" s="390" t="s">
        <v>6</v>
      </c>
      <c r="B37" s="104">
        <v>1</v>
      </c>
      <c r="C37" s="47">
        <v>0</v>
      </c>
      <c r="D37" s="245">
        <v>1</v>
      </c>
      <c r="E37" s="392">
        <f t="shared" si="0"/>
        <v>2</v>
      </c>
      <c r="F37" s="262" t="s">
        <v>6</v>
      </c>
      <c r="G37" s="105">
        <v>7</v>
      </c>
      <c r="H37" s="255">
        <v>0</v>
      </c>
      <c r="I37" s="256">
        <v>7</v>
      </c>
      <c r="J37" s="396">
        <f t="shared" si="1"/>
        <v>14</v>
      </c>
    </row>
    <row r="38" spans="1:41" ht="15.75" thickBot="1" x14ac:dyDescent="0.3">
      <c r="A38" s="390" t="s">
        <v>72</v>
      </c>
      <c r="B38" s="104">
        <v>0</v>
      </c>
      <c r="C38" s="47">
        <v>0</v>
      </c>
      <c r="D38" s="245">
        <v>0</v>
      </c>
      <c r="E38" s="392">
        <f t="shared" si="0"/>
        <v>0</v>
      </c>
      <c r="F38" s="262" t="s">
        <v>72</v>
      </c>
      <c r="G38" s="105">
        <v>0</v>
      </c>
      <c r="H38" s="255">
        <v>0</v>
      </c>
      <c r="I38" s="256">
        <v>0</v>
      </c>
      <c r="J38" s="396">
        <f t="shared" si="1"/>
        <v>0</v>
      </c>
      <c r="AO38" s="5"/>
    </row>
    <row r="39" spans="1:41" ht="15.75" thickBot="1" x14ac:dyDescent="0.3">
      <c r="A39" s="390" t="s">
        <v>139</v>
      </c>
      <c r="B39" s="104">
        <v>0</v>
      </c>
      <c r="C39" s="47">
        <v>1</v>
      </c>
      <c r="D39" s="245">
        <v>0</v>
      </c>
      <c r="E39" s="392">
        <f t="shared" si="0"/>
        <v>1</v>
      </c>
      <c r="F39" s="262" t="s">
        <v>139</v>
      </c>
      <c r="G39" s="105">
        <v>206</v>
      </c>
      <c r="H39" s="255">
        <v>13</v>
      </c>
      <c r="I39" s="256">
        <v>11</v>
      </c>
      <c r="J39" s="396">
        <f t="shared" si="1"/>
        <v>230</v>
      </c>
    </row>
    <row r="40" spans="1:41" ht="15.75" thickBot="1" x14ac:dyDescent="0.3">
      <c r="A40" s="390" t="s">
        <v>67</v>
      </c>
      <c r="B40" s="104">
        <v>0</v>
      </c>
      <c r="C40" s="47">
        <v>0</v>
      </c>
      <c r="D40" s="245">
        <v>0</v>
      </c>
      <c r="E40" s="392">
        <f t="shared" si="0"/>
        <v>0</v>
      </c>
      <c r="F40" s="262" t="s">
        <v>67</v>
      </c>
      <c r="G40" s="105">
        <v>0</v>
      </c>
      <c r="H40" s="255">
        <v>0</v>
      </c>
      <c r="I40" s="256">
        <v>0</v>
      </c>
      <c r="J40" s="396">
        <f t="shared" si="1"/>
        <v>0</v>
      </c>
    </row>
    <row r="41" spans="1:41" ht="15" customHeight="1" thickBot="1" x14ac:dyDescent="0.3">
      <c r="A41" s="390" t="s">
        <v>27</v>
      </c>
      <c r="B41" s="104">
        <v>1</v>
      </c>
      <c r="C41" s="47">
        <v>0</v>
      </c>
      <c r="D41" s="245">
        <v>0</v>
      </c>
      <c r="E41" s="392">
        <f t="shared" si="0"/>
        <v>1</v>
      </c>
      <c r="F41" s="262" t="s">
        <v>27</v>
      </c>
      <c r="G41" s="105">
        <v>5</v>
      </c>
      <c r="H41" s="255">
        <v>0</v>
      </c>
      <c r="I41" s="256">
        <v>0</v>
      </c>
      <c r="J41" s="396">
        <f t="shared" si="1"/>
        <v>5</v>
      </c>
    </row>
    <row r="42" spans="1:41" ht="15" customHeight="1" thickBot="1" x14ac:dyDescent="0.3">
      <c r="A42" s="390" t="s">
        <v>1239</v>
      </c>
      <c r="B42" s="104">
        <v>5</v>
      </c>
      <c r="C42" s="47">
        <v>0</v>
      </c>
      <c r="D42" s="245">
        <v>0</v>
      </c>
      <c r="E42" s="392">
        <f t="shared" si="0"/>
        <v>5</v>
      </c>
      <c r="F42" s="262" t="s">
        <v>1239</v>
      </c>
      <c r="G42" s="105">
        <v>27</v>
      </c>
      <c r="H42" s="255">
        <v>0</v>
      </c>
      <c r="I42" s="256">
        <v>0</v>
      </c>
      <c r="J42" s="396">
        <f t="shared" si="1"/>
        <v>27</v>
      </c>
    </row>
    <row r="43" spans="1:41" ht="15" customHeight="1" thickBot="1" x14ac:dyDescent="0.3">
      <c r="A43" s="390" t="s">
        <v>427</v>
      </c>
      <c r="B43" s="104">
        <v>0</v>
      </c>
      <c r="C43" s="47">
        <v>0</v>
      </c>
      <c r="D43" s="245">
        <v>0</v>
      </c>
      <c r="E43" s="392">
        <f t="shared" si="0"/>
        <v>0</v>
      </c>
      <c r="F43" s="262" t="s">
        <v>427</v>
      </c>
      <c r="G43" s="105">
        <v>0</v>
      </c>
      <c r="H43" s="255">
        <v>0</v>
      </c>
      <c r="I43" s="256">
        <v>0</v>
      </c>
      <c r="J43" s="396">
        <f t="shared" si="1"/>
        <v>0</v>
      </c>
    </row>
    <row r="44" spans="1:41" ht="15" customHeight="1" thickBot="1" x14ac:dyDescent="0.3">
      <c r="A44" s="390" t="s">
        <v>35</v>
      </c>
      <c r="B44" s="104">
        <v>3</v>
      </c>
      <c r="C44" s="47">
        <v>0</v>
      </c>
      <c r="D44" s="245">
        <v>1</v>
      </c>
      <c r="E44" s="392">
        <f t="shared" si="0"/>
        <v>4</v>
      </c>
      <c r="F44" s="262" t="s">
        <v>35</v>
      </c>
      <c r="G44" s="105">
        <v>15</v>
      </c>
      <c r="H44" s="255">
        <v>0</v>
      </c>
      <c r="I44" s="256">
        <v>5</v>
      </c>
      <c r="J44" s="396">
        <f t="shared" si="1"/>
        <v>20</v>
      </c>
    </row>
    <row r="45" spans="1:41" ht="15.75" thickBot="1" x14ac:dyDescent="0.3">
      <c r="A45" s="390" t="s">
        <v>261</v>
      </c>
      <c r="B45" s="104">
        <v>2</v>
      </c>
      <c r="C45" s="47">
        <v>0</v>
      </c>
      <c r="D45" s="245">
        <v>1</v>
      </c>
      <c r="E45" s="392">
        <f t="shared" ref="E45" si="3">SUM(B45:D45)</f>
        <v>3</v>
      </c>
      <c r="F45" s="262" t="s">
        <v>261</v>
      </c>
      <c r="G45" s="105">
        <v>10</v>
      </c>
      <c r="H45" s="255">
        <v>0</v>
      </c>
      <c r="I45" s="256">
        <v>5</v>
      </c>
      <c r="J45" s="396">
        <f t="shared" ref="J45" si="4">SUM(G45:I45)</f>
        <v>15</v>
      </c>
    </row>
    <row r="46" spans="1:41" ht="15.75" thickBot="1" x14ac:dyDescent="0.3">
      <c r="A46" s="390" t="s">
        <v>58</v>
      </c>
      <c r="B46" s="104">
        <v>0</v>
      </c>
      <c r="C46" s="47">
        <v>0</v>
      </c>
      <c r="D46" s="245">
        <v>0</v>
      </c>
      <c r="E46" s="392">
        <f t="shared" si="0"/>
        <v>0</v>
      </c>
      <c r="F46" s="262" t="s">
        <v>58</v>
      </c>
      <c r="G46" s="105">
        <v>0</v>
      </c>
      <c r="H46" s="255">
        <v>0</v>
      </c>
      <c r="I46" s="256">
        <v>0</v>
      </c>
      <c r="J46" s="396">
        <f t="shared" si="1"/>
        <v>0</v>
      </c>
    </row>
    <row r="47" spans="1:41" ht="15.75" thickBot="1" x14ac:dyDescent="0.3">
      <c r="A47" s="390" t="s">
        <v>253</v>
      </c>
      <c r="B47" s="104">
        <v>0</v>
      </c>
      <c r="C47" s="47">
        <v>0</v>
      </c>
      <c r="D47" s="245">
        <v>0</v>
      </c>
      <c r="E47" s="392">
        <f t="shared" si="0"/>
        <v>0</v>
      </c>
      <c r="F47" s="262" t="s">
        <v>253</v>
      </c>
      <c r="G47" s="105">
        <v>0</v>
      </c>
      <c r="H47" s="255">
        <v>0</v>
      </c>
      <c r="I47" s="256">
        <v>0</v>
      </c>
      <c r="J47" s="396">
        <f t="shared" si="1"/>
        <v>0</v>
      </c>
    </row>
    <row r="48" spans="1:41" ht="15.75" thickBot="1" x14ac:dyDescent="0.3">
      <c r="A48" s="390" t="s">
        <v>72</v>
      </c>
      <c r="B48" s="104">
        <v>0</v>
      </c>
      <c r="C48" s="47">
        <v>0</v>
      </c>
      <c r="D48" s="245">
        <v>0</v>
      </c>
      <c r="E48" s="392">
        <f t="shared" si="0"/>
        <v>0</v>
      </c>
      <c r="F48" s="262" t="s">
        <v>72</v>
      </c>
      <c r="G48" s="105">
        <v>0</v>
      </c>
      <c r="H48" s="255">
        <v>0</v>
      </c>
      <c r="I48" s="256">
        <v>0</v>
      </c>
      <c r="J48" s="396">
        <f t="shared" si="1"/>
        <v>0</v>
      </c>
    </row>
    <row r="49" spans="1:40" ht="15.75" thickBot="1" x14ac:dyDescent="0.3">
      <c r="A49" s="390" t="s">
        <v>300</v>
      </c>
      <c r="B49" s="104">
        <v>0</v>
      </c>
      <c r="C49" s="47">
        <v>0</v>
      </c>
      <c r="D49" s="245">
        <v>0</v>
      </c>
      <c r="E49" s="392">
        <f t="shared" si="0"/>
        <v>0</v>
      </c>
      <c r="F49" s="262" t="s">
        <v>300</v>
      </c>
      <c r="G49" s="105">
        <v>0</v>
      </c>
      <c r="H49" s="255">
        <v>0</v>
      </c>
      <c r="I49" s="256">
        <v>0</v>
      </c>
      <c r="J49" s="396">
        <f t="shared" si="1"/>
        <v>0</v>
      </c>
      <c r="AJ49" s="5"/>
      <c r="AK49" s="5"/>
      <c r="AL49" s="5"/>
      <c r="AM49" s="5"/>
      <c r="AN49" s="5"/>
    </row>
    <row r="50" spans="1:40" ht="15.75" thickBot="1" x14ac:dyDescent="0.3">
      <c r="A50" s="390" t="s">
        <v>72</v>
      </c>
      <c r="B50" s="104">
        <v>0</v>
      </c>
      <c r="C50" s="47">
        <v>0</v>
      </c>
      <c r="D50" s="245">
        <v>0</v>
      </c>
      <c r="E50" s="392">
        <f t="shared" si="0"/>
        <v>0</v>
      </c>
      <c r="F50" s="262" t="s">
        <v>72</v>
      </c>
      <c r="G50" s="105">
        <v>0</v>
      </c>
      <c r="H50" s="255">
        <v>0</v>
      </c>
      <c r="I50" s="256">
        <v>0</v>
      </c>
      <c r="J50" s="396">
        <f t="shared" si="1"/>
        <v>0</v>
      </c>
    </row>
    <row r="51" spans="1:40" ht="15.75" thickBot="1" x14ac:dyDescent="0.3">
      <c r="A51" s="390" t="s">
        <v>65</v>
      </c>
      <c r="B51" s="104">
        <v>3</v>
      </c>
      <c r="C51" s="47">
        <v>2</v>
      </c>
      <c r="D51" s="245">
        <v>1</v>
      </c>
      <c r="E51" s="392">
        <f t="shared" si="0"/>
        <v>6</v>
      </c>
      <c r="F51" s="262" t="s">
        <v>65</v>
      </c>
      <c r="G51" s="105">
        <v>15</v>
      </c>
      <c r="H51" s="255">
        <v>10</v>
      </c>
      <c r="I51" s="256">
        <v>5</v>
      </c>
      <c r="J51" s="396">
        <f t="shared" si="1"/>
        <v>30</v>
      </c>
    </row>
    <row r="52" spans="1:40" ht="15.75" thickBot="1" x14ac:dyDescent="0.3">
      <c r="A52" s="390" t="s">
        <v>83</v>
      </c>
      <c r="B52" s="104">
        <v>1</v>
      </c>
      <c r="C52" s="47">
        <v>0</v>
      </c>
      <c r="D52" s="245">
        <v>0</v>
      </c>
      <c r="E52" s="392">
        <f t="shared" si="0"/>
        <v>1</v>
      </c>
      <c r="F52" s="262" t="s">
        <v>83</v>
      </c>
      <c r="G52" s="105">
        <v>5</v>
      </c>
      <c r="H52" s="255">
        <v>0</v>
      </c>
      <c r="I52" s="256">
        <v>0</v>
      </c>
      <c r="J52" s="396">
        <f t="shared" si="1"/>
        <v>5</v>
      </c>
    </row>
    <row r="53" spans="1:40" ht="15.75" thickBot="1" x14ac:dyDescent="0.3">
      <c r="A53" s="390" t="s">
        <v>204</v>
      </c>
      <c r="B53" s="104">
        <v>0</v>
      </c>
      <c r="C53" s="47">
        <v>1</v>
      </c>
      <c r="D53" s="245">
        <v>0</v>
      </c>
      <c r="E53" s="392">
        <f t="shared" si="0"/>
        <v>1</v>
      </c>
      <c r="F53" s="254" t="s">
        <v>204</v>
      </c>
      <c r="G53" s="105">
        <v>0</v>
      </c>
      <c r="H53" s="255">
        <v>5</v>
      </c>
      <c r="I53" s="256">
        <v>0</v>
      </c>
      <c r="J53" s="396">
        <f t="shared" si="1"/>
        <v>5</v>
      </c>
    </row>
    <row r="54" spans="1:40" ht="15.75" thickBot="1" x14ac:dyDescent="0.3">
      <c r="A54" s="390" t="s">
        <v>72</v>
      </c>
      <c r="B54" s="104">
        <v>0</v>
      </c>
      <c r="C54" s="47">
        <v>0</v>
      </c>
      <c r="D54" s="245">
        <v>0</v>
      </c>
      <c r="E54" s="392">
        <f t="shared" si="0"/>
        <v>0</v>
      </c>
      <c r="F54" s="254" t="s">
        <v>72</v>
      </c>
      <c r="G54" s="105">
        <v>0</v>
      </c>
      <c r="H54" s="255">
        <v>0</v>
      </c>
      <c r="I54" s="256">
        <v>0</v>
      </c>
      <c r="J54" s="396">
        <f t="shared" si="1"/>
        <v>0</v>
      </c>
    </row>
    <row r="55" spans="1:40" ht="15.75" thickBot="1" x14ac:dyDescent="0.3">
      <c r="A55" s="390" t="s">
        <v>72</v>
      </c>
      <c r="B55" s="104">
        <v>0</v>
      </c>
      <c r="C55" s="47">
        <v>0</v>
      </c>
      <c r="D55" s="245">
        <v>0</v>
      </c>
      <c r="E55" s="392">
        <f t="shared" si="0"/>
        <v>0</v>
      </c>
      <c r="F55" s="254" t="s">
        <v>72</v>
      </c>
      <c r="G55" s="105">
        <v>0</v>
      </c>
      <c r="H55" s="255">
        <v>0</v>
      </c>
      <c r="I55" s="256">
        <v>0</v>
      </c>
      <c r="J55" s="396">
        <f t="shared" si="1"/>
        <v>0</v>
      </c>
    </row>
    <row r="56" spans="1:40" ht="15.75" thickBot="1" x14ac:dyDescent="0.3">
      <c r="A56" s="390" t="s">
        <v>478</v>
      </c>
      <c r="B56" s="104">
        <v>1</v>
      </c>
      <c r="C56" s="47">
        <v>0</v>
      </c>
      <c r="D56" s="245">
        <v>0</v>
      </c>
      <c r="E56" s="392">
        <f t="shared" si="0"/>
        <v>1</v>
      </c>
      <c r="F56" s="254" t="s">
        <v>478</v>
      </c>
      <c r="G56" s="105">
        <v>5</v>
      </c>
      <c r="H56" s="255">
        <v>0</v>
      </c>
      <c r="I56" s="256">
        <v>0</v>
      </c>
      <c r="J56" s="396">
        <f t="shared" si="1"/>
        <v>5</v>
      </c>
    </row>
    <row r="57" spans="1:40" ht="15.75" thickBot="1" x14ac:dyDescent="0.3">
      <c r="A57" s="390" t="s">
        <v>3</v>
      </c>
      <c r="B57" s="104">
        <f>SUM(B3:B56)</f>
        <v>59</v>
      </c>
      <c r="C57" s="47">
        <f>SUM(C3:C56)</f>
        <v>12</v>
      </c>
      <c r="D57" s="245">
        <f>SUM(D3:D56)</f>
        <v>12</v>
      </c>
      <c r="E57" s="392">
        <f t="shared" ref="E57" si="5">SUM(B57:D57)</f>
        <v>83</v>
      </c>
      <c r="F57" s="254" t="s">
        <v>3</v>
      </c>
      <c r="G57" s="105">
        <f>SUM(G3:G56)</f>
        <v>526</v>
      </c>
      <c r="H57" s="255">
        <f>SUM(H3:H56)</f>
        <v>102</v>
      </c>
      <c r="I57" s="256">
        <f>SUM(I3:I56)</f>
        <v>83</v>
      </c>
      <c r="J57" s="396">
        <f t="shared" ref="J57" si="6">SUM(G57:I57)</f>
        <v>711</v>
      </c>
    </row>
    <row r="58" spans="1:40" x14ac:dyDescent="0.25">
      <c r="B58" s="199"/>
      <c r="C58" s="129"/>
      <c r="D58" s="57"/>
      <c r="E58" s="90"/>
      <c r="F58" s="43"/>
      <c r="G58" s="204"/>
      <c r="H58" s="130"/>
      <c r="I58" s="57"/>
    </row>
    <row r="59" spans="1:40" ht="15.75" thickBot="1" x14ac:dyDescent="0.3">
      <c r="A59" t="s">
        <v>39</v>
      </c>
      <c r="B59" s="199"/>
      <c r="C59" s="129"/>
      <c r="D59" s="57"/>
      <c r="E59" s="90"/>
      <c r="F59" s="41"/>
      <c r="G59" s="203"/>
      <c r="H59" s="131"/>
      <c r="I59" s="38"/>
      <c r="J59" s="41"/>
    </row>
    <row r="60" spans="1:40" ht="15.75" thickBot="1" x14ac:dyDescent="0.3">
      <c r="A60" s="389" t="s">
        <v>0</v>
      </c>
      <c r="B60" s="169" t="s">
        <v>305</v>
      </c>
      <c r="C60" s="153" t="s">
        <v>99</v>
      </c>
      <c r="D60" s="244" t="s">
        <v>306</v>
      </c>
      <c r="E60" s="391" t="s">
        <v>1</v>
      </c>
      <c r="F60" s="258" t="s">
        <v>2</v>
      </c>
      <c r="G60" s="160" t="s">
        <v>305</v>
      </c>
      <c r="H60" s="259" t="s">
        <v>99</v>
      </c>
      <c r="I60" s="260" t="s">
        <v>306</v>
      </c>
      <c r="J60" s="395" t="s">
        <v>1</v>
      </c>
    </row>
    <row r="61" spans="1:40" ht="15.75" thickBot="1" x14ac:dyDescent="0.3">
      <c r="A61" s="390" t="s">
        <v>366</v>
      </c>
      <c r="B61" s="104">
        <v>9</v>
      </c>
      <c r="C61" s="47">
        <v>2</v>
      </c>
      <c r="D61" s="245">
        <v>0</v>
      </c>
      <c r="E61" s="392">
        <f t="shared" ref="E61:E92" si="7">SUM(B61:D61)</f>
        <v>11</v>
      </c>
      <c r="F61" s="254" t="s">
        <v>139</v>
      </c>
      <c r="G61" s="105">
        <v>206</v>
      </c>
      <c r="H61" s="255">
        <v>13</v>
      </c>
      <c r="I61" s="256">
        <v>11</v>
      </c>
      <c r="J61" s="396">
        <f t="shared" ref="J61:J92" si="8">SUM(G61:I61)</f>
        <v>230</v>
      </c>
    </row>
    <row r="62" spans="1:40" ht="15.75" thickBot="1" x14ac:dyDescent="0.3">
      <c r="A62" s="390" t="s">
        <v>103</v>
      </c>
      <c r="B62" s="104">
        <v>6</v>
      </c>
      <c r="C62" s="47">
        <v>1</v>
      </c>
      <c r="D62" s="245">
        <v>0</v>
      </c>
      <c r="E62" s="392">
        <f t="shared" si="7"/>
        <v>7</v>
      </c>
      <c r="F62" s="262" t="s">
        <v>366</v>
      </c>
      <c r="G62" s="105">
        <v>45</v>
      </c>
      <c r="H62" s="255">
        <v>10</v>
      </c>
      <c r="I62" s="256">
        <v>0</v>
      </c>
      <c r="J62" s="396">
        <f t="shared" si="8"/>
        <v>55</v>
      </c>
    </row>
    <row r="63" spans="1:40" ht="15.75" thickBot="1" x14ac:dyDescent="0.3">
      <c r="A63" s="390" t="s">
        <v>65</v>
      </c>
      <c r="B63" s="104">
        <v>3</v>
      </c>
      <c r="C63" s="47">
        <v>2</v>
      </c>
      <c r="D63" s="245">
        <v>1</v>
      </c>
      <c r="E63" s="392">
        <f t="shared" si="7"/>
        <v>6</v>
      </c>
      <c r="F63" s="262" t="s">
        <v>112</v>
      </c>
      <c r="G63" s="105">
        <v>8</v>
      </c>
      <c r="H63" s="255">
        <v>34</v>
      </c>
      <c r="I63" s="256">
        <v>9</v>
      </c>
      <c r="J63" s="396">
        <f t="shared" si="8"/>
        <v>51</v>
      </c>
    </row>
    <row r="64" spans="1:40" ht="15.75" thickBot="1" x14ac:dyDescent="0.3">
      <c r="A64" s="390" t="s">
        <v>822</v>
      </c>
      <c r="B64" s="104">
        <v>5</v>
      </c>
      <c r="C64" s="47">
        <v>0</v>
      </c>
      <c r="D64" s="245">
        <v>0</v>
      </c>
      <c r="E64" s="392">
        <f t="shared" si="7"/>
        <v>5</v>
      </c>
      <c r="F64" s="262" t="s">
        <v>103</v>
      </c>
      <c r="G64" s="105">
        <v>30</v>
      </c>
      <c r="H64" s="255">
        <v>5</v>
      </c>
      <c r="I64" s="256">
        <v>0</v>
      </c>
      <c r="J64" s="396">
        <f t="shared" si="8"/>
        <v>35</v>
      </c>
    </row>
    <row r="65" spans="1:10" ht="15.75" thickBot="1" x14ac:dyDescent="0.3">
      <c r="A65" s="390" t="s">
        <v>1239</v>
      </c>
      <c r="B65" s="104">
        <v>5</v>
      </c>
      <c r="C65" s="47">
        <v>0</v>
      </c>
      <c r="D65" s="245">
        <v>0</v>
      </c>
      <c r="E65" s="392">
        <f t="shared" si="7"/>
        <v>5</v>
      </c>
      <c r="F65" s="262" t="s">
        <v>65</v>
      </c>
      <c r="G65" s="105">
        <v>15</v>
      </c>
      <c r="H65" s="255">
        <v>10</v>
      </c>
      <c r="I65" s="256">
        <v>5</v>
      </c>
      <c r="J65" s="396">
        <f t="shared" si="8"/>
        <v>30</v>
      </c>
    </row>
    <row r="66" spans="1:10" ht="15.75" thickBot="1" x14ac:dyDescent="0.3">
      <c r="A66" s="390" t="s">
        <v>108</v>
      </c>
      <c r="B66" s="104">
        <v>3</v>
      </c>
      <c r="C66" s="47">
        <v>0</v>
      </c>
      <c r="D66" s="245">
        <v>1</v>
      </c>
      <c r="E66" s="392">
        <f t="shared" si="7"/>
        <v>4</v>
      </c>
      <c r="F66" s="262" t="s">
        <v>1239</v>
      </c>
      <c r="G66" s="105">
        <v>27</v>
      </c>
      <c r="H66" s="255">
        <v>0</v>
      </c>
      <c r="I66" s="256">
        <v>0</v>
      </c>
      <c r="J66" s="396">
        <f t="shared" si="8"/>
        <v>27</v>
      </c>
    </row>
    <row r="67" spans="1:10" ht="15.75" thickBot="1" x14ac:dyDescent="0.3">
      <c r="A67" s="390" t="s">
        <v>15</v>
      </c>
      <c r="B67" s="104">
        <v>3</v>
      </c>
      <c r="C67" s="47">
        <v>1</v>
      </c>
      <c r="D67" s="245">
        <v>0</v>
      </c>
      <c r="E67" s="392">
        <f t="shared" si="7"/>
        <v>4</v>
      </c>
      <c r="F67" s="262" t="s">
        <v>822</v>
      </c>
      <c r="G67" s="105">
        <v>25</v>
      </c>
      <c r="H67" s="255">
        <v>0</v>
      </c>
      <c r="I67" s="256">
        <v>0</v>
      </c>
      <c r="J67" s="396">
        <f t="shared" si="8"/>
        <v>25</v>
      </c>
    </row>
    <row r="68" spans="1:10" ht="15.75" thickBot="1" x14ac:dyDescent="0.3">
      <c r="A68" s="390" t="s">
        <v>35</v>
      </c>
      <c r="B68" s="104">
        <v>3</v>
      </c>
      <c r="C68" s="47">
        <v>0</v>
      </c>
      <c r="D68" s="245">
        <v>1</v>
      </c>
      <c r="E68" s="392">
        <f t="shared" si="7"/>
        <v>4</v>
      </c>
      <c r="F68" s="262" t="s">
        <v>108</v>
      </c>
      <c r="G68" s="105">
        <v>15</v>
      </c>
      <c r="H68" s="255">
        <v>0</v>
      </c>
      <c r="I68" s="256">
        <v>5</v>
      </c>
      <c r="J68" s="396">
        <f t="shared" si="8"/>
        <v>20</v>
      </c>
    </row>
    <row r="69" spans="1:10" ht="15.75" thickBot="1" x14ac:dyDescent="0.3">
      <c r="A69" s="390" t="s">
        <v>1169</v>
      </c>
      <c r="B69" s="104">
        <v>3</v>
      </c>
      <c r="C69" s="47">
        <v>0</v>
      </c>
      <c r="D69" s="245">
        <v>0</v>
      </c>
      <c r="E69" s="392">
        <f t="shared" si="7"/>
        <v>3</v>
      </c>
      <c r="F69" s="262" t="s">
        <v>15</v>
      </c>
      <c r="G69" s="105">
        <v>15</v>
      </c>
      <c r="H69" s="255">
        <v>5</v>
      </c>
      <c r="I69" s="256">
        <v>0</v>
      </c>
      <c r="J69" s="396">
        <f t="shared" si="8"/>
        <v>20</v>
      </c>
    </row>
    <row r="70" spans="1:10" ht="15.75" thickBot="1" x14ac:dyDescent="0.3">
      <c r="A70" s="390" t="s">
        <v>270</v>
      </c>
      <c r="B70" s="104">
        <v>0</v>
      </c>
      <c r="C70" s="47">
        <v>0</v>
      </c>
      <c r="D70" s="245">
        <v>3</v>
      </c>
      <c r="E70" s="392">
        <f t="shared" si="7"/>
        <v>3</v>
      </c>
      <c r="F70" s="262" t="s">
        <v>35</v>
      </c>
      <c r="G70" s="105">
        <v>15</v>
      </c>
      <c r="H70" s="255">
        <v>0</v>
      </c>
      <c r="I70" s="256">
        <v>5</v>
      </c>
      <c r="J70" s="396">
        <f t="shared" si="8"/>
        <v>20</v>
      </c>
    </row>
    <row r="71" spans="1:10" ht="15.75" thickBot="1" x14ac:dyDescent="0.3">
      <c r="A71" s="390" t="s">
        <v>1170</v>
      </c>
      <c r="B71" s="104">
        <v>3</v>
      </c>
      <c r="C71" s="47">
        <v>0</v>
      </c>
      <c r="D71" s="245">
        <v>0</v>
      </c>
      <c r="E71" s="392">
        <f t="shared" si="7"/>
        <v>3</v>
      </c>
      <c r="F71" s="262" t="s">
        <v>1181</v>
      </c>
      <c r="G71" s="105">
        <v>18</v>
      </c>
      <c r="H71" s="255">
        <v>0</v>
      </c>
      <c r="I71" s="256">
        <v>0</v>
      </c>
      <c r="J71" s="396">
        <f t="shared" si="8"/>
        <v>18</v>
      </c>
    </row>
    <row r="72" spans="1:10" ht="15.75" thickBot="1" x14ac:dyDescent="0.3">
      <c r="A72" s="390" t="s">
        <v>827</v>
      </c>
      <c r="B72" s="104">
        <v>3</v>
      </c>
      <c r="C72" s="47">
        <v>0</v>
      </c>
      <c r="D72" s="245">
        <v>0</v>
      </c>
      <c r="E72" s="392">
        <f t="shared" si="7"/>
        <v>3</v>
      </c>
      <c r="F72" s="262" t="s">
        <v>1169</v>
      </c>
      <c r="G72" s="105">
        <v>15</v>
      </c>
      <c r="H72" s="255">
        <v>0</v>
      </c>
      <c r="I72" s="256">
        <v>0</v>
      </c>
      <c r="J72" s="396">
        <f t="shared" si="8"/>
        <v>15</v>
      </c>
    </row>
    <row r="73" spans="1:10" ht="15.75" thickBot="1" x14ac:dyDescent="0.3">
      <c r="A73" s="390" t="s">
        <v>252</v>
      </c>
      <c r="B73" s="104">
        <v>3</v>
      </c>
      <c r="C73" s="47">
        <v>0</v>
      </c>
      <c r="D73" s="245">
        <v>0</v>
      </c>
      <c r="E73" s="392">
        <f t="shared" si="7"/>
        <v>3</v>
      </c>
      <c r="F73" s="262" t="s">
        <v>270</v>
      </c>
      <c r="G73" s="105">
        <v>0</v>
      </c>
      <c r="H73" s="255">
        <v>0</v>
      </c>
      <c r="I73" s="256">
        <v>15</v>
      </c>
      <c r="J73" s="396">
        <f t="shared" si="8"/>
        <v>15</v>
      </c>
    </row>
    <row r="74" spans="1:10" ht="15.75" thickBot="1" x14ac:dyDescent="0.3">
      <c r="A74" s="390" t="s">
        <v>261</v>
      </c>
      <c r="B74" s="104">
        <v>2</v>
      </c>
      <c r="C74" s="47">
        <v>0</v>
      </c>
      <c r="D74" s="245">
        <v>1</v>
      </c>
      <c r="E74" s="392">
        <f t="shared" si="7"/>
        <v>3</v>
      </c>
      <c r="F74" s="262" t="s">
        <v>1170</v>
      </c>
      <c r="G74" s="105">
        <v>15</v>
      </c>
      <c r="H74" s="255">
        <v>0</v>
      </c>
      <c r="I74" s="256">
        <v>0</v>
      </c>
      <c r="J74" s="396">
        <f t="shared" si="8"/>
        <v>15</v>
      </c>
    </row>
    <row r="75" spans="1:10" ht="15.75" thickBot="1" x14ac:dyDescent="0.3">
      <c r="A75" s="390" t="s">
        <v>95</v>
      </c>
      <c r="B75" s="104">
        <v>0</v>
      </c>
      <c r="C75" s="47">
        <v>1</v>
      </c>
      <c r="D75" s="245">
        <v>1</v>
      </c>
      <c r="E75" s="392">
        <f t="shared" si="7"/>
        <v>2</v>
      </c>
      <c r="F75" s="262" t="s">
        <v>827</v>
      </c>
      <c r="G75" s="105">
        <v>15</v>
      </c>
      <c r="H75" s="255">
        <v>0</v>
      </c>
      <c r="I75" s="256">
        <v>0</v>
      </c>
      <c r="J75" s="396">
        <f t="shared" si="8"/>
        <v>15</v>
      </c>
    </row>
    <row r="76" spans="1:10" ht="15.75" thickBot="1" x14ac:dyDescent="0.3">
      <c r="A76" s="390" t="s">
        <v>1055</v>
      </c>
      <c r="B76" s="104">
        <v>0</v>
      </c>
      <c r="C76" s="47">
        <v>2</v>
      </c>
      <c r="D76" s="245">
        <v>0</v>
      </c>
      <c r="E76" s="392">
        <f t="shared" si="7"/>
        <v>2</v>
      </c>
      <c r="F76" s="262" t="s">
        <v>252</v>
      </c>
      <c r="G76" s="105">
        <v>15</v>
      </c>
      <c r="H76" s="255">
        <v>0</v>
      </c>
      <c r="I76" s="256">
        <v>0</v>
      </c>
      <c r="J76" s="396">
        <f t="shared" si="8"/>
        <v>15</v>
      </c>
    </row>
    <row r="77" spans="1:10" ht="15.75" thickBot="1" x14ac:dyDescent="0.3">
      <c r="A77" s="390" t="s">
        <v>6</v>
      </c>
      <c r="B77" s="104">
        <v>1</v>
      </c>
      <c r="C77" s="47">
        <v>0</v>
      </c>
      <c r="D77" s="245">
        <v>1</v>
      </c>
      <c r="E77" s="392">
        <f t="shared" si="7"/>
        <v>2</v>
      </c>
      <c r="F77" s="262" t="s">
        <v>261</v>
      </c>
      <c r="G77" s="105">
        <v>10</v>
      </c>
      <c r="H77" s="255">
        <v>0</v>
      </c>
      <c r="I77" s="256">
        <v>5</v>
      </c>
      <c r="J77" s="396">
        <f t="shared" si="8"/>
        <v>15</v>
      </c>
    </row>
    <row r="78" spans="1:10" ht="15.75" thickBot="1" x14ac:dyDescent="0.3">
      <c r="A78" s="390" t="s">
        <v>298</v>
      </c>
      <c r="B78" s="104">
        <v>0</v>
      </c>
      <c r="C78" s="47">
        <v>1</v>
      </c>
      <c r="D78" s="245">
        <v>0</v>
      </c>
      <c r="E78" s="392">
        <f t="shared" si="7"/>
        <v>1</v>
      </c>
      <c r="F78" s="262" t="s">
        <v>6</v>
      </c>
      <c r="G78" s="105">
        <v>7</v>
      </c>
      <c r="H78" s="255">
        <v>0</v>
      </c>
      <c r="I78" s="256">
        <v>7</v>
      </c>
      <c r="J78" s="396">
        <f t="shared" si="8"/>
        <v>14</v>
      </c>
    </row>
    <row r="79" spans="1:10" ht="15.75" thickBot="1" x14ac:dyDescent="0.3">
      <c r="A79" s="390" t="s">
        <v>207</v>
      </c>
      <c r="B79" s="104">
        <v>0</v>
      </c>
      <c r="C79" s="47">
        <v>0</v>
      </c>
      <c r="D79" s="245">
        <v>1</v>
      </c>
      <c r="E79" s="392">
        <f t="shared" si="7"/>
        <v>1</v>
      </c>
      <c r="F79" s="262" t="s">
        <v>95</v>
      </c>
      <c r="G79" s="105">
        <v>0</v>
      </c>
      <c r="H79" s="255">
        <v>5</v>
      </c>
      <c r="I79" s="256">
        <v>5</v>
      </c>
      <c r="J79" s="396">
        <f t="shared" si="8"/>
        <v>10</v>
      </c>
    </row>
    <row r="80" spans="1:10" ht="15.75" thickBot="1" x14ac:dyDescent="0.3">
      <c r="A80" s="390" t="s">
        <v>112</v>
      </c>
      <c r="B80" s="104">
        <v>0</v>
      </c>
      <c r="C80" s="47">
        <v>0</v>
      </c>
      <c r="D80" s="245">
        <v>1</v>
      </c>
      <c r="E80" s="392">
        <f t="shared" si="7"/>
        <v>1</v>
      </c>
      <c r="F80" s="262" t="s">
        <v>1055</v>
      </c>
      <c r="G80" s="105">
        <v>0</v>
      </c>
      <c r="H80" s="255">
        <v>10</v>
      </c>
      <c r="I80" s="256">
        <v>0</v>
      </c>
      <c r="J80" s="396">
        <f t="shared" si="8"/>
        <v>10</v>
      </c>
    </row>
    <row r="81" spans="1:10" ht="15.75" thickBot="1" x14ac:dyDescent="0.3">
      <c r="A81" s="390" t="s">
        <v>31</v>
      </c>
      <c r="B81" s="104">
        <v>0</v>
      </c>
      <c r="C81" s="47">
        <v>0</v>
      </c>
      <c r="D81" s="245">
        <v>1</v>
      </c>
      <c r="E81" s="392">
        <f t="shared" si="7"/>
        <v>1</v>
      </c>
      <c r="F81" s="254" t="s">
        <v>364</v>
      </c>
      <c r="G81" s="105">
        <v>0</v>
      </c>
      <c r="H81" s="255">
        <v>0</v>
      </c>
      <c r="I81" s="256">
        <v>6</v>
      </c>
      <c r="J81" s="396">
        <f t="shared" si="8"/>
        <v>6</v>
      </c>
    </row>
    <row r="82" spans="1:10" ht="15.75" thickBot="1" x14ac:dyDescent="0.3">
      <c r="A82" s="390" t="s">
        <v>97</v>
      </c>
      <c r="B82" s="104">
        <v>1</v>
      </c>
      <c r="C82" s="47">
        <v>0</v>
      </c>
      <c r="D82" s="245">
        <v>0</v>
      </c>
      <c r="E82" s="392">
        <f t="shared" si="7"/>
        <v>1</v>
      </c>
      <c r="F82" s="254" t="s">
        <v>298</v>
      </c>
      <c r="G82" s="105">
        <v>0</v>
      </c>
      <c r="H82" s="255">
        <v>5</v>
      </c>
      <c r="I82" s="256">
        <v>0</v>
      </c>
      <c r="J82" s="396">
        <f t="shared" si="8"/>
        <v>5</v>
      </c>
    </row>
    <row r="83" spans="1:10" ht="15.75" thickBot="1" x14ac:dyDescent="0.3">
      <c r="A83" s="390" t="s">
        <v>1181</v>
      </c>
      <c r="B83" s="104">
        <v>1</v>
      </c>
      <c r="C83" s="47">
        <v>0</v>
      </c>
      <c r="D83" s="245">
        <v>0</v>
      </c>
      <c r="E83" s="392">
        <f t="shared" si="7"/>
        <v>1</v>
      </c>
      <c r="F83" s="262" t="s">
        <v>207</v>
      </c>
      <c r="G83" s="105">
        <v>0</v>
      </c>
      <c r="H83" s="255">
        <v>0</v>
      </c>
      <c r="I83" s="256">
        <v>5</v>
      </c>
      <c r="J83" s="396">
        <f t="shared" si="8"/>
        <v>5</v>
      </c>
    </row>
    <row r="84" spans="1:10" ht="15.75" thickBot="1" x14ac:dyDescent="0.3">
      <c r="A84" s="390" t="s">
        <v>84</v>
      </c>
      <c r="B84" s="104">
        <v>1</v>
      </c>
      <c r="C84" s="47">
        <v>0</v>
      </c>
      <c r="D84" s="245">
        <v>0</v>
      </c>
      <c r="E84" s="392">
        <f t="shared" si="7"/>
        <v>1</v>
      </c>
      <c r="F84" s="262" t="s">
        <v>31</v>
      </c>
      <c r="G84" s="105">
        <v>0</v>
      </c>
      <c r="H84" s="255">
        <v>0</v>
      </c>
      <c r="I84" s="256">
        <v>5</v>
      </c>
      <c r="J84" s="396">
        <f t="shared" si="8"/>
        <v>5</v>
      </c>
    </row>
    <row r="85" spans="1:10" ht="15.75" thickBot="1" x14ac:dyDescent="0.3">
      <c r="A85" s="390" t="s">
        <v>1133</v>
      </c>
      <c r="B85" s="104">
        <v>1</v>
      </c>
      <c r="C85" s="47">
        <v>0</v>
      </c>
      <c r="D85" s="245">
        <v>0</v>
      </c>
      <c r="E85" s="392">
        <f t="shared" si="7"/>
        <v>1</v>
      </c>
      <c r="F85" s="262" t="s">
        <v>97</v>
      </c>
      <c r="G85" s="105">
        <v>5</v>
      </c>
      <c r="H85" s="255">
        <v>0</v>
      </c>
      <c r="I85" s="256">
        <v>0</v>
      </c>
      <c r="J85" s="396">
        <f t="shared" si="8"/>
        <v>5</v>
      </c>
    </row>
    <row r="86" spans="1:10" ht="15.75" thickBot="1" x14ac:dyDescent="0.3">
      <c r="A86" s="390" t="s">
        <v>139</v>
      </c>
      <c r="B86" s="104">
        <v>0</v>
      </c>
      <c r="C86" s="47">
        <v>1</v>
      </c>
      <c r="D86" s="245">
        <v>0</v>
      </c>
      <c r="E86" s="392">
        <f t="shared" si="7"/>
        <v>1</v>
      </c>
      <c r="F86" s="262" t="s">
        <v>84</v>
      </c>
      <c r="G86" s="105">
        <v>5</v>
      </c>
      <c r="H86" s="255">
        <v>0</v>
      </c>
      <c r="I86" s="256">
        <v>0</v>
      </c>
      <c r="J86" s="396">
        <f t="shared" si="8"/>
        <v>5</v>
      </c>
    </row>
    <row r="87" spans="1:10" ht="15.75" thickBot="1" x14ac:dyDescent="0.3">
      <c r="A87" s="390" t="s">
        <v>27</v>
      </c>
      <c r="B87" s="104">
        <v>1</v>
      </c>
      <c r="C87" s="47">
        <v>0</v>
      </c>
      <c r="D87" s="245">
        <v>0</v>
      </c>
      <c r="E87" s="392">
        <f t="shared" si="7"/>
        <v>1</v>
      </c>
      <c r="F87" s="262" t="s">
        <v>1133</v>
      </c>
      <c r="G87" s="105">
        <v>5</v>
      </c>
      <c r="H87" s="255">
        <v>0</v>
      </c>
      <c r="I87" s="256">
        <v>0</v>
      </c>
      <c r="J87" s="396">
        <f t="shared" si="8"/>
        <v>5</v>
      </c>
    </row>
    <row r="88" spans="1:10" ht="15.75" thickBot="1" x14ac:dyDescent="0.3">
      <c r="A88" s="390" t="s">
        <v>83</v>
      </c>
      <c r="B88" s="104">
        <v>1</v>
      </c>
      <c r="C88" s="47">
        <v>0</v>
      </c>
      <c r="D88" s="245">
        <v>0</v>
      </c>
      <c r="E88" s="392">
        <f t="shared" si="7"/>
        <v>1</v>
      </c>
      <c r="F88" s="254" t="s">
        <v>27</v>
      </c>
      <c r="G88" s="105">
        <v>5</v>
      </c>
      <c r="H88" s="255">
        <v>0</v>
      </c>
      <c r="I88" s="256">
        <v>0</v>
      </c>
      <c r="J88" s="396">
        <f t="shared" si="8"/>
        <v>5</v>
      </c>
    </row>
    <row r="89" spans="1:10" ht="15.75" thickBot="1" x14ac:dyDescent="0.3">
      <c r="A89" s="390" t="s">
        <v>204</v>
      </c>
      <c r="B89" s="104">
        <v>0</v>
      </c>
      <c r="C89" s="47">
        <v>1</v>
      </c>
      <c r="D89" s="245">
        <v>0</v>
      </c>
      <c r="E89" s="392">
        <f t="shared" si="7"/>
        <v>1</v>
      </c>
      <c r="F89" s="262" t="s">
        <v>83</v>
      </c>
      <c r="G89" s="105">
        <v>5</v>
      </c>
      <c r="H89" s="255">
        <v>0</v>
      </c>
      <c r="I89" s="256">
        <v>0</v>
      </c>
      <c r="J89" s="396">
        <f t="shared" si="8"/>
        <v>5</v>
      </c>
    </row>
    <row r="90" spans="1:10" ht="15.75" thickBot="1" x14ac:dyDescent="0.3">
      <c r="A90" s="390" t="s">
        <v>478</v>
      </c>
      <c r="B90" s="104">
        <v>1</v>
      </c>
      <c r="C90" s="47">
        <v>0</v>
      </c>
      <c r="D90" s="245">
        <v>0</v>
      </c>
      <c r="E90" s="392">
        <f t="shared" si="7"/>
        <v>1</v>
      </c>
      <c r="F90" s="262" t="s">
        <v>204</v>
      </c>
      <c r="G90" s="105">
        <v>0</v>
      </c>
      <c r="H90" s="255">
        <v>5</v>
      </c>
      <c r="I90" s="256">
        <v>0</v>
      </c>
      <c r="J90" s="396">
        <f t="shared" si="8"/>
        <v>5</v>
      </c>
    </row>
    <row r="91" spans="1:10" ht="15.75" thickBot="1" x14ac:dyDescent="0.3">
      <c r="A91" s="390" t="s">
        <v>142</v>
      </c>
      <c r="B91" s="104">
        <v>0</v>
      </c>
      <c r="C91" s="47">
        <v>0</v>
      </c>
      <c r="D91" s="245">
        <v>0</v>
      </c>
      <c r="E91" s="392">
        <f t="shared" si="7"/>
        <v>0</v>
      </c>
      <c r="F91" s="262" t="s">
        <v>478</v>
      </c>
      <c r="G91" s="105">
        <v>5</v>
      </c>
      <c r="H91" s="255">
        <v>0</v>
      </c>
      <c r="I91" s="256">
        <v>0</v>
      </c>
      <c r="J91" s="396">
        <f t="shared" si="8"/>
        <v>5</v>
      </c>
    </row>
    <row r="92" spans="1:10" ht="15.75" thickBot="1" x14ac:dyDescent="0.3">
      <c r="A92" s="390" t="s">
        <v>72</v>
      </c>
      <c r="B92" s="104">
        <v>0</v>
      </c>
      <c r="C92" s="47">
        <v>0</v>
      </c>
      <c r="D92" s="245">
        <v>0</v>
      </c>
      <c r="E92" s="392">
        <f t="shared" si="7"/>
        <v>0</v>
      </c>
      <c r="F92" s="262" t="s">
        <v>142</v>
      </c>
      <c r="G92" s="105">
        <v>0</v>
      </c>
      <c r="H92" s="255">
        <v>0</v>
      </c>
      <c r="I92" s="256">
        <v>0</v>
      </c>
      <c r="J92" s="396">
        <f t="shared" si="8"/>
        <v>0</v>
      </c>
    </row>
    <row r="93" spans="1:10" ht="15.75" thickBot="1" x14ac:dyDescent="0.3">
      <c r="A93" s="390" t="s">
        <v>102</v>
      </c>
      <c r="B93" s="104">
        <v>0</v>
      </c>
      <c r="C93" s="47">
        <v>0</v>
      </c>
      <c r="D93" s="245">
        <v>0</v>
      </c>
      <c r="E93" s="392">
        <f t="shared" ref="E93:E114" si="9">SUM(B93:D93)</f>
        <v>0</v>
      </c>
      <c r="F93" s="262" t="s">
        <v>72</v>
      </c>
      <c r="G93" s="105">
        <v>0</v>
      </c>
      <c r="H93" s="255">
        <v>0</v>
      </c>
      <c r="I93" s="256">
        <v>0</v>
      </c>
      <c r="J93" s="396">
        <f t="shared" ref="J93:J114" si="10">SUM(G93:I93)</f>
        <v>0</v>
      </c>
    </row>
    <row r="94" spans="1:10" ht="15.75" thickBot="1" x14ac:dyDescent="0.3">
      <c r="A94" s="390" t="s">
        <v>72</v>
      </c>
      <c r="B94" s="104">
        <v>0</v>
      </c>
      <c r="C94" s="47">
        <v>0</v>
      </c>
      <c r="D94" s="245">
        <v>0</v>
      </c>
      <c r="E94" s="392">
        <f t="shared" si="9"/>
        <v>0</v>
      </c>
      <c r="F94" s="262" t="s">
        <v>102</v>
      </c>
      <c r="G94" s="105">
        <v>0</v>
      </c>
      <c r="H94" s="255">
        <v>0</v>
      </c>
      <c r="I94" s="256">
        <v>0</v>
      </c>
      <c r="J94" s="396">
        <f t="shared" si="10"/>
        <v>0</v>
      </c>
    </row>
    <row r="95" spans="1:10" ht="15.75" thickBot="1" x14ac:dyDescent="0.3">
      <c r="A95" s="390" t="s">
        <v>91</v>
      </c>
      <c r="B95" s="104">
        <v>0</v>
      </c>
      <c r="C95" s="47">
        <v>0</v>
      </c>
      <c r="D95" s="245">
        <v>0</v>
      </c>
      <c r="E95" s="392">
        <f t="shared" si="9"/>
        <v>0</v>
      </c>
      <c r="F95" s="262" t="s">
        <v>72</v>
      </c>
      <c r="G95" s="105">
        <v>0</v>
      </c>
      <c r="H95" s="255">
        <v>0</v>
      </c>
      <c r="I95" s="256">
        <v>0</v>
      </c>
      <c r="J95" s="396">
        <f t="shared" si="10"/>
        <v>0</v>
      </c>
    </row>
    <row r="96" spans="1:10" ht="15.75" thickBot="1" x14ac:dyDescent="0.3">
      <c r="A96" s="390" t="s">
        <v>249</v>
      </c>
      <c r="B96" s="104">
        <v>0</v>
      </c>
      <c r="C96" s="47">
        <v>0</v>
      </c>
      <c r="D96" s="245">
        <v>0</v>
      </c>
      <c r="E96" s="392">
        <f t="shared" si="9"/>
        <v>0</v>
      </c>
      <c r="F96" s="262" t="s">
        <v>91</v>
      </c>
      <c r="G96" s="105">
        <v>0</v>
      </c>
      <c r="H96" s="255">
        <v>0</v>
      </c>
      <c r="I96" s="256">
        <v>0</v>
      </c>
      <c r="J96" s="396">
        <f t="shared" si="10"/>
        <v>0</v>
      </c>
    </row>
    <row r="97" spans="1:10" ht="15.75" thickBot="1" x14ac:dyDescent="0.3">
      <c r="A97" s="390" t="s">
        <v>363</v>
      </c>
      <c r="B97" s="104">
        <v>0</v>
      </c>
      <c r="C97" s="47">
        <v>0</v>
      </c>
      <c r="D97" s="245">
        <v>0</v>
      </c>
      <c r="E97" s="392">
        <f t="shared" si="9"/>
        <v>0</v>
      </c>
      <c r="F97" s="262" t="s">
        <v>249</v>
      </c>
      <c r="G97" s="105">
        <v>0</v>
      </c>
      <c r="H97" s="255">
        <v>0</v>
      </c>
      <c r="I97" s="256">
        <v>0</v>
      </c>
      <c r="J97" s="396">
        <f t="shared" si="10"/>
        <v>0</v>
      </c>
    </row>
    <row r="98" spans="1:10" ht="15.75" thickBot="1" x14ac:dyDescent="0.3">
      <c r="A98" s="390" t="s">
        <v>291</v>
      </c>
      <c r="B98" s="104">
        <v>0</v>
      </c>
      <c r="C98" s="47">
        <v>0</v>
      </c>
      <c r="D98" s="245">
        <v>0</v>
      </c>
      <c r="E98" s="392">
        <f t="shared" si="9"/>
        <v>0</v>
      </c>
      <c r="F98" s="262" t="s">
        <v>291</v>
      </c>
      <c r="G98" s="105">
        <v>0</v>
      </c>
      <c r="H98" s="255">
        <v>0</v>
      </c>
      <c r="I98" s="256">
        <v>0</v>
      </c>
      <c r="J98" s="396">
        <f t="shared" si="10"/>
        <v>0</v>
      </c>
    </row>
    <row r="99" spans="1:10" ht="15.75" thickBot="1" x14ac:dyDescent="0.3">
      <c r="A99" s="390" t="s">
        <v>138</v>
      </c>
      <c r="B99" s="104">
        <v>0</v>
      </c>
      <c r="C99" s="47">
        <v>0</v>
      </c>
      <c r="D99" s="245">
        <v>0</v>
      </c>
      <c r="E99" s="392">
        <f t="shared" si="9"/>
        <v>0</v>
      </c>
      <c r="F99" s="262" t="s">
        <v>138</v>
      </c>
      <c r="G99" s="105">
        <v>0</v>
      </c>
      <c r="H99" s="255">
        <v>0</v>
      </c>
      <c r="I99" s="256">
        <v>0</v>
      </c>
      <c r="J99" s="396">
        <f t="shared" si="10"/>
        <v>0</v>
      </c>
    </row>
    <row r="100" spans="1:10" ht="15.75" thickBot="1" x14ac:dyDescent="0.3">
      <c r="A100" s="390" t="s">
        <v>229</v>
      </c>
      <c r="B100" s="104">
        <v>0</v>
      </c>
      <c r="C100" s="47">
        <v>0</v>
      </c>
      <c r="D100" s="245">
        <v>0</v>
      </c>
      <c r="E100" s="392">
        <f t="shared" si="9"/>
        <v>0</v>
      </c>
      <c r="F100" s="262" t="s">
        <v>229</v>
      </c>
      <c r="G100" s="105">
        <v>0</v>
      </c>
      <c r="H100" s="255">
        <v>0</v>
      </c>
      <c r="I100" s="256">
        <v>0</v>
      </c>
      <c r="J100" s="396">
        <f t="shared" si="10"/>
        <v>0</v>
      </c>
    </row>
    <row r="101" spans="1:10" ht="15.75" thickBot="1" x14ac:dyDescent="0.3">
      <c r="A101" s="390" t="s">
        <v>72</v>
      </c>
      <c r="B101" s="104">
        <v>0</v>
      </c>
      <c r="C101" s="47">
        <v>0</v>
      </c>
      <c r="D101" s="245">
        <v>0</v>
      </c>
      <c r="E101" s="392">
        <f t="shared" si="9"/>
        <v>0</v>
      </c>
      <c r="F101" s="262" t="s">
        <v>72</v>
      </c>
      <c r="G101" s="105">
        <v>0</v>
      </c>
      <c r="H101" s="255">
        <v>0</v>
      </c>
      <c r="I101" s="256">
        <v>0</v>
      </c>
      <c r="J101" s="396">
        <f t="shared" si="10"/>
        <v>0</v>
      </c>
    </row>
    <row r="102" spans="1:10" ht="15.75" thickBot="1" x14ac:dyDescent="0.3">
      <c r="A102" s="390" t="s">
        <v>68</v>
      </c>
      <c r="B102" s="104">
        <v>0</v>
      </c>
      <c r="C102" s="47">
        <v>0</v>
      </c>
      <c r="D102" s="245">
        <v>0</v>
      </c>
      <c r="E102" s="392">
        <f t="shared" si="9"/>
        <v>0</v>
      </c>
      <c r="F102" s="262" t="s">
        <v>68</v>
      </c>
      <c r="G102" s="105">
        <v>0</v>
      </c>
      <c r="H102" s="255">
        <v>0</v>
      </c>
      <c r="I102" s="256">
        <v>0</v>
      </c>
      <c r="J102" s="396">
        <f t="shared" si="10"/>
        <v>0</v>
      </c>
    </row>
    <row r="103" spans="1:10" ht="15.75" thickBot="1" x14ac:dyDescent="0.3">
      <c r="A103" s="390" t="s">
        <v>72</v>
      </c>
      <c r="B103" s="104">
        <v>0</v>
      </c>
      <c r="C103" s="47">
        <v>0</v>
      </c>
      <c r="D103" s="245">
        <v>0</v>
      </c>
      <c r="E103" s="392">
        <f t="shared" si="9"/>
        <v>0</v>
      </c>
      <c r="F103" s="262" t="s">
        <v>72</v>
      </c>
      <c r="G103" s="105">
        <v>0</v>
      </c>
      <c r="H103" s="255">
        <v>0</v>
      </c>
      <c r="I103" s="256">
        <v>0</v>
      </c>
      <c r="J103" s="396">
        <f t="shared" si="10"/>
        <v>0</v>
      </c>
    </row>
    <row r="104" spans="1:10" ht="15.75" thickBot="1" x14ac:dyDescent="0.3">
      <c r="A104" s="390" t="s">
        <v>367</v>
      </c>
      <c r="B104" s="104">
        <v>0</v>
      </c>
      <c r="C104" s="47">
        <v>0</v>
      </c>
      <c r="D104" s="245">
        <v>0</v>
      </c>
      <c r="E104" s="392">
        <f t="shared" si="9"/>
        <v>0</v>
      </c>
      <c r="F104" s="262" t="s">
        <v>367</v>
      </c>
      <c r="G104" s="105">
        <v>0</v>
      </c>
      <c r="H104" s="255">
        <v>0</v>
      </c>
      <c r="I104" s="256">
        <v>0</v>
      </c>
      <c r="J104" s="396">
        <f t="shared" si="10"/>
        <v>0</v>
      </c>
    </row>
    <row r="105" spans="1:10" ht="15.75" thickBot="1" x14ac:dyDescent="0.3">
      <c r="A105" s="390" t="s">
        <v>72</v>
      </c>
      <c r="B105" s="104">
        <v>0</v>
      </c>
      <c r="C105" s="47">
        <v>0</v>
      </c>
      <c r="D105" s="245">
        <v>0</v>
      </c>
      <c r="E105" s="392">
        <f t="shared" si="9"/>
        <v>0</v>
      </c>
      <c r="F105" s="262" t="s">
        <v>72</v>
      </c>
      <c r="G105" s="105">
        <v>0</v>
      </c>
      <c r="H105" s="255">
        <v>0</v>
      </c>
      <c r="I105" s="256">
        <v>0</v>
      </c>
      <c r="J105" s="396">
        <f t="shared" si="10"/>
        <v>0</v>
      </c>
    </row>
    <row r="106" spans="1:10" ht="15.75" thickBot="1" x14ac:dyDescent="0.3">
      <c r="A106" s="390" t="s">
        <v>67</v>
      </c>
      <c r="B106" s="104">
        <v>0</v>
      </c>
      <c r="C106" s="47">
        <v>0</v>
      </c>
      <c r="D106" s="245">
        <v>0</v>
      </c>
      <c r="E106" s="392">
        <f t="shared" si="9"/>
        <v>0</v>
      </c>
      <c r="F106" s="262" t="s">
        <v>67</v>
      </c>
      <c r="G106" s="105">
        <v>0</v>
      </c>
      <c r="H106" s="255">
        <v>0</v>
      </c>
      <c r="I106" s="256">
        <v>0</v>
      </c>
      <c r="J106" s="396">
        <f t="shared" si="10"/>
        <v>0</v>
      </c>
    </row>
    <row r="107" spans="1:10" ht="15.75" thickBot="1" x14ac:dyDescent="0.3">
      <c r="A107" s="390" t="s">
        <v>427</v>
      </c>
      <c r="B107" s="104">
        <v>0</v>
      </c>
      <c r="C107" s="47">
        <v>0</v>
      </c>
      <c r="D107" s="245">
        <v>0</v>
      </c>
      <c r="E107" s="392">
        <f t="shared" si="9"/>
        <v>0</v>
      </c>
      <c r="F107" s="262" t="s">
        <v>427</v>
      </c>
      <c r="G107" s="105">
        <v>0</v>
      </c>
      <c r="H107" s="255">
        <v>0</v>
      </c>
      <c r="I107" s="256">
        <v>0</v>
      </c>
      <c r="J107" s="396">
        <f t="shared" si="10"/>
        <v>0</v>
      </c>
    </row>
    <row r="108" spans="1:10" ht="15.75" thickBot="1" x14ac:dyDescent="0.3">
      <c r="A108" s="390" t="s">
        <v>58</v>
      </c>
      <c r="B108" s="104">
        <v>0</v>
      </c>
      <c r="C108" s="47">
        <v>0</v>
      </c>
      <c r="D108" s="245">
        <v>0</v>
      </c>
      <c r="E108" s="392">
        <f t="shared" si="9"/>
        <v>0</v>
      </c>
      <c r="F108" s="262" t="s">
        <v>58</v>
      </c>
      <c r="G108" s="105">
        <v>0</v>
      </c>
      <c r="H108" s="255">
        <v>0</v>
      </c>
      <c r="I108" s="256">
        <v>0</v>
      </c>
      <c r="J108" s="396">
        <f t="shared" si="10"/>
        <v>0</v>
      </c>
    </row>
    <row r="109" spans="1:10" ht="15.75" thickBot="1" x14ac:dyDescent="0.3">
      <c r="A109" s="390" t="s">
        <v>253</v>
      </c>
      <c r="B109" s="104">
        <v>0</v>
      </c>
      <c r="C109" s="47">
        <v>0</v>
      </c>
      <c r="D109" s="245">
        <v>0</v>
      </c>
      <c r="E109" s="392">
        <f t="shared" si="9"/>
        <v>0</v>
      </c>
      <c r="F109" s="262" t="s">
        <v>253</v>
      </c>
      <c r="G109" s="105">
        <v>0</v>
      </c>
      <c r="H109" s="255">
        <v>0</v>
      </c>
      <c r="I109" s="256">
        <v>0</v>
      </c>
      <c r="J109" s="396">
        <f t="shared" si="10"/>
        <v>0</v>
      </c>
    </row>
    <row r="110" spans="1:10" ht="15.75" thickBot="1" x14ac:dyDescent="0.3">
      <c r="A110" s="390" t="s">
        <v>72</v>
      </c>
      <c r="B110" s="104">
        <v>0</v>
      </c>
      <c r="C110" s="47">
        <v>0</v>
      </c>
      <c r="D110" s="245">
        <v>0</v>
      </c>
      <c r="E110" s="392">
        <f t="shared" si="9"/>
        <v>0</v>
      </c>
      <c r="F110" s="262" t="s">
        <v>72</v>
      </c>
      <c r="G110" s="105">
        <v>0</v>
      </c>
      <c r="H110" s="255">
        <v>0</v>
      </c>
      <c r="I110" s="256">
        <v>0</v>
      </c>
      <c r="J110" s="396">
        <f t="shared" si="10"/>
        <v>0</v>
      </c>
    </row>
    <row r="111" spans="1:10" ht="15.75" thickBot="1" x14ac:dyDescent="0.3">
      <c r="A111" s="390" t="s">
        <v>300</v>
      </c>
      <c r="B111" s="104">
        <v>0</v>
      </c>
      <c r="C111" s="47">
        <v>0</v>
      </c>
      <c r="D111" s="245">
        <v>0</v>
      </c>
      <c r="E111" s="392">
        <f t="shared" si="9"/>
        <v>0</v>
      </c>
      <c r="F111" s="254" t="s">
        <v>300</v>
      </c>
      <c r="G111" s="105">
        <v>0</v>
      </c>
      <c r="H111" s="255">
        <v>0</v>
      </c>
      <c r="I111" s="256">
        <v>0</v>
      </c>
      <c r="J111" s="396">
        <f t="shared" si="10"/>
        <v>0</v>
      </c>
    </row>
    <row r="112" spans="1:10" ht="15.75" thickBot="1" x14ac:dyDescent="0.3">
      <c r="A112" s="390" t="s">
        <v>72</v>
      </c>
      <c r="B112" s="104">
        <v>0</v>
      </c>
      <c r="C112" s="47">
        <v>0</v>
      </c>
      <c r="D112" s="245">
        <v>0</v>
      </c>
      <c r="E112" s="392">
        <f t="shared" si="9"/>
        <v>0</v>
      </c>
      <c r="F112" s="254" t="s">
        <v>72</v>
      </c>
      <c r="G112" s="105">
        <v>0</v>
      </c>
      <c r="H112" s="255">
        <v>0</v>
      </c>
      <c r="I112" s="256">
        <v>0</v>
      </c>
      <c r="J112" s="396">
        <f t="shared" si="10"/>
        <v>0</v>
      </c>
    </row>
    <row r="113" spans="1:10" ht="15.75" thickBot="1" x14ac:dyDescent="0.3">
      <c r="A113" s="390" t="s">
        <v>72</v>
      </c>
      <c r="B113" s="104">
        <v>0</v>
      </c>
      <c r="C113" s="47">
        <v>0</v>
      </c>
      <c r="D113" s="245">
        <v>0</v>
      </c>
      <c r="E113" s="392">
        <f t="shared" si="9"/>
        <v>0</v>
      </c>
      <c r="F113" s="254" t="s">
        <v>72</v>
      </c>
      <c r="G113" s="105">
        <v>0</v>
      </c>
      <c r="H113" s="255">
        <v>0</v>
      </c>
      <c r="I113" s="256">
        <v>0</v>
      </c>
      <c r="J113" s="396">
        <f t="shared" si="10"/>
        <v>0</v>
      </c>
    </row>
    <row r="114" spans="1:10" ht="15.75" thickBot="1" x14ac:dyDescent="0.3">
      <c r="A114" s="390" t="s">
        <v>72</v>
      </c>
      <c r="B114" s="104">
        <v>0</v>
      </c>
      <c r="C114" s="47">
        <v>0</v>
      </c>
      <c r="D114" s="245">
        <v>0</v>
      </c>
      <c r="E114" s="392">
        <f t="shared" si="9"/>
        <v>0</v>
      </c>
      <c r="F114" s="254" t="s">
        <v>72</v>
      </c>
      <c r="G114" s="105">
        <v>0</v>
      </c>
      <c r="H114" s="255">
        <v>0</v>
      </c>
      <c r="I114" s="256">
        <v>0</v>
      </c>
      <c r="J114" s="396">
        <f t="shared" si="10"/>
        <v>0</v>
      </c>
    </row>
    <row r="115" spans="1:10" ht="15.75" thickBot="1" x14ac:dyDescent="0.3">
      <c r="A115" s="390" t="s">
        <v>3</v>
      </c>
      <c r="B115" s="104">
        <f>SUM(B61:B114)</f>
        <v>59</v>
      </c>
      <c r="C115" s="47">
        <f>SUM(C61:C114)</f>
        <v>12</v>
      </c>
      <c r="D115" s="245">
        <f>SUM(D61:D114)</f>
        <v>12</v>
      </c>
      <c r="E115" s="392">
        <f t="shared" ref="E115" si="11">SUM(B115:D115)</f>
        <v>83</v>
      </c>
      <c r="F115" s="254" t="s">
        <v>3</v>
      </c>
      <c r="G115" s="105">
        <f>SUM(G61:G114)</f>
        <v>526</v>
      </c>
      <c r="H115" s="255">
        <f>SUM(H61:H114)</f>
        <v>102</v>
      </c>
      <c r="I115" s="256">
        <f>SUM(I61:I114)</f>
        <v>83</v>
      </c>
      <c r="J115" s="396">
        <f t="shared" ref="J115" si="12">SUM(G115:I115)</f>
        <v>711</v>
      </c>
    </row>
    <row r="116" spans="1:10" x14ac:dyDescent="0.25">
      <c r="A116" s="58" t="s">
        <v>130</v>
      </c>
    </row>
  </sheetData>
  <sortState xmlns:xlrd2="http://schemas.microsoft.com/office/spreadsheetml/2017/richdata2" ref="F61:J114">
    <sortCondition descending="1" ref="J61:J114"/>
  </sortState>
  <mergeCells count="29">
    <mergeCell ref="A1:J1"/>
    <mergeCell ref="K22:K23"/>
    <mergeCell ref="K13:K14"/>
    <mergeCell ref="K1:K2"/>
    <mergeCell ref="L1:N2"/>
    <mergeCell ref="L13:N14"/>
    <mergeCell ref="AI22:AK23"/>
    <mergeCell ref="T1:V2"/>
    <mergeCell ref="O13:Q14"/>
    <mergeCell ref="O22:Q23"/>
    <mergeCell ref="AC1:AE2"/>
    <mergeCell ref="O1:Q2"/>
    <mergeCell ref="U13:W14"/>
    <mergeCell ref="U22:W23"/>
    <mergeCell ref="R1:S2"/>
    <mergeCell ref="W1:Y2"/>
    <mergeCell ref="R13:T14"/>
    <mergeCell ref="R22:T23"/>
    <mergeCell ref="AO1:AQ2"/>
    <mergeCell ref="AI1:AK2"/>
    <mergeCell ref="AF1:AH2"/>
    <mergeCell ref="AL1:AN2"/>
    <mergeCell ref="AL13:AN14"/>
    <mergeCell ref="AI13:AK14"/>
    <mergeCell ref="K31:Z31"/>
    <mergeCell ref="K32:Z32"/>
    <mergeCell ref="AF13:AH14"/>
    <mergeCell ref="AF22:AH23"/>
    <mergeCell ref="L22:N2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X118"/>
  <sheetViews>
    <sheetView workbookViewId="0">
      <selection activeCell="O14" sqref="O14:Q15"/>
    </sheetView>
  </sheetViews>
  <sheetFormatPr defaultColWidth="8.85546875" defaultRowHeight="15" x14ac:dyDescent="0.25"/>
  <cols>
    <col min="1" max="1" width="18.28515625" bestFit="1" customWidth="1"/>
    <col min="2" max="2" width="3.7109375" customWidth="1"/>
    <col min="3" max="3" width="4.140625" customWidth="1"/>
    <col min="4" max="5" width="4.7109375" customWidth="1"/>
    <col min="6" max="6" width="18.28515625" bestFit="1" customWidth="1"/>
    <col min="7" max="10" width="5.28515625" customWidth="1"/>
    <col min="11" max="11" width="16.7109375" customWidth="1"/>
    <col min="12" max="43" width="5.7109375" customWidth="1"/>
  </cols>
  <sheetData>
    <row r="1" spans="1:50" ht="15" customHeight="1" thickBot="1" x14ac:dyDescent="0.3">
      <c r="A1" s="578" t="s">
        <v>912</v>
      </c>
      <c r="B1" s="579"/>
      <c r="C1" s="579"/>
      <c r="D1" s="579"/>
      <c r="E1" s="579"/>
      <c r="F1" s="579"/>
      <c r="G1" s="579"/>
      <c r="H1" s="579"/>
      <c r="I1" s="579"/>
      <c r="J1" s="580"/>
      <c r="K1" s="513" t="s">
        <v>1028</v>
      </c>
      <c r="L1" s="500" t="s">
        <v>42</v>
      </c>
      <c r="M1" s="501"/>
      <c r="N1" s="502"/>
      <c r="O1" s="500" t="s">
        <v>151</v>
      </c>
      <c r="P1" s="501"/>
      <c r="Q1" s="502"/>
      <c r="R1" s="500" t="s">
        <v>1027</v>
      </c>
      <c r="S1" s="502"/>
      <c r="T1" s="515" t="s">
        <v>100</v>
      </c>
      <c r="U1" s="516"/>
      <c r="V1" s="517"/>
      <c r="W1" s="515" t="s">
        <v>915</v>
      </c>
      <c r="X1" s="516"/>
      <c r="Y1" s="517"/>
      <c r="Z1" s="309"/>
      <c r="AA1" s="323"/>
      <c r="AB1" s="340"/>
      <c r="AC1" s="515" t="s">
        <v>303</v>
      </c>
      <c r="AD1" s="516"/>
      <c r="AE1" s="517"/>
      <c r="AF1" s="515" t="s">
        <v>205</v>
      </c>
      <c r="AG1" s="516"/>
      <c r="AH1" s="517"/>
      <c r="AI1" s="515" t="s">
        <v>186</v>
      </c>
      <c r="AJ1" s="516"/>
      <c r="AK1" s="517"/>
      <c r="AL1" s="515" t="s">
        <v>140</v>
      </c>
      <c r="AM1" s="516"/>
      <c r="AN1" s="517"/>
      <c r="AO1" s="515" t="s">
        <v>175</v>
      </c>
      <c r="AP1" s="516"/>
      <c r="AQ1" s="517"/>
      <c r="AS1" s="5"/>
      <c r="AT1" s="5"/>
      <c r="AU1" s="5"/>
      <c r="AX1" s="5"/>
    </row>
    <row r="2" spans="1:50" ht="15" customHeight="1" thickBot="1" x14ac:dyDescent="0.3">
      <c r="A2" s="119" t="s">
        <v>0</v>
      </c>
      <c r="B2" s="169" t="s">
        <v>305</v>
      </c>
      <c r="C2" s="153" t="s">
        <v>99</v>
      </c>
      <c r="D2" s="244" t="s">
        <v>306</v>
      </c>
      <c r="E2" s="165" t="s">
        <v>1</v>
      </c>
      <c r="F2" s="258" t="s">
        <v>2</v>
      </c>
      <c r="G2" s="160" t="s">
        <v>305</v>
      </c>
      <c r="H2" s="164" t="s">
        <v>99</v>
      </c>
      <c r="I2" s="260" t="s">
        <v>306</v>
      </c>
      <c r="J2" s="261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518"/>
      <c r="U2" s="519"/>
      <c r="V2" s="520"/>
      <c r="W2" s="518"/>
      <c r="X2" s="519"/>
      <c r="Y2" s="520"/>
      <c r="Z2" s="309"/>
      <c r="AA2" s="323"/>
      <c r="AB2" s="340"/>
      <c r="AC2" s="518"/>
      <c r="AD2" s="519"/>
      <c r="AE2" s="520"/>
      <c r="AF2" s="518"/>
      <c r="AG2" s="519"/>
      <c r="AH2" s="520"/>
      <c r="AI2" s="518"/>
      <c r="AJ2" s="519"/>
      <c r="AK2" s="520"/>
      <c r="AL2" s="518"/>
      <c r="AM2" s="519"/>
      <c r="AN2" s="520"/>
      <c r="AO2" s="518"/>
      <c r="AP2" s="519"/>
      <c r="AQ2" s="520"/>
    </row>
    <row r="3" spans="1:50" ht="15" customHeight="1" thickBot="1" x14ac:dyDescent="0.3">
      <c r="A3" s="116" t="s">
        <v>899</v>
      </c>
      <c r="B3" s="104">
        <v>0</v>
      </c>
      <c r="C3" s="47">
        <v>0</v>
      </c>
      <c r="D3" s="245">
        <v>0</v>
      </c>
      <c r="E3" s="117">
        <f t="shared" ref="E3:E57" si="0">SUM(B3:D3)</f>
        <v>0</v>
      </c>
      <c r="F3" s="254" t="s">
        <v>899</v>
      </c>
      <c r="G3" s="105">
        <v>0</v>
      </c>
      <c r="H3" s="59">
        <v>0</v>
      </c>
      <c r="I3" s="256">
        <v>0</v>
      </c>
      <c r="J3" s="257">
        <f t="shared" ref="J3:J57" si="1">SUM(G3:I3)</f>
        <v>0</v>
      </c>
      <c r="K3" s="36" t="s">
        <v>72</v>
      </c>
      <c r="L3" s="4" t="s">
        <v>176</v>
      </c>
      <c r="M3" s="4" t="s">
        <v>36</v>
      </c>
      <c r="N3" s="4" t="s">
        <v>37</v>
      </c>
      <c r="O3" s="4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127"/>
      <c r="AB3" s="341"/>
      <c r="AC3" s="283" t="s">
        <v>176</v>
      </c>
      <c r="AD3" s="8" t="s">
        <v>36</v>
      </c>
      <c r="AE3" s="8" t="s">
        <v>37</v>
      </c>
      <c r="AF3" s="283" t="s">
        <v>176</v>
      </c>
      <c r="AG3" s="8" t="s">
        <v>36</v>
      </c>
      <c r="AH3" s="8" t="s">
        <v>37</v>
      </c>
      <c r="AI3" s="8" t="s">
        <v>176</v>
      </c>
      <c r="AJ3" s="8" t="s">
        <v>36</v>
      </c>
      <c r="AK3" s="8" t="s">
        <v>37</v>
      </c>
      <c r="AL3" s="8" t="s">
        <v>176</v>
      </c>
      <c r="AM3" s="8" t="s">
        <v>36</v>
      </c>
      <c r="AN3" s="8" t="s">
        <v>37</v>
      </c>
      <c r="AO3" s="8" t="s">
        <v>176</v>
      </c>
      <c r="AP3" s="8" t="s">
        <v>36</v>
      </c>
      <c r="AQ3" s="8" t="s">
        <v>37</v>
      </c>
    </row>
    <row r="4" spans="1:50" ht="15" customHeight="1" thickBot="1" x14ac:dyDescent="0.3">
      <c r="A4" s="116" t="s">
        <v>62</v>
      </c>
      <c r="B4" s="104">
        <v>4</v>
      </c>
      <c r="C4" s="47">
        <v>1</v>
      </c>
      <c r="D4" s="245">
        <v>0</v>
      </c>
      <c r="E4" s="117">
        <f t="shared" si="0"/>
        <v>5</v>
      </c>
      <c r="F4" s="262" t="s">
        <v>62</v>
      </c>
      <c r="G4" s="105">
        <v>20</v>
      </c>
      <c r="H4" s="59">
        <v>5</v>
      </c>
      <c r="I4" s="256">
        <v>0</v>
      </c>
      <c r="J4" s="257">
        <f t="shared" si="1"/>
        <v>25</v>
      </c>
      <c r="K4" s="116" t="s">
        <v>10</v>
      </c>
      <c r="L4" s="117">
        <v>27</v>
      </c>
      <c r="M4" s="117">
        <v>36</v>
      </c>
      <c r="N4" s="118">
        <f>SUM(L4/M4)*100</f>
        <v>75</v>
      </c>
      <c r="O4" s="117" t="s">
        <v>43</v>
      </c>
      <c r="P4" s="117" t="s">
        <v>43</v>
      </c>
      <c r="Q4" s="118" t="s">
        <v>43</v>
      </c>
      <c r="R4" s="117">
        <v>-1</v>
      </c>
      <c r="S4" s="117">
        <v>-1</v>
      </c>
      <c r="T4" s="8">
        <v>59</v>
      </c>
      <c r="U4" s="8">
        <v>80</v>
      </c>
      <c r="V4" s="294">
        <f>SUM(T4/U4)*100</f>
        <v>73.75</v>
      </c>
      <c r="W4" s="283">
        <v>82</v>
      </c>
      <c r="X4" s="8">
        <v>105</v>
      </c>
      <c r="Y4" s="294">
        <f>SUM(W4/X4)*100</f>
        <v>78.095238095238102</v>
      </c>
      <c r="Z4" s="126"/>
      <c r="AA4" s="127"/>
      <c r="AB4" s="341"/>
      <c r="AC4" s="283">
        <v>31</v>
      </c>
      <c r="AD4" s="8">
        <v>43</v>
      </c>
      <c r="AE4" s="294">
        <f>SUM(AC4/AD4)*100</f>
        <v>72.093023255813947</v>
      </c>
      <c r="AF4" s="283">
        <v>43</v>
      </c>
      <c r="AG4" s="8">
        <v>55</v>
      </c>
      <c r="AH4" s="294">
        <f>SUM(AF4/AG4)*100</f>
        <v>78.181818181818187</v>
      </c>
      <c r="AI4" s="8">
        <v>50</v>
      </c>
      <c r="AJ4" s="8">
        <v>61</v>
      </c>
      <c r="AK4" s="294">
        <f>SUM(AI4/AJ4)*100</f>
        <v>81.967213114754102</v>
      </c>
      <c r="AL4" s="8">
        <v>58</v>
      </c>
      <c r="AM4" s="8">
        <v>75</v>
      </c>
      <c r="AN4" s="294">
        <f>SUM(AL4/AM4)*100</f>
        <v>77.333333333333329</v>
      </c>
      <c r="AO4" s="8">
        <v>46</v>
      </c>
      <c r="AP4" s="8">
        <v>62</v>
      </c>
      <c r="AQ4" s="8">
        <v>74</v>
      </c>
    </row>
    <row r="5" spans="1:50" ht="15" customHeight="1" thickBot="1" x14ac:dyDescent="0.3">
      <c r="A5" s="116" t="s">
        <v>98</v>
      </c>
      <c r="B5" s="104">
        <v>3</v>
      </c>
      <c r="C5" s="47">
        <v>0</v>
      </c>
      <c r="D5" s="245">
        <v>0</v>
      </c>
      <c r="E5" s="117">
        <f t="shared" si="0"/>
        <v>3</v>
      </c>
      <c r="F5" s="262" t="s">
        <v>98</v>
      </c>
      <c r="G5" s="105">
        <v>15</v>
      </c>
      <c r="H5" s="59">
        <v>0</v>
      </c>
      <c r="I5" s="256">
        <v>0</v>
      </c>
      <c r="J5" s="257">
        <f t="shared" si="1"/>
        <v>15</v>
      </c>
      <c r="K5" s="116" t="s">
        <v>122</v>
      </c>
      <c r="L5" s="117">
        <v>5</v>
      </c>
      <c r="M5" s="117">
        <v>9</v>
      </c>
      <c r="N5" s="118">
        <f>(Hodgsoncharliegoals/hodgsoncharlieatt)*100</f>
        <v>55.555555555555557</v>
      </c>
      <c r="O5" s="117" t="s">
        <v>43</v>
      </c>
      <c r="P5" s="117" t="s">
        <v>43</v>
      </c>
      <c r="Q5" s="118" t="s">
        <v>43</v>
      </c>
      <c r="R5" s="117">
        <v>-2</v>
      </c>
      <c r="S5" s="117">
        <v>-2</v>
      </c>
      <c r="T5" s="8">
        <v>21</v>
      </c>
      <c r="U5" s="8">
        <v>27</v>
      </c>
      <c r="V5" s="294">
        <f>SUM(T5/U5)*100</f>
        <v>77.777777777777786</v>
      </c>
      <c r="W5" s="283">
        <v>26</v>
      </c>
      <c r="X5" s="8">
        <v>38</v>
      </c>
      <c r="Y5" s="294">
        <f>SUM(W5/X5)*100</f>
        <v>68.421052631578945</v>
      </c>
      <c r="Z5" s="126"/>
      <c r="AA5" s="127"/>
      <c r="AB5" s="341"/>
      <c r="AC5" s="283">
        <v>54</v>
      </c>
      <c r="AD5" s="8">
        <v>78</v>
      </c>
      <c r="AE5" s="294">
        <f>SUM(AC5/AD5)*100</f>
        <v>69.230769230769226</v>
      </c>
      <c r="AF5" s="283">
        <v>4</v>
      </c>
      <c r="AG5" s="8">
        <v>4</v>
      </c>
      <c r="AH5" s="294">
        <f>SUM(AF5/AG5)*100</f>
        <v>100</v>
      </c>
      <c r="AI5" s="8">
        <v>14</v>
      </c>
      <c r="AJ5" s="8">
        <v>17</v>
      </c>
      <c r="AK5" s="294">
        <f>SUM(AI5/AJ5)*100</f>
        <v>82.35294117647058</v>
      </c>
      <c r="AL5" s="8" t="s">
        <v>43</v>
      </c>
      <c r="AM5" s="8" t="s">
        <v>43</v>
      </c>
      <c r="AN5" s="8" t="s">
        <v>43</v>
      </c>
      <c r="AO5" s="8" t="s">
        <v>43</v>
      </c>
      <c r="AP5" s="8" t="s">
        <v>43</v>
      </c>
      <c r="AQ5" s="8" t="s">
        <v>43</v>
      </c>
    </row>
    <row r="6" spans="1:50" ht="15" customHeight="1" thickBot="1" x14ac:dyDescent="0.3">
      <c r="A6" s="116" t="s">
        <v>1216</v>
      </c>
      <c r="B6" s="104">
        <v>1</v>
      </c>
      <c r="C6" s="47">
        <v>0</v>
      </c>
      <c r="D6" s="245">
        <v>0</v>
      </c>
      <c r="E6" s="117">
        <f t="shared" si="0"/>
        <v>1</v>
      </c>
      <c r="F6" s="262" t="s">
        <v>1216</v>
      </c>
      <c r="G6" s="105">
        <v>5</v>
      </c>
      <c r="H6" s="59">
        <v>0</v>
      </c>
      <c r="I6" s="256">
        <v>0</v>
      </c>
      <c r="J6" s="257">
        <f t="shared" si="1"/>
        <v>5</v>
      </c>
      <c r="K6" s="116" t="s">
        <v>22</v>
      </c>
      <c r="L6" s="117">
        <v>5</v>
      </c>
      <c r="M6" s="117">
        <v>6</v>
      </c>
      <c r="N6" s="118">
        <f>SUM(L6/M6)*100</f>
        <v>83.333333333333343</v>
      </c>
      <c r="O6" s="117" t="s">
        <v>43</v>
      </c>
      <c r="P6" s="117" t="s">
        <v>43</v>
      </c>
      <c r="Q6" s="118" t="s">
        <v>43</v>
      </c>
      <c r="R6" s="117">
        <v>3</v>
      </c>
      <c r="S6" s="117">
        <v>6</v>
      </c>
      <c r="T6" s="8">
        <v>9</v>
      </c>
      <c r="U6" s="8">
        <v>14</v>
      </c>
      <c r="V6" s="294">
        <f t="shared" ref="V6:V7" si="2">SUM(T6/U6)*100</f>
        <v>64.285714285714292</v>
      </c>
      <c r="W6" s="283" t="s">
        <v>43</v>
      </c>
      <c r="X6" s="8" t="s">
        <v>43</v>
      </c>
      <c r="Y6" s="8" t="s">
        <v>43</v>
      </c>
      <c r="Z6" s="126"/>
      <c r="AA6" s="127"/>
      <c r="AB6" s="341"/>
      <c r="AC6" s="283">
        <v>4</v>
      </c>
      <c r="AD6" s="8">
        <v>9</v>
      </c>
      <c r="AE6" s="294">
        <f>SUM(AC6/AD6)*100</f>
        <v>44.444444444444443</v>
      </c>
      <c r="AF6" s="283">
        <v>13</v>
      </c>
      <c r="AG6" s="8">
        <v>15</v>
      </c>
      <c r="AH6" s="294">
        <f>SUM(AF6/AG6)*100</f>
        <v>86.666666666666671</v>
      </c>
      <c r="AI6" s="8">
        <v>28</v>
      </c>
      <c r="AJ6" s="8">
        <v>37</v>
      </c>
      <c r="AK6" s="294">
        <f>SUM(AI6/AJ6)*100</f>
        <v>75.675675675675677</v>
      </c>
      <c r="AL6" s="8">
        <v>19</v>
      </c>
      <c r="AM6" s="8">
        <v>23</v>
      </c>
      <c r="AN6" s="294">
        <f>SUM(AL6/AM6)*100</f>
        <v>82.608695652173907</v>
      </c>
      <c r="AO6" s="8">
        <v>1</v>
      </c>
      <c r="AP6" s="8">
        <v>1</v>
      </c>
      <c r="AQ6" s="8">
        <v>100</v>
      </c>
    </row>
    <row r="7" spans="1:50" ht="15" customHeight="1" thickBot="1" x14ac:dyDescent="0.3">
      <c r="A7" s="116" t="s">
        <v>1131</v>
      </c>
      <c r="B7" s="104">
        <v>1</v>
      </c>
      <c r="C7" s="47">
        <v>0</v>
      </c>
      <c r="D7" s="245">
        <v>0</v>
      </c>
      <c r="E7" s="117">
        <f t="shared" si="0"/>
        <v>1</v>
      </c>
      <c r="F7" s="262" t="s">
        <v>1131</v>
      </c>
      <c r="G7" s="105">
        <v>5</v>
      </c>
      <c r="H7" s="59">
        <v>0</v>
      </c>
      <c r="I7" s="256">
        <v>0</v>
      </c>
      <c r="J7" s="257">
        <f t="shared" si="1"/>
        <v>5</v>
      </c>
      <c r="K7" s="116" t="s">
        <v>14</v>
      </c>
      <c r="L7" s="117">
        <v>7</v>
      </c>
      <c r="M7" s="117">
        <v>8</v>
      </c>
      <c r="N7" s="118">
        <f>(spencerbengoals/spencerbenatt)*100</f>
        <v>87.5</v>
      </c>
      <c r="O7" s="117" t="s">
        <v>43</v>
      </c>
      <c r="P7" s="117" t="s">
        <v>43</v>
      </c>
      <c r="Q7" s="118" t="s">
        <v>43</v>
      </c>
      <c r="R7" s="117">
        <v>-1</v>
      </c>
      <c r="S7" s="117">
        <v>-1</v>
      </c>
      <c r="T7" s="8">
        <v>14</v>
      </c>
      <c r="U7" s="8">
        <v>20</v>
      </c>
      <c r="V7" s="294">
        <f t="shared" si="2"/>
        <v>70</v>
      </c>
      <c r="W7" s="283">
        <v>15</v>
      </c>
      <c r="X7" s="8">
        <v>20</v>
      </c>
      <c r="Y7" s="294">
        <f>SUM(W7/X7)*100</f>
        <v>75</v>
      </c>
      <c r="Z7" s="126"/>
      <c r="AA7" s="127"/>
      <c r="AB7" s="341"/>
      <c r="AC7" s="283">
        <v>7</v>
      </c>
      <c r="AD7" s="8">
        <v>8</v>
      </c>
      <c r="AE7" s="294">
        <f>SUM(AC7/AD7)*100</f>
        <v>87.5</v>
      </c>
      <c r="AF7" s="283">
        <v>7</v>
      </c>
      <c r="AG7" s="8">
        <v>9</v>
      </c>
      <c r="AH7" s="294">
        <f>SUM(AF7/AG7)*100</f>
        <v>77.777777777777786</v>
      </c>
      <c r="AI7" s="8">
        <v>3</v>
      </c>
      <c r="AJ7" s="8">
        <v>3</v>
      </c>
      <c r="AK7" s="294">
        <f>SUM(AI7/AJ7)*100</f>
        <v>100</v>
      </c>
      <c r="AL7" s="8">
        <v>3</v>
      </c>
      <c r="AM7" s="8">
        <v>4</v>
      </c>
      <c r="AN7" s="294">
        <f>SUM(AL7/AM7)*100</f>
        <v>75</v>
      </c>
      <c r="AO7" s="8" t="s">
        <v>43</v>
      </c>
      <c r="AP7" s="8" t="s">
        <v>43</v>
      </c>
      <c r="AQ7" s="8" t="s">
        <v>43</v>
      </c>
    </row>
    <row r="8" spans="1:50" ht="15" customHeight="1" thickBot="1" x14ac:dyDescent="0.3">
      <c r="A8" s="116" t="s">
        <v>91</v>
      </c>
      <c r="B8" s="104">
        <v>0</v>
      </c>
      <c r="C8" s="47">
        <v>0</v>
      </c>
      <c r="D8" s="245">
        <v>0</v>
      </c>
      <c r="E8" s="117">
        <f t="shared" si="0"/>
        <v>0</v>
      </c>
      <c r="F8" s="262" t="s">
        <v>91</v>
      </c>
      <c r="G8" s="105">
        <v>0</v>
      </c>
      <c r="H8" s="59">
        <v>0</v>
      </c>
      <c r="I8" s="256">
        <v>0</v>
      </c>
      <c r="J8" s="257">
        <f t="shared" si="1"/>
        <v>0</v>
      </c>
      <c r="K8" s="116" t="s">
        <v>225</v>
      </c>
      <c r="L8" s="117">
        <v>0</v>
      </c>
      <c r="M8" s="117">
        <v>0</v>
      </c>
      <c r="N8" s="117" t="s">
        <v>43</v>
      </c>
      <c r="O8" s="117" t="s">
        <v>43</v>
      </c>
      <c r="P8" s="117" t="s">
        <v>43</v>
      </c>
      <c r="Q8" s="118" t="s">
        <v>43</v>
      </c>
      <c r="R8" s="117">
        <v>1</v>
      </c>
      <c r="S8" s="117">
        <v>1</v>
      </c>
      <c r="T8" s="8">
        <v>1</v>
      </c>
      <c r="U8" s="8">
        <v>1</v>
      </c>
      <c r="V8" s="8">
        <v>100</v>
      </c>
      <c r="W8" s="283">
        <v>0</v>
      </c>
      <c r="X8" s="8">
        <v>1</v>
      </c>
      <c r="Y8" s="294">
        <f>SUM(W8/X8)*100</f>
        <v>0</v>
      </c>
      <c r="Z8" s="126"/>
      <c r="AA8" s="127"/>
      <c r="AB8" s="341"/>
      <c r="AC8" s="283" t="s">
        <v>43</v>
      </c>
      <c r="AD8" s="8" t="s">
        <v>43</v>
      </c>
      <c r="AE8" s="8" t="s">
        <v>43</v>
      </c>
      <c r="AF8" s="283" t="s">
        <v>43</v>
      </c>
      <c r="AG8" s="8" t="s">
        <v>43</v>
      </c>
      <c r="AH8" s="8" t="s">
        <v>43</v>
      </c>
      <c r="AI8" s="8" t="s">
        <v>43</v>
      </c>
      <c r="AJ8" s="8" t="s">
        <v>43</v>
      </c>
      <c r="AK8" s="8" t="s">
        <v>43</v>
      </c>
      <c r="AL8" s="8" t="s">
        <v>43</v>
      </c>
      <c r="AM8" s="8" t="s">
        <v>43</v>
      </c>
      <c r="AN8" s="8" t="s">
        <v>43</v>
      </c>
      <c r="AO8" s="8" t="s">
        <v>43</v>
      </c>
      <c r="AP8" s="8" t="s">
        <v>43</v>
      </c>
      <c r="AQ8" s="8" t="s">
        <v>43</v>
      </c>
    </row>
    <row r="9" spans="1:50" ht="15" customHeight="1" thickBot="1" x14ac:dyDescent="0.3">
      <c r="A9" s="116" t="s">
        <v>1141</v>
      </c>
      <c r="B9" s="104">
        <v>3</v>
      </c>
      <c r="C9" s="47">
        <v>0</v>
      </c>
      <c r="D9" s="245">
        <v>0</v>
      </c>
      <c r="E9" s="117">
        <f t="shared" si="0"/>
        <v>3</v>
      </c>
      <c r="F9" s="262" t="s">
        <v>1141</v>
      </c>
      <c r="G9" s="105">
        <v>15</v>
      </c>
      <c r="H9" s="59">
        <v>0</v>
      </c>
      <c r="I9" s="256">
        <v>0</v>
      </c>
      <c r="J9" s="257">
        <f t="shared" si="1"/>
        <v>15</v>
      </c>
      <c r="K9" s="116" t="s">
        <v>216</v>
      </c>
      <c r="L9" s="117" t="s">
        <v>43</v>
      </c>
      <c r="M9" s="117" t="s">
        <v>43</v>
      </c>
      <c r="N9" s="117" t="s">
        <v>43</v>
      </c>
      <c r="O9" s="117" t="s">
        <v>43</v>
      </c>
      <c r="P9" s="117" t="s">
        <v>43</v>
      </c>
      <c r="Q9" s="118" t="s">
        <v>43</v>
      </c>
      <c r="R9" s="117">
        <v>10</v>
      </c>
      <c r="S9" s="117">
        <v>11</v>
      </c>
      <c r="T9" s="8">
        <v>10</v>
      </c>
      <c r="U9" s="8">
        <v>10</v>
      </c>
      <c r="V9" s="8">
        <v>100</v>
      </c>
      <c r="W9" s="283" t="s">
        <v>43</v>
      </c>
      <c r="X9" s="8" t="s">
        <v>43</v>
      </c>
      <c r="Y9" s="8" t="s">
        <v>43</v>
      </c>
      <c r="Z9" s="126"/>
      <c r="AA9" s="127"/>
      <c r="AB9" s="341"/>
      <c r="AC9" s="283" t="s">
        <v>43</v>
      </c>
      <c r="AD9" s="8" t="s">
        <v>43</v>
      </c>
      <c r="AE9" s="8" t="s">
        <v>43</v>
      </c>
      <c r="AF9" s="283" t="s">
        <v>43</v>
      </c>
      <c r="AG9" s="8" t="s">
        <v>43</v>
      </c>
      <c r="AH9" s="8" t="s">
        <v>43</v>
      </c>
      <c r="AI9" s="8" t="s">
        <v>43</v>
      </c>
      <c r="AJ9" s="8" t="s">
        <v>43</v>
      </c>
      <c r="AK9" s="8" t="s">
        <v>43</v>
      </c>
      <c r="AL9" s="8" t="s">
        <v>43</v>
      </c>
      <c r="AM9" s="8" t="s">
        <v>43</v>
      </c>
      <c r="AN9" s="8" t="s">
        <v>43</v>
      </c>
      <c r="AO9" s="8" t="s">
        <v>43</v>
      </c>
      <c r="AP9" s="8" t="s">
        <v>43</v>
      </c>
      <c r="AQ9" s="8" t="s">
        <v>43</v>
      </c>
    </row>
    <row r="10" spans="1:50" ht="15" customHeight="1" thickBot="1" x14ac:dyDescent="0.3">
      <c r="A10" s="116" t="s">
        <v>81</v>
      </c>
      <c r="B10" s="104">
        <v>2</v>
      </c>
      <c r="C10" s="47">
        <v>0</v>
      </c>
      <c r="D10" s="245">
        <v>0</v>
      </c>
      <c r="E10" s="117">
        <f t="shared" si="0"/>
        <v>2</v>
      </c>
      <c r="F10" s="262" t="s">
        <v>81</v>
      </c>
      <c r="G10" s="105">
        <v>18</v>
      </c>
      <c r="H10" s="59">
        <v>9</v>
      </c>
      <c r="I10" s="256">
        <v>0</v>
      </c>
      <c r="J10" s="257">
        <f t="shared" si="1"/>
        <v>27</v>
      </c>
      <c r="K10" s="116" t="s">
        <v>1026</v>
      </c>
      <c r="L10" s="117">
        <v>41</v>
      </c>
      <c r="M10" s="117">
        <v>61</v>
      </c>
      <c r="N10" s="118">
        <f>(L10/M10)*100</f>
        <v>67.213114754098356</v>
      </c>
      <c r="O10" s="117">
        <v>2</v>
      </c>
      <c r="P10" s="117">
        <v>2</v>
      </c>
      <c r="Q10" s="118">
        <f>SUM(O10/P10)*100</f>
        <v>100</v>
      </c>
      <c r="R10" s="117">
        <v>2</v>
      </c>
      <c r="S10" s="117">
        <v>2</v>
      </c>
      <c r="T10" s="8" t="s">
        <v>43</v>
      </c>
      <c r="U10" s="8" t="s">
        <v>43</v>
      </c>
      <c r="V10" s="8" t="s">
        <v>43</v>
      </c>
      <c r="W10" s="283" t="s">
        <v>43</v>
      </c>
      <c r="X10" s="8" t="s">
        <v>43</v>
      </c>
      <c r="Y10" s="8" t="s">
        <v>43</v>
      </c>
      <c r="Z10" s="126"/>
      <c r="AA10" s="127"/>
      <c r="AB10" s="341"/>
      <c r="AC10" s="283" t="s">
        <v>43</v>
      </c>
      <c r="AD10" s="8" t="s">
        <v>43</v>
      </c>
      <c r="AE10" s="8" t="s">
        <v>43</v>
      </c>
      <c r="AF10" s="283" t="s">
        <v>43</v>
      </c>
      <c r="AG10" s="8" t="s">
        <v>43</v>
      </c>
      <c r="AH10" s="8" t="s">
        <v>43</v>
      </c>
      <c r="AI10" s="8" t="s">
        <v>43</v>
      </c>
      <c r="AJ10" s="8" t="s">
        <v>43</v>
      </c>
      <c r="AK10" s="8" t="s">
        <v>43</v>
      </c>
      <c r="AL10" s="8" t="s">
        <v>43</v>
      </c>
      <c r="AM10" s="8" t="s">
        <v>43</v>
      </c>
      <c r="AN10" s="8" t="s">
        <v>43</v>
      </c>
      <c r="AO10" s="8" t="s">
        <v>43</v>
      </c>
      <c r="AP10" s="8" t="s">
        <v>43</v>
      </c>
      <c r="AQ10" s="8" t="s">
        <v>43</v>
      </c>
    </row>
    <row r="11" spans="1:50" ht="15" customHeight="1" thickBot="1" x14ac:dyDescent="0.3">
      <c r="A11" s="116" t="s">
        <v>364</v>
      </c>
      <c r="B11" s="104">
        <v>1</v>
      </c>
      <c r="C11" s="47">
        <v>0</v>
      </c>
      <c r="D11" s="245">
        <v>0</v>
      </c>
      <c r="E11" s="117">
        <f t="shared" si="0"/>
        <v>1</v>
      </c>
      <c r="F11" s="262" t="s">
        <v>364</v>
      </c>
      <c r="G11" s="105">
        <v>5</v>
      </c>
      <c r="H11" s="59">
        <v>0</v>
      </c>
      <c r="I11" s="256">
        <v>0</v>
      </c>
      <c r="J11" s="257">
        <f t="shared" si="1"/>
        <v>5</v>
      </c>
      <c r="K11" s="116" t="s">
        <v>436</v>
      </c>
      <c r="L11" s="117" t="s">
        <v>43</v>
      </c>
      <c r="M11" s="117" t="s">
        <v>43</v>
      </c>
      <c r="N11" s="117" t="s">
        <v>43</v>
      </c>
      <c r="O11" s="117" t="s">
        <v>43</v>
      </c>
      <c r="P11" s="117" t="s">
        <v>43</v>
      </c>
      <c r="Q11" s="118" t="s">
        <v>43</v>
      </c>
      <c r="R11" s="117" t="s">
        <v>43</v>
      </c>
      <c r="S11" s="117" t="s">
        <v>43</v>
      </c>
      <c r="T11" s="8" t="s">
        <v>43</v>
      </c>
      <c r="U11" s="8" t="s">
        <v>43</v>
      </c>
      <c r="V11" s="8" t="s">
        <v>43</v>
      </c>
      <c r="W11" s="283" t="s">
        <v>43</v>
      </c>
      <c r="X11" s="8" t="s">
        <v>43</v>
      </c>
      <c r="Y11" s="8" t="s">
        <v>43</v>
      </c>
      <c r="Z11" s="126"/>
      <c r="AA11" s="127"/>
      <c r="AB11" s="341"/>
      <c r="AC11" s="283" t="s">
        <v>43</v>
      </c>
      <c r="AD11" s="8" t="s">
        <v>43</v>
      </c>
      <c r="AE11" s="8" t="s">
        <v>43</v>
      </c>
      <c r="AF11" s="283">
        <v>0</v>
      </c>
      <c r="AG11" s="8">
        <v>0</v>
      </c>
      <c r="AH11" s="8" t="s">
        <v>43</v>
      </c>
      <c r="AI11" s="8">
        <v>1</v>
      </c>
      <c r="AJ11" s="8">
        <v>1</v>
      </c>
      <c r="AK11" s="294">
        <f>SUM(AI11/AJ11)*100</f>
        <v>100</v>
      </c>
      <c r="AL11" s="8" t="s">
        <v>43</v>
      </c>
      <c r="AM11" s="8" t="s">
        <v>43</v>
      </c>
      <c r="AN11" s="8" t="s">
        <v>43</v>
      </c>
      <c r="AO11" s="8" t="s">
        <v>43</v>
      </c>
      <c r="AP11" s="8" t="s">
        <v>43</v>
      </c>
      <c r="AQ11" s="8" t="s">
        <v>43</v>
      </c>
    </row>
    <row r="12" spans="1:50" ht="15" customHeight="1" thickBot="1" x14ac:dyDescent="0.3">
      <c r="A12" s="116" t="s">
        <v>299</v>
      </c>
      <c r="B12" s="104">
        <v>7</v>
      </c>
      <c r="C12" s="47">
        <v>0</v>
      </c>
      <c r="D12" s="245">
        <v>0</v>
      </c>
      <c r="E12" s="117">
        <f t="shared" si="0"/>
        <v>7</v>
      </c>
      <c r="F12" s="262" t="s">
        <v>299</v>
      </c>
      <c r="G12" s="105">
        <v>35</v>
      </c>
      <c r="H12" s="59">
        <v>0</v>
      </c>
      <c r="I12" s="256">
        <v>0</v>
      </c>
      <c r="J12" s="257">
        <f t="shared" si="1"/>
        <v>35</v>
      </c>
      <c r="K12" s="119" t="s">
        <v>954</v>
      </c>
      <c r="L12" s="117">
        <v>3</v>
      </c>
      <c r="M12" s="117">
        <v>3</v>
      </c>
      <c r="N12" s="117">
        <v>100</v>
      </c>
      <c r="O12" s="117" t="s">
        <v>43</v>
      </c>
      <c r="P12" s="117" t="s">
        <v>43</v>
      </c>
      <c r="Q12" s="118" t="s">
        <v>43</v>
      </c>
      <c r="R12" s="320">
        <v>5</v>
      </c>
      <c r="S12" s="320">
        <v>-2</v>
      </c>
      <c r="T12" s="8">
        <v>5</v>
      </c>
      <c r="U12" s="8">
        <v>10</v>
      </c>
      <c r="V12" s="8">
        <v>50</v>
      </c>
      <c r="W12" s="283">
        <v>4</v>
      </c>
      <c r="X12" s="8">
        <v>5</v>
      </c>
      <c r="Y12" s="294">
        <v>80</v>
      </c>
      <c r="Z12" s="126"/>
      <c r="AA12" s="127"/>
      <c r="AB12" s="341"/>
      <c r="AC12" s="283">
        <v>1</v>
      </c>
      <c r="AD12" s="8">
        <v>3</v>
      </c>
      <c r="AE12" s="294">
        <v>33.333333333333329</v>
      </c>
      <c r="AF12" s="283">
        <v>13</v>
      </c>
      <c r="AG12" s="8">
        <v>20</v>
      </c>
      <c r="AH12" s="8">
        <v>65</v>
      </c>
      <c r="AI12" s="8">
        <v>3</v>
      </c>
      <c r="AJ12" s="8">
        <v>3</v>
      </c>
      <c r="AK12" s="8">
        <v>100</v>
      </c>
      <c r="AL12" s="10">
        <v>2</v>
      </c>
      <c r="AM12" s="10">
        <v>6</v>
      </c>
      <c r="AN12" s="319">
        <v>33.333333333333329</v>
      </c>
      <c r="AO12" s="7" t="s">
        <v>43</v>
      </c>
      <c r="AP12" s="7" t="s">
        <v>43</v>
      </c>
      <c r="AQ12" s="7" t="s">
        <v>43</v>
      </c>
    </row>
    <row r="13" spans="1:50" ht="15" customHeight="1" thickBot="1" x14ac:dyDescent="0.3">
      <c r="A13" s="116" t="s">
        <v>10</v>
      </c>
      <c r="B13" s="104">
        <v>0</v>
      </c>
      <c r="C13" s="47">
        <v>0</v>
      </c>
      <c r="D13" s="245">
        <v>0</v>
      </c>
      <c r="E13" s="117">
        <f t="shared" si="0"/>
        <v>0</v>
      </c>
      <c r="F13" s="262" t="s">
        <v>10</v>
      </c>
      <c r="G13" s="105">
        <v>65</v>
      </c>
      <c r="H13" s="59">
        <v>17</v>
      </c>
      <c r="I13" s="256">
        <v>0</v>
      </c>
      <c r="J13" s="257">
        <f t="shared" si="1"/>
        <v>82</v>
      </c>
      <c r="K13" s="71"/>
      <c r="L13" s="68"/>
      <c r="M13" s="67"/>
      <c r="N13" s="67"/>
      <c r="O13" s="68"/>
      <c r="P13" s="67"/>
      <c r="Q13" s="69"/>
      <c r="R13" s="70"/>
      <c r="S13" s="40"/>
      <c r="T13" s="40"/>
      <c r="U13" s="40"/>
      <c r="V13" s="40"/>
      <c r="W13" s="67"/>
      <c r="X13" s="67"/>
      <c r="Y13" s="67"/>
    </row>
    <row r="14" spans="1:50" ht="15" customHeight="1" thickBot="1" x14ac:dyDescent="0.3">
      <c r="A14" s="116" t="s">
        <v>128</v>
      </c>
      <c r="B14" s="104">
        <v>0</v>
      </c>
      <c r="C14" s="47">
        <v>0</v>
      </c>
      <c r="D14" s="245">
        <v>0</v>
      </c>
      <c r="E14" s="117">
        <f t="shared" si="0"/>
        <v>0</v>
      </c>
      <c r="F14" s="262" t="s">
        <v>128</v>
      </c>
      <c r="G14" s="105">
        <v>0</v>
      </c>
      <c r="H14" s="59">
        <v>0</v>
      </c>
      <c r="I14" s="256">
        <v>0</v>
      </c>
      <c r="J14" s="257">
        <f t="shared" si="1"/>
        <v>0</v>
      </c>
      <c r="K14" s="511" t="s">
        <v>1029</v>
      </c>
      <c r="L14" s="500" t="s">
        <v>42</v>
      </c>
      <c r="M14" s="501"/>
      <c r="N14" s="502"/>
      <c r="O14" s="515" t="s">
        <v>100</v>
      </c>
      <c r="P14" s="516"/>
      <c r="Q14" s="517"/>
      <c r="R14" s="515" t="s">
        <v>915</v>
      </c>
      <c r="S14" s="516"/>
      <c r="T14" s="517"/>
      <c r="U14" s="515" t="s">
        <v>303</v>
      </c>
      <c r="V14" s="516"/>
      <c r="W14" s="517"/>
      <c r="X14" s="323"/>
      <c r="Y14" s="323"/>
      <c r="Z14" s="323"/>
      <c r="AA14" s="464"/>
      <c r="AB14" s="464"/>
      <c r="AC14" s="515" t="s">
        <v>205</v>
      </c>
      <c r="AD14" s="516"/>
      <c r="AE14" s="517"/>
      <c r="AF14" s="515" t="s">
        <v>186</v>
      </c>
      <c r="AG14" s="516"/>
      <c r="AH14" s="517"/>
      <c r="AI14" s="515" t="s">
        <v>234</v>
      </c>
      <c r="AJ14" s="516"/>
      <c r="AK14" s="517"/>
    </row>
    <row r="15" spans="1:50" ht="15" customHeight="1" thickBot="1" x14ac:dyDescent="0.3">
      <c r="A15" s="116" t="s">
        <v>221</v>
      </c>
      <c r="B15" s="104">
        <v>1</v>
      </c>
      <c r="C15" s="47">
        <v>0</v>
      </c>
      <c r="D15" s="245">
        <v>1</v>
      </c>
      <c r="E15" s="117">
        <f t="shared" si="0"/>
        <v>2</v>
      </c>
      <c r="F15" s="262" t="s">
        <v>221</v>
      </c>
      <c r="G15" s="105">
        <v>5</v>
      </c>
      <c r="H15" s="59">
        <v>0</v>
      </c>
      <c r="I15" s="256">
        <v>5</v>
      </c>
      <c r="J15" s="257">
        <f t="shared" si="1"/>
        <v>10</v>
      </c>
      <c r="K15" s="512"/>
      <c r="L15" s="503"/>
      <c r="M15" s="504"/>
      <c r="N15" s="505"/>
      <c r="O15" s="518"/>
      <c r="P15" s="519"/>
      <c r="Q15" s="520"/>
      <c r="R15" s="518"/>
      <c r="S15" s="519"/>
      <c r="T15" s="520"/>
      <c r="U15" s="518"/>
      <c r="V15" s="519"/>
      <c r="W15" s="520"/>
      <c r="X15" s="323"/>
      <c r="Y15" s="323"/>
      <c r="Z15" s="323"/>
      <c r="AA15" s="464"/>
      <c r="AB15" s="464"/>
      <c r="AC15" s="518"/>
      <c r="AD15" s="519"/>
      <c r="AE15" s="520"/>
      <c r="AF15" s="518"/>
      <c r="AG15" s="519"/>
      <c r="AH15" s="520"/>
      <c r="AI15" s="518"/>
      <c r="AJ15" s="519"/>
      <c r="AK15" s="520"/>
    </row>
    <row r="16" spans="1:50" ht="15" customHeight="1" thickBot="1" x14ac:dyDescent="0.3">
      <c r="A16" s="116" t="s">
        <v>9</v>
      </c>
      <c r="B16" s="104">
        <v>2</v>
      </c>
      <c r="C16" s="47">
        <v>0</v>
      </c>
      <c r="D16" s="245">
        <v>0</v>
      </c>
      <c r="E16" s="117">
        <f t="shared" si="0"/>
        <v>2</v>
      </c>
      <c r="F16" s="262" t="s">
        <v>9</v>
      </c>
      <c r="G16" s="105">
        <v>10</v>
      </c>
      <c r="H16" s="59">
        <v>0</v>
      </c>
      <c r="I16" s="256">
        <v>0</v>
      </c>
      <c r="J16" s="257">
        <f t="shared" si="1"/>
        <v>10</v>
      </c>
      <c r="K16" s="36" t="s">
        <v>72</v>
      </c>
      <c r="L16" s="4" t="s">
        <v>176</v>
      </c>
      <c r="M16" s="4" t="s">
        <v>36</v>
      </c>
      <c r="N16" s="4" t="s">
        <v>37</v>
      </c>
      <c r="O16" s="8" t="s">
        <v>176</v>
      </c>
      <c r="P16" s="8" t="s">
        <v>36</v>
      </c>
      <c r="Q16" s="8" t="s">
        <v>37</v>
      </c>
      <c r="R16" s="8" t="s">
        <v>176</v>
      </c>
      <c r="S16" s="8" t="s">
        <v>36</v>
      </c>
      <c r="T16" s="8" t="s">
        <v>37</v>
      </c>
      <c r="U16" s="283" t="s">
        <v>176</v>
      </c>
      <c r="V16" s="8" t="s">
        <v>36</v>
      </c>
      <c r="W16" s="8" t="s">
        <v>37</v>
      </c>
      <c r="X16" s="464"/>
      <c r="Y16" s="464"/>
      <c r="Z16" s="464"/>
      <c r="AA16" s="464"/>
      <c r="AB16" s="464"/>
      <c r="AC16" s="283" t="s">
        <v>176</v>
      </c>
      <c r="AD16" s="8" t="s">
        <v>36</v>
      </c>
      <c r="AE16" s="8" t="s">
        <v>37</v>
      </c>
      <c r="AF16" s="283" t="s">
        <v>176</v>
      </c>
      <c r="AG16" s="8" t="s">
        <v>36</v>
      </c>
      <c r="AH16" s="8" t="s">
        <v>37</v>
      </c>
      <c r="AI16" s="283" t="s">
        <v>176</v>
      </c>
      <c r="AJ16" s="8" t="s">
        <v>36</v>
      </c>
      <c r="AK16" s="8" t="s">
        <v>37</v>
      </c>
    </row>
    <row r="17" spans="1:43" ht="15" customHeight="1" thickBot="1" x14ac:dyDescent="0.3">
      <c r="A17" s="116" t="s">
        <v>22</v>
      </c>
      <c r="B17" s="104">
        <v>0</v>
      </c>
      <c r="C17" s="47">
        <v>1</v>
      </c>
      <c r="D17" s="245">
        <v>0</v>
      </c>
      <c r="E17" s="117">
        <f t="shared" si="0"/>
        <v>1</v>
      </c>
      <c r="F17" s="262" t="s">
        <v>22</v>
      </c>
      <c r="G17" s="105">
        <v>15</v>
      </c>
      <c r="H17" s="59">
        <v>34</v>
      </c>
      <c r="I17" s="256">
        <v>0</v>
      </c>
      <c r="J17" s="257">
        <f t="shared" si="1"/>
        <v>49</v>
      </c>
      <c r="K17" s="116" t="s">
        <v>10</v>
      </c>
      <c r="L17" s="117">
        <v>7</v>
      </c>
      <c r="M17" s="117">
        <v>9</v>
      </c>
      <c r="N17" s="118">
        <f>SUM(L17/M17)*100</f>
        <v>77.777777777777786</v>
      </c>
      <c r="O17" s="8">
        <v>36</v>
      </c>
      <c r="P17" s="8">
        <v>42</v>
      </c>
      <c r="Q17" s="294">
        <f>SUM(O17/P17)*100</f>
        <v>85.714285714285708</v>
      </c>
      <c r="R17" s="8">
        <v>37</v>
      </c>
      <c r="S17" s="8">
        <v>42</v>
      </c>
      <c r="T17" s="294">
        <f>SUM(R17/S17)*100</f>
        <v>88.095238095238088</v>
      </c>
      <c r="U17" s="283">
        <v>47</v>
      </c>
      <c r="V17" s="8">
        <v>57</v>
      </c>
      <c r="W17" s="294">
        <f>SUM(U17/V17)*100</f>
        <v>82.456140350877192</v>
      </c>
      <c r="X17" s="464"/>
      <c r="Y17" s="464"/>
      <c r="Z17" s="464"/>
      <c r="AA17" s="464"/>
      <c r="AB17" s="464"/>
      <c r="AC17" s="283">
        <v>48</v>
      </c>
      <c r="AD17" s="8">
        <v>64</v>
      </c>
      <c r="AE17" s="294">
        <f>SUM(AC17/AD17)*100</f>
        <v>75</v>
      </c>
      <c r="AF17" s="283">
        <v>15</v>
      </c>
      <c r="AG17" s="8">
        <v>19</v>
      </c>
      <c r="AH17" s="294">
        <f>SUM(AF17/AG17)*100</f>
        <v>78.94736842105263</v>
      </c>
      <c r="AI17" s="283">
        <v>24</v>
      </c>
      <c r="AJ17" s="8">
        <v>33</v>
      </c>
      <c r="AK17" s="294">
        <f>SUM(AI17/AJ17)*100</f>
        <v>72.727272727272734</v>
      </c>
    </row>
    <row r="18" spans="1:43" ht="15" customHeight="1" thickBot="1" x14ac:dyDescent="0.3">
      <c r="A18" s="116" t="s">
        <v>1059</v>
      </c>
      <c r="B18" s="104">
        <v>1</v>
      </c>
      <c r="C18" s="47">
        <v>0</v>
      </c>
      <c r="D18" s="245">
        <v>0</v>
      </c>
      <c r="E18" s="117">
        <f t="shared" si="0"/>
        <v>1</v>
      </c>
      <c r="F18" s="262" t="s">
        <v>1059</v>
      </c>
      <c r="G18" s="105">
        <v>5</v>
      </c>
      <c r="H18" s="59">
        <v>0</v>
      </c>
      <c r="I18" s="256">
        <v>0</v>
      </c>
      <c r="J18" s="257">
        <f t="shared" si="1"/>
        <v>5</v>
      </c>
      <c r="K18" s="116" t="s">
        <v>122</v>
      </c>
      <c r="L18" s="117" t="s">
        <v>43</v>
      </c>
      <c r="M18" s="117" t="s">
        <v>43</v>
      </c>
      <c r="N18" s="118" t="s">
        <v>43</v>
      </c>
      <c r="O18" s="8">
        <v>11</v>
      </c>
      <c r="P18" s="8">
        <v>13</v>
      </c>
      <c r="Q18" s="294">
        <f>SUM(O18/P18)*100</f>
        <v>84.615384615384613</v>
      </c>
      <c r="R18" s="8" t="s">
        <v>43</v>
      </c>
      <c r="S18" s="8" t="s">
        <v>43</v>
      </c>
      <c r="T18" s="8" t="s">
        <v>43</v>
      </c>
      <c r="U18" s="283">
        <v>2</v>
      </c>
      <c r="V18" s="8">
        <v>5</v>
      </c>
      <c r="W18" s="294">
        <f>SUM(U18/V18)*100</f>
        <v>40</v>
      </c>
      <c r="X18" s="464"/>
      <c r="Y18" s="464"/>
      <c r="Z18" s="464"/>
      <c r="AA18" s="464"/>
      <c r="AB18" s="464"/>
      <c r="AC18" s="283" t="s">
        <v>43</v>
      </c>
      <c r="AD18" s="8" t="s">
        <v>43</v>
      </c>
      <c r="AE18" s="8" t="s">
        <v>43</v>
      </c>
      <c r="AF18" s="283">
        <v>4</v>
      </c>
      <c r="AG18" s="8">
        <v>4</v>
      </c>
      <c r="AH18" s="294">
        <f>SUM(AF18/AG18)*100</f>
        <v>100</v>
      </c>
      <c r="AI18" s="283" t="s">
        <v>43</v>
      </c>
      <c r="AJ18" s="8" t="s">
        <v>43</v>
      </c>
      <c r="AK18" s="8" t="s">
        <v>43</v>
      </c>
    </row>
    <row r="19" spans="1:43" ht="15" customHeight="1" thickBot="1" x14ac:dyDescent="0.3">
      <c r="A19" s="116" t="s">
        <v>808</v>
      </c>
      <c r="B19" s="104">
        <v>1</v>
      </c>
      <c r="C19" s="47">
        <v>0</v>
      </c>
      <c r="D19" s="245">
        <v>0</v>
      </c>
      <c r="E19" s="117">
        <f t="shared" si="0"/>
        <v>1</v>
      </c>
      <c r="F19" s="262" t="s">
        <v>808</v>
      </c>
      <c r="G19" s="105">
        <v>5</v>
      </c>
      <c r="H19" s="59">
        <v>0</v>
      </c>
      <c r="I19" s="256">
        <v>0</v>
      </c>
      <c r="J19" s="257">
        <f t="shared" si="1"/>
        <v>5</v>
      </c>
      <c r="K19" s="116" t="s">
        <v>1026</v>
      </c>
      <c r="L19" s="117">
        <v>10</v>
      </c>
      <c r="M19" s="117">
        <v>12</v>
      </c>
      <c r="N19" s="118">
        <f>SUM(L19/M19)*100</f>
        <v>83.333333333333343</v>
      </c>
      <c r="O19" s="8"/>
      <c r="P19" s="8"/>
      <c r="Q19" s="294"/>
      <c r="R19" s="8"/>
      <c r="S19" s="8"/>
      <c r="T19" s="8"/>
      <c r="U19" s="283"/>
      <c r="V19" s="8"/>
      <c r="W19" s="294"/>
      <c r="X19" s="464"/>
      <c r="Y19" s="464"/>
      <c r="Z19" s="464"/>
      <c r="AA19" s="464"/>
      <c r="AB19" s="464"/>
      <c r="AC19" s="283"/>
      <c r="AD19" s="8"/>
      <c r="AE19" s="8"/>
      <c r="AF19" s="283"/>
      <c r="AG19" s="8"/>
      <c r="AH19" s="294"/>
      <c r="AI19" s="283"/>
      <c r="AJ19" s="8"/>
      <c r="AK19" s="8"/>
      <c r="AL19" s="332"/>
      <c r="AM19" s="332"/>
      <c r="AN19" s="332"/>
      <c r="AO19" s="332"/>
      <c r="AP19" s="332"/>
      <c r="AQ19" s="332"/>
    </row>
    <row r="20" spans="1:43" ht="15" customHeight="1" thickBot="1" x14ac:dyDescent="0.3">
      <c r="A20" s="116" t="s">
        <v>133</v>
      </c>
      <c r="B20" s="104">
        <v>2</v>
      </c>
      <c r="C20" s="47">
        <v>2</v>
      </c>
      <c r="D20" s="245">
        <v>0</v>
      </c>
      <c r="E20" s="117">
        <f t="shared" si="0"/>
        <v>4</v>
      </c>
      <c r="F20" s="262" t="s">
        <v>133</v>
      </c>
      <c r="G20" s="105">
        <v>10</v>
      </c>
      <c r="H20" s="59">
        <v>10</v>
      </c>
      <c r="I20" s="256">
        <v>0</v>
      </c>
      <c r="J20" s="257">
        <f t="shared" si="1"/>
        <v>20</v>
      </c>
      <c r="K20" s="116" t="s">
        <v>22</v>
      </c>
      <c r="L20" s="117">
        <v>10</v>
      </c>
      <c r="M20" s="117">
        <v>11</v>
      </c>
      <c r="N20" s="118">
        <f>SUM(L20/M20)*100</f>
        <v>90.909090909090907</v>
      </c>
      <c r="O20" s="8" t="s">
        <v>43</v>
      </c>
      <c r="P20" s="8" t="s">
        <v>43</v>
      </c>
      <c r="Q20" s="8" t="s">
        <v>43</v>
      </c>
      <c r="R20" s="8" t="s">
        <v>43</v>
      </c>
      <c r="S20" s="8" t="s">
        <v>43</v>
      </c>
      <c r="T20" s="8" t="s">
        <v>43</v>
      </c>
      <c r="U20" s="283" t="s">
        <v>43</v>
      </c>
      <c r="V20" s="8" t="s">
        <v>43</v>
      </c>
      <c r="W20" s="8" t="s">
        <v>43</v>
      </c>
      <c r="X20" s="464"/>
      <c r="Y20" s="464"/>
      <c r="Z20" s="464"/>
      <c r="AA20" s="464"/>
      <c r="AB20" s="464"/>
      <c r="AC20" s="283" t="s">
        <v>43</v>
      </c>
      <c r="AD20" s="8" t="s">
        <v>43</v>
      </c>
      <c r="AE20" s="8" t="s">
        <v>43</v>
      </c>
      <c r="AF20" s="283">
        <v>1</v>
      </c>
      <c r="AG20" s="8">
        <v>1</v>
      </c>
      <c r="AH20" s="294">
        <f>SUM(AF20/AG20)*100</f>
        <v>100</v>
      </c>
      <c r="AI20" s="283">
        <v>6</v>
      </c>
      <c r="AJ20" s="8">
        <v>8</v>
      </c>
      <c r="AK20" s="294">
        <f>SUM(AI20/AJ20)*100</f>
        <v>75</v>
      </c>
    </row>
    <row r="21" spans="1:43" ht="15" customHeight="1" thickBot="1" x14ac:dyDescent="0.3">
      <c r="A21" s="116" t="s">
        <v>72</v>
      </c>
      <c r="B21" s="104">
        <v>0</v>
      </c>
      <c r="C21" s="47">
        <v>0</v>
      </c>
      <c r="D21" s="245">
        <v>0</v>
      </c>
      <c r="E21" s="117">
        <f t="shared" si="0"/>
        <v>0</v>
      </c>
      <c r="F21" s="262" t="s">
        <v>72</v>
      </c>
      <c r="G21" s="105">
        <v>0</v>
      </c>
      <c r="H21" s="59">
        <v>0</v>
      </c>
      <c r="I21" s="256">
        <v>0</v>
      </c>
      <c r="J21" s="257">
        <f t="shared" si="1"/>
        <v>0</v>
      </c>
      <c r="K21" s="116" t="s">
        <v>954</v>
      </c>
      <c r="L21" s="117">
        <v>3</v>
      </c>
      <c r="M21" s="117">
        <v>6</v>
      </c>
      <c r="N21" s="118">
        <f>SUM(L21/M21)*100</f>
        <v>50</v>
      </c>
      <c r="O21" s="8">
        <v>2</v>
      </c>
      <c r="P21" s="8">
        <v>2</v>
      </c>
      <c r="Q21" s="8">
        <v>100</v>
      </c>
      <c r="R21" s="8">
        <v>3</v>
      </c>
      <c r="S21" s="8">
        <v>4</v>
      </c>
      <c r="T21" s="294">
        <v>75</v>
      </c>
      <c r="U21" s="283" t="s">
        <v>43</v>
      </c>
      <c r="V21" s="8" t="s">
        <v>43</v>
      </c>
      <c r="W21" s="294" t="s">
        <v>43</v>
      </c>
      <c r="X21" s="464"/>
      <c r="Y21" s="464"/>
      <c r="Z21" s="464"/>
      <c r="AA21" s="464"/>
      <c r="AB21" s="464"/>
      <c r="AC21" s="283">
        <v>3</v>
      </c>
      <c r="AD21" s="8">
        <v>10</v>
      </c>
      <c r="AE21" s="8">
        <v>30</v>
      </c>
      <c r="AF21" s="283">
        <v>1</v>
      </c>
      <c r="AG21" s="8">
        <v>1</v>
      </c>
      <c r="AH21" s="294">
        <v>100</v>
      </c>
      <c r="AI21" s="283">
        <v>1</v>
      </c>
      <c r="AJ21" s="8">
        <v>1</v>
      </c>
      <c r="AK21" s="294">
        <v>100</v>
      </c>
    </row>
    <row r="22" spans="1:43" ht="15" customHeight="1" thickBot="1" x14ac:dyDescent="0.3">
      <c r="A22" s="116" t="s">
        <v>195</v>
      </c>
      <c r="B22" s="104">
        <v>0</v>
      </c>
      <c r="C22" s="47">
        <v>0</v>
      </c>
      <c r="D22" s="245">
        <v>0</v>
      </c>
      <c r="E22" s="117">
        <f t="shared" si="0"/>
        <v>0</v>
      </c>
      <c r="F22" s="262" t="s">
        <v>195</v>
      </c>
      <c r="G22" s="105">
        <v>0</v>
      </c>
      <c r="H22" s="59">
        <v>0</v>
      </c>
      <c r="I22" s="256">
        <v>0</v>
      </c>
      <c r="J22" s="257">
        <f t="shared" si="1"/>
        <v>0</v>
      </c>
      <c r="K22" s="116" t="s">
        <v>14</v>
      </c>
      <c r="L22" s="117">
        <v>3</v>
      </c>
      <c r="M22" s="117">
        <v>5</v>
      </c>
      <c r="N22" s="118">
        <f>SUM(L22/M22)*100</f>
        <v>60</v>
      </c>
      <c r="O22" s="8">
        <v>4</v>
      </c>
      <c r="P22" s="8">
        <v>4</v>
      </c>
      <c r="Q22" s="294">
        <f>SUM(O22/P22)*100</f>
        <v>100</v>
      </c>
      <c r="R22" s="8" t="s">
        <v>43</v>
      </c>
      <c r="S22" s="8" t="s">
        <v>43</v>
      </c>
      <c r="T22" s="8" t="s">
        <v>43</v>
      </c>
      <c r="U22" s="283" t="s">
        <v>43</v>
      </c>
      <c r="V22" s="8" t="s">
        <v>43</v>
      </c>
      <c r="W22" s="8" t="s">
        <v>43</v>
      </c>
      <c r="X22" s="464"/>
      <c r="Y22" s="464"/>
      <c r="Z22" s="464"/>
      <c r="AA22" s="464"/>
      <c r="AB22" s="464"/>
      <c r="AC22" s="283" t="s">
        <v>43</v>
      </c>
      <c r="AD22" s="8" t="s">
        <v>43</v>
      </c>
      <c r="AE22" s="8" t="s">
        <v>43</v>
      </c>
      <c r="AF22" s="283" t="s">
        <v>43</v>
      </c>
      <c r="AG22" s="8" t="s">
        <v>43</v>
      </c>
      <c r="AH22" s="8" t="s">
        <v>43</v>
      </c>
      <c r="AI22" s="283" t="s">
        <v>43</v>
      </c>
      <c r="AJ22" s="8" t="s">
        <v>43</v>
      </c>
      <c r="AK22" s="8" t="s">
        <v>43</v>
      </c>
    </row>
    <row r="23" spans="1:43" ht="15" customHeight="1" thickBot="1" x14ac:dyDescent="0.3">
      <c r="A23" s="116" t="s">
        <v>868</v>
      </c>
      <c r="B23" s="104">
        <v>0</v>
      </c>
      <c r="C23" s="47">
        <v>0</v>
      </c>
      <c r="D23" s="245">
        <v>0</v>
      </c>
      <c r="E23" s="117">
        <f t="shared" si="0"/>
        <v>0</v>
      </c>
      <c r="F23" s="262" t="s">
        <v>868</v>
      </c>
      <c r="G23" s="105">
        <v>0</v>
      </c>
      <c r="H23" s="59">
        <v>0</v>
      </c>
      <c r="I23" s="256">
        <v>0</v>
      </c>
      <c r="J23" s="257">
        <f t="shared" si="1"/>
        <v>0</v>
      </c>
      <c r="X23" s="464"/>
      <c r="Y23" s="464"/>
      <c r="Z23" s="464"/>
      <c r="AA23" s="464"/>
      <c r="AB23" s="464"/>
      <c r="AC23" s="463"/>
      <c r="AD23" s="463"/>
      <c r="AE23" s="463"/>
    </row>
    <row r="24" spans="1:43" ht="15" customHeight="1" thickBot="1" x14ac:dyDescent="0.3">
      <c r="A24" s="116" t="s">
        <v>869</v>
      </c>
      <c r="B24" s="104">
        <v>0</v>
      </c>
      <c r="C24" s="47">
        <v>0</v>
      </c>
      <c r="D24" s="245">
        <v>0</v>
      </c>
      <c r="E24" s="117">
        <f t="shared" si="0"/>
        <v>0</v>
      </c>
      <c r="F24" s="262" t="s">
        <v>869</v>
      </c>
      <c r="G24" s="105">
        <v>0</v>
      </c>
      <c r="H24" s="59">
        <v>0</v>
      </c>
      <c r="I24" s="256">
        <v>0</v>
      </c>
      <c r="J24" s="257">
        <f t="shared" si="1"/>
        <v>0</v>
      </c>
      <c r="K24" s="509" t="s">
        <v>304</v>
      </c>
      <c r="L24" s="500" t="s">
        <v>42</v>
      </c>
      <c r="M24" s="501"/>
      <c r="N24" s="502"/>
      <c r="O24" s="515" t="s">
        <v>100</v>
      </c>
      <c r="P24" s="516"/>
      <c r="Q24" s="517"/>
      <c r="R24" s="515" t="s">
        <v>915</v>
      </c>
      <c r="S24" s="516"/>
      <c r="T24" s="517"/>
      <c r="U24" s="515" t="s">
        <v>303</v>
      </c>
      <c r="V24" s="516"/>
      <c r="W24" s="517"/>
      <c r="X24" s="464"/>
      <c r="Y24" s="464"/>
      <c r="Z24" s="464"/>
      <c r="AA24" s="464"/>
      <c r="AB24" s="464"/>
      <c r="AC24" s="515" t="s">
        <v>186</v>
      </c>
      <c r="AD24" s="516"/>
      <c r="AE24" s="517"/>
      <c r="AF24" s="515" t="s">
        <v>140</v>
      </c>
      <c r="AG24" s="516"/>
      <c r="AH24" s="517"/>
    </row>
    <row r="25" spans="1:43" ht="15" customHeight="1" thickBot="1" x14ac:dyDescent="0.3">
      <c r="A25" s="116" t="s">
        <v>76</v>
      </c>
      <c r="B25" s="104">
        <v>0</v>
      </c>
      <c r="C25" s="47">
        <v>0</v>
      </c>
      <c r="D25" s="245">
        <v>0</v>
      </c>
      <c r="E25" s="117">
        <f t="shared" si="0"/>
        <v>0</v>
      </c>
      <c r="F25" s="262" t="s">
        <v>76</v>
      </c>
      <c r="G25" s="105">
        <v>0</v>
      </c>
      <c r="H25" s="59">
        <v>0</v>
      </c>
      <c r="I25" s="256">
        <v>0</v>
      </c>
      <c r="J25" s="257">
        <f t="shared" si="1"/>
        <v>0</v>
      </c>
      <c r="K25" s="510"/>
      <c r="L25" s="503"/>
      <c r="M25" s="504"/>
      <c r="N25" s="505"/>
      <c r="O25" s="518"/>
      <c r="P25" s="519"/>
      <c r="Q25" s="520"/>
      <c r="R25" s="518"/>
      <c r="S25" s="519"/>
      <c r="T25" s="520"/>
      <c r="U25" s="518"/>
      <c r="V25" s="519"/>
      <c r="W25" s="520"/>
      <c r="X25" s="464"/>
      <c r="Y25" s="464"/>
      <c r="Z25" s="464"/>
      <c r="AA25" s="464"/>
      <c r="AB25" s="464"/>
      <c r="AC25" s="518"/>
      <c r="AD25" s="519"/>
      <c r="AE25" s="520"/>
      <c r="AF25" s="518"/>
      <c r="AG25" s="519"/>
      <c r="AH25" s="520"/>
    </row>
    <row r="26" spans="1:43" ht="15" customHeight="1" thickBot="1" x14ac:dyDescent="0.3">
      <c r="A26" s="116" t="s">
        <v>224</v>
      </c>
      <c r="B26" s="104">
        <v>1</v>
      </c>
      <c r="C26" s="47">
        <v>0</v>
      </c>
      <c r="D26" s="245">
        <v>0</v>
      </c>
      <c r="E26" s="117">
        <f t="shared" si="0"/>
        <v>1</v>
      </c>
      <c r="F26" s="262" t="s">
        <v>224</v>
      </c>
      <c r="G26" s="105">
        <v>5</v>
      </c>
      <c r="H26" s="59">
        <v>0</v>
      </c>
      <c r="I26" s="256">
        <v>0</v>
      </c>
      <c r="J26" s="257">
        <f t="shared" si="1"/>
        <v>5</v>
      </c>
      <c r="K26" s="36" t="s">
        <v>72</v>
      </c>
      <c r="L26" s="4" t="s">
        <v>176</v>
      </c>
      <c r="M26" s="4" t="s">
        <v>36</v>
      </c>
      <c r="N26" s="4" t="s">
        <v>37</v>
      </c>
      <c r="O26" s="8" t="s">
        <v>176</v>
      </c>
      <c r="P26" s="8" t="s">
        <v>36</v>
      </c>
      <c r="Q26" s="8" t="s">
        <v>37</v>
      </c>
      <c r="R26" s="8" t="s">
        <v>176</v>
      </c>
      <c r="S26" s="8" t="s">
        <v>36</v>
      </c>
      <c r="T26" s="8" t="s">
        <v>37</v>
      </c>
      <c r="U26" s="283" t="s">
        <v>176</v>
      </c>
      <c r="V26" s="8" t="s">
        <v>36</v>
      </c>
      <c r="W26" s="8" t="s">
        <v>37</v>
      </c>
      <c r="X26" s="464"/>
      <c r="Y26" s="464"/>
      <c r="Z26" s="464"/>
      <c r="AA26" s="464"/>
      <c r="AB26" s="464"/>
      <c r="AC26" s="283" t="s">
        <v>176</v>
      </c>
      <c r="AD26" s="8" t="s">
        <v>36</v>
      </c>
      <c r="AE26" s="8" t="s">
        <v>37</v>
      </c>
      <c r="AF26" s="283" t="s">
        <v>176</v>
      </c>
      <c r="AG26" s="8" t="s">
        <v>36</v>
      </c>
      <c r="AH26" s="8" t="s">
        <v>37</v>
      </c>
    </row>
    <row r="27" spans="1:43" ht="15" customHeight="1" thickBot="1" x14ac:dyDescent="0.3">
      <c r="A27" s="116" t="s">
        <v>435</v>
      </c>
      <c r="B27" s="104">
        <v>4</v>
      </c>
      <c r="C27" s="47">
        <v>2</v>
      </c>
      <c r="D27" s="245">
        <v>1</v>
      </c>
      <c r="E27" s="117">
        <f t="shared" si="0"/>
        <v>7</v>
      </c>
      <c r="F27" s="262" t="s">
        <v>435</v>
      </c>
      <c r="G27" s="105">
        <v>20</v>
      </c>
      <c r="H27" s="59">
        <v>10</v>
      </c>
      <c r="I27" s="256">
        <v>5</v>
      </c>
      <c r="J27" s="257">
        <f t="shared" si="1"/>
        <v>35</v>
      </c>
      <c r="K27" s="116" t="s">
        <v>216</v>
      </c>
      <c r="L27" s="117">
        <v>14</v>
      </c>
      <c r="M27" s="117">
        <v>20</v>
      </c>
      <c r="N27" s="118">
        <f>(L27/M27)*100</f>
        <v>70</v>
      </c>
      <c r="O27" s="8">
        <v>2</v>
      </c>
      <c r="P27" s="8">
        <v>4</v>
      </c>
      <c r="Q27" s="294">
        <f t="shared" ref="Q27" si="3">SUM(O27/P27)*100</f>
        <v>50</v>
      </c>
      <c r="R27" s="8" t="s">
        <v>43</v>
      </c>
      <c r="S27" s="8" t="s">
        <v>43</v>
      </c>
      <c r="T27" s="8" t="s">
        <v>43</v>
      </c>
      <c r="U27" s="283">
        <v>12</v>
      </c>
      <c r="V27" s="8">
        <v>20</v>
      </c>
      <c r="W27" s="294">
        <f>SUM(U27/V27)*100</f>
        <v>60</v>
      </c>
      <c r="X27" s="464"/>
      <c r="Y27" s="464"/>
      <c r="Z27" s="464"/>
      <c r="AA27" s="464"/>
      <c r="AB27" s="464"/>
      <c r="AC27" s="283" t="s">
        <v>43</v>
      </c>
      <c r="AD27" s="8" t="s">
        <v>43</v>
      </c>
      <c r="AE27" s="8" t="s">
        <v>43</v>
      </c>
      <c r="AF27" s="283" t="s">
        <v>43</v>
      </c>
      <c r="AG27" s="8" t="s">
        <v>43</v>
      </c>
      <c r="AH27" s="8" t="s">
        <v>43</v>
      </c>
    </row>
    <row r="28" spans="1:43" ht="15" customHeight="1" thickBot="1" x14ac:dyDescent="0.3">
      <c r="A28" s="116" t="s">
        <v>122</v>
      </c>
      <c r="B28" s="104">
        <v>1</v>
      </c>
      <c r="C28" s="47">
        <v>1</v>
      </c>
      <c r="D28" s="245">
        <v>0</v>
      </c>
      <c r="E28" s="117">
        <f t="shared" si="0"/>
        <v>2</v>
      </c>
      <c r="F28" s="262" t="s">
        <v>122</v>
      </c>
      <c r="G28" s="105">
        <v>18</v>
      </c>
      <c r="H28" s="59">
        <v>5</v>
      </c>
      <c r="I28" s="256">
        <v>0</v>
      </c>
      <c r="J28" s="257">
        <f t="shared" si="1"/>
        <v>23</v>
      </c>
      <c r="K28" s="116" t="s">
        <v>225</v>
      </c>
      <c r="L28" s="117" t="s">
        <v>43</v>
      </c>
      <c r="M28" s="117" t="s">
        <v>43</v>
      </c>
      <c r="N28" s="118" t="s">
        <v>43</v>
      </c>
      <c r="O28" s="8">
        <v>11</v>
      </c>
      <c r="P28" s="8">
        <v>19</v>
      </c>
      <c r="Q28" s="294">
        <f>SUM(O28/P28)*100</f>
        <v>57.894736842105267</v>
      </c>
      <c r="R28" s="8">
        <v>15</v>
      </c>
      <c r="S28" s="8">
        <v>25</v>
      </c>
      <c r="T28" s="294">
        <f>SUM(R28/S28)*100</f>
        <v>60</v>
      </c>
      <c r="U28" s="283">
        <v>3</v>
      </c>
      <c r="V28" s="8">
        <v>4</v>
      </c>
      <c r="W28" s="294">
        <f>SUM(U28/V28)*100</f>
        <v>75</v>
      </c>
      <c r="X28" s="464"/>
      <c r="Y28" s="464"/>
      <c r="Z28" s="464"/>
      <c r="AA28" s="464"/>
      <c r="AB28" s="464"/>
      <c r="AC28" s="283"/>
      <c r="AD28" s="8"/>
      <c r="AE28" s="8"/>
      <c r="AF28" s="283"/>
      <c r="AG28" s="8"/>
      <c r="AH28" s="8"/>
    </row>
    <row r="29" spans="1:43" ht="15" customHeight="1" thickBot="1" x14ac:dyDescent="0.3">
      <c r="A29" s="116" t="s">
        <v>196</v>
      </c>
      <c r="B29" s="104">
        <v>3</v>
      </c>
      <c r="C29" s="47">
        <v>1</v>
      </c>
      <c r="D29" s="245">
        <v>0</v>
      </c>
      <c r="E29" s="117">
        <f t="shared" si="0"/>
        <v>4</v>
      </c>
      <c r="F29" s="262" t="s">
        <v>196</v>
      </c>
      <c r="G29" s="105">
        <v>15</v>
      </c>
      <c r="H29" s="59">
        <v>5</v>
      </c>
      <c r="I29" s="256">
        <v>0</v>
      </c>
      <c r="J29" s="257">
        <f t="shared" si="1"/>
        <v>20</v>
      </c>
      <c r="K29" s="116" t="s">
        <v>45</v>
      </c>
      <c r="L29" s="117">
        <v>4</v>
      </c>
      <c r="M29" s="117">
        <v>4</v>
      </c>
      <c r="N29" s="118">
        <f>(L29/M29)*100</f>
        <v>100</v>
      </c>
      <c r="O29" s="8"/>
      <c r="P29" s="8"/>
      <c r="Q29" s="294"/>
      <c r="R29" s="8"/>
      <c r="S29" s="8"/>
      <c r="T29" s="294"/>
      <c r="U29" s="283"/>
      <c r="V29" s="8"/>
      <c r="W29" s="294"/>
      <c r="X29" s="464"/>
      <c r="Y29" s="464"/>
      <c r="Z29" s="464"/>
      <c r="AA29" s="464"/>
      <c r="AB29" s="464"/>
      <c r="AC29" s="283"/>
      <c r="AD29" s="8"/>
      <c r="AE29" s="8"/>
      <c r="AF29" s="283" t="s">
        <v>43</v>
      </c>
      <c r="AG29" s="8" t="s">
        <v>43</v>
      </c>
      <c r="AH29" s="8" t="s">
        <v>43</v>
      </c>
    </row>
    <row r="30" spans="1:43" ht="15" customHeight="1" thickBot="1" x14ac:dyDescent="0.3">
      <c r="A30" s="116" t="s">
        <v>225</v>
      </c>
      <c r="B30" s="104">
        <v>2</v>
      </c>
      <c r="C30" s="47">
        <v>0</v>
      </c>
      <c r="D30" s="245">
        <v>0</v>
      </c>
      <c r="E30" s="117">
        <f t="shared" si="0"/>
        <v>2</v>
      </c>
      <c r="F30" s="262" t="s">
        <v>225</v>
      </c>
      <c r="G30" s="105">
        <v>10</v>
      </c>
      <c r="H30" s="59">
        <v>0</v>
      </c>
      <c r="I30" s="256">
        <v>0</v>
      </c>
      <c r="J30" s="257">
        <f t="shared" si="1"/>
        <v>10</v>
      </c>
      <c r="K30" s="116" t="s">
        <v>987</v>
      </c>
      <c r="L30" s="117">
        <v>2</v>
      </c>
      <c r="M30" s="117">
        <v>2</v>
      </c>
      <c r="N30" s="118">
        <f>(L30/M30)*100</f>
        <v>100</v>
      </c>
      <c r="O30" s="8"/>
      <c r="P30" s="8"/>
      <c r="Q30" s="294"/>
      <c r="R30" s="8"/>
      <c r="S30" s="8"/>
      <c r="T30" s="294"/>
      <c r="U30" s="283"/>
      <c r="V30" s="8"/>
      <c r="W30" s="294"/>
      <c r="X30" s="464"/>
      <c r="Y30" s="464"/>
      <c r="Z30" s="464"/>
      <c r="AA30" s="464"/>
      <c r="AB30" s="464"/>
      <c r="AC30" s="283"/>
      <c r="AD30" s="8"/>
      <c r="AE30" s="8"/>
      <c r="AF30" s="283">
        <v>22</v>
      </c>
      <c r="AG30" s="8">
        <v>28</v>
      </c>
      <c r="AH30" s="294">
        <f>SUM(AF30/AG30)*100</f>
        <v>78.571428571428569</v>
      </c>
    </row>
    <row r="31" spans="1:43" ht="15" customHeight="1" thickBot="1" x14ac:dyDescent="0.3">
      <c r="A31" s="116" t="s">
        <v>87</v>
      </c>
      <c r="B31" s="104">
        <v>3</v>
      </c>
      <c r="C31" s="47">
        <v>0</v>
      </c>
      <c r="D31" s="245">
        <v>0</v>
      </c>
      <c r="E31" s="117">
        <f t="shared" si="0"/>
        <v>3</v>
      </c>
      <c r="F31" s="262" t="s">
        <v>87</v>
      </c>
      <c r="G31" s="105">
        <v>15</v>
      </c>
      <c r="H31" s="59">
        <v>0</v>
      </c>
      <c r="I31" s="256">
        <v>0</v>
      </c>
      <c r="J31" s="257">
        <f t="shared" si="1"/>
        <v>15</v>
      </c>
      <c r="K31" s="116" t="s">
        <v>122</v>
      </c>
      <c r="L31" s="117" t="s">
        <v>43</v>
      </c>
      <c r="M31" s="117" t="s">
        <v>43</v>
      </c>
      <c r="N31" s="118" t="s">
        <v>43</v>
      </c>
      <c r="O31" s="8">
        <v>11</v>
      </c>
      <c r="P31" s="8">
        <v>12</v>
      </c>
      <c r="Q31" s="294">
        <f>SUM(O31/P31)*100</f>
        <v>91.666666666666657</v>
      </c>
      <c r="R31" s="8">
        <v>0</v>
      </c>
      <c r="S31" s="8">
        <v>1</v>
      </c>
      <c r="T31" s="294">
        <f>SUM(R31/S31)*100</f>
        <v>0</v>
      </c>
      <c r="U31" s="283">
        <v>0</v>
      </c>
      <c r="V31" s="8">
        <v>1</v>
      </c>
      <c r="W31" s="294">
        <f>SUM(U31/V31)*100</f>
        <v>0</v>
      </c>
      <c r="X31" s="464"/>
      <c r="Y31" s="464"/>
      <c r="Z31" s="464"/>
      <c r="AA31" s="464"/>
      <c r="AB31" s="464"/>
      <c r="AC31" s="283">
        <v>21</v>
      </c>
      <c r="AD31" s="8">
        <v>25</v>
      </c>
      <c r="AE31" s="294">
        <f>SUM(AC31/AD31)*100</f>
        <v>84</v>
      </c>
    </row>
    <row r="32" spans="1:43" ht="15" customHeight="1" thickBot="1" x14ac:dyDescent="0.3">
      <c r="A32" s="116" t="s">
        <v>1218</v>
      </c>
      <c r="B32" s="104">
        <v>1</v>
      </c>
      <c r="C32" s="47">
        <v>0</v>
      </c>
      <c r="D32" s="245">
        <v>1</v>
      </c>
      <c r="E32" s="117">
        <f t="shared" si="0"/>
        <v>2</v>
      </c>
      <c r="F32" s="262" t="s">
        <v>1218</v>
      </c>
      <c r="G32" s="105">
        <v>5</v>
      </c>
      <c r="H32" s="59">
        <v>0</v>
      </c>
      <c r="I32" s="256">
        <v>5</v>
      </c>
      <c r="J32" s="257">
        <f t="shared" si="1"/>
        <v>10</v>
      </c>
      <c r="K32" s="116" t="s">
        <v>14</v>
      </c>
      <c r="L32" s="117">
        <v>5</v>
      </c>
      <c r="M32" s="117">
        <v>6</v>
      </c>
      <c r="N32" s="118">
        <f>(L32/M32)*100</f>
        <v>83.333333333333343</v>
      </c>
      <c r="O32" s="8" t="s">
        <v>43</v>
      </c>
      <c r="P32" s="8" t="s">
        <v>43</v>
      </c>
      <c r="Q32" s="8" t="s">
        <v>43</v>
      </c>
      <c r="R32" s="8" t="s">
        <v>43</v>
      </c>
      <c r="S32" s="8" t="s">
        <v>43</v>
      </c>
      <c r="T32" s="8" t="s">
        <v>43</v>
      </c>
      <c r="U32" s="283">
        <v>3</v>
      </c>
      <c r="V32" s="8">
        <v>4</v>
      </c>
      <c r="W32" s="294">
        <f>SUM(U32/V32)*100</f>
        <v>75</v>
      </c>
      <c r="X32" s="464"/>
      <c r="Y32" s="464"/>
      <c r="Z32" s="464"/>
      <c r="AA32" s="464"/>
      <c r="AB32" s="464"/>
      <c r="AC32" s="283">
        <v>27</v>
      </c>
      <c r="AD32" s="8">
        <v>36</v>
      </c>
      <c r="AE32" s="294">
        <f>SUM(AC32/AD32)*100</f>
        <v>75</v>
      </c>
    </row>
    <row r="33" spans="1:17" ht="15" customHeight="1" thickBot="1" x14ac:dyDescent="0.3">
      <c r="A33" s="116" t="s">
        <v>6</v>
      </c>
      <c r="B33" s="104">
        <v>2</v>
      </c>
      <c r="C33" s="47">
        <v>1</v>
      </c>
      <c r="D33" s="245">
        <v>0</v>
      </c>
      <c r="E33" s="117">
        <f t="shared" si="0"/>
        <v>3</v>
      </c>
      <c r="F33" s="262" t="s">
        <v>6</v>
      </c>
      <c r="G33" s="105">
        <v>14</v>
      </c>
      <c r="H33" s="59">
        <v>7</v>
      </c>
      <c r="I33" s="256">
        <v>0</v>
      </c>
      <c r="J33" s="257">
        <f t="shared" si="1"/>
        <v>21</v>
      </c>
    </row>
    <row r="34" spans="1:17" ht="15" customHeight="1" thickBot="1" x14ac:dyDescent="0.3">
      <c r="A34" s="116" t="s">
        <v>290</v>
      </c>
      <c r="B34" s="104">
        <v>0</v>
      </c>
      <c r="C34" s="47">
        <v>0</v>
      </c>
      <c r="D34" s="245">
        <v>0</v>
      </c>
      <c r="E34" s="117">
        <f t="shared" si="0"/>
        <v>0</v>
      </c>
      <c r="F34" s="262" t="s">
        <v>290</v>
      </c>
      <c r="G34" s="105">
        <v>0</v>
      </c>
      <c r="H34" s="59">
        <v>0</v>
      </c>
      <c r="I34" s="256">
        <v>0</v>
      </c>
      <c r="J34" s="257">
        <f t="shared" si="1"/>
        <v>0</v>
      </c>
      <c r="K34" s="581" t="s">
        <v>135</v>
      </c>
      <c r="L34" s="494" t="s">
        <v>186</v>
      </c>
      <c r="M34" s="495"/>
      <c r="N34" s="496"/>
      <c r="O34" s="494" t="s">
        <v>140</v>
      </c>
      <c r="P34" s="495"/>
      <c r="Q34" s="496"/>
    </row>
    <row r="35" spans="1:17" ht="15" customHeight="1" thickBot="1" x14ac:dyDescent="0.3">
      <c r="A35" s="116" t="s">
        <v>157</v>
      </c>
      <c r="B35" s="104">
        <v>0</v>
      </c>
      <c r="C35" s="47">
        <v>0</v>
      </c>
      <c r="D35" s="245">
        <v>0</v>
      </c>
      <c r="E35" s="117">
        <f t="shared" si="0"/>
        <v>0</v>
      </c>
      <c r="F35" s="262" t="s">
        <v>157</v>
      </c>
      <c r="G35" s="105">
        <v>0</v>
      </c>
      <c r="H35" s="59">
        <v>0</v>
      </c>
      <c r="I35" s="256">
        <v>0</v>
      </c>
      <c r="J35" s="257">
        <f t="shared" si="1"/>
        <v>0</v>
      </c>
      <c r="K35" s="582"/>
      <c r="L35" s="497"/>
      <c r="M35" s="498"/>
      <c r="N35" s="499"/>
      <c r="O35" s="497"/>
      <c r="P35" s="498"/>
      <c r="Q35" s="499"/>
    </row>
    <row r="36" spans="1:17" ht="15" customHeight="1" thickBot="1" x14ac:dyDescent="0.3">
      <c r="A36" s="116" t="s">
        <v>289</v>
      </c>
      <c r="B36" s="104">
        <v>7</v>
      </c>
      <c r="C36" s="47">
        <v>2</v>
      </c>
      <c r="D36" s="245">
        <v>5</v>
      </c>
      <c r="E36" s="117">
        <f t="shared" si="0"/>
        <v>14</v>
      </c>
      <c r="F36" s="262" t="s">
        <v>289</v>
      </c>
      <c r="G36" s="105">
        <v>35</v>
      </c>
      <c r="H36" s="59">
        <v>10</v>
      </c>
      <c r="I36" s="256">
        <v>25</v>
      </c>
      <c r="J36" s="257">
        <f t="shared" si="1"/>
        <v>70</v>
      </c>
      <c r="K36" s="36" t="s">
        <v>72</v>
      </c>
      <c r="L36" s="106" t="s">
        <v>176</v>
      </c>
      <c r="M36" s="106" t="s">
        <v>36</v>
      </c>
      <c r="N36" s="106" t="s">
        <v>37</v>
      </c>
      <c r="O36" s="106" t="s">
        <v>176</v>
      </c>
      <c r="P36" s="106" t="s">
        <v>36</v>
      </c>
      <c r="Q36" s="106" t="s">
        <v>37</v>
      </c>
    </row>
    <row r="37" spans="1:17" ht="15" customHeight="1" thickBot="1" x14ac:dyDescent="0.3">
      <c r="A37" s="116" t="s">
        <v>226</v>
      </c>
      <c r="B37" s="104">
        <v>1</v>
      </c>
      <c r="C37" s="47">
        <v>1</v>
      </c>
      <c r="D37" s="245">
        <v>0</v>
      </c>
      <c r="E37" s="117">
        <f t="shared" si="0"/>
        <v>2</v>
      </c>
      <c r="F37" s="262" t="s">
        <v>226</v>
      </c>
      <c r="G37" s="105">
        <v>5</v>
      </c>
      <c r="H37" s="59">
        <v>5</v>
      </c>
      <c r="I37" s="256">
        <v>0</v>
      </c>
      <c r="J37" s="257">
        <f t="shared" si="1"/>
        <v>10</v>
      </c>
      <c r="K37" s="116" t="s">
        <v>14</v>
      </c>
      <c r="L37" s="117">
        <v>1</v>
      </c>
      <c r="M37" s="117">
        <v>1</v>
      </c>
      <c r="N37" s="118">
        <f>SUM(L37/M37)*100</f>
        <v>100</v>
      </c>
      <c r="O37" s="117" t="s">
        <v>43</v>
      </c>
      <c r="P37" s="117" t="s">
        <v>43</v>
      </c>
      <c r="Q37" s="117" t="s">
        <v>43</v>
      </c>
    </row>
    <row r="38" spans="1:17" ht="15" customHeight="1" thickBot="1" x14ac:dyDescent="0.3">
      <c r="A38" s="116" t="s">
        <v>243</v>
      </c>
      <c r="B38" s="104">
        <v>0</v>
      </c>
      <c r="C38" s="47">
        <v>0</v>
      </c>
      <c r="D38" s="245">
        <v>0</v>
      </c>
      <c r="E38" s="117">
        <f t="shared" si="0"/>
        <v>0</v>
      </c>
      <c r="F38" s="262" t="s">
        <v>243</v>
      </c>
      <c r="G38" s="105">
        <v>0</v>
      </c>
      <c r="H38" s="59">
        <v>0</v>
      </c>
      <c r="I38" s="256">
        <v>0</v>
      </c>
      <c r="J38" s="257">
        <f t="shared" si="1"/>
        <v>0</v>
      </c>
      <c r="K38" t="s">
        <v>1048</v>
      </c>
    </row>
    <row r="39" spans="1:17" ht="15" customHeight="1" thickBot="1" x14ac:dyDescent="0.3">
      <c r="A39" s="116" t="s">
        <v>14</v>
      </c>
      <c r="B39" s="104">
        <v>0</v>
      </c>
      <c r="C39" s="47">
        <v>0</v>
      </c>
      <c r="D39" s="245">
        <v>3</v>
      </c>
      <c r="E39" s="117">
        <f t="shared" si="0"/>
        <v>3</v>
      </c>
      <c r="F39" s="262" t="s">
        <v>14</v>
      </c>
      <c r="G39" s="105">
        <v>20</v>
      </c>
      <c r="H39" s="59">
        <v>8</v>
      </c>
      <c r="I39" s="256">
        <v>28</v>
      </c>
      <c r="J39" s="257">
        <f t="shared" si="1"/>
        <v>56</v>
      </c>
    </row>
    <row r="40" spans="1:17" ht="15" customHeight="1" thickBot="1" x14ac:dyDescent="0.3">
      <c r="A40" s="116" t="s">
        <v>131</v>
      </c>
      <c r="B40" s="104">
        <v>0</v>
      </c>
      <c r="C40" s="47">
        <v>0</v>
      </c>
      <c r="D40" s="245">
        <v>0</v>
      </c>
      <c r="E40" s="117">
        <f t="shared" si="0"/>
        <v>0</v>
      </c>
      <c r="F40" s="262" t="s">
        <v>131</v>
      </c>
      <c r="G40" s="105">
        <v>0</v>
      </c>
      <c r="H40" s="59">
        <v>0</v>
      </c>
      <c r="I40" s="256">
        <v>0</v>
      </c>
      <c r="J40" s="257">
        <f t="shared" si="1"/>
        <v>0</v>
      </c>
    </row>
    <row r="41" spans="1:17" ht="15" customHeight="1" thickBot="1" x14ac:dyDescent="0.3">
      <c r="A41" s="116" t="s">
        <v>1237</v>
      </c>
      <c r="B41" s="104">
        <v>1</v>
      </c>
      <c r="C41" s="47">
        <v>0</v>
      </c>
      <c r="D41" s="245">
        <v>0</v>
      </c>
      <c r="E41" s="117">
        <f t="shared" si="0"/>
        <v>1</v>
      </c>
      <c r="F41" s="254" t="s">
        <v>1237</v>
      </c>
      <c r="G41" s="105">
        <v>5</v>
      </c>
      <c r="H41" s="59">
        <v>0</v>
      </c>
      <c r="I41" s="256">
        <v>0</v>
      </c>
      <c r="J41" s="257">
        <f t="shared" si="1"/>
        <v>5</v>
      </c>
    </row>
    <row r="42" spans="1:17" ht="15" customHeight="1" thickBot="1" x14ac:dyDescent="0.3">
      <c r="A42" s="116" t="s">
        <v>200</v>
      </c>
      <c r="B42" s="104">
        <v>1</v>
      </c>
      <c r="C42" s="47">
        <v>0</v>
      </c>
      <c r="D42" s="245">
        <v>0</v>
      </c>
      <c r="E42" s="117">
        <f t="shared" si="0"/>
        <v>1</v>
      </c>
      <c r="F42" s="254" t="s">
        <v>200</v>
      </c>
      <c r="G42" s="105">
        <v>5</v>
      </c>
      <c r="H42" s="59">
        <v>0</v>
      </c>
      <c r="I42" s="256">
        <v>0</v>
      </c>
      <c r="J42" s="257">
        <f t="shared" si="1"/>
        <v>5</v>
      </c>
    </row>
    <row r="43" spans="1:17" ht="15" customHeight="1" thickBot="1" x14ac:dyDescent="0.3">
      <c r="A43" s="116" t="s">
        <v>72</v>
      </c>
      <c r="B43" s="104">
        <v>0</v>
      </c>
      <c r="C43" s="47">
        <v>0</v>
      </c>
      <c r="D43" s="245">
        <v>0</v>
      </c>
      <c r="E43" s="117">
        <f t="shared" si="0"/>
        <v>0</v>
      </c>
      <c r="F43" s="254" t="s">
        <v>72</v>
      </c>
      <c r="G43" s="105">
        <v>0</v>
      </c>
      <c r="H43" s="59">
        <v>0</v>
      </c>
      <c r="I43" s="256">
        <v>0</v>
      </c>
      <c r="J43" s="257">
        <f t="shared" si="1"/>
        <v>0</v>
      </c>
    </row>
    <row r="44" spans="1:17" ht="15" customHeight="1" thickBot="1" x14ac:dyDescent="0.3">
      <c r="A44" s="116" t="s">
        <v>72</v>
      </c>
      <c r="B44" s="104">
        <v>0</v>
      </c>
      <c r="C44" s="47">
        <v>0</v>
      </c>
      <c r="D44" s="245">
        <v>0</v>
      </c>
      <c r="E44" s="117">
        <f t="shared" si="0"/>
        <v>0</v>
      </c>
      <c r="F44" s="254" t="s">
        <v>72</v>
      </c>
      <c r="G44" s="105">
        <v>0</v>
      </c>
      <c r="H44" s="59">
        <v>0</v>
      </c>
      <c r="I44" s="256">
        <v>0</v>
      </c>
      <c r="J44" s="257">
        <f t="shared" si="1"/>
        <v>0</v>
      </c>
    </row>
    <row r="45" spans="1:17" ht="15" customHeight="1" thickBot="1" x14ac:dyDescent="0.3">
      <c r="A45" s="116" t="s">
        <v>72</v>
      </c>
      <c r="B45" s="104">
        <v>0</v>
      </c>
      <c r="C45" s="47">
        <v>0</v>
      </c>
      <c r="D45" s="245">
        <v>0</v>
      </c>
      <c r="E45" s="117">
        <f t="shared" si="0"/>
        <v>0</v>
      </c>
      <c r="F45" s="254" t="s">
        <v>72</v>
      </c>
      <c r="G45" s="105">
        <v>0</v>
      </c>
      <c r="H45" s="59">
        <v>0</v>
      </c>
      <c r="I45" s="256">
        <v>0</v>
      </c>
      <c r="J45" s="257">
        <f t="shared" si="1"/>
        <v>0</v>
      </c>
    </row>
    <row r="46" spans="1:17" ht="15.75" thickBot="1" x14ac:dyDescent="0.3">
      <c r="A46" s="116" t="s">
        <v>63</v>
      </c>
      <c r="B46" s="104">
        <v>5</v>
      </c>
      <c r="C46" s="47">
        <v>0</v>
      </c>
      <c r="D46" s="245">
        <v>4</v>
      </c>
      <c r="E46" s="117">
        <f t="shared" si="0"/>
        <v>9</v>
      </c>
      <c r="F46" s="254" t="s">
        <v>63</v>
      </c>
      <c r="G46" s="105">
        <v>25</v>
      </c>
      <c r="H46" s="59">
        <v>0</v>
      </c>
      <c r="I46" s="256">
        <v>20</v>
      </c>
      <c r="J46" s="257">
        <f t="shared" si="1"/>
        <v>45</v>
      </c>
    </row>
    <row r="47" spans="1:17" ht="15.75" thickBot="1" x14ac:dyDescent="0.3">
      <c r="A47" s="116" t="s">
        <v>451</v>
      </c>
      <c r="B47" s="104">
        <v>1</v>
      </c>
      <c r="C47" s="47">
        <v>0</v>
      </c>
      <c r="D47" s="245">
        <v>0</v>
      </c>
      <c r="E47" s="117">
        <f t="shared" si="0"/>
        <v>1</v>
      </c>
      <c r="F47" s="254" t="s">
        <v>451</v>
      </c>
      <c r="G47" s="105">
        <v>5</v>
      </c>
      <c r="H47" s="59">
        <v>0</v>
      </c>
      <c r="I47" s="256">
        <v>0</v>
      </c>
      <c r="J47" s="257">
        <f t="shared" si="1"/>
        <v>5</v>
      </c>
    </row>
    <row r="48" spans="1:17" ht="15" customHeight="1" thickBot="1" x14ac:dyDescent="0.3">
      <c r="A48" s="116" t="s">
        <v>44</v>
      </c>
      <c r="B48" s="104">
        <v>1</v>
      </c>
      <c r="C48" s="47">
        <v>0</v>
      </c>
      <c r="D48" s="245">
        <v>0</v>
      </c>
      <c r="E48" s="117">
        <f t="shared" si="0"/>
        <v>1</v>
      </c>
      <c r="F48" s="254" t="s">
        <v>44</v>
      </c>
      <c r="G48" s="105">
        <v>5</v>
      </c>
      <c r="H48" s="59">
        <v>0</v>
      </c>
      <c r="I48" s="256">
        <v>0</v>
      </c>
      <c r="J48" s="257">
        <f t="shared" si="1"/>
        <v>5</v>
      </c>
    </row>
    <row r="49" spans="1:10" ht="15" customHeight="1" thickBot="1" x14ac:dyDescent="0.3">
      <c r="A49" s="116" t="s">
        <v>1096</v>
      </c>
      <c r="B49" s="104">
        <v>2</v>
      </c>
      <c r="C49" s="47">
        <v>2</v>
      </c>
      <c r="D49" s="245">
        <v>0</v>
      </c>
      <c r="E49" s="117">
        <f t="shared" si="0"/>
        <v>4</v>
      </c>
      <c r="F49" s="254" t="s">
        <v>1096</v>
      </c>
      <c r="G49" s="105">
        <v>10</v>
      </c>
      <c r="H49" s="59">
        <v>10</v>
      </c>
      <c r="I49" s="256">
        <v>0</v>
      </c>
      <c r="J49" s="257">
        <f t="shared" si="1"/>
        <v>20</v>
      </c>
    </row>
    <row r="50" spans="1:10" ht="15.75" thickBot="1" x14ac:dyDescent="0.3">
      <c r="A50" s="116" t="s">
        <v>1026</v>
      </c>
      <c r="B50" s="104">
        <v>0</v>
      </c>
      <c r="C50" s="47">
        <v>0</v>
      </c>
      <c r="D50" s="245">
        <v>2</v>
      </c>
      <c r="E50" s="117">
        <f t="shared" si="0"/>
        <v>2</v>
      </c>
      <c r="F50" s="254" t="s">
        <v>1026</v>
      </c>
      <c r="G50" s="105">
        <v>98</v>
      </c>
      <c r="H50" s="59">
        <v>26</v>
      </c>
      <c r="I50" s="256">
        <v>18</v>
      </c>
      <c r="J50" s="257">
        <f t="shared" si="1"/>
        <v>142</v>
      </c>
    </row>
    <row r="51" spans="1:10" ht="15.75" thickBot="1" x14ac:dyDescent="0.3">
      <c r="A51" s="116" t="s">
        <v>967</v>
      </c>
      <c r="B51" s="104">
        <v>2</v>
      </c>
      <c r="C51" s="47">
        <v>0</v>
      </c>
      <c r="D51" s="245">
        <v>1</v>
      </c>
      <c r="E51" s="117">
        <f t="shared" si="0"/>
        <v>3</v>
      </c>
      <c r="F51" s="254" t="s">
        <v>967</v>
      </c>
      <c r="G51" s="105">
        <v>10</v>
      </c>
      <c r="H51" s="59">
        <v>0</v>
      </c>
      <c r="I51" s="256">
        <v>5</v>
      </c>
      <c r="J51" s="257">
        <f t="shared" si="1"/>
        <v>15</v>
      </c>
    </row>
    <row r="52" spans="1:10" ht="15.75" thickBot="1" x14ac:dyDescent="0.3">
      <c r="A52" s="116" t="s">
        <v>216</v>
      </c>
      <c r="B52" s="104">
        <v>1</v>
      </c>
      <c r="C52" s="47">
        <v>0</v>
      </c>
      <c r="D52" s="245">
        <v>1</v>
      </c>
      <c r="E52" s="117">
        <f t="shared" si="0"/>
        <v>2</v>
      </c>
      <c r="F52" s="254" t="s">
        <v>216</v>
      </c>
      <c r="G52" s="105">
        <v>5</v>
      </c>
      <c r="H52" s="59">
        <v>0</v>
      </c>
      <c r="I52" s="256">
        <v>41</v>
      </c>
      <c r="J52" s="257">
        <f t="shared" si="1"/>
        <v>46</v>
      </c>
    </row>
    <row r="53" spans="1:10" ht="15.75" thickBot="1" x14ac:dyDescent="0.3">
      <c r="A53" s="116" t="s">
        <v>80</v>
      </c>
      <c r="B53" s="104">
        <v>0</v>
      </c>
      <c r="C53" s="47">
        <v>0</v>
      </c>
      <c r="D53" s="245">
        <v>0</v>
      </c>
      <c r="E53" s="117">
        <f t="shared" si="0"/>
        <v>0</v>
      </c>
      <c r="F53" s="254" t="s">
        <v>80</v>
      </c>
      <c r="G53" s="105">
        <v>0</v>
      </c>
      <c r="H53" s="59">
        <v>0</v>
      </c>
      <c r="I53" s="256">
        <v>0</v>
      </c>
      <c r="J53" s="257">
        <f t="shared" si="1"/>
        <v>0</v>
      </c>
    </row>
    <row r="54" spans="1:10" ht="15.75" thickBot="1" x14ac:dyDescent="0.3">
      <c r="A54" s="116" t="s">
        <v>968</v>
      </c>
      <c r="B54" s="104">
        <v>0</v>
      </c>
      <c r="C54" s="47">
        <v>0</v>
      </c>
      <c r="D54" s="245">
        <v>0</v>
      </c>
      <c r="E54" s="117">
        <f t="shared" si="0"/>
        <v>0</v>
      </c>
      <c r="F54" s="254" t="s">
        <v>968</v>
      </c>
      <c r="G54" s="105">
        <v>0</v>
      </c>
      <c r="H54" s="59">
        <v>0</v>
      </c>
      <c r="I54" s="256">
        <v>4</v>
      </c>
      <c r="J54" s="257">
        <f t="shared" si="1"/>
        <v>4</v>
      </c>
    </row>
    <row r="55" spans="1:10" ht="15.75" thickBot="1" x14ac:dyDescent="0.3">
      <c r="A55" s="116" t="s">
        <v>8</v>
      </c>
      <c r="B55" s="104">
        <v>0</v>
      </c>
      <c r="C55" s="47">
        <v>0</v>
      </c>
      <c r="D55" s="245">
        <v>0</v>
      </c>
      <c r="E55" s="117">
        <f t="shared" si="0"/>
        <v>0</v>
      </c>
      <c r="F55" s="254" t="s">
        <v>8</v>
      </c>
      <c r="G55" s="105">
        <v>0</v>
      </c>
      <c r="H55" s="59">
        <v>0</v>
      </c>
      <c r="I55" s="256">
        <v>0</v>
      </c>
      <c r="J55" s="257">
        <f t="shared" si="1"/>
        <v>0</v>
      </c>
    </row>
    <row r="56" spans="1:10" ht="15.75" thickBot="1" x14ac:dyDescent="0.3">
      <c r="A56" s="116" t="s">
        <v>201</v>
      </c>
      <c r="B56" s="104">
        <v>3</v>
      </c>
      <c r="C56" s="47">
        <v>0</v>
      </c>
      <c r="D56" s="245">
        <v>0</v>
      </c>
      <c r="E56" s="117">
        <f t="shared" si="0"/>
        <v>3</v>
      </c>
      <c r="F56" s="254" t="s">
        <v>201</v>
      </c>
      <c r="G56" s="105">
        <v>15</v>
      </c>
      <c r="H56" s="59">
        <v>0</v>
      </c>
      <c r="I56" s="256">
        <v>0</v>
      </c>
      <c r="J56" s="257">
        <f t="shared" si="1"/>
        <v>15</v>
      </c>
    </row>
    <row r="57" spans="1:10" ht="15.75" thickBot="1" x14ac:dyDescent="0.3">
      <c r="A57" s="116" t="s">
        <v>71</v>
      </c>
      <c r="B57" s="104">
        <v>1</v>
      </c>
      <c r="C57" s="47">
        <v>0</v>
      </c>
      <c r="D57" s="245">
        <v>0</v>
      </c>
      <c r="E57" s="117">
        <f t="shared" si="0"/>
        <v>1</v>
      </c>
      <c r="F57" s="254" t="s">
        <v>71</v>
      </c>
      <c r="G57" s="105">
        <v>5</v>
      </c>
      <c r="H57" s="59">
        <v>0</v>
      </c>
      <c r="I57" s="256">
        <v>0</v>
      </c>
      <c r="J57" s="257">
        <f t="shared" si="1"/>
        <v>5</v>
      </c>
    </row>
    <row r="58" spans="1:10" ht="15.75" thickBot="1" x14ac:dyDescent="0.3">
      <c r="A58" s="116" t="s">
        <v>3</v>
      </c>
      <c r="B58" s="104">
        <f>SUM(B3:B57)</f>
        <v>72</v>
      </c>
      <c r="C58" s="47">
        <f>SUM(C3:C57)</f>
        <v>14</v>
      </c>
      <c r="D58" s="245">
        <f>SUM(D3:D57)</f>
        <v>19</v>
      </c>
      <c r="E58" s="117">
        <f>SUM(E3:E57)</f>
        <v>105</v>
      </c>
      <c r="F58" s="254" t="s">
        <v>3</v>
      </c>
      <c r="G58" s="105">
        <f>SUM(G3:G57)</f>
        <v>583</v>
      </c>
      <c r="H58" s="59">
        <f>SUM(H3:H57)</f>
        <v>161</v>
      </c>
      <c r="I58" s="256">
        <f>SUM(I3:I57)</f>
        <v>156</v>
      </c>
      <c r="J58" s="257">
        <f>SUM(J3:J57)</f>
        <v>900</v>
      </c>
    </row>
    <row r="59" spans="1:10" ht="15.75" x14ac:dyDescent="0.25">
      <c r="A59" s="95" t="s">
        <v>72</v>
      </c>
      <c r="B59" s="203"/>
      <c r="C59" s="97"/>
      <c r="D59" s="97"/>
      <c r="E59" s="85"/>
      <c r="F59" s="39"/>
      <c r="G59" s="206"/>
      <c r="H59" s="41"/>
      <c r="I59" s="41"/>
      <c r="J59" s="39"/>
    </row>
    <row r="60" spans="1:10" ht="15.75" thickBot="1" x14ac:dyDescent="0.3">
      <c r="A60" s="96" t="s">
        <v>39</v>
      </c>
      <c r="B60" s="203"/>
      <c r="C60" s="97"/>
      <c r="D60" s="97"/>
      <c r="E60" s="85"/>
      <c r="F60" s="41"/>
      <c r="G60" s="203"/>
      <c r="H60" s="41"/>
      <c r="I60" s="41"/>
      <c r="J60" s="41"/>
    </row>
    <row r="61" spans="1:10" ht="15.75" thickBot="1" x14ac:dyDescent="0.3">
      <c r="A61" s="119" t="s">
        <v>0</v>
      </c>
      <c r="B61" s="169" t="s">
        <v>305</v>
      </c>
      <c r="C61" s="153" t="s">
        <v>99</v>
      </c>
      <c r="D61" s="244" t="s">
        <v>306</v>
      </c>
      <c r="E61" s="165" t="s">
        <v>1</v>
      </c>
      <c r="F61" s="258" t="s">
        <v>2</v>
      </c>
      <c r="G61" s="160" t="s">
        <v>305</v>
      </c>
      <c r="H61" s="164" t="s">
        <v>99</v>
      </c>
      <c r="I61" s="260" t="s">
        <v>306</v>
      </c>
      <c r="J61" s="261" t="s">
        <v>1</v>
      </c>
    </row>
    <row r="62" spans="1:10" ht="15.75" thickBot="1" x14ac:dyDescent="0.3">
      <c r="A62" s="116" t="s">
        <v>289</v>
      </c>
      <c r="B62" s="104">
        <v>7</v>
      </c>
      <c r="C62" s="47">
        <v>2</v>
      </c>
      <c r="D62" s="245">
        <v>5</v>
      </c>
      <c r="E62" s="117">
        <f t="shared" ref="E62:E93" si="4">SUM(B62:D62)</f>
        <v>14</v>
      </c>
      <c r="F62" s="254" t="s">
        <v>1026</v>
      </c>
      <c r="G62" s="105">
        <v>98</v>
      </c>
      <c r="H62" s="59">
        <v>26</v>
      </c>
      <c r="I62" s="256">
        <v>18</v>
      </c>
      <c r="J62" s="257">
        <f t="shared" ref="J62:J93" si="5">SUM(G62:I62)</f>
        <v>142</v>
      </c>
    </row>
    <row r="63" spans="1:10" ht="15.75" thickBot="1" x14ac:dyDescent="0.3">
      <c r="A63" s="116" t="s">
        <v>63</v>
      </c>
      <c r="B63" s="104">
        <v>5</v>
      </c>
      <c r="C63" s="47">
        <v>0</v>
      </c>
      <c r="D63" s="245">
        <v>4</v>
      </c>
      <c r="E63" s="117">
        <f t="shared" si="4"/>
        <v>9</v>
      </c>
      <c r="F63" s="262" t="s">
        <v>10</v>
      </c>
      <c r="G63" s="105">
        <v>65</v>
      </c>
      <c r="H63" s="59">
        <v>17</v>
      </c>
      <c r="I63" s="256">
        <v>0</v>
      </c>
      <c r="J63" s="257">
        <f t="shared" si="5"/>
        <v>82</v>
      </c>
    </row>
    <row r="64" spans="1:10" ht="15.75" thickBot="1" x14ac:dyDescent="0.3">
      <c r="A64" s="116" t="s">
        <v>299</v>
      </c>
      <c r="B64" s="104">
        <v>7</v>
      </c>
      <c r="C64" s="47">
        <v>0</v>
      </c>
      <c r="D64" s="245">
        <v>0</v>
      </c>
      <c r="E64" s="117">
        <f t="shared" si="4"/>
        <v>7</v>
      </c>
      <c r="F64" s="262" t="s">
        <v>289</v>
      </c>
      <c r="G64" s="105">
        <v>35</v>
      </c>
      <c r="H64" s="59">
        <v>10</v>
      </c>
      <c r="I64" s="256">
        <v>25</v>
      </c>
      <c r="J64" s="257">
        <f t="shared" si="5"/>
        <v>70</v>
      </c>
    </row>
    <row r="65" spans="1:10" ht="15.75" thickBot="1" x14ac:dyDescent="0.3">
      <c r="A65" s="116" t="s">
        <v>435</v>
      </c>
      <c r="B65" s="104">
        <v>4</v>
      </c>
      <c r="C65" s="47">
        <v>2</v>
      </c>
      <c r="D65" s="245">
        <v>1</v>
      </c>
      <c r="E65" s="117">
        <f t="shared" si="4"/>
        <v>7</v>
      </c>
      <c r="F65" s="262" t="s">
        <v>14</v>
      </c>
      <c r="G65" s="105">
        <v>20</v>
      </c>
      <c r="H65" s="59">
        <v>8</v>
      </c>
      <c r="I65" s="256">
        <v>28</v>
      </c>
      <c r="J65" s="257">
        <f t="shared" si="5"/>
        <v>56</v>
      </c>
    </row>
    <row r="66" spans="1:10" ht="15.75" thickBot="1" x14ac:dyDescent="0.3">
      <c r="A66" s="116" t="s">
        <v>62</v>
      </c>
      <c r="B66" s="104">
        <v>4</v>
      </c>
      <c r="C66" s="47">
        <v>1</v>
      </c>
      <c r="D66" s="245">
        <v>0</v>
      </c>
      <c r="E66" s="117">
        <f t="shared" si="4"/>
        <v>5</v>
      </c>
      <c r="F66" s="262" t="s">
        <v>22</v>
      </c>
      <c r="G66" s="105">
        <v>15</v>
      </c>
      <c r="H66" s="59">
        <v>34</v>
      </c>
      <c r="I66" s="256">
        <v>0</v>
      </c>
      <c r="J66" s="257">
        <f t="shared" si="5"/>
        <v>49</v>
      </c>
    </row>
    <row r="67" spans="1:10" ht="15.75" thickBot="1" x14ac:dyDescent="0.3">
      <c r="A67" s="116" t="s">
        <v>133</v>
      </c>
      <c r="B67" s="104">
        <v>2</v>
      </c>
      <c r="C67" s="47">
        <v>2</v>
      </c>
      <c r="D67" s="245">
        <v>0</v>
      </c>
      <c r="E67" s="117">
        <f t="shared" si="4"/>
        <v>4</v>
      </c>
      <c r="F67" s="262" t="s">
        <v>216</v>
      </c>
      <c r="G67" s="105">
        <v>5</v>
      </c>
      <c r="H67" s="59">
        <v>0</v>
      </c>
      <c r="I67" s="256">
        <v>41</v>
      </c>
      <c r="J67" s="257">
        <f t="shared" si="5"/>
        <v>46</v>
      </c>
    </row>
    <row r="68" spans="1:10" ht="15.75" thickBot="1" x14ac:dyDescent="0.3">
      <c r="A68" s="116" t="s">
        <v>196</v>
      </c>
      <c r="B68" s="104">
        <v>3</v>
      </c>
      <c r="C68" s="47">
        <v>1</v>
      </c>
      <c r="D68" s="245">
        <v>0</v>
      </c>
      <c r="E68" s="117">
        <f t="shared" si="4"/>
        <v>4</v>
      </c>
      <c r="F68" s="262" t="s">
        <v>63</v>
      </c>
      <c r="G68" s="105">
        <v>25</v>
      </c>
      <c r="H68" s="59">
        <v>0</v>
      </c>
      <c r="I68" s="256">
        <v>20</v>
      </c>
      <c r="J68" s="257">
        <f t="shared" si="5"/>
        <v>45</v>
      </c>
    </row>
    <row r="69" spans="1:10" ht="15.75" thickBot="1" x14ac:dyDescent="0.3">
      <c r="A69" s="116" t="s">
        <v>1096</v>
      </c>
      <c r="B69" s="104">
        <v>2</v>
      </c>
      <c r="C69" s="47">
        <v>2</v>
      </c>
      <c r="D69" s="245">
        <v>0</v>
      </c>
      <c r="E69" s="117">
        <f t="shared" si="4"/>
        <v>4</v>
      </c>
      <c r="F69" s="262" t="s">
        <v>299</v>
      </c>
      <c r="G69" s="105">
        <v>35</v>
      </c>
      <c r="H69" s="59">
        <v>0</v>
      </c>
      <c r="I69" s="256">
        <v>0</v>
      </c>
      <c r="J69" s="257">
        <f t="shared" si="5"/>
        <v>35</v>
      </c>
    </row>
    <row r="70" spans="1:10" ht="15.75" thickBot="1" x14ac:dyDescent="0.3">
      <c r="A70" s="116" t="s">
        <v>98</v>
      </c>
      <c r="B70" s="104">
        <v>3</v>
      </c>
      <c r="C70" s="47">
        <v>0</v>
      </c>
      <c r="D70" s="245">
        <v>0</v>
      </c>
      <c r="E70" s="117">
        <f t="shared" si="4"/>
        <v>3</v>
      </c>
      <c r="F70" s="262" t="s">
        <v>435</v>
      </c>
      <c r="G70" s="105">
        <v>20</v>
      </c>
      <c r="H70" s="59">
        <v>10</v>
      </c>
      <c r="I70" s="256">
        <v>5</v>
      </c>
      <c r="J70" s="257">
        <f t="shared" si="5"/>
        <v>35</v>
      </c>
    </row>
    <row r="71" spans="1:10" ht="15.75" thickBot="1" x14ac:dyDescent="0.3">
      <c r="A71" s="116" t="s">
        <v>1141</v>
      </c>
      <c r="B71" s="104">
        <v>3</v>
      </c>
      <c r="C71" s="47">
        <v>0</v>
      </c>
      <c r="D71" s="245">
        <v>0</v>
      </c>
      <c r="E71" s="117">
        <f t="shared" si="4"/>
        <v>3</v>
      </c>
      <c r="F71" s="262" t="s">
        <v>81</v>
      </c>
      <c r="G71" s="105">
        <v>18</v>
      </c>
      <c r="H71" s="59">
        <v>9</v>
      </c>
      <c r="I71" s="256">
        <v>0</v>
      </c>
      <c r="J71" s="257">
        <f t="shared" si="5"/>
        <v>27</v>
      </c>
    </row>
    <row r="72" spans="1:10" ht="15.75" thickBot="1" x14ac:dyDescent="0.3">
      <c r="A72" s="116" t="s">
        <v>87</v>
      </c>
      <c r="B72" s="104">
        <v>3</v>
      </c>
      <c r="C72" s="47">
        <v>0</v>
      </c>
      <c r="D72" s="245">
        <v>0</v>
      </c>
      <c r="E72" s="117">
        <f t="shared" si="4"/>
        <v>3</v>
      </c>
      <c r="F72" s="262" t="s">
        <v>62</v>
      </c>
      <c r="G72" s="105">
        <v>20</v>
      </c>
      <c r="H72" s="59">
        <v>5</v>
      </c>
      <c r="I72" s="256">
        <v>0</v>
      </c>
      <c r="J72" s="257">
        <f t="shared" si="5"/>
        <v>25</v>
      </c>
    </row>
    <row r="73" spans="1:10" ht="15.75" thickBot="1" x14ac:dyDescent="0.3">
      <c r="A73" s="116" t="s">
        <v>6</v>
      </c>
      <c r="B73" s="104">
        <v>2</v>
      </c>
      <c r="C73" s="47">
        <v>1</v>
      </c>
      <c r="D73" s="245">
        <v>0</v>
      </c>
      <c r="E73" s="117">
        <f t="shared" si="4"/>
        <v>3</v>
      </c>
      <c r="F73" s="262" t="s">
        <v>122</v>
      </c>
      <c r="G73" s="105">
        <v>18</v>
      </c>
      <c r="H73" s="59">
        <v>5</v>
      </c>
      <c r="I73" s="256">
        <v>0</v>
      </c>
      <c r="J73" s="257">
        <f t="shared" si="5"/>
        <v>23</v>
      </c>
    </row>
    <row r="74" spans="1:10" ht="15.75" thickBot="1" x14ac:dyDescent="0.3">
      <c r="A74" s="116" t="s">
        <v>14</v>
      </c>
      <c r="B74" s="104">
        <v>0</v>
      </c>
      <c r="C74" s="47">
        <v>0</v>
      </c>
      <c r="D74" s="245">
        <v>3</v>
      </c>
      <c r="E74" s="117">
        <f t="shared" si="4"/>
        <v>3</v>
      </c>
      <c r="F74" s="262" t="s">
        <v>6</v>
      </c>
      <c r="G74" s="105">
        <v>14</v>
      </c>
      <c r="H74" s="59">
        <v>7</v>
      </c>
      <c r="I74" s="256">
        <v>0</v>
      </c>
      <c r="J74" s="257">
        <f t="shared" si="5"/>
        <v>21</v>
      </c>
    </row>
    <row r="75" spans="1:10" ht="15.75" thickBot="1" x14ac:dyDescent="0.3">
      <c r="A75" s="116" t="s">
        <v>967</v>
      </c>
      <c r="B75" s="104">
        <v>2</v>
      </c>
      <c r="C75" s="47">
        <v>0</v>
      </c>
      <c r="D75" s="245">
        <v>1</v>
      </c>
      <c r="E75" s="117">
        <f t="shared" si="4"/>
        <v>3</v>
      </c>
      <c r="F75" s="262" t="s">
        <v>133</v>
      </c>
      <c r="G75" s="105">
        <v>10</v>
      </c>
      <c r="H75" s="59">
        <v>10</v>
      </c>
      <c r="I75" s="256">
        <v>0</v>
      </c>
      <c r="J75" s="257">
        <f t="shared" si="5"/>
        <v>20</v>
      </c>
    </row>
    <row r="76" spans="1:10" ht="15.75" thickBot="1" x14ac:dyDescent="0.3">
      <c r="A76" s="116" t="s">
        <v>201</v>
      </c>
      <c r="B76" s="104">
        <v>3</v>
      </c>
      <c r="C76" s="47">
        <v>0</v>
      </c>
      <c r="D76" s="245">
        <v>0</v>
      </c>
      <c r="E76" s="117">
        <f t="shared" si="4"/>
        <v>3</v>
      </c>
      <c r="F76" s="262" t="s">
        <v>196</v>
      </c>
      <c r="G76" s="105">
        <v>15</v>
      </c>
      <c r="H76" s="59">
        <v>5</v>
      </c>
      <c r="I76" s="256">
        <v>0</v>
      </c>
      <c r="J76" s="257">
        <f t="shared" si="5"/>
        <v>20</v>
      </c>
    </row>
    <row r="77" spans="1:10" ht="15.75" thickBot="1" x14ac:dyDescent="0.3">
      <c r="A77" s="116" t="s">
        <v>81</v>
      </c>
      <c r="B77" s="104">
        <v>2</v>
      </c>
      <c r="C77" s="47">
        <v>0</v>
      </c>
      <c r="D77" s="245">
        <v>0</v>
      </c>
      <c r="E77" s="117">
        <f t="shared" si="4"/>
        <v>2</v>
      </c>
      <c r="F77" s="262" t="s">
        <v>1096</v>
      </c>
      <c r="G77" s="105">
        <v>10</v>
      </c>
      <c r="H77" s="59">
        <v>10</v>
      </c>
      <c r="I77" s="256">
        <v>0</v>
      </c>
      <c r="J77" s="257">
        <f t="shared" si="5"/>
        <v>20</v>
      </c>
    </row>
    <row r="78" spans="1:10" ht="15.75" thickBot="1" x14ac:dyDescent="0.3">
      <c r="A78" s="116" t="s">
        <v>221</v>
      </c>
      <c r="B78" s="104">
        <v>1</v>
      </c>
      <c r="C78" s="47">
        <v>0</v>
      </c>
      <c r="D78" s="245">
        <v>1</v>
      </c>
      <c r="E78" s="117">
        <f t="shared" si="4"/>
        <v>2</v>
      </c>
      <c r="F78" s="262" t="s">
        <v>98</v>
      </c>
      <c r="G78" s="105">
        <v>15</v>
      </c>
      <c r="H78" s="59">
        <v>0</v>
      </c>
      <c r="I78" s="256">
        <v>0</v>
      </c>
      <c r="J78" s="257">
        <f t="shared" si="5"/>
        <v>15</v>
      </c>
    </row>
    <row r="79" spans="1:10" ht="15.75" thickBot="1" x14ac:dyDescent="0.3">
      <c r="A79" s="116" t="s">
        <v>9</v>
      </c>
      <c r="B79" s="104">
        <v>2</v>
      </c>
      <c r="C79" s="47">
        <v>0</v>
      </c>
      <c r="D79" s="245">
        <v>0</v>
      </c>
      <c r="E79" s="117">
        <f t="shared" si="4"/>
        <v>2</v>
      </c>
      <c r="F79" s="262" t="s">
        <v>1141</v>
      </c>
      <c r="G79" s="105">
        <v>15</v>
      </c>
      <c r="H79" s="59">
        <v>0</v>
      </c>
      <c r="I79" s="256">
        <v>0</v>
      </c>
      <c r="J79" s="257">
        <f t="shared" si="5"/>
        <v>15</v>
      </c>
    </row>
    <row r="80" spans="1:10" ht="15.75" thickBot="1" x14ac:dyDescent="0.3">
      <c r="A80" s="116" t="s">
        <v>122</v>
      </c>
      <c r="B80" s="104">
        <v>1</v>
      </c>
      <c r="C80" s="47">
        <v>1</v>
      </c>
      <c r="D80" s="245">
        <v>0</v>
      </c>
      <c r="E80" s="117">
        <f t="shared" si="4"/>
        <v>2</v>
      </c>
      <c r="F80" s="262" t="s">
        <v>87</v>
      </c>
      <c r="G80" s="105">
        <v>15</v>
      </c>
      <c r="H80" s="59">
        <v>0</v>
      </c>
      <c r="I80" s="256">
        <v>0</v>
      </c>
      <c r="J80" s="257">
        <f t="shared" si="5"/>
        <v>15</v>
      </c>
    </row>
    <row r="81" spans="1:10" ht="15.75" thickBot="1" x14ac:dyDescent="0.3">
      <c r="A81" s="116" t="s">
        <v>225</v>
      </c>
      <c r="B81" s="104">
        <v>2</v>
      </c>
      <c r="C81" s="47">
        <v>0</v>
      </c>
      <c r="D81" s="245">
        <v>0</v>
      </c>
      <c r="E81" s="117">
        <f t="shared" si="4"/>
        <v>2</v>
      </c>
      <c r="F81" s="262" t="s">
        <v>967</v>
      </c>
      <c r="G81" s="105">
        <v>10</v>
      </c>
      <c r="H81" s="59">
        <v>0</v>
      </c>
      <c r="I81" s="256">
        <v>5</v>
      </c>
      <c r="J81" s="257">
        <f t="shared" si="5"/>
        <v>15</v>
      </c>
    </row>
    <row r="82" spans="1:10" ht="15.75" thickBot="1" x14ac:dyDescent="0.3">
      <c r="A82" s="116" t="s">
        <v>1218</v>
      </c>
      <c r="B82" s="104">
        <v>1</v>
      </c>
      <c r="C82" s="47">
        <v>0</v>
      </c>
      <c r="D82" s="245">
        <v>1</v>
      </c>
      <c r="E82" s="117">
        <f t="shared" si="4"/>
        <v>2</v>
      </c>
      <c r="F82" s="262" t="s">
        <v>201</v>
      </c>
      <c r="G82" s="105">
        <v>15</v>
      </c>
      <c r="H82" s="59">
        <v>0</v>
      </c>
      <c r="I82" s="256">
        <v>0</v>
      </c>
      <c r="J82" s="257">
        <f t="shared" si="5"/>
        <v>15</v>
      </c>
    </row>
    <row r="83" spans="1:10" ht="15.75" thickBot="1" x14ac:dyDescent="0.3">
      <c r="A83" s="116" t="s">
        <v>226</v>
      </c>
      <c r="B83" s="104">
        <v>1</v>
      </c>
      <c r="C83" s="47">
        <v>1</v>
      </c>
      <c r="D83" s="245">
        <v>0</v>
      </c>
      <c r="E83" s="117">
        <f t="shared" si="4"/>
        <v>2</v>
      </c>
      <c r="F83" s="262" t="s">
        <v>221</v>
      </c>
      <c r="G83" s="105">
        <v>5</v>
      </c>
      <c r="H83" s="59">
        <v>0</v>
      </c>
      <c r="I83" s="256">
        <v>5</v>
      </c>
      <c r="J83" s="257">
        <f t="shared" si="5"/>
        <v>10</v>
      </c>
    </row>
    <row r="84" spans="1:10" ht="15.75" thickBot="1" x14ac:dyDescent="0.3">
      <c r="A84" s="116" t="s">
        <v>1026</v>
      </c>
      <c r="B84" s="104">
        <v>0</v>
      </c>
      <c r="C84" s="47">
        <v>0</v>
      </c>
      <c r="D84" s="245">
        <v>2</v>
      </c>
      <c r="E84" s="117">
        <f t="shared" si="4"/>
        <v>2</v>
      </c>
      <c r="F84" s="262" t="s">
        <v>9</v>
      </c>
      <c r="G84" s="105">
        <v>10</v>
      </c>
      <c r="H84" s="59">
        <v>0</v>
      </c>
      <c r="I84" s="256">
        <v>0</v>
      </c>
      <c r="J84" s="257">
        <f t="shared" si="5"/>
        <v>10</v>
      </c>
    </row>
    <row r="85" spans="1:10" ht="15.75" thickBot="1" x14ac:dyDescent="0.3">
      <c r="A85" s="116" t="s">
        <v>216</v>
      </c>
      <c r="B85" s="104">
        <v>1</v>
      </c>
      <c r="C85" s="47">
        <v>0</v>
      </c>
      <c r="D85" s="245">
        <v>1</v>
      </c>
      <c r="E85" s="117">
        <f t="shared" si="4"/>
        <v>2</v>
      </c>
      <c r="F85" s="262" t="s">
        <v>225</v>
      </c>
      <c r="G85" s="105">
        <v>10</v>
      </c>
      <c r="H85" s="59">
        <v>0</v>
      </c>
      <c r="I85" s="256">
        <v>0</v>
      </c>
      <c r="J85" s="257">
        <f t="shared" si="5"/>
        <v>10</v>
      </c>
    </row>
    <row r="86" spans="1:10" ht="15.75" thickBot="1" x14ac:dyDescent="0.3">
      <c r="A86" s="116" t="s">
        <v>1216</v>
      </c>
      <c r="B86" s="104">
        <v>1</v>
      </c>
      <c r="C86" s="47">
        <v>0</v>
      </c>
      <c r="D86" s="245">
        <v>0</v>
      </c>
      <c r="E86" s="117">
        <f t="shared" si="4"/>
        <v>1</v>
      </c>
      <c r="F86" s="262" t="s">
        <v>1218</v>
      </c>
      <c r="G86" s="105">
        <v>5</v>
      </c>
      <c r="H86" s="59">
        <v>0</v>
      </c>
      <c r="I86" s="256">
        <v>5</v>
      </c>
      <c r="J86" s="257">
        <f t="shared" si="5"/>
        <v>10</v>
      </c>
    </row>
    <row r="87" spans="1:10" ht="15.75" thickBot="1" x14ac:dyDescent="0.3">
      <c r="A87" s="116" t="s">
        <v>1131</v>
      </c>
      <c r="B87" s="104">
        <v>1</v>
      </c>
      <c r="C87" s="47">
        <v>0</v>
      </c>
      <c r="D87" s="245">
        <v>0</v>
      </c>
      <c r="E87" s="117">
        <f t="shared" si="4"/>
        <v>1</v>
      </c>
      <c r="F87" s="262" t="s">
        <v>226</v>
      </c>
      <c r="G87" s="105">
        <v>5</v>
      </c>
      <c r="H87" s="59">
        <v>5</v>
      </c>
      <c r="I87" s="256">
        <v>0</v>
      </c>
      <c r="J87" s="257">
        <f t="shared" si="5"/>
        <v>10</v>
      </c>
    </row>
    <row r="88" spans="1:10" ht="15.75" thickBot="1" x14ac:dyDescent="0.3">
      <c r="A88" s="116" t="s">
        <v>364</v>
      </c>
      <c r="B88" s="104">
        <v>1</v>
      </c>
      <c r="C88" s="47">
        <v>0</v>
      </c>
      <c r="D88" s="245">
        <v>0</v>
      </c>
      <c r="E88" s="117">
        <f t="shared" si="4"/>
        <v>1</v>
      </c>
      <c r="F88" s="262" t="s">
        <v>1216</v>
      </c>
      <c r="G88" s="105">
        <v>5</v>
      </c>
      <c r="H88" s="59">
        <v>0</v>
      </c>
      <c r="I88" s="256">
        <v>0</v>
      </c>
      <c r="J88" s="257">
        <f t="shared" si="5"/>
        <v>5</v>
      </c>
    </row>
    <row r="89" spans="1:10" ht="15.75" thickBot="1" x14ac:dyDescent="0.3">
      <c r="A89" s="116" t="s">
        <v>22</v>
      </c>
      <c r="B89" s="104">
        <v>0</v>
      </c>
      <c r="C89" s="47">
        <v>1</v>
      </c>
      <c r="D89" s="245">
        <v>0</v>
      </c>
      <c r="E89" s="117">
        <f t="shared" si="4"/>
        <v>1</v>
      </c>
      <c r="F89" s="262" t="s">
        <v>1131</v>
      </c>
      <c r="G89" s="105">
        <v>5</v>
      </c>
      <c r="H89" s="59">
        <v>0</v>
      </c>
      <c r="I89" s="256">
        <v>0</v>
      </c>
      <c r="J89" s="257">
        <f t="shared" si="5"/>
        <v>5</v>
      </c>
    </row>
    <row r="90" spans="1:10" ht="15.75" thickBot="1" x14ac:dyDescent="0.3">
      <c r="A90" s="116" t="s">
        <v>1059</v>
      </c>
      <c r="B90" s="104">
        <v>1</v>
      </c>
      <c r="C90" s="47">
        <v>0</v>
      </c>
      <c r="D90" s="245">
        <v>0</v>
      </c>
      <c r="E90" s="117">
        <f t="shared" si="4"/>
        <v>1</v>
      </c>
      <c r="F90" s="262" t="s">
        <v>364</v>
      </c>
      <c r="G90" s="105">
        <v>5</v>
      </c>
      <c r="H90" s="59">
        <v>0</v>
      </c>
      <c r="I90" s="256">
        <v>0</v>
      </c>
      <c r="J90" s="257">
        <f t="shared" si="5"/>
        <v>5</v>
      </c>
    </row>
    <row r="91" spans="1:10" ht="15.75" thickBot="1" x14ac:dyDescent="0.3">
      <c r="A91" s="116" t="s">
        <v>808</v>
      </c>
      <c r="B91" s="104">
        <v>1</v>
      </c>
      <c r="C91" s="47">
        <v>0</v>
      </c>
      <c r="D91" s="245">
        <v>0</v>
      </c>
      <c r="E91" s="117">
        <f t="shared" si="4"/>
        <v>1</v>
      </c>
      <c r="F91" s="262" t="s">
        <v>1059</v>
      </c>
      <c r="G91" s="105">
        <v>5</v>
      </c>
      <c r="H91" s="59">
        <v>0</v>
      </c>
      <c r="I91" s="256">
        <v>0</v>
      </c>
      <c r="J91" s="257">
        <f t="shared" si="5"/>
        <v>5</v>
      </c>
    </row>
    <row r="92" spans="1:10" ht="15.75" thickBot="1" x14ac:dyDescent="0.3">
      <c r="A92" s="116" t="s">
        <v>224</v>
      </c>
      <c r="B92" s="104">
        <v>1</v>
      </c>
      <c r="C92" s="47">
        <v>0</v>
      </c>
      <c r="D92" s="245">
        <v>0</v>
      </c>
      <c r="E92" s="117">
        <f t="shared" si="4"/>
        <v>1</v>
      </c>
      <c r="F92" s="262" t="s">
        <v>808</v>
      </c>
      <c r="G92" s="105">
        <v>5</v>
      </c>
      <c r="H92" s="59">
        <v>0</v>
      </c>
      <c r="I92" s="256">
        <v>0</v>
      </c>
      <c r="J92" s="257">
        <f t="shared" si="5"/>
        <v>5</v>
      </c>
    </row>
    <row r="93" spans="1:10" ht="15.75" thickBot="1" x14ac:dyDescent="0.3">
      <c r="A93" s="116" t="s">
        <v>1237</v>
      </c>
      <c r="B93" s="104">
        <v>1</v>
      </c>
      <c r="C93" s="47">
        <v>0</v>
      </c>
      <c r="D93" s="245">
        <v>0</v>
      </c>
      <c r="E93" s="117">
        <f t="shared" si="4"/>
        <v>1</v>
      </c>
      <c r="F93" s="262" t="s">
        <v>224</v>
      </c>
      <c r="G93" s="105">
        <v>5</v>
      </c>
      <c r="H93" s="59">
        <v>0</v>
      </c>
      <c r="I93" s="256">
        <v>0</v>
      </c>
      <c r="J93" s="257">
        <f t="shared" si="5"/>
        <v>5</v>
      </c>
    </row>
    <row r="94" spans="1:10" ht="15.75" thickBot="1" x14ac:dyDescent="0.3">
      <c r="A94" s="116" t="s">
        <v>200</v>
      </c>
      <c r="B94" s="104">
        <v>1</v>
      </c>
      <c r="C94" s="47">
        <v>0</v>
      </c>
      <c r="D94" s="245">
        <v>0</v>
      </c>
      <c r="E94" s="117">
        <f t="shared" ref="E94:E116" si="6">SUM(B94:D94)</f>
        <v>1</v>
      </c>
      <c r="F94" s="262" t="s">
        <v>1237</v>
      </c>
      <c r="G94" s="105">
        <v>5</v>
      </c>
      <c r="H94" s="59">
        <v>0</v>
      </c>
      <c r="I94" s="256">
        <v>0</v>
      </c>
      <c r="J94" s="257">
        <f t="shared" ref="J94:J116" si="7">SUM(G94:I94)</f>
        <v>5</v>
      </c>
    </row>
    <row r="95" spans="1:10" ht="15.75" thickBot="1" x14ac:dyDescent="0.3">
      <c r="A95" s="116" t="s">
        <v>451</v>
      </c>
      <c r="B95" s="104">
        <v>1</v>
      </c>
      <c r="C95" s="47">
        <v>0</v>
      </c>
      <c r="D95" s="245">
        <v>0</v>
      </c>
      <c r="E95" s="117">
        <f t="shared" si="6"/>
        <v>1</v>
      </c>
      <c r="F95" s="262" t="s">
        <v>200</v>
      </c>
      <c r="G95" s="105">
        <v>5</v>
      </c>
      <c r="H95" s="59">
        <v>0</v>
      </c>
      <c r="I95" s="256">
        <v>0</v>
      </c>
      <c r="J95" s="257">
        <f t="shared" si="7"/>
        <v>5</v>
      </c>
    </row>
    <row r="96" spans="1:10" ht="15.75" thickBot="1" x14ac:dyDescent="0.3">
      <c r="A96" s="116" t="s">
        <v>44</v>
      </c>
      <c r="B96" s="104">
        <v>1</v>
      </c>
      <c r="C96" s="47">
        <v>0</v>
      </c>
      <c r="D96" s="245">
        <v>0</v>
      </c>
      <c r="E96" s="117">
        <f t="shared" si="6"/>
        <v>1</v>
      </c>
      <c r="F96" s="262" t="s">
        <v>451</v>
      </c>
      <c r="G96" s="105">
        <v>5</v>
      </c>
      <c r="H96" s="59">
        <v>0</v>
      </c>
      <c r="I96" s="256">
        <v>0</v>
      </c>
      <c r="J96" s="257">
        <f t="shared" si="7"/>
        <v>5</v>
      </c>
    </row>
    <row r="97" spans="1:10" ht="15.75" thickBot="1" x14ac:dyDescent="0.3">
      <c r="A97" s="116" t="s">
        <v>71</v>
      </c>
      <c r="B97" s="104">
        <v>1</v>
      </c>
      <c r="C97" s="47">
        <v>0</v>
      </c>
      <c r="D97" s="245">
        <v>0</v>
      </c>
      <c r="E97" s="117">
        <f t="shared" si="6"/>
        <v>1</v>
      </c>
      <c r="F97" s="262" t="s">
        <v>44</v>
      </c>
      <c r="G97" s="105">
        <v>5</v>
      </c>
      <c r="H97" s="59">
        <v>0</v>
      </c>
      <c r="I97" s="256">
        <v>0</v>
      </c>
      <c r="J97" s="257">
        <f t="shared" si="7"/>
        <v>5</v>
      </c>
    </row>
    <row r="98" spans="1:10" ht="15.75" thickBot="1" x14ac:dyDescent="0.3">
      <c r="A98" s="116" t="s">
        <v>899</v>
      </c>
      <c r="B98" s="104">
        <v>0</v>
      </c>
      <c r="C98" s="47">
        <v>0</v>
      </c>
      <c r="D98" s="245">
        <v>0</v>
      </c>
      <c r="E98" s="117">
        <f t="shared" si="6"/>
        <v>0</v>
      </c>
      <c r="F98" s="262" t="s">
        <v>71</v>
      </c>
      <c r="G98" s="105">
        <v>5</v>
      </c>
      <c r="H98" s="59">
        <v>0</v>
      </c>
      <c r="I98" s="256">
        <v>0</v>
      </c>
      <c r="J98" s="257">
        <f t="shared" si="7"/>
        <v>5</v>
      </c>
    </row>
    <row r="99" spans="1:10" ht="15.75" thickBot="1" x14ac:dyDescent="0.3">
      <c r="A99" s="116" t="s">
        <v>91</v>
      </c>
      <c r="B99" s="104">
        <v>0</v>
      </c>
      <c r="C99" s="47">
        <v>0</v>
      </c>
      <c r="D99" s="245">
        <v>0</v>
      </c>
      <c r="E99" s="117">
        <f t="shared" si="6"/>
        <v>0</v>
      </c>
      <c r="F99" s="262" t="s">
        <v>968</v>
      </c>
      <c r="G99" s="105">
        <v>0</v>
      </c>
      <c r="H99" s="59">
        <v>0</v>
      </c>
      <c r="I99" s="256">
        <v>4</v>
      </c>
      <c r="J99" s="257">
        <f t="shared" si="7"/>
        <v>4</v>
      </c>
    </row>
    <row r="100" spans="1:10" ht="15.75" thickBot="1" x14ac:dyDescent="0.3">
      <c r="A100" s="116" t="s">
        <v>10</v>
      </c>
      <c r="B100" s="104">
        <v>0</v>
      </c>
      <c r="C100" s="47">
        <v>0</v>
      </c>
      <c r="D100" s="245">
        <v>0</v>
      </c>
      <c r="E100" s="117">
        <f t="shared" si="6"/>
        <v>0</v>
      </c>
      <c r="F100" s="254" t="s">
        <v>899</v>
      </c>
      <c r="G100" s="105">
        <v>0</v>
      </c>
      <c r="H100" s="59">
        <v>0</v>
      </c>
      <c r="I100" s="256">
        <v>0</v>
      </c>
      <c r="J100" s="257">
        <f t="shared" si="7"/>
        <v>0</v>
      </c>
    </row>
    <row r="101" spans="1:10" ht="15.75" thickBot="1" x14ac:dyDescent="0.3">
      <c r="A101" s="116" t="s">
        <v>128</v>
      </c>
      <c r="B101" s="104">
        <v>0</v>
      </c>
      <c r="C101" s="47">
        <v>0</v>
      </c>
      <c r="D101" s="245">
        <v>0</v>
      </c>
      <c r="E101" s="117">
        <f t="shared" si="6"/>
        <v>0</v>
      </c>
      <c r="F101" s="254" t="s">
        <v>91</v>
      </c>
      <c r="G101" s="105">
        <v>0</v>
      </c>
      <c r="H101" s="59">
        <v>0</v>
      </c>
      <c r="I101" s="256">
        <v>0</v>
      </c>
      <c r="J101" s="257">
        <f t="shared" si="7"/>
        <v>0</v>
      </c>
    </row>
    <row r="102" spans="1:10" ht="15.75" thickBot="1" x14ac:dyDescent="0.3">
      <c r="A102" s="116" t="s">
        <v>72</v>
      </c>
      <c r="B102" s="104">
        <v>0</v>
      </c>
      <c r="C102" s="47">
        <v>0</v>
      </c>
      <c r="D102" s="245">
        <v>0</v>
      </c>
      <c r="E102" s="117">
        <f t="shared" si="6"/>
        <v>0</v>
      </c>
      <c r="F102" s="254" t="s">
        <v>128</v>
      </c>
      <c r="G102" s="105">
        <v>0</v>
      </c>
      <c r="H102" s="59">
        <v>0</v>
      </c>
      <c r="I102" s="256">
        <v>0</v>
      </c>
      <c r="J102" s="257">
        <f t="shared" si="7"/>
        <v>0</v>
      </c>
    </row>
    <row r="103" spans="1:10" ht="15.75" thickBot="1" x14ac:dyDescent="0.3">
      <c r="A103" s="116" t="s">
        <v>195</v>
      </c>
      <c r="B103" s="104">
        <v>0</v>
      </c>
      <c r="C103" s="47">
        <v>0</v>
      </c>
      <c r="D103" s="245">
        <v>0</v>
      </c>
      <c r="E103" s="117">
        <f t="shared" si="6"/>
        <v>0</v>
      </c>
      <c r="F103" s="254" t="s">
        <v>72</v>
      </c>
      <c r="G103" s="105">
        <v>0</v>
      </c>
      <c r="H103" s="59">
        <v>0</v>
      </c>
      <c r="I103" s="256">
        <v>0</v>
      </c>
      <c r="J103" s="257">
        <f t="shared" si="7"/>
        <v>0</v>
      </c>
    </row>
    <row r="104" spans="1:10" ht="15.75" thickBot="1" x14ac:dyDescent="0.3">
      <c r="A104" s="116" t="s">
        <v>868</v>
      </c>
      <c r="B104" s="104">
        <v>0</v>
      </c>
      <c r="C104" s="47">
        <v>0</v>
      </c>
      <c r="D104" s="245">
        <v>0</v>
      </c>
      <c r="E104" s="117">
        <f t="shared" si="6"/>
        <v>0</v>
      </c>
      <c r="F104" s="254" t="s">
        <v>195</v>
      </c>
      <c r="G104" s="105">
        <v>0</v>
      </c>
      <c r="H104" s="59">
        <v>0</v>
      </c>
      <c r="I104" s="256">
        <v>0</v>
      </c>
      <c r="J104" s="257">
        <f t="shared" si="7"/>
        <v>0</v>
      </c>
    </row>
    <row r="105" spans="1:10" ht="15.75" thickBot="1" x14ac:dyDescent="0.3">
      <c r="A105" s="116" t="s">
        <v>869</v>
      </c>
      <c r="B105" s="104">
        <v>0</v>
      </c>
      <c r="C105" s="47">
        <v>0</v>
      </c>
      <c r="D105" s="245">
        <v>0</v>
      </c>
      <c r="E105" s="117">
        <f t="shared" si="6"/>
        <v>0</v>
      </c>
      <c r="F105" s="254" t="s">
        <v>868</v>
      </c>
      <c r="G105" s="105">
        <v>0</v>
      </c>
      <c r="H105" s="59">
        <v>0</v>
      </c>
      <c r="I105" s="256">
        <v>0</v>
      </c>
      <c r="J105" s="257">
        <f t="shared" si="7"/>
        <v>0</v>
      </c>
    </row>
    <row r="106" spans="1:10" ht="15.75" thickBot="1" x14ac:dyDescent="0.3">
      <c r="A106" s="116" t="s">
        <v>76</v>
      </c>
      <c r="B106" s="104">
        <v>0</v>
      </c>
      <c r="C106" s="47">
        <v>0</v>
      </c>
      <c r="D106" s="245">
        <v>0</v>
      </c>
      <c r="E106" s="117">
        <f t="shared" si="6"/>
        <v>0</v>
      </c>
      <c r="F106" s="254" t="s">
        <v>869</v>
      </c>
      <c r="G106" s="105">
        <v>0</v>
      </c>
      <c r="H106" s="59">
        <v>0</v>
      </c>
      <c r="I106" s="256">
        <v>0</v>
      </c>
      <c r="J106" s="257">
        <f t="shared" si="7"/>
        <v>0</v>
      </c>
    </row>
    <row r="107" spans="1:10" ht="15.75" thickBot="1" x14ac:dyDescent="0.3">
      <c r="A107" s="116" t="s">
        <v>290</v>
      </c>
      <c r="B107" s="104">
        <v>0</v>
      </c>
      <c r="C107" s="47">
        <v>0</v>
      </c>
      <c r="D107" s="245">
        <v>0</v>
      </c>
      <c r="E107" s="117">
        <f t="shared" si="6"/>
        <v>0</v>
      </c>
      <c r="F107" s="254" t="s">
        <v>76</v>
      </c>
      <c r="G107" s="105">
        <v>0</v>
      </c>
      <c r="H107" s="59">
        <v>0</v>
      </c>
      <c r="I107" s="256">
        <v>0</v>
      </c>
      <c r="J107" s="257">
        <f t="shared" si="7"/>
        <v>0</v>
      </c>
    </row>
    <row r="108" spans="1:10" ht="15.75" thickBot="1" x14ac:dyDescent="0.3">
      <c r="A108" s="116" t="s">
        <v>157</v>
      </c>
      <c r="B108" s="104">
        <v>0</v>
      </c>
      <c r="C108" s="47">
        <v>0</v>
      </c>
      <c r="D108" s="245">
        <v>0</v>
      </c>
      <c r="E108" s="117">
        <f t="shared" si="6"/>
        <v>0</v>
      </c>
      <c r="F108" s="254" t="s">
        <v>290</v>
      </c>
      <c r="G108" s="105">
        <v>0</v>
      </c>
      <c r="H108" s="59">
        <v>0</v>
      </c>
      <c r="I108" s="256">
        <v>0</v>
      </c>
      <c r="J108" s="257">
        <f t="shared" si="7"/>
        <v>0</v>
      </c>
    </row>
    <row r="109" spans="1:10" ht="15.75" thickBot="1" x14ac:dyDescent="0.3">
      <c r="A109" s="116" t="s">
        <v>243</v>
      </c>
      <c r="B109" s="104">
        <v>0</v>
      </c>
      <c r="C109" s="47">
        <v>0</v>
      </c>
      <c r="D109" s="245">
        <v>0</v>
      </c>
      <c r="E109" s="117">
        <f t="shared" si="6"/>
        <v>0</v>
      </c>
      <c r="F109" s="254" t="s">
        <v>157</v>
      </c>
      <c r="G109" s="105">
        <v>0</v>
      </c>
      <c r="H109" s="59">
        <v>0</v>
      </c>
      <c r="I109" s="256">
        <v>0</v>
      </c>
      <c r="J109" s="257">
        <f t="shared" si="7"/>
        <v>0</v>
      </c>
    </row>
    <row r="110" spans="1:10" ht="15.75" thickBot="1" x14ac:dyDescent="0.3">
      <c r="A110" s="116" t="s">
        <v>131</v>
      </c>
      <c r="B110" s="104">
        <v>0</v>
      </c>
      <c r="C110" s="47">
        <v>0</v>
      </c>
      <c r="D110" s="245">
        <v>0</v>
      </c>
      <c r="E110" s="117">
        <f t="shared" si="6"/>
        <v>0</v>
      </c>
      <c r="F110" s="254" t="s">
        <v>243</v>
      </c>
      <c r="G110" s="105">
        <v>0</v>
      </c>
      <c r="H110" s="59">
        <v>0</v>
      </c>
      <c r="I110" s="256">
        <v>0</v>
      </c>
      <c r="J110" s="257">
        <f t="shared" si="7"/>
        <v>0</v>
      </c>
    </row>
    <row r="111" spans="1:10" ht="15.75" thickBot="1" x14ac:dyDescent="0.3">
      <c r="A111" s="116" t="s">
        <v>72</v>
      </c>
      <c r="B111" s="104">
        <v>0</v>
      </c>
      <c r="C111" s="47">
        <v>0</v>
      </c>
      <c r="D111" s="245">
        <v>0</v>
      </c>
      <c r="E111" s="117">
        <f t="shared" si="6"/>
        <v>0</v>
      </c>
      <c r="F111" s="254" t="s">
        <v>131</v>
      </c>
      <c r="G111" s="105">
        <v>0</v>
      </c>
      <c r="H111" s="59">
        <v>0</v>
      </c>
      <c r="I111" s="256">
        <v>0</v>
      </c>
      <c r="J111" s="257">
        <f t="shared" si="7"/>
        <v>0</v>
      </c>
    </row>
    <row r="112" spans="1:10" ht="15.75" thickBot="1" x14ac:dyDescent="0.3">
      <c r="A112" s="116" t="s">
        <v>72</v>
      </c>
      <c r="B112" s="104">
        <v>0</v>
      </c>
      <c r="C112" s="47">
        <v>0</v>
      </c>
      <c r="D112" s="245">
        <v>0</v>
      </c>
      <c r="E112" s="117">
        <f t="shared" si="6"/>
        <v>0</v>
      </c>
      <c r="F112" s="254" t="s">
        <v>72</v>
      </c>
      <c r="G112" s="105">
        <v>0</v>
      </c>
      <c r="H112" s="59">
        <v>0</v>
      </c>
      <c r="I112" s="256">
        <v>0</v>
      </c>
      <c r="J112" s="257">
        <f t="shared" si="7"/>
        <v>0</v>
      </c>
    </row>
    <row r="113" spans="1:10" ht="15.75" thickBot="1" x14ac:dyDescent="0.3">
      <c r="A113" s="116" t="s">
        <v>72</v>
      </c>
      <c r="B113" s="104">
        <v>0</v>
      </c>
      <c r="C113" s="47">
        <v>0</v>
      </c>
      <c r="D113" s="245">
        <v>0</v>
      </c>
      <c r="E113" s="117">
        <f t="shared" si="6"/>
        <v>0</v>
      </c>
      <c r="F113" s="254" t="s">
        <v>72</v>
      </c>
      <c r="G113" s="105">
        <v>0</v>
      </c>
      <c r="H113" s="59">
        <v>0</v>
      </c>
      <c r="I113" s="256">
        <v>0</v>
      </c>
      <c r="J113" s="257">
        <f t="shared" si="7"/>
        <v>0</v>
      </c>
    </row>
    <row r="114" spans="1:10" ht="15.75" thickBot="1" x14ac:dyDescent="0.3">
      <c r="A114" s="116" t="s">
        <v>80</v>
      </c>
      <c r="B114" s="104">
        <v>0</v>
      </c>
      <c r="C114" s="47">
        <v>0</v>
      </c>
      <c r="D114" s="245">
        <v>0</v>
      </c>
      <c r="E114" s="117">
        <f t="shared" si="6"/>
        <v>0</v>
      </c>
      <c r="F114" s="254" t="s">
        <v>72</v>
      </c>
      <c r="G114" s="105">
        <v>0</v>
      </c>
      <c r="H114" s="59">
        <v>0</v>
      </c>
      <c r="I114" s="256">
        <v>0</v>
      </c>
      <c r="J114" s="257">
        <f t="shared" si="7"/>
        <v>0</v>
      </c>
    </row>
    <row r="115" spans="1:10" ht="15.75" thickBot="1" x14ac:dyDescent="0.3">
      <c r="A115" s="116" t="s">
        <v>968</v>
      </c>
      <c r="B115" s="104">
        <v>0</v>
      </c>
      <c r="C115" s="47">
        <v>0</v>
      </c>
      <c r="D115" s="245">
        <v>0</v>
      </c>
      <c r="E115" s="117">
        <f t="shared" si="6"/>
        <v>0</v>
      </c>
      <c r="F115" s="254" t="s">
        <v>80</v>
      </c>
      <c r="G115" s="105">
        <v>0</v>
      </c>
      <c r="H115" s="59">
        <v>0</v>
      </c>
      <c r="I115" s="256">
        <v>0</v>
      </c>
      <c r="J115" s="257">
        <f t="shared" si="7"/>
        <v>0</v>
      </c>
    </row>
    <row r="116" spans="1:10" ht="15.75" thickBot="1" x14ac:dyDescent="0.3">
      <c r="A116" s="116" t="s">
        <v>8</v>
      </c>
      <c r="B116" s="104">
        <v>0</v>
      </c>
      <c r="C116" s="47">
        <v>0</v>
      </c>
      <c r="D116" s="245">
        <v>0</v>
      </c>
      <c r="E116" s="117">
        <f t="shared" si="6"/>
        <v>0</v>
      </c>
      <c r="F116" s="254" t="s">
        <v>8</v>
      </c>
      <c r="G116" s="105">
        <v>0</v>
      </c>
      <c r="H116" s="59">
        <v>0</v>
      </c>
      <c r="I116" s="256">
        <v>0</v>
      </c>
      <c r="J116" s="257">
        <f t="shared" si="7"/>
        <v>0</v>
      </c>
    </row>
    <row r="117" spans="1:10" ht="15.75" thickBot="1" x14ac:dyDescent="0.3">
      <c r="A117" s="116" t="s">
        <v>3</v>
      </c>
      <c r="B117" s="104">
        <f>SUM(B62:B116)</f>
        <v>72</v>
      </c>
      <c r="C117" s="47">
        <f>SUM(C62:C116)</f>
        <v>14</v>
      </c>
      <c r="D117" s="245">
        <f>SUM(D62:D116)</f>
        <v>19</v>
      </c>
      <c r="E117" s="117">
        <f>SUM(E62:E116)</f>
        <v>105</v>
      </c>
      <c r="F117" s="254" t="s">
        <v>3</v>
      </c>
      <c r="G117" s="105">
        <f>SUM(G62:G116)</f>
        <v>583</v>
      </c>
      <c r="H117" s="59">
        <f>SUM(H62:H116)</f>
        <v>161</v>
      </c>
      <c r="I117" s="256">
        <f>SUM(I62:I116)</f>
        <v>156</v>
      </c>
      <c r="J117" s="257">
        <f>SUM(J62:J116)</f>
        <v>900</v>
      </c>
    </row>
    <row r="118" spans="1:10" x14ac:dyDescent="0.25">
      <c r="A118" s="58" t="s">
        <v>130</v>
      </c>
    </row>
  </sheetData>
  <sortState xmlns:xlrd2="http://schemas.microsoft.com/office/spreadsheetml/2017/richdata2" ref="F62:J116">
    <sortCondition descending="1" ref="J62:J116"/>
  </sortState>
  <mergeCells count="30">
    <mergeCell ref="O34:Q35"/>
    <mergeCell ref="K34:K35"/>
    <mergeCell ref="L34:N35"/>
    <mergeCell ref="AL1:AN2"/>
    <mergeCell ref="R1:S2"/>
    <mergeCell ref="K24:K25"/>
    <mergeCell ref="L24:N25"/>
    <mergeCell ref="K14:K15"/>
    <mergeCell ref="K1:K2"/>
    <mergeCell ref="L1:N2"/>
    <mergeCell ref="O1:Q2"/>
    <mergeCell ref="AI1:AK2"/>
    <mergeCell ref="L14:N15"/>
    <mergeCell ref="U24:W25"/>
    <mergeCell ref="R24:T25"/>
    <mergeCell ref="AF24:AH25"/>
    <mergeCell ref="AO1:AQ2"/>
    <mergeCell ref="AF1:AH2"/>
    <mergeCell ref="AF14:AH15"/>
    <mergeCell ref="U14:W15"/>
    <mergeCell ref="W1:Y2"/>
    <mergeCell ref="AI14:AK15"/>
    <mergeCell ref="T1:V2"/>
    <mergeCell ref="O24:Q25"/>
    <mergeCell ref="AC1:AE2"/>
    <mergeCell ref="AC14:AE15"/>
    <mergeCell ref="AC24:AE25"/>
    <mergeCell ref="A1:J1"/>
    <mergeCell ref="R14:T15"/>
    <mergeCell ref="O14:Q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X130"/>
  <sheetViews>
    <sheetView topLeftCell="A51" workbookViewId="0">
      <selection activeCell="Z20" sqref="Z20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5" width="4.7109375" customWidth="1"/>
    <col min="6" max="6" width="16.42578125" customWidth="1"/>
    <col min="7" max="10" width="5.28515625" customWidth="1"/>
    <col min="11" max="11" width="16.42578125" customWidth="1"/>
    <col min="12" max="13" width="5.42578125" customWidth="1"/>
    <col min="14" max="43" width="5.7109375" customWidth="1"/>
  </cols>
  <sheetData>
    <row r="1" spans="1:50" ht="15" customHeight="1" thickBot="1" x14ac:dyDescent="0.3">
      <c r="A1" s="583" t="s">
        <v>913</v>
      </c>
      <c r="B1" s="584"/>
      <c r="C1" s="584"/>
      <c r="D1" s="584"/>
      <c r="E1" s="584"/>
      <c r="F1" s="584"/>
      <c r="G1" s="584"/>
      <c r="H1" s="584"/>
      <c r="I1" s="584"/>
      <c r="J1" s="585"/>
      <c r="K1" s="513" t="s">
        <v>1028</v>
      </c>
      <c r="L1" s="586" t="s">
        <v>174</v>
      </c>
      <c r="M1" s="590"/>
      <c r="N1" s="587"/>
      <c r="O1" s="586" t="s">
        <v>151</v>
      </c>
      <c r="P1" s="590"/>
      <c r="Q1" s="587"/>
      <c r="R1" s="586" t="s">
        <v>1027</v>
      </c>
      <c r="S1" s="587"/>
      <c r="T1" s="515" t="s">
        <v>177</v>
      </c>
      <c r="U1" s="516"/>
      <c r="V1" s="517"/>
      <c r="W1" s="515" t="s">
        <v>915</v>
      </c>
      <c r="X1" s="516"/>
      <c r="Y1" s="517"/>
      <c r="Z1" s="309"/>
      <c r="AA1" s="323"/>
      <c r="AB1" s="340"/>
      <c r="AC1" s="515" t="s">
        <v>303</v>
      </c>
      <c r="AD1" s="516"/>
      <c r="AE1" s="517"/>
      <c r="AF1" s="515" t="s">
        <v>205</v>
      </c>
      <c r="AG1" s="516"/>
      <c r="AH1" s="517"/>
      <c r="AI1" s="515" t="s">
        <v>186</v>
      </c>
      <c r="AJ1" s="516"/>
      <c r="AK1" s="517"/>
      <c r="AL1" s="515" t="s">
        <v>140</v>
      </c>
      <c r="AM1" s="516"/>
      <c r="AN1" s="517"/>
      <c r="AO1" s="515" t="s">
        <v>175</v>
      </c>
      <c r="AP1" s="516"/>
      <c r="AQ1" s="517"/>
      <c r="AS1" s="5"/>
      <c r="AT1" s="5"/>
      <c r="AU1" s="5"/>
      <c r="AX1" s="5"/>
    </row>
    <row r="2" spans="1:50" ht="15" customHeight="1" thickBot="1" x14ac:dyDescent="0.3">
      <c r="A2" s="162" t="s">
        <v>0</v>
      </c>
      <c r="B2" s="169" t="s">
        <v>305</v>
      </c>
      <c r="C2" s="357" t="s">
        <v>101</v>
      </c>
      <c r="D2" s="244" t="s">
        <v>306</v>
      </c>
      <c r="E2" s="154" t="s">
        <v>1</v>
      </c>
      <c r="F2" s="163" t="s">
        <v>2</v>
      </c>
      <c r="G2" s="160" t="s">
        <v>305</v>
      </c>
      <c r="H2" s="342" t="s">
        <v>101</v>
      </c>
      <c r="I2" s="260" t="s">
        <v>306</v>
      </c>
      <c r="J2" s="161" t="s">
        <v>1</v>
      </c>
      <c r="K2" s="514"/>
      <c r="L2" s="588"/>
      <c r="M2" s="591"/>
      <c r="N2" s="589"/>
      <c r="O2" s="588"/>
      <c r="P2" s="591"/>
      <c r="Q2" s="589"/>
      <c r="R2" s="588"/>
      <c r="S2" s="589"/>
      <c r="T2" s="518"/>
      <c r="U2" s="519"/>
      <c r="V2" s="520"/>
      <c r="W2" s="518"/>
      <c r="X2" s="519"/>
      <c r="Y2" s="520"/>
      <c r="Z2" s="309"/>
      <c r="AA2" s="323"/>
      <c r="AB2" s="340"/>
      <c r="AC2" s="518"/>
      <c r="AD2" s="519"/>
      <c r="AE2" s="520"/>
      <c r="AF2" s="518"/>
      <c r="AG2" s="519"/>
      <c r="AH2" s="520"/>
      <c r="AI2" s="518"/>
      <c r="AJ2" s="519"/>
      <c r="AK2" s="520"/>
      <c r="AL2" s="518"/>
      <c r="AM2" s="519"/>
      <c r="AN2" s="520"/>
      <c r="AO2" s="518"/>
      <c r="AP2" s="519"/>
      <c r="AQ2" s="520"/>
    </row>
    <row r="3" spans="1:50" ht="15" customHeight="1" thickBot="1" x14ac:dyDescent="0.3">
      <c r="A3" s="61" t="s">
        <v>1125</v>
      </c>
      <c r="B3" s="104">
        <v>1</v>
      </c>
      <c r="C3" s="358">
        <v>1</v>
      </c>
      <c r="D3" s="245">
        <v>0</v>
      </c>
      <c r="E3" s="6">
        <f>SUM(B3:D3)</f>
        <v>2</v>
      </c>
      <c r="F3" s="87" t="s">
        <v>1125</v>
      </c>
      <c r="G3" s="105">
        <v>5</v>
      </c>
      <c r="H3" s="343">
        <v>5</v>
      </c>
      <c r="I3" s="256">
        <v>0</v>
      </c>
      <c r="J3" s="86">
        <f>SUM(G3:I3)</f>
        <v>10</v>
      </c>
      <c r="K3" s="35" t="s">
        <v>72</v>
      </c>
      <c r="L3" s="318" t="s">
        <v>176</v>
      </c>
      <c r="M3" s="318" t="s">
        <v>36</v>
      </c>
      <c r="N3" s="318" t="s">
        <v>37</v>
      </c>
      <c r="O3" s="318" t="s">
        <v>176</v>
      </c>
      <c r="P3" s="318" t="s">
        <v>36</v>
      </c>
      <c r="Q3" s="318" t="s">
        <v>37</v>
      </c>
      <c r="R3" s="318" t="s">
        <v>52</v>
      </c>
      <c r="S3" s="318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127"/>
      <c r="AB3" s="341"/>
      <c r="AC3" s="283" t="s">
        <v>176</v>
      </c>
      <c r="AD3" s="8" t="s">
        <v>36</v>
      </c>
      <c r="AE3" s="8" t="s">
        <v>37</v>
      </c>
      <c r="AF3" s="283" t="s">
        <v>176</v>
      </c>
      <c r="AG3" s="8" t="s">
        <v>36</v>
      </c>
      <c r="AH3" s="8" t="s">
        <v>37</v>
      </c>
      <c r="AI3" s="8" t="s">
        <v>176</v>
      </c>
      <c r="AJ3" s="8" t="s">
        <v>36</v>
      </c>
      <c r="AK3" s="8" t="s">
        <v>37</v>
      </c>
      <c r="AL3" s="8" t="s">
        <v>176</v>
      </c>
      <c r="AM3" s="8" t="s">
        <v>36</v>
      </c>
      <c r="AN3" s="8" t="s">
        <v>37</v>
      </c>
      <c r="AO3" s="8" t="s">
        <v>176</v>
      </c>
      <c r="AP3" s="8" t="s">
        <v>36</v>
      </c>
      <c r="AQ3" s="8" t="s">
        <v>37</v>
      </c>
    </row>
    <row r="4" spans="1:50" ht="15" customHeight="1" thickBot="1" x14ac:dyDescent="0.3">
      <c r="A4" s="61" t="s">
        <v>843</v>
      </c>
      <c r="B4" s="104">
        <v>4</v>
      </c>
      <c r="C4" s="358">
        <v>0</v>
      </c>
      <c r="D4" s="245">
        <v>0</v>
      </c>
      <c r="E4" s="6">
        <f>SUM(B4:D4)</f>
        <v>4</v>
      </c>
      <c r="F4" s="87" t="s">
        <v>843</v>
      </c>
      <c r="G4" s="105">
        <v>20</v>
      </c>
      <c r="H4" s="343">
        <v>0</v>
      </c>
      <c r="I4" s="256">
        <v>0</v>
      </c>
      <c r="J4" s="86">
        <f>SUM(G4:I4)</f>
        <v>20</v>
      </c>
      <c r="K4" s="17" t="s">
        <v>153</v>
      </c>
      <c r="L4" s="47">
        <v>66</v>
      </c>
      <c r="M4" s="47">
        <v>76</v>
      </c>
      <c r="N4" s="48">
        <f>SUM(L4/M4)*100</f>
        <v>86.842105263157904</v>
      </c>
      <c r="O4" s="47">
        <v>3</v>
      </c>
      <c r="P4" s="47">
        <v>3</v>
      </c>
      <c r="Q4" s="48">
        <f>SUM(O4/P4)*100</f>
        <v>100</v>
      </c>
      <c r="R4" s="47">
        <v>3</v>
      </c>
      <c r="S4" s="47">
        <v>3</v>
      </c>
      <c r="T4" s="8" t="s">
        <v>43</v>
      </c>
      <c r="U4" s="8" t="s">
        <v>43</v>
      </c>
      <c r="V4" s="8" t="s">
        <v>43</v>
      </c>
      <c r="W4" s="283">
        <v>57</v>
      </c>
      <c r="X4" s="8">
        <v>72</v>
      </c>
      <c r="Y4" s="294">
        <f>SUM(W4/X4)*100</f>
        <v>79.166666666666657</v>
      </c>
      <c r="Z4" s="126"/>
      <c r="AA4" s="127"/>
      <c r="AB4" s="341"/>
      <c r="AC4" s="283">
        <v>102</v>
      </c>
      <c r="AD4" s="8">
        <v>128</v>
      </c>
      <c r="AE4" s="294">
        <f>SUM(AC4/AD4)*100</f>
        <v>79.6875</v>
      </c>
      <c r="AF4" s="283">
        <v>71</v>
      </c>
      <c r="AG4" s="8">
        <v>91</v>
      </c>
      <c r="AH4" s="294">
        <f>SUM(AF4/AG4)*100</f>
        <v>78.021978021978029</v>
      </c>
      <c r="AI4" s="8" t="s">
        <v>43</v>
      </c>
      <c r="AJ4" s="8" t="s">
        <v>43</v>
      </c>
      <c r="AK4" s="8" t="s">
        <v>43</v>
      </c>
      <c r="AL4" s="8">
        <v>53</v>
      </c>
      <c r="AM4" s="8">
        <v>78</v>
      </c>
      <c r="AN4" s="294">
        <f>SUM(AL4/AM4)*100</f>
        <v>67.948717948717956</v>
      </c>
      <c r="AO4" s="8">
        <v>78</v>
      </c>
      <c r="AP4" s="8">
        <v>104</v>
      </c>
      <c r="AQ4" s="294">
        <f>SUM(AO4/AP4)*100</f>
        <v>75</v>
      </c>
    </row>
    <row r="5" spans="1:50" ht="15" customHeight="1" thickBot="1" x14ac:dyDescent="0.3">
      <c r="A5" s="61" t="s">
        <v>20</v>
      </c>
      <c r="B5" s="104">
        <v>5</v>
      </c>
      <c r="C5" s="358">
        <v>1</v>
      </c>
      <c r="D5" s="245">
        <v>1</v>
      </c>
      <c r="E5" s="6">
        <f t="shared" ref="E5:E63" si="0">SUM(B5:D5)</f>
        <v>7</v>
      </c>
      <c r="F5" s="87" t="s">
        <v>20</v>
      </c>
      <c r="G5" s="105">
        <v>25</v>
      </c>
      <c r="H5" s="343">
        <v>5</v>
      </c>
      <c r="I5" s="256">
        <v>5</v>
      </c>
      <c r="J5" s="86">
        <f t="shared" ref="J5:J63" si="1">SUM(G5:I5)</f>
        <v>35</v>
      </c>
      <c r="K5" s="17" t="s">
        <v>845</v>
      </c>
      <c r="L5" s="47" t="s">
        <v>43</v>
      </c>
      <c r="M5" s="47" t="s">
        <v>43</v>
      </c>
      <c r="N5" s="48" t="s">
        <v>43</v>
      </c>
      <c r="O5" s="47" t="s">
        <v>43</v>
      </c>
      <c r="P5" s="47" t="s">
        <v>43</v>
      </c>
      <c r="Q5" s="48" t="s">
        <v>43</v>
      </c>
      <c r="R5" s="47" t="s">
        <v>53</v>
      </c>
      <c r="S5" s="47">
        <v>1</v>
      </c>
      <c r="T5" s="8" t="s">
        <v>43</v>
      </c>
      <c r="U5" s="8" t="s">
        <v>43</v>
      </c>
      <c r="V5" s="8" t="s">
        <v>43</v>
      </c>
      <c r="W5" s="283" t="s">
        <v>43</v>
      </c>
      <c r="X5" s="8" t="s">
        <v>43</v>
      </c>
      <c r="Y5" s="8" t="s">
        <v>43</v>
      </c>
      <c r="Z5" s="126"/>
      <c r="AA5" s="127"/>
      <c r="AB5" s="341"/>
      <c r="AC5" s="283" t="s">
        <v>43</v>
      </c>
      <c r="AD5" s="8" t="s">
        <v>43</v>
      </c>
      <c r="AE5" s="8" t="s">
        <v>43</v>
      </c>
      <c r="AF5" s="7" t="s">
        <v>43</v>
      </c>
      <c r="AG5" s="8" t="s">
        <v>43</v>
      </c>
      <c r="AH5" s="8" t="s">
        <v>43</v>
      </c>
      <c r="AI5" s="8" t="s">
        <v>43</v>
      </c>
      <c r="AJ5" s="8" t="s">
        <v>43</v>
      </c>
      <c r="AK5" s="8" t="s">
        <v>43</v>
      </c>
      <c r="AL5" s="8" t="s">
        <v>43</v>
      </c>
      <c r="AM5" s="8" t="s">
        <v>43</v>
      </c>
      <c r="AN5" s="8" t="s">
        <v>43</v>
      </c>
      <c r="AO5" s="8" t="s">
        <v>43</v>
      </c>
      <c r="AP5" s="8" t="s">
        <v>43</v>
      </c>
      <c r="AQ5" s="8" t="s">
        <v>43</v>
      </c>
    </row>
    <row r="6" spans="1:50" ht="15" customHeight="1" thickBot="1" x14ac:dyDescent="0.3">
      <c r="A6" s="61" t="s">
        <v>125</v>
      </c>
      <c r="B6" s="104">
        <v>0</v>
      </c>
      <c r="C6" s="358">
        <v>0</v>
      </c>
      <c r="D6" s="245">
        <v>1</v>
      </c>
      <c r="E6" s="6">
        <f t="shared" si="0"/>
        <v>1</v>
      </c>
      <c r="F6" s="87" t="s">
        <v>125</v>
      </c>
      <c r="G6" s="105">
        <v>0</v>
      </c>
      <c r="H6" s="343">
        <v>0</v>
      </c>
      <c r="I6" s="256">
        <v>5</v>
      </c>
      <c r="J6" s="86">
        <f t="shared" si="1"/>
        <v>5</v>
      </c>
      <c r="K6" s="17" t="s">
        <v>165</v>
      </c>
      <c r="L6" s="47" t="s">
        <v>43</v>
      </c>
      <c r="M6" s="47" t="s">
        <v>43</v>
      </c>
      <c r="N6" s="48" t="s">
        <v>43</v>
      </c>
      <c r="O6" s="47" t="s">
        <v>43</v>
      </c>
      <c r="P6" s="47" t="s">
        <v>43</v>
      </c>
      <c r="Q6" s="48" t="s">
        <v>43</v>
      </c>
      <c r="R6" s="47" t="s">
        <v>43</v>
      </c>
      <c r="S6" s="47">
        <v>-1</v>
      </c>
      <c r="T6" s="8" t="s">
        <v>43</v>
      </c>
      <c r="U6" s="8" t="s">
        <v>43</v>
      </c>
      <c r="V6" s="8" t="s">
        <v>43</v>
      </c>
      <c r="W6" s="283" t="s">
        <v>43</v>
      </c>
      <c r="X6" s="8" t="s">
        <v>43</v>
      </c>
      <c r="Y6" s="8" t="s">
        <v>43</v>
      </c>
      <c r="Z6" s="126"/>
      <c r="AA6" s="127"/>
      <c r="AB6" s="341"/>
      <c r="AC6" s="283" t="s">
        <v>43</v>
      </c>
      <c r="AD6" s="8" t="s">
        <v>43</v>
      </c>
      <c r="AE6" s="8" t="s">
        <v>43</v>
      </c>
      <c r="AF6" s="283" t="s">
        <v>43</v>
      </c>
      <c r="AG6" s="8" t="s">
        <v>43</v>
      </c>
      <c r="AH6" s="8" t="s">
        <v>43</v>
      </c>
      <c r="AI6" s="8" t="s">
        <v>43</v>
      </c>
      <c r="AJ6" s="8" t="s">
        <v>43</v>
      </c>
      <c r="AK6" s="8" t="s">
        <v>43</v>
      </c>
      <c r="AL6" s="8" t="s">
        <v>43</v>
      </c>
      <c r="AM6" s="8" t="s">
        <v>43</v>
      </c>
      <c r="AN6" s="8" t="s">
        <v>43</v>
      </c>
      <c r="AO6" s="8" t="s">
        <v>43</v>
      </c>
      <c r="AP6" s="8" t="s">
        <v>43</v>
      </c>
      <c r="AQ6" s="8" t="s">
        <v>43</v>
      </c>
    </row>
    <row r="7" spans="1:50" ht="15" customHeight="1" thickBot="1" x14ac:dyDescent="0.3">
      <c r="A7" s="61"/>
      <c r="B7" s="104">
        <v>0</v>
      </c>
      <c r="C7" s="358">
        <v>0</v>
      </c>
      <c r="D7" s="245">
        <v>0</v>
      </c>
      <c r="E7" s="6">
        <f t="shared" si="0"/>
        <v>0</v>
      </c>
      <c r="F7" s="87"/>
      <c r="G7" s="105">
        <v>0</v>
      </c>
      <c r="H7" s="343">
        <v>0</v>
      </c>
      <c r="I7" s="256">
        <v>0</v>
      </c>
      <c r="J7" s="86">
        <f t="shared" si="1"/>
        <v>0</v>
      </c>
      <c r="K7" s="17" t="s">
        <v>227</v>
      </c>
      <c r="L7" s="47" t="s">
        <v>43</v>
      </c>
      <c r="M7" s="47" t="s">
        <v>43</v>
      </c>
      <c r="N7" s="48" t="s">
        <v>43</v>
      </c>
      <c r="O7" s="47" t="s">
        <v>43</v>
      </c>
      <c r="P7" s="47" t="s">
        <v>43</v>
      </c>
      <c r="Q7" s="48" t="s">
        <v>43</v>
      </c>
      <c r="R7" s="47" t="s">
        <v>43</v>
      </c>
      <c r="S7" s="47">
        <v>2</v>
      </c>
      <c r="T7" s="8" t="s">
        <v>43</v>
      </c>
      <c r="U7" s="8" t="s">
        <v>43</v>
      </c>
      <c r="V7" s="8" t="s">
        <v>43</v>
      </c>
      <c r="W7" s="283" t="s">
        <v>43</v>
      </c>
      <c r="X7" s="8" t="s">
        <v>43</v>
      </c>
      <c r="Y7" s="8" t="s">
        <v>43</v>
      </c>
      <c r="Z7" s="126"/>
      <c r="AA7" s="127"/>
      <c r="AB7" s="341"/>
      <c r="AC7" s="283" t="s">
        <v>43</v>
      </c>
      <c r="AD7" s="8" t="s">
        <v>43</v>
      </c>
      <c r="AE7" s="8" t="s">
        <v>43</v>
      </c>
      <c r="AF7" s="283" t="s">
        <v>43</v>
      </c>
      <c r="AG7" s="8" t="s">
        <v>43</v>
      </c>
      <c r="AH7" s="8" t="s">
        <v>43</v>
      </c>
      <c r="AI7" s="8" t="s">
        <v>43</v>
      </c>
      <c r="AJ7" s="8" t="s">
        <v>43</v>
      </c>
      <c r="AK7" s="8" t="s">
        <v>43</v>
      </c>
      <c r="AL7" s="8" t="s">
        <v>43</v>
      </c>
      <c r="AM7" s="8" t="s">
        <v>43</v>
      </c>
      <c r="AN7" s="8" t="s">
        <v>43</v>
      </c>
      <c r="AO7" s="8" t="s">
        <v>43</v>
      </c>
      <c r="AP7" s="8" t="s">
        <v>43</v>
      </c>
      <c r="AQ7" s="8" t="s">
        <v>43</v>
      </c>
    </row>
    <row r="8" spans="1:50" ht="15" customHeight="1" thickBot="1" x14ac:dyDescent="0.3">
      <c r="A8" s="61" t="s">
        <v>993</v>
      </c>
      <c r="B8" s="104">
        <v>0</v>
      </c>
      <c r="C8" s="358">
        <v>0</v>
      </c>
      <c r="D8" s="245">
        <v>1</v>
      </c>
      <c r="E8" s="6">
        <f t="shared" ref="E8" si="2">SUM(B8:D8)</f>
        <v>1</v>
      </c>
      <c r="F8" s="87" t="s">
        <v>993</v>
      </c>
      <c r="G8" s="105">
        <v>0</v>
      </c>
      <c r="H8" s="343">
        <v>0</v>
      </c>
      <c r="I8" s="256">
        <v>5</v>
      </c>
      <c r="J8" s="86">
        <f t="shared" ref="J8" si="3">SUM(G8:I8)</f>
        <v>5</v>
      </c>
      <c r="K8" s="17" t="s">
        <v>444</v>
      </c>
      <c r="L8" s="47">
        <v>5</v>
      </c>
      <c r="M8" s="47">
        <v>7</v>
      </c>
      <c r="N8" s="48">
        <f t="shared" ref="N8:N11" si="4">SUM(L8/M8)*100</f>
        <v>71.428571428571431</v>
      </c>
      <c r="O8" s="47" t="s">
        <v>43</v>
      </c>
      <c r="P8" s="47" t="s">
        <v>43</v>
      </c>
      <c r="Q8" s="48" t="s">
        <v>43</v>
      </c>
      <c r="R8" s="47">
        <v>2</v>
      </c>
      <c r="S8" s="47">
        <v>2</v>
      </c>
      <c r="T8" s="8">
        <v>17</v>
      </c>
      <c r="U8" s="8">
        <v>22</v>
      </c>
      <c r="V8" s="294">
        <f>SUM(T8/U8)*100</f>
        <v>77.272727272727266</v>
      </c>
      <c r="W8" s="283" t="s">
        <v>43</v>
      </c>
      <c r="X8" s="8" t="s">
        <v>43</v>
      </c>
      <c r="Y8" s="8" t="s">
        <v>43</v>
      </c>
      <c r="Z8" s="126"/>
      <c r="AA8" s="127"/>
      <c r="AB8" s="341"/>
      <c r="AC8" s="283">
        <v>10</v>
      </c>
      <c r="AD8" s="8">
        <v>11</v>
      </c>
      <c r="AE8" s="294">
        <f>SUM(AC8/AD8)*100</f>
        <v>90.909090909090907</v>
      </c>
      <c r="AF8" s="283" t="s">
        <v>43</v>
      </c>
      <c r="AG8" s="8" t="s">
        <v>43</v>
      </c>
      <c r="AH8" s="8" t="s">
        <v>43</v>
      </c>
      <c r="AI8" s="8" t="s">
        <v>43</v>
      </c>
      <c r="AJ8" s="8" t="s">
        <v>43</v>
      </c>
      <c r="AK8" s="8" t="s">
        <v>43</v>
      </c>
      <c r="AL8" s="8" t="s">
        <v>43</v>
      </c>
      <c r="AM8" s="8" t="s">
        <v>43</v>
      </c>
      <c r="AN8" s="8" t="s">
        <v>43</v>
      </c>
      <c r="AO8" s="8" t="s">
        <v>43</v>
      </c>
      <c r="AP8" s="8" t="s">
        <v>43</v>
      </c>
      <c r="AQ8" s="8" t="s">
        <v>43</v>
      </c>
    </row>
    <row r="9" spans="1:50" ht="15" customHeight="1" thickBot="1" x14ac:dyDescent="0.3">
      <c r="A9" s="61" t="s">
        <v>276</v>
      </c>
      <c r="B9" s="104">
        <v>3</v>
      </c>
      <c r="C9" s="358">
        <v>2</v>
      </c>
      <c r="D9" s="245">
        <v>1</v>
      </c>
      <c r="E9" s="6">
        <f t="shared" si="0"/>
        <v>6</v>
      </c>
      <c r="F9" s="87" t="s">
        <v>276</v>
      </c>
      <c r="G9" s="105">
        <v>15</v>
      </c>
      <c r="H9" s="343">
        <v>10</v>
      </c>
      <c r="I9" s="256">
        <v>5</v>
      </c>
      <c r="J9" s="86">
        <f t="shared" si="1"/>
        <v>30</v>
      </c>
      <c r="K9" s="17" t="s">
        <v>445</v>
      </c>
      <c r="L9" s="47">
        <v>18</v>
      </c>
      <c r="M9" s="47">
        <v>23</v>
      </c>
      <c r="N9" s="48">
        <f t="shared" si="4"/>
        <v>78.260869565217391</v>
      </c>
      <c r="O9" s="47" t="s">
        <v>43</v>
      </c>
      <c r="P9" s="47" t="s">
        <v>43</v>
      </c>
      <c r="Q9" s="48" t="s">
        <v>43</v>
      </c>
      <c r="R9" s="47">
        <v>4</v>
      </c>
      <c r="S9" s="47">
        <v>5</v>
      </c>
      <c r="T9" s="8">
        <v>47</v>
      </c>
      <c r="U9" s="8">
        <v>59</v>
      </c>
      <c r="V9" s="294">
        <f>SUM(T9/U9)*100</f>
        <v>79.66101694915254</v>
      </c>
      <c r="W9" s="283">
        <v>61</v>
      </c>
      <c r="X9" s="8">
        <v>79</v>
      </c>
      <c r="Y9" s="294">
        <f>SUM(W9/X9)*100</f>
        <v>77.215189873417728</v>
      </c>
      <c r="Z9" s="126"/>
      <c r="AA9" s="127"/>
      <c r="AB9" s="341"/>
      <c r="AC9" s="283">
        <v>20</v>
      </c>
      <c r="AD9" s="8">
        <v>24</v>
      </c>
      <c r="AE9" s="294">
        <f>SUM(AC9/AD9)*100</f>
        <v>83.333333333333343</v>
      </c>
      <c r="AF9" s="283">
        <v>63</v>
      </c>
      <c r="AG9" s="8">
        <v>87</v>
      </c>
      <c r="AH9" s="294">
        <f>SUM(AF9/AG9)*100</f>
        <v>72.41379310344827</v>
      </c>
      <c r="AI9" s="8">
        <v>69</v>
      </c>
      <c r="AJ9" s="8">
        <v>101</v>
      </c>
      <c r="AK9" s="294">
        <f>SUM(AI9/AJ9)*100</f>
        <v>68.316831683168317</v>
      </c>
      <c r="AL9" s="8">
        <v>65</v>
      </c>
      <c r="AM9" s="8">
        <v>77</v>
      </c>
      <c r="AN9" s="294">
        <f>SUM(AL9/AM9)*100</f>
        <v>84.415584415584405</v>
      </c>
      <c r="AO9" s="8" t="s">
        <v>43</v>
      </c>
      <c r="AP9" s="8" t="s">
        <v>43</v>
      </c>
      <c r="AQ9" s="8" t="s">
        <v>43</v>
      </c>
    </row>
    <row r="10" spans="1:50" ht="15" customHeight="1" thickBot="1" x14ac:dyDescent="0.3">
      <c r="A10" s="61"/>
      <c r="B10" s="104">
        <v>0</v>
      </c>
      <c r="C10" s="358">
        <v>0</v>
      </c>
      <c r="D10" s="245">
        <v>0</v>
      </c>
      <c r="E10" s="6">
        <f t="shared" si="0"/>
        <v>0</v>
      </c>
      <c r="F10" s="87"/>
      <c r="G10" s="105">
        <v>0</v>
      </c>
      <c r="H10" s="343">
        <v>0</v>
      </c>
      <c r="I10" s="256">
        <v>0</v>
      </c>
      <c r="J10" s="86">
        <f t="shared" si="1"/>
        <v>0</v>
      </c>
      <c r="K10" s="17" t="s">
        <v>214</v>
      </c>
      <c r="L10" s="47">
        <v>20</v>
      </c>
      <c r="M10" s="47">
        <v>28</v>
      </c>
      <c r="N10" s="48">
        <f t="shared" si="4"/>
        <v>71.428571428571431</v>
      </c>
      <c r="O10" s="47" t="s">
        <v>43</v>
      </c>
      <c r="P10" s="47" t="s">
        <v>43</v>
      </c>
      <c r="Q10" s="48" t="s">
        <v>43</v>
      </c>
      <c r="R10" s="47">
        <v>3</v>
      </c>
      <c r="S10" s="47">
        <v>3</v>
      </c>
      <c r="T10" s="8" t="s">
        <v>43</v>
      </c>
      <c r="U10" s="8" t="s">
        <v>43</v>
      </c>
      <c r="V10" s="8" t="s">
        <v>43</v>
      </c>
      <c r="W10" s="283" t="s">
        <v>43</v>
      </c>
      <c r="X10" s="8" t="s">
        <v>43</v>
      </c>
      <c r="Y10" s="8" t="s">
        <v>43</v>
      </c>
      <c r="Z10" s="126"/>
      <c r="AA10" s="127"/>
      <c r="AB10" s="341"/>
      <c r="AC10" s="283" t="s">
        <v>43</v>
      </c>
      <c r="AD10" s="8" t="s">
        <v>43</v>
      </c>
      <c r="AE10" s="8" t="s">
        <v>43</v>
      </c>
      <c r="AF10" s="283" t="s">
        <v>43</v>
      </c>
      <c r="AG10" s="8" t="s">
        <v>43</v>
      </c>
      <c r="AH10" s="8" t="s">
        <v>43</v>
      </c>
      <c r="AI10" s="8" t="s">
        <v>43</v>
      </c>
      <c r="AJ10" s="8" t="s">
        <v>43</v>
      </c>
      <c r="AK10" s="8" t="s">
        <v>43</v>
      </c>
      <c r="AL10" s="8" t="s">
        <v>43</v>
      </c>
      <c r="AM10" s="8" t="s">
        <v>43</v>
      </c>
      <c r="AN10" s="8" t="s">
        <v>43</v>
      </c>
      <c r="AO10" s="8" t="s">
        <v>43</v>
      </c>
      <c r="AP10" s="8" t="s">
        <v>43</v>
      </c>
      <c r="AQ10" s="8" t="s">
        <v>43</v>
      </c>
    </row>
    <row r="11" spans="1:50" ht="15" customHeight="1" thickBot="1" x14ac:dyDescent="0.3">
      <c r="A11" s="61" t="s">
        <v>198</v>
      </c>
      <c r="B11" s="104">
        <v>2</v>
      </c>
      <c r="C11" s="358">
        <v>2</v>
      </c>
      <c r="D11" s="245">
        <v>1</v>
      </c>
      <c r="E11" s="6">
        <f t="shared" si="0"/>
        <v>5</v>
      </c>
      <c r="F11" s="87" t="s">
        <v>198</v>
      </c>
      <c r="G11" s="105">
        <v>10</v>
      </c>
      <c r="H11" s="343">
        <v>10</v>
      </c>
      <c r="I11" s="256">
        <v>5</v>
      </c>
      <c r="J11" s="86">
        <f t="shared" si="1"/>
        <v>25</v>
      </c>
      <c r="K11" s="17" t="s">
        <v>55</v>
      </c>
      <c r="L11" s="47">
        <v>6</v>
      </c>
      <c r="M11" s="47">
        <v>8</v>
      </c>
      <c r="N11" s="48">
        <f t="shared" si="4"/>
        <v>75</v>
      </c>
      <c r="O11" s="47" t="s">
        <v>43</v>
      </c>
      <c r="P11" s="47" t="s">
        <v>43</v>
      </c>
      <c r="Q11" s="48" t="s">
        <v>43</v>
      </c>
      <c r="R11" s="47">
        <v>2</v>
      </c>
      <c r="S11" s="47">
        <v>2</v>
      </c>
      <c r="T11" s="8">
        <v>14</v>
      </c>
      <c r="U11" s="8">
        <v>15</v>
      </c>
      <c r="V11" s="294">
        <f>SUM(T11/U11)*100</f>
        <v>93.333333333333329</v>
      </c>
      <c r="W11" s="283">
        <v>2</v>
      </c>
      <c r="X11" s="8">
        <v>3</v>
      </c>
      <c r="Y11" s="294">
        <f>SUM(W11/X11)*100</f>
        <v>66.666666666666657</v>
      </c>
      <c r="Z11" s="126"/>
      <c r="AA11" s="127"/>
      <c r="AB11" s="341"/>
      <c r="AC11" s="283">
        <v>6</v>
      </c>
      <c r="AD11" s="8">
        <v>6</v>
      </c>
      <c r="AE11" s="294">
        <f>SUM(AC11/AD11)*100</f>
        <v>100</v>
      </c>
      <c r="AF11" s="283">
        <v>0</v>
      </c>
      <c r="AG11" s="8">
        <v>0</v>
      </c>
      <c r="AH11" s="8" t="s">
        <v>43</v>
      </c>
      <c r="AI11" s="8">
        <v>3</v>
      </c>
      <c r="AJ11" s="8">
        <v>4</v>
      </c>
      <c r="AK11" s="294">
        <f>SUM(AI11/AJ11)*100</f>
        <v>75</v>
      </c>
      <c r="AL11" s="8">
        <v>1</v>
      </c>
      <c r="AM11" s="8">
        <v>2</v>
      </c>
      <c r="AN11" s="8">
        <v>50</v>
      </c>
      <c r="AO11" s="8">
        <v>5</v>
      </c>
      <c r="AP11" s="8">
        <v>7</v>
      </c>
      <c r="AQ11" s="8">
        <v>71</v>
      </c>
    </row>
    <row r="12" spans="1:50" ht="15" customHeight="1" thickBot="1" x14ac:dyDescent="0.3">
      <c r="A12" s="61"/>
      <c r="B12" s="104">
        <v>0</v>
      </c>
      <c r="C12" s="358">
        <v>0</v>
      </c>
      <c r="D12" s="245">
        <v>0</v>
      </c>
      <c r="E12" s="6">
        <f t="shared" si="0"/>
        <v>0</v>
      </c>
      <c r="F12" s="87"/>
      <c r="G12" s="105">
        <v>0</v>
      </c>
      <c r="H12" s="343">
        <v>0</v>
      </c>
      <c r="I12" s="256">
        <v>0</v>
      </c>
      <c r="J12" s="86">
        <f t="shared" si="1"/>
        <v>0</v>
      </c>
    </row>
    <row r="13" spans="1:50" ht="15" customHeight="1" thickBot="1" x14ac:dyDescent="0.3">
      <c r="A13" s="61" t="s">
        <v>72</v>
      </c>
      <c r="B13" s="104">
        <v>0</v>
      </c>
      <c r="C13" s="358">
        <v>0</v>
      </c>
      <c r="D13" s="245">
        <v>0</v>
      </c>
      <c r="E13" s="6">
        <f t="shared" si="0"/>
        <v>0</v>
      </c>
      <c r="F13" s="87" t="s">
        <v>72</v>
      </c>
      <c r="G13" s="105">
        <v>0</v>
      </c>
      <c r="H13" s="343">
        <v>0</v>
      </c>
      <c r="I13" s="256">
        <v>0</v>
      </c>
      <c r="J13" s="86">
        <f t="shared" si="1"/>
        <v>0</v>
      </c>
      <c r="K13" s="556" t="s">
        <v>1041</v>
      </c>
      <c r="L13" s="586" t="s">
        <v>42</v>
      </c>
      <c r="M13" s="590"/>
      <c r="N13" s="587"/>
      <c r="O13" s="515" t="s">
        <v>1037</v>
      </c>
      <c r="P13" s="516"/>
      <c r="Q13" s="517"/>
      <c r="R13" s="515" t="s">
        <v>1031</v>
      </c>
      <c r="S13" s="516"/>
      <c r="T13" s="517"/>
      <c r="U13" s="515" t="s">
        <v>1038</v>
      </c>
      <c r="V13" s="516"/>
      <c r="W13" s="517"/>
      <c r="X13" s="323"/>
      <c r="Y13" s="323"/>
      <c r="Z13" s="323"/>
      <c r="AA13" s="407"/>
      <c r="AB13" s="407"/>
      <c r="AC13" s="515" t="s">
        <v>1039</v>
      </c>
      <c r="AD13" s="516"/>
      <c r="AE13" s="517"/>
      <c r="AF13" s="515" t="s">
        <v>1040</v>
      </c>
      <c r="AG13" s="516"/>
      <c r="AH13" s="517"/>
      <c r="AI13" s="515" t="s">
        <v>140</v>
      </c>
      <c r="AJ13" s="516"/>
      <c r="AK13" s="517"/>
      <c r="AL13" s="290"/>
    </row>
    <row r="14" spans="1:50" ht="15" customHeight="1" thickBot="1" x14ac:dyDescent="0.3">
      <c r="A14" s="61" t="s">
        <v>258</v>
      </c>
      <c r="B14" s="104">
        <v>0</v>
      </c>
      <c r="C14" s="358">
        <v>0</v>
      </c>
      <c r="D14" s="245">
        <v>0</v>
      </c>
      <c r="E14" s="6">
        <f t="shared" si="0"/>
        <v>0</v>
      </c>
      <c r="F14" s="87" t="s">
        <v>258</v>
      </c>
      <c r="G14" s="105">
        <v>0</v>
      </c>
      <c r="H14" s="343">
        <v>0</v>
      </c>
      <c r="I14" s="256">
        <v>0</v>
      </c>
      <c r="J14" s="86">
        <f t="shared" si="1"/>
        <v>0</v>
      </c>
      <c r="K14" s="557"/>
      <c r="L14" s="588"/>
      <c r="M14" s="591"/>
      <c r="N14" s="589"/>
      <c r="O14" s="518"/>
      <c r="P14" s="519"/>
      <c r="Q14" s="520"/>
      <c r="R14" s="518"/>
      <c r="S14" s="519"/>
      <c r="T14" s="520"/>
      <c r="U14" s="518"/>
      <c r="V14" s="519"/>
      <c r="W14" s="520"/>
      <c r="X14" s="323"/>
      <c r="Y14" s="323"/>
      <c r="Z14" s="323"/>
      <c r="AA14" s="407"/>
      <c r="AB14" s="407"/>
      <c r="AC14" s="518"/>
      <c r="AD14" s="519"/>
      <c r="AE14" s="520"/>
      <c r="AF14" s="518"/>
      <c r="AG14" s="519"/>
      <c r="AH14" s="520"/>
      <c r="AI14" s="518"/>
      <c r="AJ14" s="519"/>
      <c r="AK14" s="520"/>
      <c r="AL14" s="290"/>
    </row>
    <row r="15" spans="1:50" ht="15" customHeight="1" thickBot="1" x14ac:dyDescent="0.3">
      <c r="A15" s="61" t="s">
        <v>1101</v>
      </c>
      <c r="B15" s="104">
        <v>4</v>
      </c>
      <c r="C15" s="358">
        <v>1</v>
      </c>
      <c r="D15" s="245">
        <v>0</v>
      </c>
      <c r="E15" s="6">
        <f t="shared" si="0"/>
        <v>5</v>
      </c>
      <c r="F15" s="87" t="s">
        <v>1101</v>
      </c>
      <c r="G15" s="105">
        <v>20</v>
      </c>
      <c r="H15" s="343">
        <v>5</v>
      </c>
      <c r="I15" s="256">
        <v>0</v>
      </c>
      <c r="J15" s="86">
        <f t="shared" si="1"/>
        <v>25</v>
      </c>
      <c r="K15" s="35" t="s">
        <v>72</v>
      </c>
      <c r="L15" s="318" t="s">
        <v>176</v>
      </c>
      <c r="M15" s="318" t="s">
        <v>36</v>
      </c>
      <c r="N15" s="318" t="s">
        <v>37</v>
      </c>
      <c r="O15" s="8" t="s">
        <v>176</v>
      </c>
      <c r="P15" s="8" t="s">
        <v>36</v>
      </c>
      <c r="Q15" s="8" t="s">
        <v>37</v>
      </c>
      <c r="R15" s="8" t="s">
        <v>176</v>
      </c>
      <c r="S15" s="8" t="s">
        <v>36</v>
      </c>
      <c r="T15" s="8" t="s">
        <v>37</v>
      </c>
      <c r="U15" s="283" t="s">
        <v>176</v>
      </c>
      <c r="V15" s="8" t="s">
        <v>36</v>
      </c>
      <c r="W15" s="8" t="s">
        <v>37</v>
      </c>
      <c r="X15" s="407"/>
      <c r="Y15" s="407"/>
      <c r="Z15" s="407"/>
      <c r="AA15" s="407"/>
      <c r="AB15" s="407"/>
      <c r="AC15" s="283" t="s">
        <v>176</v>
      </c>
      <c r="AD15" s="8" t="s">
        <v>36</v>
      </c>
      <c r="AE15" s="8" t="s">
        <v>37</v>
      </c>
      <c r="AF15" s="283" t="s">
        <v>176</v>
      </c>
      <c r="AG15" s="8" t="s">
        <v>36</v>
      </c>
      <c r="AH15" s="8" t="s">
        <v>37</v>
      </c>
      <c r="AI15" s="283" t="s">
        <v>176</v>
      </c>
      <c r="AJ15" s="8" t="s">
        <v>36</v>
      </c>
      <c r="AK15" s="8" t="s">
        <v>37</v>
      </c>
      <c r="AL15" s="290"/>
    </row>
    <row r="16" spans="1:50" ht="15" customHeight="1" thickBot="1" x14ac:dyDescent="0.3">
      <c r="A16" s="61" t="s">
        <v>970</v>
      </c>
      <c r="B16" s="104">
        <v>0</v>
      </c>
      <c r="C16" s="358">
        <v>0</v>
      </c>
      <c r="D16" s="245">
        <v>1</v>
      </c>
      <c r="E16" s="6">
        <f t="shared" si="0"/>
        <v>1</v>
      </c>
      <c r="F16" s="87" t="s">
        <v>970</v>
      </c>
      <c r="G16" s="105">
        <v>0</v>
      </c>
      <c r="H16" s="343">
        <v>0</v>
      </c>
      <c r="I16" s="256">
        <v>5</v>
      </c>
      <c r="J16" s="86">
        <f t="shared" si="1"/>
        <v>5</v>
      </c>
      <c r="K16" s="49" t="s">
        <v>153</v>
      </c>
      <c r="L16" s="47">
        <v>1</v>
      </c>
      <c r="M16" s="47">
        <v>1</v>
      </c>
      <c r="N16" s="47">
        <f>SUM(L16/M16)*100</f>
        <v>100</v>
      </c>
      <c r="O16" s="8" t="s">
        <v>43</v>
      </c>
      <c r="P16" s="8" t="s">
        <v>43</v>
      </c>
      <c r="Q16" s="8" t="s">
        <v>43</v>
      </c>
      <c r="R16" s="8">
        <v>10</v>
      </c>
      <c r="S16" s="8">
        <v>13</v>
      </c>
      <c r="T16" s="294">
        <f>SUM(R16/S16)*100</f>
        <v>76.923076923076934</v>
      </c>
      <c r="U16" s="283">
        <v>23</v>
      </c>
      <c r="V16" s="8">
        <v>27</v>
      </c>
      <c r="W16" s="294">
        <f>SUM(U16/V16)*100</f>
        <v>85.18518518518519</v>
      </c>
      <c r="X16" s="407"/>
      <c r="Y16" s="407"/>
      <c r="Z16" s="407"/>
      <c r="AA16" s="407"/>
      <c r="AB16" s="407"/>
      <c r="AC16" s="283">
        <v>23</v>
      </c>
      <c r="AD16" s="8">
        <v>27</v>
      </c>
      <c r="AE16" s="294">
        <f>SUM(AC16/AD16)*100</f>
        <v>85.18518518518519</v>
      </c>
      <c r="AF16" s="283" t="s">
        <v>43</v>
      </c>
      <c r="AG16" s="8" t="s">
        <v>43</v>
      </c>
      <c r="AH16" s="8" t="s">
        <v>43</v>
      </c>
      <c r="AI16" s="283">
        <v>19</v>
      </c>
      <c r="AJ16" s="8">
        <v>27</v>
      </c>
      <c r="AK16" s="294">
        <f>SUM(AI16/AJ16)*100</f>
        <v>70.370370370370367</v>
      </c>
      <c r="AL16" s="290"/>
    </row>
    <row r="17" spans="1:43" ht="15" customHeight="1" thickBot="1" x14ac:dyDescent="0.3">
      <c r="A17" s="61" t="s">
        <v>288</v>
      </c>
      <c r="B17" s="104">
        <v>0</v>
      </c>
      <c r="C17" s="358">
        <v>0</v>
      </c>
      <c r="D17" s="245">
        <v>0</v>
      </c>
      <c r="E17" s="6">
        <f t="shared" si="0"/>
        <v>0</v>
      </c>
      <c r="F17" s="87" t="s">
        <v>288</v>
      </c>
      <c r="G17" s="105">
        <v>0</v>
      </c>
      <c r="H17" s="343">
        <v>0</v>
      </c>
      <c r="I17" s="256">
        <v>0</v>
      </c>
      <c r="J17" s="86">
        <f t="shared" si="1"/>
        <v>0</v>
      </c>
      <c r="K17" s="17" t="s">
        <v>55</v>
      </c>
      <c r="L17" s="47" t="s">
        <v>43</v>
      </c>
      <c r="M17" s="47" t="s">
        <v>43</v>
      </c>
      <c r="N17" s="48" t="s">
        <v>43</v>
      </c>
      <c r="O17" s="8">
        <v>1</v>
      </c>
      <c r="P17" s="8">
        <v>1</v>
      </c>
      <c r="Q17" s="294">
        <f>SUM(O17/P17)*100</f>
        <v>100</v>
      </c>
      <c r="R17" s="8">
        <v>1</v>
      </c>
      <c r="S17" s="8">
        <v>1</v>
      </c>
      <c r="T17" s="294">
        <f>SUM(R17/S17)*100</f>
        <v>100</v>
      </c>
      <c r="U17" s="283" t="s">
        <v>43</v>
      </c>
      <c r="V17" s="8" t="s">
        <v>43</v>
      </c>
      <c r="W17" s="8" t="s">
        <v>43</v>
      </c>
      <c r="X17" s="407"/>
      <c r="Y17" s="407"/>
      <c r="Z17" s="407"/>
      <c r="AA17" s="407"/>
      <c r="AB17" s="407"/>
      <c r="AC17" s="283" t="s">
        <v>43</v>
      </c>
      <c r="AD17" s="8" t="s">
        <v>43</v>
      </c>
      <c r="AE17" s="8" t="s">
        <v>43</v>
      </c>
      <c r="AF17" s="283" t="s">
        <v>43</v>
      </c>
      <c r="AG17" s="8" t="s">
        <v>43</v>
      </c>
      <c r="AH17" s="8" t="s">
        <v>43</v>
      </c>
      <c r="AI17" s="283">
        <v>3</v>
      </c>
      <c r="AJ17" s="8">
        <v>5</v>
      </c>
      <c r="AK17" s="294">
        <v>60</v>
      </c>
      <c r="AL17" s="290" t="s">
        <v>129</v>
      </c>
    </row>
    <row r="18" spans="1:43" ht="15" customHeight="1" thickBot="1" x14ac:dyDescent="0.3">
      <c r="A18" s="61" t="s">
        <v>199</v>
      </c>
      <c r="B18" s="104">
        <v>0</v>
      </c>
      <c r="C18" s="358">
        <v>0</v>
      </c>
      <c r="D18" s="245">
        <v>0</v>
      </c>
      <c r="E18" s="6">
        <f t="shared" si="0"/>
        <v>0</v>
      </c>
      <c r="F18" s="87" t="s">
        <v>199</v>
      </c>
      <c r="G18" s="105">
        <v>0</v>
      </c>
      <c r="H18" s="343">
        <v>0</v>
      </c>
      <c r="I18" s="256">
        <v>0</v>
      </c>
      <c r="J18" s="86">
        <f t="shared" si="1"/>
        <v>0</v>
      </c>
      <c r="K18" s="17" t="s">
        <v>444</v>
      </c>
      <c r="L18" s="47">
        <v>6</v>
      </c>
      <c r="M18" s="47">
        <v>6</v>
      </c>
      <c r="N18" s="48">
        <f t="shared" ref="N18:N20" si="5">SUM(L18/M18)*100</f>
        <v>100</v>
      </c>
      <c r="O18" s="8">
        <v>7</v>
      </c>
      <c r="P18" s="8">
        <v>10</v>
      </c>
      <c r="Q18" s="294">
        <f>SUM(O18/P18)*100</f>
        <v>70</v>
      </c>
      <c r="R18" s="8" t="s">
        <v>43</v>
      </c>
      <c r="S18" s="8" t="s">
        <v>43</v>
      </c>
      <c r="T18" s="8" t="s">
        <v>43</v>
      </c>
      <c r="U18" s="283">
        <v>8</v>
      </c>
      <c r="V18" s="8">
        <v>13</v>
      </c>
      <c r="W18" s="294">
        <f>SUM(U18/V18)*100</f>
        <v>61.53846153846154</v>
      </c>
      <c r="X18" s="407"/>
      <c r="Y18" s="407"/>
      <c r="Z18" s="407"/>
      <c r="AA18" s="407"/>
      <c r="AB18" s="407"/>
      <c r="AC18" s="283" t="s">
        <v>43</v>
      </c>
      <c r="AD18" s="8" t="s">
        <v>43</v>
      </c>
      <c r="AE18" s="8" t="s">
        <v>43</v>
      </c>
      <c r="AF18" s="283" t="s">
        <v>43</v>
      </c>
      <c r="AG18" s="8" t="s">
        <v>43</v>
      </c>
      <c r="AH18" s="8" t="s">
        <v>43</v>
      </c>
      <c r="AI18" s="8" t="s">
        <v>43</v>
      </c>
      <c r="AJ18" s="8" t="s">
        <v>43</v>
      </c>
      <c r="AK18" s="8" t="s">
        <v>43</v>
      </c>
      <c r="AL18" s="290"/>
    </row>
    <row r="19" spans="1:43" ht="15" customHeight="1" thickBot="1" x14ac:dyDescent="0.3">
      <c r="A19" s="61" t="s">
        <v>66</v>
      </c>
      <c r="B19" s="104">
        <v>0</v>
      </c>
      <c r="C19" s="358">
        <v>0</v>
      </c>
      <c r="D19" s="245">
        <v>0</v>
      </c>
      <c r="E19" s="6">
        <f t="shared" si="0"/>
        <v>0</v>
      </c>
      <c r="F19" s="87" t="s">
        <v>66</v>
      </c>
      <c r="G19" s="105">
        <v>0</v>
      </c>
      <c r="H19" s="343">
        <v>0</v>
      </c>
      <c r="I19" s="256">
        <v>0</v>
      </c>
      <c r="J19" s="86">
        <f t="shared" si="1"/>
        <v>0</v>
      </c>
      <c r="K19" s="17" t="s">
        <v>438</v>
      </c>
      <c r="L19" s="47">
        <v>10</v>
      </c>
      <c r="M19" s="47">
        <v>12</v>
      </c>
      <c r="N19" s="48">
        <f t="shared" si="5"/>
        <v>83.333333333333343</v>
      </c>
      <c r="O19" s="8">
        <v>14</v>
      </c>
      <c r="P19" s="8">
        <v>17</v>
      </c>
      <c r="Q19" s="294">
        <f>SUM(O19/P19)*100</f>
        <v>82.35294117647058</v>
      </c>
      <c r="R19" s="8" t="s">
        <v>43</v>
      </c>
      <c r="S19" s="8" t="s">
        <v>43</v>
      </c>
      <c r="T19" s="8" t="s">
        <v>43</v>
      </c>
      <c r="U19" s="283" t="s">
        <v>43</v>
      </c>
      <c r="V19" s="8" t="s">
        <v>43</v>
      </c>
      <c r="W19" s="8" t="s">
        <v>43</v>
      </c>
      <c r="X19" s="407"/>
      <c r="Y19" s="407"/>
      <c r="Z19" s="407"/>
      <c r="AA19" s="407"/>
      <c r="AB19" s="407"/>
      <c r="AC19" s="7" t="s">
        <v>43</v>
      </c>
      <c r="AD19" s="8" t="s">
        <v>43</v>
      </c>
      <c r="AE19" s="8" t="s">
        <v>43</v>
      </c>
      <c r="AF19" s="7" t="s">
        <v>43</v>
      </c>
      <c r="AG19" s="8" t="s">
        <v>43</v>
      </c>
      <c r="AH19" s="8" t="s">
        <v>43</v>
      </c>
      <c r="AI19" s="8" t="s">
        <v>43</v>
      </c>
      <c r="AJ19" s="8" t="s">
        <v>43</v>
      </c>
      <c r="AK19" s="8" t="s">
        <v>43</v>
      </c>
      <c r="AL19" s="290"/>
    </row>
    <row r="20" spans="1:43" ht="15" customHeight="1" thickBot="1" x14ac:dyDescent="0.3">
      <c r="A20" s="61" t="s">
        <v>153</v>
      </c>
      <c r="B20" s="104">
        <v>3</v>
      </c>
      <c r="C20" s="358">
        <v>2</v>
      </c>
      <c r="D20" s="245">
        <v>0</v>
      </c>
      <c r="E20" s="6">
        <f t="shared" si="0"/>
        <v>5</v>
      </c>
      <c r="F20" s="87" t="s">
        <v>153</v>
      </c>
      <c r="G20" s="105">
        <v>173</v>
      </c>
      <c r="H20" s="343">
        <v>12</v>
      </c>
      <c r="I20" s="256">
        <v>0</v>
      </c>
      <c r="J20" s="86">
        <f t="shared" si="1"/>
        <v>185</v>
      </c>
      <c r="K20" s="359" t="s">
        <v>214</v>
      </c>
      <c r="L20" s="360">
        <v>5</v>
      </c>
      <c r="M20" s="360">
        <v>6</v>
      </c>
      <c r="N20" s="361">
        <f t="shared" si="5"/>
        <v>83.333333333333343</v>
      </c>
      <c r="O20" s="8" t="s">
        <v>43</v>
      </c>
      <c r="P20" s="8" t="s">
        <v>43</v>
      </c>
      <c r="Q20" s="8" t="s">
        <v>43</v>
      </c>
      <c r="R20" s="8" t="s">
        <v>43</v>
      </c>
      <c r="S20" s="8" t="s">
        <v>43</v>
      </c>
      <c r="T20" s="8" t="s">
        <v>43</v>
      </c>
      <c r="U20" s="283" t="s">
        <v>43</v>
      </c>
      <c r="V20" s="8" t="s">
        <v>43</v>
      </c>
      <c r="W20" s="8" t="s">
        <v>43</v>
      </c>
      <c r="X20" s="407"/>
      <c r="Y20" s="407"/>
      <c r="Z20" s="407"/>
      <c r="AA20" s="407"/>
      <c r="AB20" s="407"/>
      <c r="AC20" s="283" t="s">
        <v>43</v>
      </c>
      <c r="AD20" s="8" t="s">
        <v>43</v>
      </c>
      <c r="AE20" s="8" t="s">
        <v>43</v>
      </c>
      <c r="AF20" s="7" t="s">
        <v>43</v>
      </c>
      <c r="AG20" s="8" t="s">
        <v>43</v>
      </c>
      <c r="AH20" s="8" t="s">
        <v>43</v>
      </c>
      <c r="AI20" s="8" t="s">
        <v>43</v>
      </c>
      <c r="AJ20" s="8" t="s">
        <v>43</v>
      </c>
      <c r="AK20" s="8" t="s">
        <v>43</v>
      </c>
      <c r="AL20" s="356"/>
      <c r="AM20" s="354"/>
      <c r="AN20" s="354"/>
      <c r="AO20" s="354"/>
      <c r="AP20" s="354"/>
      <c r="AQ20" s="354"/>
    </row>
    <row r="21" spans="1:43" ht="15" customHeight="1" thickBot="1" x14ac:dyDescent="0.3">
      <c r="A21" s="61"/>
      <c r="B21" s="104">
        <v>0</v>
      </c>
      <c r="C21" s="358">
        <v>0</v>
      </c>
      <c r="D21" s="245">
        <v>0</v>
      </c>
      <c r="E21" s="6">
        <f t="shared" si="0"/>
        <v>0</v>
      </c>
      <c r="F21" s="87"/>
      <c r="G21" s="105">
        <v>0</v>
      </c>
      <c r="H21" s="343">
        <v>0</v>
      </c>
      <c r="I21" s="256">
        <v>0</v>
      </c>
      <c r="J21" s="86">
        <f t="shared" si="1"/>
        <v>0</v>
      </c>
      <c r="X21" s="407"/>
      <c r="Y21" s="407"/>
      <c r="Z21" s="407"/>
      <c r="AA21" s="407"/>
      <c r="AB21" s="407"/>
      <c r="AC21" s="406"/>
      <c r="AD21" s="406"/>
      <c r="AE21" s="406"/>
    </row>
    <row r="22" spans="1:43" ht="15" customHeight="1" thickBot="1" x14ac:dyDescent="0.3">
      <c r="A22" s="61"/>
      <c r="B22" s="104">
        <v>0</v>
      </c>
      <c r="C22" s="358">
        <v>0</v>
      </c>
      <c r="D22" s="245">
        <v>0</v>
      </c>
      <c r="E22" s="6">
        <f t="shared" si="0"/>
        <v>0</v>
      </c>
      <c r="F22" s="87"/>
      <c r="G22" s="105">
        <v>0</v>
      </c>
      <c r="H22" s="343">
        <v>0</v>
      </c>
      <c r="I22" s="256">
        <v>0</v>
      </c>
      <c r="J22" s="86">
        <f t="shared" si="1"/>
        <v>0</v>
      </c>
      <c r="K22" s="509" t="s">
        <v>304</v>
      </c>
      <c r="L22" s="586" t="s">
        <v>42</v>
      </c>
      <c r="M22" s="590"/>
      <c r="N22" s="587"/>
      <c r="O22" s="515" t="s">
        <v>100</v>
      </c>
      <c r="P22" s="516"/>
      <c r="Q22" s="517"/>
      <c r="R22" s="515" t="s">
        <v>915</v>
      </c>
      <c r="S22" s="516"/>
      <c r="T22" s="517"/>
      <c r="U22" s="515" t="s">
        <v>303</v>
      </c>
      <c r="V22" s="516"/>
      <c r="W22" s="517"/>
      <c r="X22" s="407"/>
      <c r="Y22" s="407"/>
      <c r="Z22" s="407"/>
      <c r="AA22" s="407"/>
      <c r="AB22" s="407"/>
      <c r="AC22" s="515" t="s">
        <v>186</v>
      </c>
      <c r="AD22" s="516"/>
      <c r="AE22" s="517"/>
      <c r="AF22" s="515" t="s">
        <v>140</v>
      </c>
      <c r="AG22" s="516"/>
      <c r="AH22" s="517"/>
    </row>
    <row r="23" spans="1:43" ht="15" customHeight="1" thickBot="1" x14ac:dyDescent="0.3">
      <c r="A23" s="61" t="s">
        <v>1059</v>
      </c>
      <c r="B23" s="104">
        <v>2</v>
      </c>
      <c r="C23" s="358">
        <v>0</v>
      </c>
      <c r="D23" s="245">
        <v>0</v>
      </c>
      <c r="E23" s="6">
        <f t="shared" si="0"/>
        <v>2</v>
      </c>
      <c r="F23" s="87" t="s">
        <v>1059</v>
      </c>
      <c r="G23" s="105">
        <v>10</v>
      </c>
      <c r="H23" s="343">
        <v>0</v>
      </c>
      <c r="I23" s="256">
        <v>0</v>
      </c>
      <c r="J23" s="86">
        <f t="shared" si="1"/>
        <v>10</v>
      </c>
      <c r="K23" s="510"/>
      <c r="L23" s="588"/>
      <c r="M23" s="591"/>
      <c r="N23" s="589"/>
      <c r="O23" s="518"/>
      <c r="P23" s="519"/>
      <c r="Q23" s="520"/>
      <c r="R23" s="518"/>
      <c r="S23" s="519"/>
      <c r="T23" s="520"/>
      <c r="U23" s="518"/>
      <c r="V23" s="519"/>
      <c r="W23" s="520"/>
      <c r="X23" s="407"/>
      <c r="Y23" s="407"/>
      <c r="Z23" s="407"/>
      <c r="AA23" s="407"/>
      <c r="AB23" s="407"/>
      <c r="AC23" s="518"/>
      <c r="AD23" s="519"/>
      <c r="AE23" s="520"/>
      <c r="AF23" s="518"/>
      <c r="AG23" s="519"/>
      <c r="AH23" s="520"/>
    </row>
    <row r="24" spans="1:43" ht="15" customHeight="1" thickBot="1" x14ac:dyDescent="0.3">
      <c r="A24" s="61" t="s">
        <v>61</v>
      </c>
      <c r="B24" s="104">
        <v>0</v>
      </c>
      <c r="C24" s="358">
        <v>0</v>
      </c>
      <c r="D24" s="245">
        <v>0</v>
      </c>
      <c r="E24" s="6">
        <f t="shared" si="0"/>
        <v>0</v>
      </c>
      <c r="F24" s="87" t="s">
        <v>61</v>
      </c>
      <c r="G24" s="105">
        <v>0</v>
      </c>
      <c r="H24" s="343">
        <v>0</v>
      </c>
      <c r="I24" s="256">
        <v>0</v>
      </c>
      <c r="J24" s="86">
        <f t="shared" si="1"/>
        <v>0</v>
      </c>
      <c r="K24" s="35" t="s">
        <v>72</v>
      </c>
      <c r="L24" s="318" t="s">
        <v>176</v>
      </c>
      <c r="M24" s="318" t="s">
        <v>36</v>
      </c>
      <c r="N24" s="318" t="s">
        <v>37</v>
      </c>
      <c r="O24" s="8" t="s">
        <v>176</v>
      </c>
      <c r="P24" s="8" t="s">
        <v>36</v>
      </c>
      <c r="Q24" s="8" t="s">
        <v>37</v>
      </c>
      <c r="R24" s="8" t="s">
        <v>176</v>
      </c>
      <c r="S24" s="8" t="s">
        <v>36</v>
      </c>
      <c r="T24" s="8" t="s">
        <v>37</v>
      </c>
      <c r="U24" s="283" t="s">
        <v>176</v>
      </c>
      <c r="V24" s="8" t="s">
        <v>36</v>
      </c>
      <c r="W24" s="8" t="s">
        <v>37</v>
      </c>
      <c r="X24" s="407"/>
      <c r="Y24" s="407"/>
      <c r="Z24" s="407"/>
      <c r="AA24" s="407"/>
      <c r="AB24" s="407"/>
      <c r="AC24" s="283" t="s">
        <v>176</v>
      </c>
      <c r="AD24" s="8" t="s">
        <v>36</v>
      </c>
      <c r="AE24" s="8" t="s">
        <v>37</v>
      </c>
      <c r="AF24" s="283" t="s">
        <v>176</v>
      </c>
      <c r="AG24" s="8" t="s">
        <v>36</v>
      </c>
      <c r="AH24" s="8" t="s">
        <v>37</v>
      </c>
    </row>
    <row r="25" spans="1:43" ht="15" customHeight="1" thickBot="1" x14ac:dyDescent="0.3">
      <c r="A25" s="61" t="s">
        <v>25</v>
      </c>
      <c r="B25" s="104">
        <v>0</v>
      </c>
      <c r="C25" s="358">
        <v>0</v>
      </c>
      <c r="D25" s="245">
        <v>0</v>
      </c>
      <c r="E25" s="6">
        <f t="shared" si="0"/>
        <v>0</v>
      </c>
      <c r="F25" s="87" t="s">
        <v>25</v>
      </c>
      <c r="G25" s="105">
        <v>0</v>
      </c>
      <c r="H25" s="343">
        <v>0</v>
      </c>
      <c r="I25" s="256">
        <v>0</v>
      </c>
      <c r="J25" s="86">
        <f t="shared" si="1"/>
        <v>0</v>
      </c>
      <c r="K25" s="17" t="s">
        <v>25</v>
      </c>
      <c r="L25" s="47" t="s">
        <v>43</v>
      </c>
      <c r="M25" s="47" t="s">
        <v>43</v>
      </c>
      <c r="N25" s="47" t="s">
        <v>43</v>
      </c>
      <c r="O25" s="8" t="s">
        <v>43</v>
      </c>
      <c r="P25" s="8" t="s">
        <v>43</v>
      </c>
      <c r="Q25" s="8" t="s">
        <v>43</v>
      </c>
      <c r="R25" s="8" t="s">
        <v>43</v>
      </c>
      <c r="S25" s="8" t="s">
        <v>43</v>
      </c>
      <c r="T25" s="8" t="s">
        <v>43</v>
      </c>
      <c r="U25" s="283">
        <v>2</v>
      </c>
      <c r="V25" s="8">
        <v>4</v>
      </c>
      <c r="W25" s="294">
        <f>SUM(U25/V25)*100</f>
        <v>50</v>
      </c>
      <c r="X25" s="407"/>
      <c r="Y25" s="407"/>
      <c r="Z25" s="407"/>
      <c r="AA25" s="407"/>
      <c r="AB25" s="407"/>
      <c r="AC25" s="283" t="s">
        <v>43</v>
      </c>
      <c r="AD25" s="8" t="s">
        <v>43</v>
      </c>
      <c r="AE25" s="8" t="s">
        <v>43</v>
      </c>
      <c r="AF25" s="283" t="s">
        <v>43</v>
      </c>
      <c r="AG25" s="8" t="s">
        <v>43</v>
      </c>
      <c r="AH25" s="8" t="s">
        <v>43</v>
      </c>
    </row>
    <row r="26" spans="1:43" ht="15" customHeight="1" thickBot="1" x14ac:dyDescent="0.3">
      <c r="A26" s="61" t="s">
        <v>845</v>
      </c>
      <c r="B26" s="104">
        <v>0</v>
      </c>
      <c r="C26" s="358">
        <v>0</v>
      </c>
      <c r="D26" s="245">
        <v>0</v>
      </c>
      <c r="E26" s="6">
        <f t="shared" si="0"/>
        <v>0</v>
      </c>
      <c r="F26" s="87" t="s">
        <v>845</v>
      </c>
      <c r="G26" s="105">
        <v>0</v>
      </c>
      <c r="H26" s="343">
        <v>0</v>
      </c>
      <c r="I26" s="256">
        <v>0</v>
      </c>
      <c r="J26" s="86">
        <f t="shared" si="1"/>
        <v>0</v>
      </c>
      <c r="K26" s="17" t="s">
        <v>845</v>
      </c>
      <c r="L26" s="47" t="s">
        <v>43</v>
      </c>
      <c r="M26" s="47" t="s">
        <v>43</v>
      </c>
      <c r="N26" s="48" t="s">
        <v>43</v>
      </c>
      <c r="O26" s="8">
        <v>1</v>
      </c>
      <c r="P26" s="8">
        <v>1</v>
      </c>
      <c r="Q26" s="294">
        <f>SUM(O26/P26)*100</f>
        <v>100</v>
      </c>
      <c r="R26" s="8" t="s">
        <v>43</v>
      </c>
      <c r="S26" s="8" t="s">
        <v>43</v>
      </c>
      <c r="T26" s="8" t="s">
        <v>43</v>
      </c>
      <c r="U26" s="283" t="s">
        <v>43</v>
      </c>
      <c r="V26" s="8" t="s">
        <v>43</v>
      </c>
      <c r="W26" s="8" t="s">
        <v>43</v>
      </c>
      <c r="X26" s="407"/>
      <c r="Y26" s="407"/>
      <c r="Z26" s="407"/>
      <c r="AA26" s="407"/>
      <c r="AB26" s="407"/>
      <c r="AC26" s="7" t="s">
        <v>43</v>
      </c>
      <c r="AD26" s="8" t="s">
        <v>43</v>
      </c>
      <c r="AE26" s="8" t="s">
        <v>43</v>
      </c>
      <c r="AF26" s="7" t="s">
        <v>43</v>
      </c>
      <c r="AG26" s="8" t="s">
        <v>43</v>
      </c>
      <c r="AH26" s="8" t="s">
        <v>43</v>
      </c>
    </row>
    <row r="27" spans="1:43" ht="15" customHeight="1" thickBot="1" x14ac:dyDescent="0.3">
      <c r="A27" s="61" t="s">
        <v>21</v>
      </c>
      <c r="B27" s="104">
        <v>0</v>
      </c>
      <c r="C27" s="358">
        <v>3</v>
      </c>
      <c r="D27" s="245">
        <v>0</v>
      </c>
      <c r="E27" s="6">
        <f t="shared" si="0"/>
        <v>3</v>
      </c>
      <c r="F27" s="87" t="s">
        <v>21</v>
      </c>
      <c r="G27" s="105">
        <v>0</v>
      </c>
      <c r="H27" s="343">
        <v>15</v>
      </c>
      <c r="I27" s="256">
        <v>0</v>
      </c>
      <c r="J27" s="86">
        <f t="shared" si="1"/>
        <v>15</v>
      </c>
      <c r="K27" s="17" t="s">
        <v>165</v>
      </c>
      <c r="L27" s="47" t="s">
        <v>43</v>
      </c>
      <c r="M27" s="47" t="s">
        <v>43</v>
      </c>
      <c r="N27" s="47" t="s">
        <v>43</v>
      </c>
      <c r="O27" s="8" t="s">
        <v>43</v>
      </c>
      <c r="P27" s="8" t="s">
        <v>43</v>
      </c>
      <c r="Q27" s="8" t="s">
        <v>43</v>
      </c>
      <c r="R27" s="8" t="s">
        <v>43</v>
      </c>
      <c r="S27" s="8" t="s">
        <v>43</v>
      </c>
      <c r="T27" s="8" t="s">
        <v>43</v>
      </c>
      <c r="U27" s="283">
        <v>0</v>
      </c>
      <c r="V27" s="8">
        <v>1</v>
      </c>
      <c r="W27" s="294">
        <f>SUM(U27/V27)*100</f>
        <v>0</v>
      </c>
      <c r="X27" s="407"/>
      <c r="Y27" s="407"/>
      <c r="Z27" s="407"/>
      <c r="AA27" s="407"/>
      <c r="AB27" s="407"/>
      <c r="AC27" s="283" t="s">
        <v>43</v>
      </c>
      <c r="AD27" s="8" t="s">
        <v>43</v>
      </c>
      <c r="AE27" s="8" t="s">
        <v>43</v>
      </c>
      <c r="AF27" s="283" t="s">
        <v>43</v>
      </c>
      <c r="AG27" s="8" t="s">
        <v>43</v>
      </c>
      <c r="AH27" s="8" t="s">
        <v>43</v>
      </c>
    </row>
    <row r="28" spans="1:43" ht="15" customHeight="1" thickBot="1" x14ac:dyDescent="0.3">
      <c r="A28" s="61" t="s">
        <v>1049</v>
      </c>
      <c r="B28" s="104">
        <v>10</v>
      </c>
      <c r="C28" s="358">
        <v>0</v>
      </c>
      <c r="D28" s="245">
        <v>0</v>
      </c>
      <c r="E28" s="6">
        <f t="shared" ref="E28" si="6">SUM(B28:D28)</f>
        <v>10</v>
      </c>
      <c r="F28" s="87" t="s">
        <v>1049</v>
      </c>
      <c r="G28" s="105">
        <v>50</v>
      </c>
      <c r="H28" s="343">
        <v>0</v>
      </c>
      <c r="I28" s="256">
        <v>0</v>
      </c>
      <c r="J28" s="86">
        <f t="shared" ref="J28" si="7">SUM(G28:I28)</f>
        <v>50</v>
      </c>
      <c r="K28" s="17" t="s">
        <v>55</v>
      </c>
      <c r="L28" s="47">
        <v>1</v>
      </c>
      <c r="M28" s="47">
        <v>1</v>
      </c>
      <c r="N28" s="47">
        <f>(L28/M28)*100</f>
        <v>100</v>
      </c>
      <c r="O28" s="8" t="s">
        <v>43</v>
      </c>
      <c r="P28" s="8" t="s">
        <v>43</v>
      </c>
      <c r="Q28" s="8" t="s">
        <v>43</v>
      </c>
      <c r="R28" s="8">
        <v>5</v>
      </c>
      <c r="S28" s="8">
        <v>8</v>
      </c>
      <c r="T28" s="294">
        <f>SUM(R28/S28)*100</f>
        <v>62.5</v>
      </c>
      <c r="U28" s="283" t="s">
        <v>43</v>
      </c>
      <c r="V28" s="8" t="s">
        <v>43</v>
      </c>
      <c r="W28" s="8" t="s">
        <v>43</v>
      </c>
      <c r="X28" s="407"/>
      <c r="Y28" s="407"/>
      <c r="Z28" s="407"/>
      <c r="AA28" s="407"/>
      <c r="AB28" s="407"/>
      <c r="AC28" s="283" t="s">
        <v>43</v>
      </c>
      <c r="AD28" s="8" t="s">
        <v>43</v>
      </c>
      <c r="AE28" s="8" t="s">
        <v>43</v>
      </c>
      <c r="AF28" s="283" t="s">
        <v>43</v>
      </c>
      <c r="AG28" s="8" t="s">
        <v>43</v>
      </c>
      <c r="AH28" s="8" t="s">
        <v>43</v>
      </c>
    </row>
    <row r="29" spans="1:43" ht="15" customHeight="1" thickBot="1" x14ac:dyDescent="0.3">
      <c r="A29" s="61" t="s">
        <v>259</v>
      </c>
      <c r="B29" s="104">
        <v>0</v>
      </c>
      <c r="C29" s="358">
        <v>0</v>
      </c>
      <c r="D29" s="245">
        <v>0</v>
      </c>
      <c r="E29" s="6">
        <f t="shared" si="0"/>
        <v>0</v>
      </c>
      <c r="F29" s="87" t="s">
        <v>259</v>
      </c>
      <c r="G29" s="105">
        <v>0</v>
      </c>
      <c r="H29" s="343">
        <v>0</v>
      </c>
      <c r="I29" s="256">
        <v>0</v>
      </c>
      <c r="J29" s="86">
        <f t="shared" si="1"/>
        <v>0</v>
      </c>
      <c r="K29" s="17" t="s">
        <v>227</v>
      </c>
      <c r="L29" s="47" t="s">
        <v>43</v>
      </c>
      <c r="M29" s="47" t="s">
        <v>43</v>
      </c>
      <c r="N29" s="47" t="s">
        <v>43</v>
      </c>
      <c r="O29" s="8" t="s">
        <v>43</v>
      </c>
      <c r="P29" s="8" t="s">
        <v>43</v>
      </c>
      <c r="Q29" s="8" t="s">
        <v>43</v>
      </c>
      <c r="R29" s="8" t="s">
        <v>43</v>
      </c>
      <c r="S29" s="8" t="s">
        <v>43</v>
      </c>
      <c r="T29" s="8" t="s">
        <v>43</v>
      </c>
      <c r="U29" s="283">
        <v>3</v>
      </c>
      <c r="V29" s="8">
        <v>4</v>
      </c>
      <c r="W29" s="294">
        <f>SUM(U29/V29)*100</f>
        <v>75</v>
      </c>
      <c r="X29" s="407"/>
      <c r="Y29" s="407"/>
      <c r="Z29" s="407"/>
      <c r="AA29" s="407"/>
      <c r="AB29" s="407"/>
      <c r="AC29" s="283" t="s">
        <v>43</v>
      </c>
      <c r="AD29" s="8" t="s">
        <v>43</v>
      </c>
      <c r="AE29" s="8" t="s">
        <v>43</v>
      </c>
      <c r="AF29" s="283" t="s">
        <v>43</v>
      </c>
      <c r="AG29" s="8" t="s">
        <v>43</v>
      </c>
      <c r="AH29" s="8" t="s">
        <v>43</v>
      </c>
    </row>
    <row r="30" spans="1:43" ht="15" customHeight="1" thickBot="1" x14ac:dyDescent="0.3">
      <c r="A30" s="61" t="s">
        <v>23</v>
      </c>
      <c r="B30" s="104">
        <v>0</v>
      </c>
      <c r="C30" s="358">
        <v>0</v>
      </c>
      <c r="D30" s="245">
        <v>0</v>
      </c>
      <c r="E30" s="6">
        <f t="shared" si="0"/>
        <v>0</v>
      </c>
      <c r="F30" s="87" t="s">
        <v>23</v>
      </c>
      <c r="G30" s="105">
        <v>0</v>
      </c>
      <c r="H30" s="343">
        <v>0</v>
      </c>
      <c r="I30" s="256">
        <v>0</v>
      </c>
      <c r="J30" s="86">
        <f t="shared" si="1"/>
        <v>0</v>
      </c>
      <c r="K30" s="17" t="s">
        <v>444</v>
      </c>
      <c r="L30" s="47">
        <v>3</v>
      </c>
      <c r="M30" s="47">
        <v>4</v>
      </c>
      <c r="N30" s="47">
        <f>(L30/M30)*100</f>
        <v>75</v>
      </c>
      <c r="O30" s="8">
        <v>2</v>
      </c>
      <c r="P30" s="8">
        <v>3</v>
      </c>
      <c r="Q30" s="294">
        <f>SUM(O30/P30)*100</f>
        <v>66.666666666666657</v>
      </c>
      <c r="R30" s="8" t="s">
        <v>43</v>
      </c>
      <c r="S30" s="8" t="s">
        <v>43</v>
      </c>
      <c r="T30" s="8" t="s">
        <v>43</v>
      </c>
      <c r="U30" s="283">
        <v>9</v>
      </c>
      <c r="V30" s="8">
        <v>12</v>
      </c>
      <c r="W30" s="294">
        <f>SUM(U30/V30)*100</f>
        <v>75</v>
      </c>
      <c r="X30" s="407"/>
      <c r="Y30" s="407"/>
      <c r="Z30" s="407"/>
      <c r="AA30" s="407"/>
      <c r="AB30" s="407"/>
      <c r="AC30" s="283" t="s">
        <v>43</v>
      </c>
      <c r="AD30" s="8" t="s">
        <v>43</v>
      </c>
      <c r="AE30" s="8" t="s">
        <v>43</v>
      </c>
      <c r="AF30" s="283" t="s">
        <v>43</v>
      </c>
      <c r="AG30" s="8" t="s">
        <v>43</v>
      </c>
      <c r="AH30" s="8" t="s">
        <v>43</v>
      </c>
    </row>
    <row r="31" spans="1:43" ht="15" customHeight="1" thickBot="1" x14ac:dyDescent="0.3">
      <c r="A31" s="61" t="s">
        <v>439</v>
      </c>
      <c r="B31" s="104">
        <v>0</v>
      </c>
      <c r="C31" s="358">
        <v>0</v>
      </c>
      <c r="D31" s="245">
        <v>0</v>
      </c>
      <c r="E31" s="6">
        <f t="shared" si="0"/>
        <v>0</v>
      </c>
      <c r="F31" s="87" t="s">
        <v>439</v>
      </c>
      <c r="G31" s="105">
        <v>0</v>
      </c>
      <c r="H31" s="343">
        <v>0</v>
      </c>
      <c r="I31" s="256">
        <v>0</v>
      </c>
      <c r="J31" s="86">
        <f t="shared" si="1"/>
        <v>0</v>
      </c>
      <c r="K31" s="17" t="s">
        <v>438</v>
      </c>
      <c r="L31" s="47">
        <v>3</v>
      </c>
      <c r="M31" s="47">
        <v>3</v>
      </c>
      <c r="N31" s="47">
        <f>(L31/M31)*100</f>
        <v>100</v>
      </c>
      <c r="O31" s="8">
        <v>5</v>
      </c>
      <c r="P31" s="8">
        <v>5</v>
      </c>
      <c r="Q31" s="294">
        <f>SUM(O31/P31)*100</f>
        <v>100</v>
      </c>
      <c r="R31" s="8" t="s">
        <v>43</v>
      </c>
      <c r="S31" s="8" t="s">
        <v>43</v>
      </c>
      <c r="T31" s="8" t="s">
        <v>43</v>
      </c>
      <c r="U31" s="283" t="s">
        <v>43</v>
      </c>
      <c r="V31" s="8" t="s">
        <v>43</v>
      </c>
      <c r="W31" s="8" t="s">
        <v>43</v>
      </c>
      <c r="X31" s="407"/>
      <c r="Y31" s="407"/>
      <c r="Z31" s="407"/>
      <c r="AA31" s="407"/>
      <c r="AB31" s="407"/>
      <c r="AC31" s="7" t="s">
        <v>43</v>
      </c>
      <c r="AD31" s="8" t="s">
        <v>43</v>
      </c>
      <c r="AE31" s="8" t="s">
        <v>43</v>
      </c>
      <c r="AF31" s="7" t="s">
        <v>43</v>
      </c>
      <c r="AG31" s="8" t="s">
        <v>43</v>
      </c>
      <c r="AH31" s="8" t="s">
        <v>43</v>
      </c>
    </row>
    <row r="32" spans="1:43" ht="15" customHeight="1" thickBot="1" x14ac:dyDescent="0.3">
      <c r="A32" s="61"/>
      <c r="B32" s="104">
        <v>0</v>
      </c>
      <c r="C32" s="358">
        <v>0</v>
      </c>
      <c r="D32" s="245">
        <v>0</v>
      </c>
      <c r="E32" s="6">
        <f t="shared" si="0"/>
        <v>0</v>
      </c>
      <c r="F32" s="87"/>
      <c r="G32" s="105">
        <v>0</v>
      </c>
      <c r="H32" s="343">
        <v>0</v>
      </c>
      <c r="I32" s="256">
        <v>0</v>
      </c>
      <c r="J32" s="86">
        <f t="shared" si="1"/>
        <v>0</v>
      </c>
      <c r="K32" s="180" t="s">
        <v>215</v>
      </c>
      <c r="L32" s="47" t="s">
        <v>43</v>
      </c>
      <c r="M32" s="47" t="s">
        <v>43</v>
      </c>
      <c r="N32" s="47" t="s">
        <v>43</v>
      </c>
      <c r="O32" s="8" t="s">
        <v>43</v>
      </c>
      <c r="P32" s="8" t="s">
        <v>43</v>
      </c>
      <c r="Q32" s="8" t="s">
        <v>43</v>
      </c>
      <c r="R32" s="8">
        <v>5</v>
      </c>
      <c r="S32" s="8">
        <v>6</v>
      </c>
      <c r="T32" s="294">
        <f>SUM(R32/S32)*100</f>
        <v>83.333333333333343</v>
      </c>
      <c r="U32" s="283">
        <v>5</v>
      </c>
      <c r="V32" s="8">
        <v>7</v>
      </c>
      <c r="W32" s="294">
        <f>SUM(U32/V32)*100</f>
        <v>71.428571428571431</v>
      </c>
      <c r="X32" s="407"/>
      <c r="Y32" s="407"/>
      <c r="Z32" s="407"/>
      <c r="AA32" s="407"/>
      <c r="AB32" s="407"/>
      <c r="AC32" s="283" t="s">
        <v>43</v>
      </c>
      <c r="AD32" s="8" t="s">
        <v>43</v>
      </c>
      <c r="AE32" s="8" t="s">
        <v>43</v>
      </c>
      <c r="AF32" s="283" t="s">
        <v>43</v>
      </c>
      <c r="AG32" s="8" t="s">
        <v>43</v>
      </c>
      <c r="AH32" s="8" t="s">
        <v>43</v>
      </c>
    </row>
    <row r="33" spans="1:39" ht="15" customHeight="1" thickBot="1" x14ac:dyDescent="0.3">
      <c r="A33" s="61" t="s">
        <v>260</v>
      </c>
      <c r="B33" s="104">
        <v>0</v>
      </c>
      <c r="C33" s="358">
        <v>0</v>
      </c>
      <c r="D33" s="245">
        <v>0</v>
      </c>
      <c r="E33" s="6">
        <f t="shared" si="0"/>
        <v>0</v>
      </c>
      <c r="F33" s="87" t="s">
        <v>260</v>
      </c>
      <c r="G33" s="105">
        <v>0</v>
      </c>
      <c r="H33" s="343">
        <v>0</v>
      </c>
      <c r="I33" s="256">
        <v>0</v>
      </c>
      <c r="J33" s="86">
        <f t="shared" si="1"/>
        <v>0</v>
      </c>
      <c r="K33" s="17" t="s">
        <v>214</v>
      </c>
      <c r="L33" s="47">
        <v>9</v>
      </c>
      <c r="M33" s="47">
        <v>13</v>
      </c>
      <c r="N33" s="48">
        <f>(L33/M33)*100</f>
        <v>69.230769230769226</v>
      </c>
      <c r="O33" s="8" t="s">
        <v>43</v>
      </c>
      <c r="P33" s="8" t="s">
        <v>43</v>
      </c>
      <c r="Q33" s="8" t="s">
        <v>43</v>
      </c>
      <c r="R33" s="8">
        <v>6</v>
      </c>
      <c r="S33" s="8">
        <v>8</v>
      </c>
      <c r="T33" s="294">
        <f>SUM(R33/S33)*100</f>
        <v>75</v>
      </c>
      <c r="U33" s="283">
        <v>0</v>
      </c>
      <c r="V33" s="8">
        <v>2</v>
      </c>
      <c r="W33" s="294">
        <f>SUM(U33/V33)*100</f>
        <v>0</v>
      </c>
      <c r="X33" s="407"/>
      <c r="Y33" s="407"/>
      <c r="Z33" s="407"/>
      <c r="AA33" s="407"/>
      <c r="AB33" s="407"/>
      <c r="AC33" s="283" t="s">
        <v>43</v>
      </c>
      <c r="AD33" s="8" t="s">
        <v>43</v>
      </c>
      <c r="AE33" s="8" t="s">
        <v>43</v>
      </c>
      <c r="AF33" s="283" t="s">
        <v>43</v>
      </c>
      <c r="AG33" s="8" t="s">
        <v>43</v>
      </c>
      <c r="AH33" s="8" t="s">
        <v>43</v>
      </c>
    </row>
    <row r="34" spans="1:39" ht="15" customHeight="1" thickBot="1" x14ac:dyDescent="0.3">
      <c r="A34" s="61" t="s">
        <v>118</v>
      </c>
      <c r="B34" s="104">
        <v>0</v>
      </c>
      <c r="C34" s="358">
        <v>0</v>
      </c>
      <c r="D34" s="245">
        <v>0</v>
      </c>
      <c r="E34" s="6">
        <f t="shared" si="0"/>
        <v>0</v>
      </c>
      <c r="F34" s="87" t="s">
        <v>118</v>
      </c>
      <c r="G34" s="105">
        <v>0</v>
      </c>
      <c r="H34" s="343">
        <v>0</v>
      </c>
      <c r="I34" s="256">
        <v>0</v>
      </c>
      <c r="J34" s="86">
        <f t="shared" si="1"/>
        <v>0</v>
      </c>
      <c r="K34" s="532" t="s">
        <v>953</v>
      </c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  <c r="AC34" s="592"/>
      <c r="AD34" s="592"/>
      <c r="AE34" s="592"/>
      <c r="AF34" s="592"/>
      <c r="AG34" s="592"/>
      <c r="AH34" s="592"/>
      <c r="AI34" s="592"/>
      <c r="AJ34" s="85"/>
      <c r="AK34" s="85"/>
      <c r="AL34" s="85"/>
      <c r="AM34" s="85"/>
    </row>
    <row r="35" spans="1:39" ht="15" customHeight="1" thickBot="1" x14ac:dyDescent="0.3">
      <c r="A35" s="61" t="s">
        <v>50</v>
      </c>
      <c r="B35" s="104">
        <v>0</v>
      </c>
      <c r="C35" s="358">
        <v>0</v>
      </c>
      <c r="D35" s="245">
        <v>0</v>
      </c>
      <c r="E35" s="6">
        <f t="shared" si="0"/>
        <v>0</v>
      </c>
      <c r="F35" s="87" t="s">
        <v>50</v>
      </c>
      <c r="G35" s="105">
        <v>0</v>
      </c>
      <c r="H35" s="343">
        <v>0</v>
      </c>
      <c r="I35" s="256">
        <v>0</v>
      </c>
      <c r="J35" s="86">
        <f t="shared" si="1"/>
        <v>0</v>
      </c>
    </row>
    <row r="36" spans="1:39" ht="15" customHeight="1" thickBot="1" x14ac:dyDescent="0.3">
      <c r="A36" s="61" t="s">
        <v>55</v>
      </c>
      <c r="B36" s="104">
        <v>0</v>
      </c>
      <c r="C36" s="358">
        <v>0</v>
      </c>
      <c r="D36" s="245">
        <v>0</v>
      </c>
      <c r="E36" s="6">
        <f t="shared" si="0"/>
        <v>0</v>
      </c>
      <c r="F36" s="87" t="s">
        <v>55</v>
      </c>
      <c r="G36" s="105">
        <v>14</v>
      </c>
      <c r="H36" s="343">
        <v>0</v>
      </c>
      <c r="I36" s="256">
        <v>2</v>
      </c>
      <c r="J36" s="86">
        <f t="shared" si="1"/>
        <v>16</v>
      </c>
    </row>
    <row r="37" spans="1:39" ht="15" customHeight="1" thickBot="1" x14ac:dyDescent="0.3">
      <c r="A37" s="61" t="s">
        <v>1103</v>
      </c>
      <c r="B37" s="104">
        <v>3</v>
      </c>
      <c r="C37" s="358">
        <v>0</v>
      </c>
      <c r="D37" s="245">
        <v>0</v>
      </c>
      <c r="E37" s="6">
        <f t="shared" si="0"/>
        <v>3</v>
      </c>
      <c r="F37" s="87" t="s">
        <v>1103</v>
      </c>
      <c r="G37" s="105">
        <v>15</v>
      </c>
      <c r="H37" s="343">
        <v>0</v>
      </c>
      <c r="I37" s="256">
        <v>0</v>
      </c>
      <c r="J37" s="86">
        <f t="shared" si="1"/>
        <v>15</v>
      </c>
    </row>
    <row r="38" spans="1:39" ht="15" customHeight="1" thickBot="1" x14ac:dyDescent="0.3">
      <c r="A38" s="61"/>
      <c r="B38" s="104">
        <v>0</v>
      </c>
      <c r="C38" s="358">
        <v>0</v>
      </c>
      <c r="D38" s="245">
        <v>0</v>
      </c>
      <c r="E38" s="6">
        <f t="shared" si="0"/>
        <v>0</v>
      </c>
      <c r="F38" s="87"/>
      <c r="G38" s="105">
        <v>0</v>
      </c>
      <c r="H38" s="343">
        <v>0</v>
      </c>
      <c r="I38" s="256">
        <v>0</v>
      </c>
      <c r="J38" s="86">
        <f t="shared" si="1"/>
        <v>0</v>
      </c>
    </row>
    <row r="39" spans="1:39" ht="15" customHeight="1" thickBot="1" x14ac:dyDescent="0.3">
      <c r="A39" s="61"/>
      <c r="B39" s="104">
        <v>0</v>
      </c>
      <c r="C39" s="358">
        <v>0</v>
      </c>
      <c r="D39" s="245">
        <v>0</v>
      </c>
      <c r="E39" s="6">
        <f t="shared" si="0"/>
        <v>0</v>
      </c>
      <c r="F39" s="87"/>
      <c r="G39" s="105">
        <v>0</v>
      </c>
      <c r="H39" s="343">
        <v>0</v>
      </c>
      <c r="I39" s="256">
        <v>0</v>
      </c>
      <c r="J39" s="86">
        <f t="shared" si="1"/>
        <v>0</v>
      </c>
    </row>
    <row r="40" spans="1:39" ht="15" customHeight="1" thickBot="1" x14ac:dyDescent="0.3">
      <c r="A40" s="61" t="s">
        <v>1139</v>
      </c>
      <c r="B40" s="104">
        <v>4</v>
      </c>
      <c r="C40" s="358">
        <v>0</v>
      </c>
      <c r="D40" s="245">
        <v>0</v>
      </c>
      <c r="E40" s="6">
        <f t="shared" si="0"/>
        <v>4</v>
      </c>
      <c r="F40" s="87" t="s">
        <v>1139</v>
      </c>
      <c r="G40" s="105">
        <v>20</v>
      </c>
      <c r="H40" s="343">
        <v>0</v>
      </c>
      <c r="I40" s="256">
        <v>0</v>
      </c>
      <c r="J40" s="86">
        <f t="shared" si="1"/>
        <v>20</v>
      </c>
    </row>
    <row r="41" spans="1:39" ht="15" customHeight="1" thickBot="1" x14ac:dyDescent="0.3">
      <c r="A41" s="61" t="s">
        <v>272</v>
      </c>
      <c r="B41" s="104">
        <v>0</v>
      </c>
      <c r="C41" s="358">
        <v>0</v>
      </c>
      <c r="D41" s="245">
        <v>0</v>
      </c>
      <c r="E41" s="6">
        <f t="shared" si="0"/>
        <v>0</v>
      </c>
      <c r="F41" s="87" t="s">
        <v>272</v>
      </c>
      <c r="G41" s="105">
        <v>0</v>
      </c>
      <c r="H41" s="343">
        <v>0</v>
      </c>
      <c r="I41" s="256">
        <v>0</v>
      </c>
      <c r="J41" s="86">
        <f t="shared" si="1"/>
        <v>0</v>
      </c>
    </row>
    <row r="42" spans="1:39" ht="15" customHeight="1" thickBot="1" x14ac:dyDescent="0.3">
      <c r="A42" s="61" t="s">
        <v>6</v>
      </c>
      <c r="B42" s="104">
        <v>3</v>
      </c>
      <c r="C42" s="358">
        <v>0</v>
      </c>
      <c r="D42" s="245">
        <v>1</v>
      </c>
      <c r="E42" s="6">
        <f t="shared" si="0"/>
        <v>4</v>
      </c>
      <c r="F42" s="87" t="s">
        <v>6</v>
      </c>
      <c r="G42" s="105">
        <v>21</v>
      </c>
      <c r="H42" s="343">
        <v>0</v>
      </c>
      <c r="I42" s="256">
        <v>7</v>
      </c>
      <c r="J42" s="86">
        <f t="shared" si="1"/>
        <v>28</v>
      </c>
    </row>
    <row r="43" spans="1:39" ht="15" customHeight="1" thickBot="1" x14ac:dyDescent="0.3">
      <c r="A43" s="61" t="s">
        <v>164</v>
      </c>
      <c r="B43" s="104">
        <v>0</v>
      </c>
      <c r="C43" s="358">
        <v>0</v>
      </c>
      <c r="D43" s="245">
        <v>1</v>
      </c>
      <c r="E43" s="6">
        <f t="shared" si="0"/>
        <v>1</v>
      </c>
      <c r="F43" s="87" t="s">
        <v>164</v>
      </c>
      <c r="G43" s="105">
        <v>0</v>
      </c>
      <c r="H43" s="343">
        <v>0</v>
      </c>
      <c r="I43" s="256">
        <v>5</v>
      </c>
      <c r="J43" s="86">
        <f t="shared" si="1"/>
        <v>5</v>
      </c>
    </row>
    <row r="44" spans="1:39" ht="15" customHeight="1" thickBot="1" x14ac:dyDescent="0.3">
      <c r="A44" s="61" t="s">
        <v>165</v>
      </c>
      <c r="B44" s="104">
        <v>7</v>
      </c>
      <c r="C44" s="358">
        <v>1</v>
      </c>
      <c r="D44" s="245">
        <v>0</v>
      </c>
      <c r="E44" s="6">
        <f t="shared" si="0"/>
        <v>8</v>
      </c>
      <c r="F44" s="87" t="s">
        <v>165</v>
      </c>
      <c r="G44" s="105">
        <v>38</v>
      </c>
      <c r="H44" s="343">
        <v>5</v>
      </c>
      <c r="I44" s="256">
        <v>0</v>
      </c>
      <c r="J44" s="86">
        <f t="shared" si="1"/>
        <v>43</v>
      </c>
    </row>
    <row r="45" spans="1:39" ht="15" customHeight="1" thickBot="1" x14ac:dyDescent="0.3">
      <c r="A45" s="61" t="s">
        <v>124</v>
      </c>
      <c r="B45" s="104">
        <v>2</v>
      </c>
      <c r="C45" s="358">
        <v>0</v>
      </c>
      <c r="D45" s="245">
        <v>0</v>
      </c>
      <c r="E45" s="6">
        <f t="shared" si="0"/>
        <v>2</v>
      </c>
      <c r="F45" s="87" t="s">
        <v>124</v>
      </c>
      <c r="G45" s="105">
        <v>10</v>
      </c>
      <c r="H45" s="343">
        <v>0</v>
      </c>
      <c r="I45" s="256">
        <v>0</v>
      </c>
      <c r="J45" s="86">
        <f t="shared" si="1"/>
        <v>10</v>
      </c>
    </row>
    <row r="46" spans="1:39" ht="15" customHeight="1" thickBot="1" x14ac:dyDescent="0.3">
      <c r="A46" s="61" t="s">
        <v>227</v>
      </c>
      <c r="B46" s="104">
        <v>0</v>
      </c>
      <c r="C46" s="358">
        <v>0</v>
      </c>
      <c r="D46" s="245">
        <v>0</v>
      </c>
      <c r="E46" s="6">
        <f t="shared" si="0"/>
        <v>0</v>
      </c>
      <c r="F46" s="87" t="s">
        <v>227</v>
      </c>
      <c r="G46" s="105">
        <v>0</v>
      </c>
      <c r="H46" s="343">
        <v>0</v>
      </c>
      <c r="I46" s="256">
        <v>0</v>
      </c>
      <c r="J46" s="86">
        <f t="shared" si="1"/>
        <v>0</v>
      </c>
    </row>
    <row r="47" spans="1:39" ht="15" customHeight="1" thickBot="1" x14ac:dyDescent="0.3">
      <c r="A47" s="61" t="s">
        <v>440</v>
      </c>
      <c r="B47" s="104">
        <v>0</v>
      </c>
      <c r="C47" s="358">
        <v>0</v>
      </c>
      <c r="D47" s="245">
        <v>0</v>
      </c>
      <c r="E47" s="6">
        <f t="shared" si="0"/>
        <v>0</v>
      </c>
      <c r="F47" s="87" t="s">
        <v>440</v>
      </c>
      <c r="G47" s="105">
        <v>13</v>
      </c>
      <c r="H47" s="343">
        <v>15</v>
      </c>
      <c r="I47" s="256">
        <v>8</v>
      </c>
      <c r="J47" s="86">
        <f t="shared" si="1"/>
        <v>36</v>
      </c>
    </row>
    <row r="48" spans="1:39" ht="15" customHeight="1" thickBot="1" x14ac:dyDescent="0.3">
      <c r="A48" s="61" t="s">
        <v>437</v>
      </c>
      <c r="B48" s="104">
        <v>3</v>
      </c>
      <c r="C48" s="358">
        <v>0</v>
      </c>
      <c r="D48" s="245">
        <v>0</v>
      </c>
      <c r="E48" s="6">
        <f t="shared" si="0"/>
        <v>3</v>
      </c>
      <c r="F48" s="87" t="s">
        <v>437</v>
      </c>
      <c r="G48" s="105">
        <v>15</v>
      </c>
      <c r="H48" s="343">
        <v>0</v>
      </c>
      <c r="I48" s="256">
        <v>0</v>
      </c>
      <c r="J48" s="86">
        <f t="shared" si="1"/>
        <v>15</v>
      </c>
    </row>
    <row r="49" spans="1:10" ht="15.75" thickBot="1" x14ac:dyDescent="0.3">
      <c r="A49" s="61" t="s">
        <v>72</v>
      </c>
      <c r="B49" s="104">
        <v>0</v>
      </c>
      <c r="C49" s="358">
        <v>0</v>
      </c>
      <c r="D49" s="245">
        <v>0</v>
      </c>
      <c r="E49" s="6">
        <f t="shared" si="0"/>
        <v>0</v>
      </c>
      <c r="F49" s="87" t="s">
        <v>72</v>
      </c>
      <c r="G49" s="105">
        <v>0</v>
      </c>
      <c r="H49" s="343">
        <v>0</v>
      </c>
      <c r="I49" s="256">
        <v>0</v>
      </c>
      <c r="J49" s="86">
        <f t="shared" si="1"/>
        <v>0</v>
      </c>
    </row>
    <row r="50" spans="1:10" ht="15.75" thickBot="1" x14ac:dyDescent="0.3">
      <c r="A50" s="61" t="s">
        <v>969</v>
      </c>
      <c r="B50" s="104">
        <v>0</v>
      </c>
      <c r="C50" s="358">
        <v>0</v>
      </c>
      <c r="D50" s="245">
        <v>1</v>
      </c>
      <c r="E50" s="6">
        <f t="shared" si="0"/>
        <v>1</v>
      </c>
      <c r="F50" s="87" t="s">
        <v>969</v>
      </c>
      <c r="G50" s="105">
        <v>0</v>
      </c>
      <c r="H50" s="343">
        <v>0</v>
      </c>
      <c r="I50" s="256">
        <v>5</v>
      </c>
      <c r="J50" s="86">
        <f t="shared" si="1"/>
        <v>5</v>
      </c>
    </row>
    <row r="51" spans="1:10" ht="15.75" thickBot="1" x14ac:dyDescent="0.3">
      <c r="A51" s="61" t="s">
        <v>438</v>
      </c>
      <c r="B51" s="104">
        <v>0</v>
      </c>
      <c r="C51" s="358">
        <v>0</v>
      </c>
      <c r="D51" s="245">
        <v>0</v>
      </c>
      <c r="E51" s="6">
        <f t="shared" si="0"/>
        <v>0</v>
      </c>
      <c r="F51" s="87" t="s">
        <v>438</v>
      </c>
      <c r="G51" s="105">
        <v>48</v>
      </c>
      <c r="H51" s="343">
        <v>22</v>
      </c>
      <c r="I51" s="256">
        <v>6</v>
      </c>
      <c r="J51" s="86">
        <f t="shared" si="1"/>
        <v>76</v>
      </c>
    </row>
    <row r="52" spans="1:10" ht="15.75" thickBot="1" x14ac:dyDescent="0.3">
      <c r="A52" s="61" t="s">
        <v>1205</v>
      </c>
      <c r="B52" s="104">
        <v>1</v>
      </c>
      <c r="C52" s="358">
        <v>0</v>
      </c>
      <c r="D52" s="245">
        <v>0</v>
      </c>
      <c r="E52" s="6">
        <f t="shared" si="0"/>
        <v>1</v>
      </c>
      <c r="F52" s="87" t="s">
        <v>1205</v>
      </c>
      <c r="G52" s="105">
        <v>5</v>
      </c>
      <c r="H52" s="343">
        <v>0</v>
      </c>
      <c r="I52" s="256">
        <v>0</v>
      </c>
      <c r="J52" s="86">
        <f t="shared" si="1"/>
        <v>5</v>
      </c>
    </row>
    <row r="53" spans="1:10" ht="15" customHeight="1" thickBot="1" x14ac:dyDescent="0.3">
      <c r="A53" s="61" t="s">
        <v>200</v>
      </c>
      <c r="B53" s="104">
        <v>0</v>
      </c>
      <c r="C53" s="358">
        <v>1</v>
      </c>
      <c r="D53" s="245">
        <v>0</v>
      </c>
      <c r="E53" s="6">
        <f t="shared" si="0"/>
        <v>1</v>
      </c>
      <c r="F53" s="87" t="s">
        <v>200</v>
      </c>
      <c r="G53" s="105">
        <v>0</v>
      </c>
      <c r="H53" s="343">
        <v>5</v>
      </c>
      <c r="I53" s="256">
        <v>0</v>
      </c>
      <c r="J53" s="86">
        <f t="shared" si="1"/>
        <v>5</v>
      </c>
    </row>
    <row r="54" spans="1:10" ht="15.75" thickBot="1" x14ac:dyDescent="0.3">
      <c r="A54" s="61" t="s">
        <v>214</v>
      </c>
      <c r="B54" s="104">
        <v>8</v>
      </c>
      <c r="C54" s="358">
        <v>0</v>
      </c>
      <c r="D54" s="245">
        <v>1</v>
      </c>
      <c r="E54" s="6">
        <f t="shared" si="0"/>
        <v>9</v>
      </c>
      <c r="F54" s="87" t="s">
        <v>214</v>
      </c>
      <c r="G54" s="105">
        <v>85</v>
      </c>
      <c r="H54" s="343">
        <v>12</v>
      </c>
      <c r="I54" s="256">
        <v>25</v>
      </c>
      <c r="J54" s="86">
        <f t="shared" si="1"/>
        <v>122</v>
      </c>
    </row>
    <row r="55" spans="1:10" ht="15.75" thickBot="1" x14ac:dyDescent="0.3">
      <c r="A55" s="61" t="s">
        <v>283</v>
      </c>
      <c r="B55" s="104">
        <v>1</v>
      </c>
      <c r="C55" s="358">
        <v>0</v>
      </c>
      <c r="D55" s="245">
        <v>1</v>
      </c>
      <c r="E55" s="6">
        <f t="shared" ref="E55:E56" si="8">SUM(B55:D55)</f>
        <v>2</v>
      </c>
      <c r="F55" s="87" t="s">
        <v>283</v>
      </c>
      <c r="G55" s="105">
        <v>5</v>
      </c>
      <c r="H55" s="343">
        <v>0</v>
      </c>
      <c r="I55" s="256">
        <v>5</v>
      </c>
      <c r="J55" s="86">
        <f t="shared" ref="J55:J56" si="9">SUM(G55:I55)</f>
        <v>10</v>
      </c>
    </row>
    <row r="56" spans="1:10" ht="15.75" thickBot="1" x14ac:dyDescent="0.3">
      <c r="A56" s="61" t="s">
        <v>1240</v>
      </c>
      <c r="B56" s="104">
        <v>2</v>
      </c>
      <c r="C56" s="358">
        <v>0</v>
      </c>
      <c r="D56" s="245">
        <v>0</v>
      </c>
      <c r="E56" s="6">
        <f t="shared" si="8"/>
        <v>2</v>
      </c>
      <c r="F56" s="87" t="s">
        <v>1240</v>
      </c>
      <c r="G56" s="105">
        <v>10</v>
      </c>
      <c r="H56" s="343">
        <v>0</v>
      </c>
      <c r="I56" s="256">
        <v>0</v>
      </c>
      <c r="J56" s="86">
        <f t="shared" si="9"/>
        <v>10</v>
      </c>
    </row>
    <row r="57" spans="1:10" ht="15.75" thickBot="1" x14ac:dyDescent="0.3">
      <c r="A57" s="61" t="s">
        <v>83</v>
      </c>
      <c r="B57" s="104">
        <v>2</v>
      </c>
      <c r="C57" s="358">
        <v>0</v>
      </c>
      <c r="D57" s="245">
        <v>3</v>
      </c>
      <c r="E57" s="6">
        <f t="shared" si="0"/>
        <v>5</v>
      </c>
      <c r="F57" s="87" t="s">
        <v>83</v>
      </c>
      <c r="G57" s="105">
        <v>10</v>
      </c>
      <c r="H57" s="343">
        <v>0</v>
      </c>
      <c r="I57" s="256">
        <v>15</v>
      </c>
      <c r="J57" s="86">
        <f t="shared" si="1"/>
        <v>25</v>
      </c>
    </row>
    <row r="58" spans="1:10" ht="15.75" thickBot="1" x14ac:dyDescent="0.3">
      <c r="A58" s="61" t="s">
        <v>442</v>
      </c>
      <c r="B58" s="104">
        <v>2</v>
      </c>
      <c r="C58" s="358">
        <v>0</v>
      </c>
      <c r="D58" s="245">
        <v>0</v>
      </c>
      <c r="E58" s="6">
        <f t="shared" si="0"/>
        <v>2</v>
      </c>
      <c r="F58" s="87" t="s">
        <v>442</v>
      </c>
      <c r="G58" s="105">
        <v>10</v>
      </c>
      <c r="H58" s="343">
        <v>0</v>
      </c>
      <c r="I58" s="256">
        <v>0</v>
      </c>
      <c r="J58" s="86">
        <f t="shared" si="1"/>
        <v>10</v>
      </c>
    </row>
    <row r="59" spans="1:10" ht="15.75" thickBot="1" x14ac:dyDescent="0.3">
      <c r="A59" s="61" t="s">
        <v>265</v>
      </c>
      <c r="B59" s="104">
        <v>9</v>
      </c>
      <c r="C59" s="358">
        <v>2</v>
      </c>
      <c r="D59" s="245">
        <v>2</v>
      </c>
      <c r="E59" s="6">
        <f t="shared" si="0"/>
        <v>13</v>
      </c>
      <c r="F59" s="87" t="s">
        <v>265</v>
      </c>
      <c r="G59" s="105">
        <v>45</v>
      </c>
      <c r="H59" s="343">
        <v>10</v>
      </c>
      <c r="I59" s="256">
        <v>10</v>
      </c>
      <c r="J59" s="86">
        <f t="shared" si="1"/>
        <v>65</v>
      </c>
    </row>
    <row r="60" spans="1:10" ht="15.75" thickBot="1" x14ac:dyDescent="0.3">
      <c r="A60" s="61" t="s">
        <v>443</v>
      </c>
      <c r="B60" s="104">
        <v>4</v>
      </c>
      <c r="C60" s="358">
        <v>0</v>
      </c>
      <c r="D60" s="245">
        <v>0</v>
      </c>
      <c r="E60" s="6">
        <f t="shared" si="0"/>
        <v>4</v>
      </c>
      <c r="F60" s="87" t="s">
        <v>443</v>
      </c>
      <c r="G60" s="105">
        <v>20</v>
      </c>
      <c r="H60" s="343">
        <v>0</v>
      </c>
      <c r="I60" s="256">
        <v>0</v>
      </c>
      <c r="J60" s="86">
        <f t="shared" si="1"/>
        <v>20</v>
      </c>
    </row>
    <row r="61" spans="1:10" ht="15.75" thickBot="1" x14ac:dyDescent="0.3">
      <c r="A61" s="61" t="s">
        <v>1006</v>
      </c>
      <c r="B61" s="104">
        <v>0</v>
      </c>
      <c r="C61" s="358">
        <v>2</v>
      </c>
      <c r="D61" s="245">
        <v>1</v>
      </c>
      <c r="E61" s="6">
        <f t="shared" ref="E61" si="10">SUM(B61:D61)</f>
        <v>3</v>
      </c>
      <c r="F61" s="87" t="s">
        <v>1006</v>
      </c>
      <c r="G61" s="105">
        <v>0</v>
      </c>
      <c r="H61" s="343">
        <v>10</v>
      </c>
      <c r="I61" s="256">
        <v>5</v>
      </c>
      <c r="J61" s="86">
        <f t="shared" ref="J61" si="11">SUM(G61:I61)</f>
        <v>15</v>
      </c>
    </row>
    <row r="62" spans="1:10" ht="15.75" thickBot="1" x14ac:dyDescent="0.3">
      <c r="A62" s="61" t="s">
        <v>86</v>
      </c>
      <c r="B62" s="104">
        <v>2</v>
      </c>
      <c r="C62" s="358">
        <v>0</v>
      </c>
      <c r="D62" s="245">
        <v>0</v>
      </c>
      <c r="E62" s="6">
        <f t="shared" si="0"/>
        <v>2</v>
      </c>
      <c r="F62" s="87" t="s">
        <v>86</v>
      </c>
      <c r="G62" s="105">
        <v>10</v>
      </c>
      <c r="H62" s="343">
        <v>0</v>
      </c>
      <c r="I62" s="256">
        <v>0</v>
      </c>
      <c r="J62" s="86">
        <f t="shared" si="1"/>
        <v>10</v>
      </c>
    </row>
    <row r="63" spans="1:10" ht="15.75" thickBot="1" x14ac:dyDescent="0.3">
      <c r="A63" s="61" t="s">
        <v>477</v>
      </c>
      <c r="B63" s="104">
        <v>0</v>
      </c>
      <c r="C63" s="358">
        <v>0</v>
      </c>
      <c r="D63" s="245">
        <v>0</v>
      </c>
      <c r="E63" s="6">
        <f t="shared" si="0"/>
        <v>0</v>
      </c>
      <c r="F63" s="87" t="s">
        <v>477</v>
      </c>
      <c r="G63" s="105">
        <v>0</v>
      </c>
      <c r="H63" s="343">
        <v>0</v>
      </c>
      <c r="I63" s="256">
        <v>0</v>
      </c>
      <c r="J63" s="86">
        <f t="shared" si="1"/>
        <v>0</v>
      </c>
    </row>
    <row r="64" spans="1:10" ht="15.75" thickBot="1" x14ac:dyDescent="0.3">
      <c r="A64" s="61" t="s">
        <v>3</v>
      </c>
      <c r="B64" s="104">
        <f>SUM(B3:B63)</f>
        <v>87</v>
      </c>
      <c r="C64" s="358">
        <f>SUM(C3:C63)</f>
        <v>18</v>
      </c>
      <c r="D64" s="245">
        <f>SUM(D3:D63)</f>
        <v>17</v>
      </c>
      <c r="E64" s="6">
        <f t="shared" ref="E64" si="12">SUM(B64:D64)</f>
        <v>122</v>
      </c>
      <c r="F64" s="87" t="s">
        <v>3</v>
      </c>
      <c r="G64" s="105">
        <f>SUM(G3:G63)</f>
        <v>722</v>
      </c>
      <c r="H64" s="343">
        <f>SUM(H3:H63)</f>
        <v>141</v>
      </c>
      <c r="I64" s="256">
        <f>SUM(I3:I63)</f>
        <v>123</v>
      </c>
      <c r="J64" s="86">
        <f t="shared" ref="J64" si="13">SUM(G64:I64)</f>
        <v>986</v>
      </c>
    </row>
    <row r="65" spans="1:10" x14ac:dyDescent="0.25">
      <c r="D65" s="232"/>
      <c r="F65" s="84"/>
      <c r="G65" s="39"/>
      <c r="H65" s="39"/>
      <c r="I65" s="233"/>
      <c r="J65" s="39"/>
    </row>
    <row r="66" spans="1:10" ht="15.75" thickBot="1" x14ac:dyDescent="0.3">
      <c r="A66" t="s">
        <v>39</v>
      </c>
      <c r="D66" s="232"/>
      <c r="F66" s="85"/>
      <c r="G66" s="41"/>
      <c r="H66" s="41"/>
      <c r="I66" s="234"/>
      <c r="J66" s="41"/>
    </row>
    <row r="67" spans="1:10" ht="15.75" thickBot="1" x14ac:dyDescent="0.3">
      <c r="A67" s="162" t="s">
        <v>0</v>
      </c>
      <c r="B67" s="169" t="s">
        <v>305</v>
      </c>
      <c r="C67" s="357" t="s">
        <v>101</v>
      </c>
      <c r="D67" s="244" t="s">
        <v>306</v>
      </c>
      <c r="E67" s="154" t="s">
        <v>1</v>
      </c>
      <c r="F67" s="163" t="s">
        <v>2</v>
      </c>
      <c r="G67" s="160" t="s">
        <v>305</v>
      </c>
      <c r="H67" s="342" t="s">
        <v>101</v>
      </c>
      <c r="I67" s="260" t="s">
        <v>306</v>
      </c>
      <c r="J67" s="161" t="s">
        <v>1</v>
      </c>
    </row>
    <row r="68" spans="1:10" ht="15.75" thickBot="1" x14ac:dyDescent="0.3">
      <c r="A68" s="61" t="s">
        <v>265</v>
      </c>
      <c r="B68" s="104">
        <v>9</v>
      </c>
      <c r="C68" s="358">
        <v>2</v>
      </c>
      <c r="D68" s="245">
        <v>2</v>
      </c>
      <c r="E68" s="6">
        <f t="shared" ref="E68:E99" si="14">SUM(B68:D68)</f>
        <v>13</v>
      </c>
      <c r="F68" s="87" t="s">
        <v>153</v>
      </c>
      <c r="G68" s="105">
        <v>173</v>
      </c>
      <c r="H68" s="343">
        <v>12</v>
      </c>
      <c r="I68" s="256">
        <v>0</v>
      </c>
      <c r="J68" s="86">
        <f t="shared" ref="J68:J99" si="15">SUM(G68:I68)</f>
        <v>185</v>
      </c>
    </row>
    <row r="69" spans="1:10" ht="15.75" thickBot="1" x14ac:dyDescent="0.3">
      <c r="A69" s="61" t="s">
        <v>1049</v>
      </c>
      <c r="B69" s="104">
        <v>10</v>
      </c>
      <c r="C69" s="358">
        <v>0</v>
      </c>
      <c r="D69" s="245">
        <v>0</v>
      </c>
      <c r="E69" s="6">
        <f t="shared" si="14"/>
        <v>10</v>
      </c>
      <c r="F69" s="87" t="s">
        <v>214</v>
      </c>
      <c r="G69" s="105">
        <v>85</v>
      </c>
      <c r="H69" s="343">
        <v>12</v>
      </c>
      <c r="I69" s="256">
        <v>25</v>
      </c>
      <c r="J69" s="86">
        <f t="shared" si="15"/>
        <v>122</v>
      </c>
    </row>
    <row r="70" spans="1:10" ht="15.75" thickBot="1" x14ac:dyDescent="0.3">
      <c r="A70" s="61" t="s">
        <v>214</v>
      </c>
      <c r="B70" s="104">
        <v>8</v>
      </c>
      <c r="C70" s="358">
        <v>0</v>
      </c>
      <c r="D70" s="245">
        <v>1</v>
      </c>
      <c r="E70" s="6">
        <f t="shared" si="14"/>
        <v>9</v>
      </c>
      <c r="F70" s="87" t="s">
        <v>438</v>
      </c>
      <c r="G70" s="105">
        <v>48</v>
      </c>
      <c r="H70" s="343">
        <v>22</v>
      </c>
      <c r="I70" s="256">
        <v>6</v>
      </c>
      <c r="J70" s="86">
        <f t="shared" si="15"/>
        <v>76</v>
      </c>
    </row>
    <row r="71" spans="1:10" ht="15.75" thickBot="1" x14ac:dyDescent="0.3">
      <c r="A71" s="61" t="s">
        <v>165</v>
      </c>
      <c r="B71" s="104">
        <v>7</v>
      </c>
      <c r="C71" s="358">
        <v>1</v>
      </c>
      <c r="D71" s="245">
        <v>0</v>
      </c>
      <c r="E71" s="6">
        <f t="shared" si="14"/>
        <v>8</v>
      </c>
      <c r="F71" s="87" t="s">
        <v>265</v>
      </c>
      <c r="G71" s="105">
        <v>45</v>
      </c>
      <c r="H71" s="343">
        <v>10</v>
      </c>
      <c r="I71" s="256">
        <v>10</v>
      </c>
      <c r="J71" s="86">
        <f t="shared" si="15"/>
        <v>65</v>
      </c>
    </row>
    <row r="72" spans="1:10" ht="15.75" thickBot="1" x14ac:dyDescent="0.3">
      <c r="A72" s="61" t="s">
        <v>20</v>
      </c>
      <c r="B72" s="104">
        <v>5</v>
      </c>
      <c r="C72" s="358">
        <v>1</v>
      </c>
      <c r="D72" s="245">
        <v>1</v>
      </c>
      <c r="E72" s="6">
        <f t="shared" si="14"/>
        <v>7</v>
      </c>
      <c r="F72" s="87" t="s">
        <v>1049</v>
      </c>
      <c r="G72" s="105">
        <v>50</v>
      </c>
      <c r="H72" s="343">
        <v>0</v>
      </c>
      <c r="I72" s="256">
        <v>0</v>
      </c>
      <c r="J72" s="86">
        <f t="shared" si="15"/>
        <v>50</v>
      </c>
    </row>
    <row r="73" spans="1:10" ht="15.75" thickBot="1" x14ac:dyDescent="0.3">
      <c r="A73" s="61" t="s">
        <v>276</v>
      </c>
      <c r="B73" s="104">
        <v>3</v>
      </c>
      <c r="C73" s="358">
        <v>2</v>
      </c>
      <c r="D73" s="245">
        <v>1</v>
      </c>
      <c r="E73" s="6">
        <f t="shared" si="14"/>
        <v>6</v>
      </c>
      <c r="F73" s="87" t="s">
        <v>165</v>
      </c>
      <c r="G73" s="105">
        <v>38</v>
      </c>
      <c r="H73" s="343">
        <v>5</v>
      </c>
      <c r="I73" s="256">
        <v>0</v>
      </c>
      <c r="J73" s="86">
        <f t="shared" si="15"/>
        <v>43</v>
      </c>
    </row>
    <row r="74" spans="1:10" ht="15.75" thickBot="1" x14ac:dyDescent="0.3">
      <c r="A74" s="61" t="s">
        <v>198</v>
      </c>
      <c r="B74" s="104">
        <v>2</v>
      </c>
      <c r="C74" s="358">
        <v>2</v>
      </c>
      <c r="D74" s="245">
        <v>1</v>
      </c>
      <c r="E74" s="6">
        <f t="shared" si="14"/>
        <v>5</v>
      </c>
      <c r="F74" s="87" t="s">
        <v>440</v>
      </c>
      <c r="G74" s="105">
        <v>13</v>
      </c>
      <c r="H74" s="343">
        <v>15</v>
      </c>
      <c r="I74" s="256">
        <v>8</v>
      </c>
      <c r="J74" s="86">
        <f t="shared" si="15"/>
        <v>36</v>
      </c>
    </row>
    <row r="75" spans="1:10" ht="15.75" thickBot="1" x14ac:dyDescent="0.3">
      <c r="A75" s="61" t="s">
        <v>1101</v>
      </c>
      <c r="B75" s="104">
        <v>4</v>
      </c>
      <c r="C75" s="358">
        <v>1</v>
      </c>
      <c r="D75" s="245">
        <v>0</v>
      </c>
      <c r="E75" s="6">
        <f t="shared" si="14"/>
        <v>5</v>
      </c>
      <c r="F75" s="87" t="s">
        <v>20</v>
      </c>
      <c r="G75" s="105">
        <v>25</v>
      </c>
      <c r="H75" s="343">
        <v>5</v>
      </c>
      <c r="I75" s="256">
        <v>5</v>
      </c>
      <c r="J75" s="86">
        <f t="shared" si="15"/>
        <v>35</v>
      </c>
    </row>
    <row r="76" spans="1:10" ht="15.75" thickBot="1" x14ac:dyDescent="0.3">
      <c r="A76" s="61" t="s">
        <v>153</v>
      </c>
      <c r="B76" s="104">
        <v>3</v>
      </c>
      <c r="C76" s="358">
        <v>2</v>
      </c>
      <c r="D76" s="245">
        <v>0</v>
      </c>
      <c r="E76" s="6">
        <f t="shared" si="14"/>
        <v>5</v>
      </c>
      <c r="F76" s="87" t="s">
        <v>276</v>
      </c>
      <c r="G76" s="105">
        <v>15</v>
      </c>
      <c r="H76" s="343">
        <v>10</v>
      </c>
      <c r="I76" s="256">
        <v>5</v>
      </c>
      <c r="J76" s="86">
        <f t="shared" si="15"/>
        <v>30</v>
      </c>
    </row>
    <row r="77" spans="1:10" ht="15.75" thickBot="1" x14ac:dyDescent="0.3">
      <c r="A77" s="61" t="s">
        <v>83</v>
      </c>
      <c r="B77" s="104">
        <v>2</v>
      </c>
      <c r="C77" s="358">
        <v>0</v>
      </c>
      <c r="D77" s="245">
        <v>3</v>
      </c>
      <c r="E77" s="6">
        <f t="shared" si="14"/>
        <v>5</v>
      </c>
      <c r="F77" s="87" t="s">
        <v>6</v>
      </c>
      <c r="G77" s="105">
        <v>21</v>
      </c>
      <c r="H77" s="343">
        <v>0</v>
      </c>
      <c r="I77" s="256">
        <v>7</v>
      </c>
      <c r="J77" s="86">
        <f t="shared" si="15"/>
        <v>28</v>
      </c>
    </row>
    <row r="78" spans="1:10" ht="15.75" thickBot="1" x14ac:dyDescent="0.3">
      <c r="A78" s="61" t="s">
        <v>843</v>
      </c>
      <c r="B78" s="104">
        <v>4</v>
      </c>
      <c r="C78" s="358">
        <v>0</v>
      </c>
      <c r="D78" s="245">
        <v>0</v>
      </c>
      <c r="E78" s="6">
        <f t="shared" si="14"/>
        <v>4</v>
      </c>
      <c r="F78" s="87" t="s">
        <v>198</v>
      </c>
      <c r="G78" s="105">
        <v>10</v>
      </c>
      <c r="H78" s="343">
        <v>10</v>
      </c>
      <c r="I78" s="256">
        <v>5</v>
      </c>
      <c r="J78" s="86">
        <f t="shared" si="15"/>
        <v>25</v>
      </c>
    </row>
    <row r="79" spans="1:10" ht="15.75" thickBot="1" x14ac:dyDescent="0.3">
      <c r="A79" s="61" t="s">
        <v>1139</v>
      </c>
      <c r="B79" s="104">
        <v>4</v>
      </c>
      <c r="C79" s="358">
        <v>0</v>
      </c>
      <c r="D79" s="245">
        <v>0</v>
      </c>
      <c r="E79" s="6">
        <f t="shared" si="14"/>
        <v>4</v>
      </c>
      <c r="F79" s="87" t="s">
        <v>1101</v>
      </c>
      <c r="G79" s="105">
        <v>20</v>
      </c>
      <c r="H79" s="343">
        <v>5</v>
      </c>
      <c r="I79" s="256">
        <v>0</v>
      </c>
      <c r="J79" s="86">
        <f t="shared" si="15"/>
        <v>25</v>
      </c>
    </row>
    <row r="80" spans="1:10" ht="15.75" thickBot="1" x14ac:dyDescent="0.3">
      <c r="A80" s="61" t="s">
        <v>6</v>
      </c>
      <c r="B80" s="104">
        <v>3</v>
      </c>
      <c r="C80" s="358">
        <v>0</v>
      </c>
      <c r="D80" s="245">
        <v>1</v>
      </c>
      <c r="E80" s="6">
        <f t="shared" si="14"/>
        <v>4</v>
      </c>
      <c r="F80" s="87" t="s">
        <v>83</v>
      </c>
      <c r="G80" s="105">
        <v>10</v>
      </c>
      <c r="H80" s="343">
        <v>0</v>
      </c>
      <c r="I80" s="256">
        <v>15</v>
      </c>
      <c r="J80" s="86">
        <f t="shared" si="15"/>
        <v>25</v>
      </c>
    </row>
    <row r="81" spans="1:10" ht="15.75" thickBot="1" x14ac:dyDescent="0.3">
      <c r="A81" s="61" t="s">
        <v>443</v>
      </c>
      <c r="B81" s="104">
        <v>4</v>
      </c>
      <c r="C81" s="358">
        <v>0</v>
      </c>
      <c r="D81" s="245">
        <v>0</v>
      </c>
      <c r="E81" s="6">
        <f t="shared" si="14"/>
        <v>4</v>
      </c>
      <c r="F81" s="87" t="s">
        <v>843</v>
      </c>
      <c r="G81" s="105">
        <v>20</v>
      </c>
      <c r="H81" s="343">
        <v>0</v>
      </c>
      <c r="I81" s="256">
        <v>0</v>
      </c>
      <c r="J81" s="86">
        <f t="shared" si="15"/>
        <v>20</v>
      </c>
    </row>
    <row r="82" spans="1:10" ht="15.75" thickBot="1" x14ac:dyDescent="0.3">
      <c r="A82" s="61" t="s">
        <v>21</v>
      </c>
      <c r="B82" s="104">
        <v>0</v>
      </c>
      <c r="C82" s="358">
        <v>3</v>
      </c>
      <c r="D82" s="245">
        <v>0</v>
      </c>
      <c r="E82" s="6">
        <f t="shared" si="14"/>
        <v>3</v>
      </c>
      <c r="F82" s="87" t="s">
        <v>1139</v>
      </c>
      <c r="G82" s="105">
        <v>20</v>
      </c>
      <c r="H82" s="343">
        <v>0</v>
      </c>
      <c r="I82" s="256">
        <v>0</v>
      </c>
      <c r="J82" s="86">
        <f t="shared" si="15"/>
        <v>20</v>
      </c>
    </row>
    <row r="83" spans="1:10" ht="15.75" thickBot="1" x14ac:dyDescent="0.3">
      <c r="A83" s="61" t="s">
        <v>1103</v>
      </c>
      <c r="B83" s="104">
        <v>3</v>
      </c>
      <c r="C83" s="358">
        <v>0</v>
      </c>
      <c r="D83" s="245">
        <v>0</v>
      </c>
      <c r="E83" s="6">
        <f t="shared" si="14"/>
        <v>3</v>
      </c>
      <c r="F83" s="87" t="s">
        <v>443</v>
      </c>
      <c r="G83" s="105">
        <v>20</v>
      </c>
      <c r="H83" s="343">
        <v>0</v>
      </c>
      <c r="I83" s="256">
        <v>0</v>
      </c>
      <c r="J83" s="86">
        <f t="shared" si="15"/>
        <v>20</v>
      </c>
    </row>
    <row r="84" spans="1:10" ht="15.75" thickBot="1" x14ac:dyDescent="0.3">
      <c r="A84" s="61" t="s">
        <v>437</v>
      </c>
      <c r="B84" s="104">
        <v>3</v>
      </c>
      <c r="C84" s="358">
        <v>0</v>
      </c>
      <c r="D84" s="245">
        <v>0</v>
      </c>
      <c r="E84" s="6">
        <f t="shared" si="14"/>
        <v>3</v>
      </c>
      <c r="F84" s="87" t="s">
        <v>55</v>
      </c>
      <c r="G84" s="105">
        <v>14</v>
      </c>
      <c r="H84" s="343">
        <v>0</v>
      </c>
      <c r="I84" s="256">
        <v>2</v>
      </c>
      <c r="J84" s="86">
        <f t="shared" si="15"/>
        <v>16</v>
      </c>
    </row>
    <row r="85" spans="1:10" ht="15.75" thickBot="1" x14ac:dyDescent="0.3">
      <c r="A85" s="61" t="s">
        <v>1006</v>
      </c>
      <c r="B85" s="104">
        <v>0</v>
      </c>
      <c r="C85" s="358">
        <v>2</v>
      </c>
      <c r="D85" s="245">
        <v>1</v>
      </c>
      <c r="E85" s="6">
        <f t="shared" si="14"/>
        <v>3</v>
      </c>
      <c r="F85" s="87" t="s">
        <v>21</v>
      </c>
      <c r="G85" s="105">
        <v>0</v>
      </c>
      <c r="H85" s="343">
        <v>15</v>
      </c>
      <c r="I85" s="256">
        <v>0</v>
      </c>
      <c r="J85" s="86">
        <f t="shared" si="15"/>
        <v>15</v>
      </c>
    </row>
    <row r="86" spans="1:10" ht="15.75" thickBot="1" x14ac:dyDescent="0.3">
      <c r="A86" s="61" t="s">
        <v>1125</v>
      </c>
      <c r="B86" s="104">
        <v>1</v>
      </c>
      <c r="C86" s="358">
        <v>1</v>
      </c>
      <c r="D86" s="245">
        <v>0</v>
      </c>
      <c r="E86" s="6">
        <f t="shared" si="14"/>
        <v>2</v>
      </c>
      <c r="F86" s="87" t="s">
        <v>1103</v>
      </c>
      <c r="G86" s="105">
        <v>15</v>
      </c>
      <c r="H86" s="343">
        <v>0</v>
      </c>
      <c r="I86" s="256">
        <v>0</v>
      </c>
      <c r="J86" s="86">
        <f t="shared" si="15"/>
        <v>15</v>
      </c>
    </row>
    <row r="87" spans="1:10" ht="15.75" thickBot="1" x14ac:dyDescent="0.3">
      <c r="A87" s="61" t="s">
        <v>1059</v>
      </c>
      <c r="B87" s="104">
        <v>2</v>
      </c>
      <c r="C87" s="358">
        <v>0</v>
      </c>
      <c r="D87" s="245">
        <v>0</v>
      </c>
      <c r="E87" s="6">
        <f t="shared" si="14"/>
        <v>2</v>
      </c>
      <c r="F87" s="87" t="s">
        <v>437</v>
      </c>
      <c r="G87" s="105">
        <v>15</v>
      </c>
      <c r="H87" s="343">
        <v>0</v>
      </c>
      <c r="I87" s="256">
        <v>0</v>
      </c>
      <c r="J87" s="86">
        <f t="shared" si="15"/>
        <v>15</v>
      </c>
    </row>
    <row r="88" spans="1:10" ht="15.75" thickBot="1" x14ac:dyDescent="0.3">
      <c r="A88" s="61" t="s">
        <v>124</v>
      </c>
      <c r="B88" s="104">
        <v>2</v>
      </c>
      <c r="C88" s="358">
        <v>0</v>
      </c>
      <c r="D88" s="245">
        <v>0</v>
      </c>
      <c r="E88" s="6">
        <f t="shared" si="14"/>
        <v>2</v>
      </c>
      <c r="F88" s="87" t="s">
        <v>1006</v>
      </c>
      <c r="G88" s="105">
        <v>0</v>
      </c>
      <c r="H88" s="343">
        <v>10</v>
      </c>
      <c r="I88" s="256">
        <v>5</v>
      </c>
      <c r="J88" s="86">
        <f t="shared" si="15"/>
        <v>15</v>
      </c>
    </row>
    <row r="89" spans="1:10" ht="15.75" thickBot="1" x14ac:dyDescent="0.3">
      <c r="A89" s="61" t="s">
        <v>283</v>
      </c>
      <c r="B89" s="104">
        <v>1</v>
      </c>
      <c r="C89" s="358">
        <v>0</v>
      </c>
      <c r="D89" s="245">
        <v>1</v>
      </c>
      <c r="E89" s="6">
        <f t="shared" si="14"/>
        <v>2</v>
      </c>
      <c r="F89" s="87" t="s">
        <v>1125</v>
      </c>
      <c r="G89" s="105">
        <v>5</v>
      </c>
      <c r="H89" s="343">
        <v>5</v>
      </c>
      <c r="I89" s="256">
        <v>0</v>
      </c>
      <c r="J89" s="86">
        <f t="shared" si="15"/>
        <v>10</v>
      </c>
    </row>
    <row r="90" spans="1:10" ht="15.75" thickBot="1" x14ac:dyDescent="0.3">
      <c r="A90" s="61" t="s">
        <v>1240</v>
      </c>
      <c r="B90" s="104">
        <v>2</v>
      </c>
      <c r="C90" s="358">
        <v>0</v>
      </c>
      <c r="D90" s="245">
        <v>0</v>
      </c>
      <c r="E90" s="6">
        <f t="shared" si="14"/>
        <v>2</v>
      </c>
      <c r="F90" s="87" t="s">
        <v>1059</v>
      </c>
      <c r="G90" s="105">
        <v>10</v>
      </c>
      <c r="H90" s="343">
        <v>0</v>
      </c>
      <c r="I90" s="256">
        <v>0</v>
      </c>
      <c r="J90" s="86">
        <f t="shared" si="15"/>
        <v>10</v>
      </c>
    </row>
    <row r="91" spans="1:10" ht="15.75" thickBot="1" x14ac:dyDescent="0.3">
      <c r="A91" s="61" t="s">
        <v>442</v>
      </c>
      <c r="B91" s="104">
        <v>2</v>
      </c>
      <c r="C91" s="358">
        <v>0</v>
      </c>
      <c r="D91" s="245">
        <v>0</v>
      </c>
      <c r="E91" s="6">
        <f t="shared" si="14"/>
        <v>2</v>
      </c>
      <c r="F91" s="87" t="s">
        <v>124</v>
      </c>
      <c r="G91" s="105">
        <v>10</v>
      </c>
      <c r="H91" s="343">
        <v>0</v>
      </c>
      <c r="I91" s="256">
        <v>0</v>
      </c>
      <c r="J91" s="86">
        <f t="shared" si="15"/>
        <v>10</v>
      </c>
    </row>
    <row r="92" spans="1:10" ht="15.75" thickBot="1" x14ac:dyDescent="0.3">
      <c r="A92" s="61" t="s">
        <v>86</v>
      </c>
      <c r="B92" s="104">
        <v>2</v>
      </c>
      <c r="C92" s="358">
        <v>0</v>
      </c>
      <c r="D92" s="245">
        <v>0</v>
      </c>
      <c r="E92" s="6">
        <f t="shared" si="14"/>
        <v>2</v>
      </c>
      <c r="F92" s="87" t="s">
        <v>283</v>
      </c>
      <c r="G92" s="105">
        <v>5</v>
      </c>
      <c r="H92" s="343">
        <v>0</v>
      </c>
      <c r="I92" s="256">
        <v>5</v>
      </c>
      <c r="J92" s="86">
        <f t="shared" si="15"/>
        <v>10</v>
      </c>
    </row>
    <row r="93" spans="1:10" ht="15.75" thickBot="1" x14ac:dyDescent="0.3">
      <c r="A93" s="61" t="s">
        <v>125</v>
      </c>
      <c r="B93" s="104">
        <v>0</v>
      </c>
      <c r="C93" s="358">
        <v>0</v>
      </c>
      <c r="D93" s="245">
        <v>1</v>
      </c>
      <c r="E93" s="6">
        <f t="shared" si="14"/>
        <v>1</v>
      </c>
      <c r="F93" s="87" t="s">
        <v>1240</v>
      </c>
      <c r="G93" s="105">
        <v>10</v>
      </c>
      <c r="H93" s="343">
        <v>0</v>
      </c>
      <c r="I93" s="256">
        <v>0</v>
      </c>
      <c r="J93" s="86">
        <f t="shared" si="15"/>
        <v>10</v>
      </c>
    </row>
    <row r="94" spans="1:10" ht="15.75" thickBot="1" x14ac:dyDescent="0.3">
      <c r="A94" s="61" t="s">
        <v>993</v>
      </c>
      <c r="B94" s="104">
        <v>0</v>
      </c>
      <c r="C94" s="358">
        <v>0</v>
      </c>
      <c r="D94" s="245">
        <v>1</v>
      </c>
      <c r="E94" s="6">
        <f t="shared" si="14"/>
        <v>1</v>
      </c>
      <c r="F94" s="87" t="s">
        <v>442</v>
      </c>
      <c r="G94" s="105">
        <v>10</v>
      </c>
      <c r="H94" s="343">
        <v>0</v>
      </c>
      <c r="I94" s="256">
        <v>0</v>
      </c>
      <c r="J94" s="86">
        <f t="shared" si="15"/>
        <v>10</v>
      </c>
    </row>
    <row r="95" spans="1:10" ht="15.75" thickBot="1" x14ac:dyDescent="0.3">
      <c r="A95" s="61" t="s">
        <v>970</v>
      </c>
      <c r="B95" s="104">
        <v>0</v>
      </c>
      <c r="C95" s="358">
        <v>0</v>
      </c>
      <c r="D95" s="245">
        <v>1</v>
      </c>
      <c r="E95" s="6">
        <f t="shared" si="14"/>
        <v>1</v>
      </c>
      <c r="F95" s="87" t="s">
        <v>86</v>
      </c>
      <c r="G95" s="105">
        <v>10</v>
      </c>
      <c r="H95" s="343">
        <v>0</v>
      </c>
      <c r="I95" s="256">
        <v>0</v>
      </c>
      <c r="J95" s="86">
        <f t="shared" si="15"/>
        <v>10</v>
      </c>
    </row>
    <row r="96" spans="1:10" ht="15.75" thickBot="1" x14ac:dyDescent="0.3">
      <c r="A96" s="61" t="s">
        <v>164</v>
      </c>
      <c r="B96" s="104">
        <v>0</v>
      </c>
      <c r="C96" s="358">
        <v>0</v>
      </c>
      <c r="D96" s="245">
        <v>1</v>
      </c>
      <c r="E96" s="6">
        <f t="shared" si="14"/>
        <v>1</v>
      </c>
      <c r="F96" s="87" t="s">
        <v>125</v>
      </c>
      <c r="G96" s="105">
        <v>0</v>
      </c>
      <c r="H96" s="343">
        <v>0</v>
      </c>
      <c r="I96" s="256">
        <v>5</v>
      </c>
      <c r="J96" s="86">
        <f t="shared" si="15"/>
        <v>5</v>
      </c>
    </row>
    <row r="97" spans="1:10" ht="15.75" thickBot="1" x14ac:dyDescent="0.3">
      <c r="A97" s="61" t="s">
        <v>969</v>
      </c>
      <c r="B97" s="104">
        <v>0</v>
      </c>
      <c r="C97" s="358">
        <v>0</v>
      </c>
      <c r="D97" s="245">
        <v>1</v>
      </c>
      <c r="E97" s="6">
        <f t="shared" si="14"/>
        <v>1</v>
      </c>
      <c r="F97" s="87" t="s">
        <v>993</v>
      </c>
      <c r="G97" s="105">
        <v>0</v>
      </c>
      <c r="H97" s="343">
        <v>0</v>
      </c>
      <c r="I97" s="256">
        <v>5</v>
      </c>
      <c r="J97" s="86">
        <f t="shared" si="15"/>
        <v>5</v>
      </c>
    </row>
    <row r="98" spans="1:10" ht="15.75" thickBot="1" x14ac:dyDescent="0.3">
      <c r="A98" s="61" t="s">
        <v>1205</v>
      </c>
      <c r="B98" s="104">
        <v>1</v>
      </c>
      <c r="C98" s="358">
        <v>0</v>
      </c>
      <c r="D98" s="245">
        <v>0</v>
      </c>
      <c r="E98" s="6">
        <f t="shared" si="14"/>
        <v>1</v>
      </c>
      <c r="F98" s="87" t="s">
        <v>970</v>
      </c>
      <c r="G98" s="105">
        <v>0</v>
      </c>
      <c r="H98" s="343">
        <v>0</v>
      </c>
      <c r="I98" s="256">
        <v>5</v>
      </c>
      <c r="J98" s="86">
        <f t="shared" si="15"/>
        <v>5</v>
      </c>
    </row>
    <row r="99" spans="1:10" ht="15.75" thickBot="1" x14ac:dyDescent="0.3">
      <c r="A99" s="61" t="s">
        <v>200</v>
      </c>
      <c r="B99" s="104">
        <v>0</v>
      </c>
      <c r="C99" s="358">
        <v>1</v>
      </c>
      <c r="D99" s="245">
        <v>0</v>
      </c>
      <c r="E99" s="6">
        <f t="shared" si="14"/>
        <v>1</v>
      </c>
      <c r="F99" s="87" t="s">
        <v>164</v>
      </c>
      <c r="G99" s="105">
        <v>0</v>
      </c>
      <c r="H99" s="343">
        <v>0</v>
      </c>
      <c r="I99" s="256">
        <v>5</v>
      </c>
      <c r="J99" s="86">
        <f t="shared" si="15"/>
        <v>5</v>
      </c>
    </row>
    <row r="100" spans="1:10" ht="15.75" thickBot="1" x14ac:dyDescent="0.3">
      <c r="A100" s="61"/>
      <c r="B100" s="104">
        <v>0</v>
      </c>
      <c r="C100" s="358">
        <v>0</v>
      </c>
      <c r="D100" s="245">
        <v>0</v>
      </c>
      <c r="E100" s="6">
        <f t="shared" ref="E100:E128" si="16">SUM(B100:D100)</f>
        <v>0</v>
      </c>
      <c r="F100" s="87" t="s">
        <v>969</v>
      </c>
      <c r="G100" s="105">
        <v>0</v>
      </c>
      <c r="H100" s="343">
        <v>0</v>
      </c>
      <c r="I100" s="256">
        <v>5</v>
      </c>
      <c r="J100" s="86">
        <f t="shared" ref="J100:J128" si="17">SUM(G100:I100)</f>
        <v>5</v>
      </c>
    </row>
    <row r="101" spans="1:10" ht="15.75" thickBot="1" x14ac:dyDescent="0.3">
      <c r="A101" s="61"/>
      <c r="B101" s="104">
        <v>0</v>
      </c>
      <c r="C101" s="358">
        <v>0</v>
      </c>
      <c r="D101" s="245">
        <v>0</v>
      </c>
      <c r="E101" s="6">
        <f t="shared" si="16"/>
        <v>0</v>
      </c>
      <c r="F101" s="87" t="s">
        <v>1205</v>
      </c>
      <c r="G101" s="105">
        <v>5</v>
      </c>
      <c r="H101" s="343">
        <v>0</v>
      </c>
      <c r="I101" s="256">
        <v>0</v>
      </c>
      <c r="J101" s="86">
        <f t="shared" si="17"/>
        <v>5</v>
      </c>
    </row>
    <row r="102" spans="1:10" ht="15.75" thickBot="1" x14ac:dyDescent="0.3">
      <c r="A102" s="61"/>
      <c r="B102" s="104">
        <v>0</v>
      </c>
      <c r="C102" s="358">
        <v>0</v>
      </c>
      <c r="D102" s="245">
        <v>0</v>
      </c>
      <c r="E102" s="6">
        <f t="shared" si="16"/>
        <v>0</v>
      </c>
      <c r="F102" s="87" t="s">
        <v>200</v>
      </c>
      <c r="G102" s="105">
        <v>0</v>
      </c>
      <c r="H102" s="343">
        <v>5</v>
      </c>
      <c r="I102" s="256">
        <v>0</v>
      </c>
      <c r="J102" s="86">
        <f t="shared" si="17"/>
        <v>5</v>
      </c>
    </row>
    <row r="103" spans="1:10" ht="15.75" thickBot="1" x14ac:dyDescent="0.3">
      <c r="A103" s="61" t="s">
        <v>72</v>
      </c>
      <c r="B103" s="104">
        <v>0</v>
      </c>
      <c r="C103" s="358">
        <v>0</v>
      </c>
      <c r="D103" s="245">
        <v>0</v>
      </c>
      <c r="E103" s="6">
        <f t="shared" si="16"/>
        <v>0</v>
      </c>
      <c r="F103" s="87"/>
      <c r="G103" s="105">
        <v>0</v>
      </c>
      <c r="H103" s="343">
        <v>0</v>
      </c>
      <c r="I103" s="256">
        <v>0</v>
      </c>
      <c r="J103" s="86">
        <f t="shared" si="17"/>
        <v>0</v>
      </c>
    </row>
    <row r="104" spans="1:10" ht="15.75" thickBot="1" x14ac:dyDescent="0.3">
      <c r="A104" s="61" t="s">
        <v>258</v>
      </c>
      <c r="B104" s="104">
        <v>0</v>
      </c>
      <c r="C104" s="358">
        <v>0</v>
      </c>
      <c r="D104" s="245">
        <v>0</v>
      </c>
      <c r="E104" s="6">
        <f t="shared" si="16"/>
        <v>0</v>
      </c>
      <c r="F104" s="87"/>
      <c r="G104" s="105">
        <v>0</v>
      </c>
      <c r="H104" s="343">
        <v>0</v>
      </c>
      <c r="I104" s="256">
        <v>0</v>
      </c>
      <c r="J104" s="86">
        <f t="shared" si="17"/>
        <v>0</v>
      </c>
    </row>
    <row r="105" spans="1:10" ht="15.75" thickBot="1" x14ac:dyDescent="0.3">
      <c r="A105" s="61" t="s">
        <v>288</v>
      </c>
      <c r="B105" s="104">
        <v>0</v>
      </c>
      <c r="C105" s="358">
        <v>0</v>
      </c>
      <c r="D105" s="245">
        <v>0</v>
      </c>
      <c r="E105" s="6">
        <f t="shared" si="16"/>
        <v>0</v>
      </c>
      <c r="F105" s="87"/>
      <c r="G105" s="105">
        <v>0</v>
      </c>
      <c r="H105" s="343">
        <v>0</v>
      </c>
      <c r="I105" s="256">
        <v>0</v>
      </c>
      <c r="J105" s="86">
        <f t="shared" si="17"/>
        <v>0</v>
      </c>
    </row>
    <row r="106" spans="1:10" ht="15.75" thickBot="1" x14ac:dyDescent="0.3">
      <c r="A106" s="61" t="s">
        <v>199</v>
      </c>
      <c r="B106" s="104">
        <v>0</v>
      </c>
      <c r="C106" s="358">
        <v>0</v>
      </c>
      <c r="D106" s="245">
        <v>0</v>
      </c>
      <c r="E106" s="6">
        <f t="shared" si="16"/>
        <v>0</v>
      </c>
      <c r="F106" s="87" t="s">
        <v>72</v>
      </c>
      <c r="G106" s="105">
        <v>0</v>
      </c>
      <c r="H106" s="343">
        <v>0</v>
      </c>
      <c r="I106" s="256">
        <v>0</v>
      </c>
      <c r="J106" s="86">
        <f t="shared" si="17"/>
        <v>0</v>
      </c>
    </row>
    <row r="107" spans="1:10" ht="15.75" thickBot="1" x14ac:dyDescent="0.3">
      <c r="A107" s="61" t="s">
        <v>66</v>
      </c>
      <c r="B107" s="104">
        <v>0</v>
      </c>
      <c r="C107" s="358">
        <v>0</v>
      </c>
      <c r="D107" s="245">
        <v>0</v>
      </c>
      <c r="E107" s="6">
        <f t="shared" si="16"/>
        <v>0</v>
      </c>
      <c r="F107" s="87" t="s">
        <v>258</v>
      </c>
      <c r="G107" s="105">
        <v>0</v>
      </c>
      <c r="H107" s="343">
        <v>0</v>
      </c>
      <c r="I107" s="256">
        <v>0</v>
      </c>
      <c r="J107" s="86">
        <f t="shared" si="17"/>
        <v>0</v>
      </c>
    </row>
    <row r="108" spans="1:10" ht="15.75" thickBot="1" x14ac:dyDescent="0.3">
      <c r="A108" s="61"/>
      <c r="B108" s="104">
        <v>0</v>
      </c>
      <c r="C108" s="358">
        <v>0</v>
      </c>
      <c r="D108" s="245">
        <v>0</v>
      </c>
      <c r="E108" s="6">
        <f t="shared" si="16"/>
        <v>0</v>
      </c>
      <c r="F108" s="87" t="s">
        <v>288</v>
      </c>
      <c r="G108" s="105">
        <v>0</v>
      </c>
      <c r="H108" s="343">
        <v>0</v>
      </c>
      <c r="I108" s="256">
        <v>0</v>
      </c>
      <c r="J108" s="86">
        <f t="shared" si="17"/>
        <v>0</v>
      </c>
    </row>
    <row r="109" spans="1:10" ht="15.75" thickBot="1" x14ac:dyDescent="0.3">
      <c r="A109" s="61"/>
      <c r="B109" s="104">
        <v>0</v>
      </c>
      <c r="C109" s="358">
        <v>0</v>
      </c>
      <c r="D109" s="245">
        <v>0</v>
      </c>
      <c r="E109" s="6">
        <f t="shared" si="16"/>
        <v>0</v>
      </c>
      <c r="F109" s="87" t="s">
        <v>199</v>
      </c>
      <c r="G109" s="105">
        <v>0</v>
      </c>
      <c r="H109" s="343">
        <v>0</v>
      </c>
      <c r="I109" s="256">
        <v>0</v>
      </c>
      <c r="J109" s="86">
        <f t="shared" si="17"/>
        <v>0</v>
      </c>
    </row>
    <row r="110" spans="1:10" ht="15.75" thickBot="1" x14ac:dyDescent="0.3">
      <c r="A110" s="61" t="s">
        <v>61</v>
      </c>
      <c r="B110" s="104">
        <v>0</v>
      </c>
      <c r="C110" s="358">
        <v>0</v>
      </c>
      <c r="D110" s="245">
        <v>0</v>
      </c>
      <c r="E110" s="6">
        <f t="shared" si="16"/>
        <v>0</v>
      </c>
      <c r="F110" s="87" t="s">
        <v>66</v>
      </c>
      <c r="G110" s="105">
        <v>0</v>
      </c>
      <c r="H110" s="343">
        <v>0</v>
      </c>
      <c r="I110" s="256">
        <v>0</v>
      </c>
      <c r="J110" s="86">
        <f t="shared" si="17"/>
        <v>0</v>
      </c>
    </row>
    <row r="111" spans="1:10" ht="15.75" thickBot="1" x14ac:dyDescent="0.3">
      <c r="A111" s="61" t="s">
        <v>25</v>
      </c>
      <c r="B111" s="104">
        <v>0</v>
      </c>
      <c r="C111" s="358">
        <v>0</v>
      </c>
      <c r="D111" s="245">
        <v>0</v>
      </c>
      <c r="E111" s="6">
        <f t="shared" si="16"/>
        <v>0</v>
      </c>
      <c r="F111" s="87"/>
      <c r="G111" s="105">
        <v>0</v>
      </c>
      <c r="H111" s="343">
        <v>0</v>
      </c>
      <c r="I111" s="256">
        <v>0</v>
      </c>
      <c r="J111" s="86">
        <f t="shared" si="17"/>
        <v>0</v>
      </c>
    </row>
    <row r="112" spans="1:10" ht="15.75" thickBot="1" x14ac:dyDescent="0.3">
      <c r="A112" s="61" t="s">
        <v>845</v>
      </c>
      <c r="B112" s="104">
        <v>0</v>
      </c>
      <c r="C112" s="358">
        <v>0</v>
      </c>
      <c r="D112" s="245">
        <v>0</v>
      </c>
      <c r="E112" s="6">
        <f t="shared" si="16"/>
        <v>0</v>
      </c>
      <c r="F112" s="87"/>
      <c r="G112" s="105">
        <v>0</v>
      </c>
      <c r="H112" s="343">
        <v>0</v>
      </c>
      <c r="I112" s="256">
        <v>0</v>
      </c>
      <c r="J112" s="86">
        <f t="shared" si="17"/>
        <v>0</v>
      </c>
    </row>
    <row r="113" spans="1:10" ht="15.75" thickBot="1" x14ac:dyDescent="0.3">
      <c r="A113" s="61" t="s">
        <v>259</v>
      </c>
      <c r="B113" s="104">
        <v>0</v>
      </c>
      <c r="C113" s="358">
        <v>0</v>
      </c>
      <c r="D113" s="245">
        <v>0</v>
      </c>
      <c r="E113" s="6">
        <f t="shared" si="16"/>
        <v>0</v>
      </c>
      <c r="F113" s="87" t="s">
        <v>61</v>
      </c>
      <c r="G113" s="105">
        <v>0</v>
      </c>
      <c r="H113" s="343">
        <v>0</v>
      </c>
      <c r="I113" s="256">
        <v>0</v>
      </c>
      <c r="J113" s="86">
        <f t="shared" si="17"/>
        <v>0</v>
      </c>
    </row>
    <row r="114" spans="1:10" ht="15.75" thickBot="1" x14ac:dyDescent="0.3">
      <c r="A114" s="61" t="s">
        <v>23</v>
      </c>
      <c r="B114" s="104">
        <v>0</v>
      </c>
      <c r="C114" s="358">
        <v>0</v>
      </c>
      <c r="D114" s="245">
        <v>0</v>
      </c>
      <c r="E114" s="6">
        <f t="shared" si="16"/>
        <v>0</v>
      </c>
      <c r="F114" s="87" t="s">
        <v>25</v>
      </c>
      <c r="G114" s="105">
        <v>0</v>
      </c>
      <c r="H114" s="343">
        <v>0</v>
      </c>
      <c r="I114" s="256">
        <v>0</v>
      </c>
      <c r="J114" s="86">
        <f t="shared" si="17"/>
        <v>0</v>
      </c>
    </row>
    <row r="115" spans="1:10" ht="15.75" thickBot="1" x14ac:dyDescent="0.3">
      <c r="A115" s="61" t="s">
        <v>439</v>
      </c>
      <c r="B115" s="104">
        <v>0</v>
      </c>
      <c r="C115" s="358">
        <v>0</v>
      </c>
      <c r="D115" s="245">
        <v>0</v>
      </c>
      <c r="E115" s="6">
        <f t="shared" si="16"/>
        <v>0</v>
      </c>
      <c r="F115" s="87" t="s">
        <v>845</v>
      </c>
      <c r="G115" s="105">
        <v>0</v>
      </c>
      <c r="H115" s="343">
        <v>0</v>
      </c>
      <c r="I115" s="256">
        <v>0</v>
      </c>
      <c r="J115" s="86">
        <f t="shared" si="17"/>
        <v>0</v>
      </c>
    </row>
    <row r="116" spans="1:10" ht="15.75" thickBot="1" x14ac:dyDescent="0.3">
      <c r="A116" s="61"/>
      <c r="B116" s="104">
        <v>0</v>
      </c>
      <c r="C116" s="358">
        <v>0</v>
      </c>
      <c r="D116" s="245">
        <v>0</v>
      </c>
      <c r="E116" s="6">
        <f t="shared" si="16"/>
        <v>0</v>
      </c>
      <c r="F116" s="87" t="s">
        <v>259</v>
      </c>
      <c r="G116" s="105">
        <v>0</v>
      </c>
      <c r="H116" s="343">
        <v>0</v>
      </c>
      <c r="I116" s="256">
        <v>0</v>
      </c>
      <c r="J116" s="86">
        <f t="shared" si="17"/>
        <v>0</v>
      </c>
    </row>
    <row r="117" spans="1:10" ht="15.75" thickBot="1" x14ac:dyDescent="0.3">
      <c r="A117" s="61" t="s">
        <v>260</v>
      </c>
      <c r="B117" s="104">
        <v>0</v>
      </c>
      <c r="C117" s="358">
        <v>0</v>
      </c>
      <c r="D117" s="245">
        <v>0</v>
      </c>
      <c r="E117" s="6">
        <f t="shared" si="16"/>
        <v>0</v>
      </c>
      <c r="F117" s="87" t="s">
        <v>23</v>
      </c>
      <c r="G117" s="105">
        <v>0</v>
      </c>
      <c r="H117" s="343">
        <v>0</v>
      </c>
      <c r="I117" s="256">
        <v>0</v>
      </c>
      <c r="J117" s="86">
        <f t="shared" si="17"/>
        <v>0</v>
      </c>
    </row>
    <row r="118" spans="1:10" ht="15.75" thickBot="1" x14ac:dyDescent="0.3">
      <c r="A118" s="61" t="s">
        <v>118</v>
      </c>
      <c r="B118" s="104">
        <v>0</v>
      </c>
      <c r="C118" s="358">
        <v>0</v>
      </c>
      <c r="D118" s="245">
        <v>0</v>
      </c>
      <c r="E118" s="6">
        <f t="shared" si="16"/>
        <v>0</v>
      </c>
      <c r="F118" s="87" t="s">
        <v>439</v>
      </c>
      <c r="G118" s="105">
        <v>0</v>
      </c>
      <c r="H118" s="343">
        <v>0</v>
      </c>
      <c r="I118" s="256">
        <v>0</v>
      </c>
      <c r="J118" s="86">
        <f t="shared" si="17"/>
        <v>0</v>
      </c>
    </row>
    <row r="119" spans="1:10" ht="15.75" thickBot="1" x14ac:dyDescent="0.3">
      <c r="A119" s="61" t="s">
        <v>50</v>
      </c>
      <c r="B119" s="104">
        <v>0</v>
      </c>
      <c r="C119" s="358">
        <v>0</v>
      </c>
      <c r="D119" s="245">
        <v>0</v>
      </c>
      <c r="E119" s="6">
        <f t="shared" si="16"/>
        <v>0</v>
      </c>
      <c r="F119" s="87"/>
      <c r="G119" s="105">
        <v>0</v>
      </c>
      <c r="H119" s="343">
        <v>0</v>
      </c>
      <c r="I119" s="256">
        <v>0</v>
      </c>
      <c r="J119" s="86">
        <f t="shared" si="17"/>
        <v>0</v>
      </c>
    </row>
    <row r="120" spans="1:10" ht="15.75" thickBot="1" x14ac:dyDescent="0.3">
      <c r="A120" s="61" t="s">
        <v>55</v>
      </c>
      <c r="B120" s="104">
        <v>0</v>
      </c>
      <c r="C120" s="358">
        <v>0</v>
      </c>
      <c r="D120" s="245">
        <v>0</v>
      </c>
      <c r="E120" s="6">
        <f t="shared" si="16"/>
        <v>0</v>
      </c>
      <c r="F120" s="87" t="s">
        <v>260</v>
      </c>
      <c r="G120" s="105">
        <v>0</v>
      </c>
      <c r="H120" s="343">
        <v>0</v>
      </c>
      <c r="I120" s="256">
        <v>0</v>
      </c>
      <c r="J120" s="86">
        <f t="shared" si="17"/>
        <v>0</v>
      </c>
    </row>
    <row r="121" spans="1:10" ht="15.75" thickBot="1" x14ac:dyDescent="0.3">
      <c r="A121" s="61"/>
      <c r="B121" s="104">
        <v>0</v>
      </c>
      <c r="C121" s="358">
        <v>0</v>
      </c>
      <c r="D121" s="245">
        <v>0</v>
      </c>
      <c r="E121" s="6">
        <f t="shared" si="16"/>
        <v>0</v>
      </c>
      <c r="F121" s="87" t="s">
        <v>118</v>
      </c>
      <c r="G121" s="105">
        <v>0</v>
      </c>
      <c r="H121" s="343">
        <v>0</v>
      </c>
      <c r="I121" s="256">
        <v>0</v>
      </c>
      <c r="J121" s="86">
        <f t="shared" si="17"/>
        <v>0</v>
      </c>
    </row>
    <row r="122" spans="1:10" ht="15.75" thickBot="1" x14ac:dyDescent="0.3">
      <c r="A122" s="61"/>
      <c r="B122" s="104">
        <v>0</v>
      </c>
      <c r="C122" s="358">
        <v>0</v>
      </c>
      <c r="D122" s="245">
        <v>0</v>
      </c>
      <c r="E122" s="6">
        <f t="shared" si="16"/>
        <v>0</v>
      </c>
      <c r="F122" s="87" t="s">
        <v>50</v>
      </c>
      <c r="G122" s="105">
        <v>0</v>
      </c>
      <c r="H122" s="343">
        <v>0</v>
      </c>
      <c r="I122" s="256">
        <v>0</v>
      </c>
      <c r="J122" s="86">
        <f t="shared" si="17"/>
        <v>0</v>
      </c>
    </row>
    <row r="123" spans="1:10" ht="15.75" thickBot="1" x14ac:dyDescent="0.3">
      <c r="A123" s="61" t="s">
        <v>272</v>
      </c>
      <c r="B123" s="104">
        <v>0</v>
      </c>
      <c r="C123" s="358">
        <v>0</v>
      </c>
      <c r="D123" s="245">
        <v>0</v>
      </c>
      <c r="E123" s="6">
        <f t="shared" si="16"/>
        <v>0</v>
      </c>
      <c r="F123" s="87"/>
      <c r="G123" s="105">
        <v>0</v>
      </c>
      <c r="H123" s="343">
        <v>0</v>
      </c>
      <c r="I123" s="256">
        <v>0</v>
      </c>
      <c r="J123" s="86">
        <f t="shared" si="17"/>
        <v>0</v>
      </c>
    </row>
    <row r="124" spans="1:10" ht="15.75" thickBot="1" x14ac:dyDescent="0.3">
      <c r="A124" s="61" t="s">
        <v>227</v>
      </c>
      <c r="B124" s="104">
        <v>0</v>
      </c>
      <c r="C124" s="358">
        <v>0</v>
      </c>
      <c r="D124" s="245">
        <v>0</v>
      </c>
      <c r="E124" s="6">
        <f t="shared" si="16"/>
        <v>0</v>
      </c>
      <c r="F124" s="87"/>
      <c r="G124" s="105">
        <v>0</v>
      </c>
      <c r="H124" s="343">
        <v>0</v>
      </c>
      <c r="I124" s="256">
        <v>0</v>
      </c>
      <c r="J124" s="86">
        <f t="shared" si="17"/>
        <v>0</v>
      </c>
    </row>
    <row r="125" spans="1:10" ht="15.75" thickBot="1" x14ac:dyDescent="0.3">
      <c r="A125" s="61" t="s">
        <v>440</v>
      </c>
      <c r="B125" s="104">
        <v>0</v>
      </c>
      <c r="C125" s="358">
        <v>0</v>
      </c>
      <c r="D125" s="245">
        <v>0</v>
      </c>
      <c r="E125" s="6">
        <f t="shared" si="16"/>
        <v>0</v>
      </c>
      <c r="F125" s="87" t="s">
        <v>272</v>
      </c>
      <c r="G125" s="105">
        <v>0</v>
      </c>
      <c r="H125" s="343">
        <v>0</v>
      </c>
      <c r="I125" s="256">
        <v>0</v>
      </c>
      <c r="J125" s="86">
        <f t="shared" si="17"/>
        <v>0</v>
      </c>
    </row>
    <row r="126" spans="1:10" ht="15.75" thickBot="1" x14ac:dyDescent="0.3">
      <c r="A126" s="61" t="s">
        <v>72</v>
      </c>
      <c r="B126" s="104">
        <v>0</v>
      </c>
      <c r="C126" s="358">
        <v>0</v>
      </c>
      <c r="D126" s="245">
        <v>0</v>
      </c>
      <c r="E126" s="6">
        <f t="shared" si="16"/>
        <v>0</v>
      </c>
      <c r="F126" s="87" t="s">
        <v>227</v>
      </c>
      <c r="G126" s="105">
        <v>0</v>
      </c>
      <c r="H126" s="343">
        <v>0</v>
      </c>
      <c r="I126" s="256">
        <v>0</v>
      </c>
      <c r="J126" s="86">
        <f t="shared" si="17"/>
        <v>0</v>
      </c>
    </row>
    <row r="127" spans="1:10" ht="15.75" thickBot="1" x14ac:dyDescent="0.3">
      <c r="A127" s="61" t="s">
        <v>438</v>
      </c>
      <c r="B127" s="104">
        <v>0</v>
      </c>
      <c r="C127" s="358">
        <v>0</v>
      </c>
      <c r="D127" s="245">
        <v>0</v>
      </c>
      <c r="E127" s="6">
        <f t="shared" si="16"/>
        <v>0</v>
      </c>
      <c r="F127" s="87" t="s">
        <v>72</v>
      </c>
      <c r="G127" s="105">
        <v>0</v>
      </c>
      <c r="H127" s="343">
        <v>0</v>
      </c>
      <c r="I127" s="256">
        <v>0</v>
      </c>
      <c r="J127" s="86">
        <f t="shared" si="17"/>
        <v>0</v>
      </c>
    </row>
    <row r="128" spans="1:10" ht="15.75" thickBot="1" x14ac:dyDescent="0.3">
      <c r="A128" s="61" t="s">
        <v>477</v>
      </c>
      <c r="B128" s="104">
        <v>0</v>
      </c>
      <c r="C128" s="358">
        <v>0</v>
      </c>
      <c r="D128" s="245">
        <v>0</v>
      </c>
      <c r="E128" s="6">
        <f t="shared" si="16"/>
        <v>0</v>
      </c>
      <c r="F128" s="87" t="s">
        <v>477</v>
      </c>
      <c r="G128" s="105">
        <v>0</v>
      </c>
      <c r="H128" s="343">
        <v>0</v>
      </c>
      <c r="I128" s="256">
        <v>0</v>
      </c>
      <c r="J128" s="86">
        <f t="shared" si="17"/>
        <v>0</v>
      </c>
    </row>
    <row r="129" spans="1:10" ht="15.75" thickBot="1" x14ac:dyDescent="0.3">
      <c r="A129" s="61" t="s">
        <v>3</v>
      </c>
      <c r="B129" s="104">
        <f>SUM(B68:B128)</f>
        <v>87</v>
      </c>
      <c r="C129" s="358">
        <f>SUM(C68:C128)</f>
        <v>18</v>
      </c>
      <c r="D129" s="245">
        <f>SUM(D68:D128)</f>
        <v>17</v>
      </c>
      <c r="E129" s="6">
        <f t="shared" ref="E129" si="18">SUM(B129:D129)</f>
        <v>122</v>
      </c>
      <c r="F129" s="87" t="s">
        <v>3</v>
      </c>
      <c r="G129" s="105">
        <f>SUM(G68:G128)</f>
        <v>722</v>
      </c>
      <c r="H129" s="343">
        <f>SUM(H68:H128)</f>
        <v>141</v>
      </c>
      <c r="I129" s="256">
        <f>SUM(I68:I128)</f>
        <v>123</v>
      </c>
      <c r="J129" s="86">
        <f t="shared" ref="J129" si="19">SUM(G129:I129)</f>
        <v>986</v>
      </c>
    </row>
    <row r="130" spans="1:10" x14ac:dyDescent="0.25">
      <c r="A130" s="58" t="s">
        <v>130</v>
      </c>
    </row>
  </sheetData>
  <sortState xmlns:xlrd2="http://schemas.microsoft.com/office/spreadsheetml/2017/richdata2" ref="F68:J128">
    <sortCondition descending="1" ref="J68:J128"/>
  </sortState>
  <mergeCells count="28">
    <mergeCell ref="K34:AI34"/>
    <mergeCell ref="W1:Y2"/>
    <mergeCell ref="R13:T14"/>
    <mergeCell ref="AF13:AH14"/>
    <mergeCell ref="R22:T23"/>
    <mergeCell ref="AF22:AH23"/>
    <mergeCell ref="K22:K23"/>
    <mergeCell ref="L22:N23"/>
    <mergeCell ref="U22:W23"/>
    <mergeCell ref="T1:V2"/>
    <mergeCell ref="O13:Q14"/>
    <mergeCell ref="O22:Q23"/>
    <mergeCell ref="AC1:AE2"/>
    <mergeCell ref="AC13:AE14"/>
    <mergeCell ref="AC22:AE23"/>
    <mergeCell ref="A1:J1"/>
    <mergeCell ref="AO1:AQ2"/>
    <mergeCell ref="AL1:AN2"/>
    <mergeCell ref="R1:S2"/>
    <mergeCell ref="K13:K14"/>
    <mergeCell ref="K1:K2"/>
    <mergeCell ref="AI1:AK2"/>
    <mergeCell ref="L13:N14"/>
    <mergeCell ref="AF1:AH2"/>
    <mergeCell ref="AI13:AK14"/>
    <mergeCell ref="L1:N2"/>
    <mergeCell ref="O1:Q2"/>
    <mergeCell ref="U13:W1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121"/>
  <sheetViews>
    <sheetView workbookViewId="0">
      <selection activeCell="N8" sqref="N8"/>
    </sheetView>
  </sheetViews>
  <sheetFormatPr defaultColWidth="8.85546875" defaultRowHeight="15" x14ac:dyDescent="0.25"/>
  <cols>
    <col min="1" max="1" width="16.42578125" customWidth="1"/>
    <col min="2" max="3" width="3.7109375" customWidth="1"/>
    <col min="4" max="5" width="4.7109375" customWidth="1"/>
    <col min="6" max="6" width="16.42578125" customWidth="1"/>
    <col min="7" max="10" width="5.28515625" customWidth="1"/>
    <col min="11" max="11" width="15.42578125" customWidth="1"/>
    <col min="12" max="13" width="5.42578125" customWidth="1"/>
    <col min="14" max="14" width="5.7109375" customWidth="1"/>
    <col min="15" max="15" width="4.7109375" customWidth="1"/>
    <col min="16" max="16" width="5.42578125" customWidth="1"/>
    <col min="17" max="34" width="5.7109375" customWidth="1"/>
    <col min="36" max="36" width="16" bestFit="1" customWidth="1"/>
    <col min="38" max="38" width="9.28515625" bestFit="1" customWidth="1"/>
  </cols>
  <sheetData>
    <row r="1" spans="1:42" ht="15" customHeight="1" thickBot="1" x14ac:dyDescent="0.3">
      <c r="A1" s="593" t="s">
        <v>914</v>
      </c>
      <c r="B1" s="594"/>
      <c r="C1" s="594"/>
      <c r="D1" s="594"/>
      <c r="E1" s="594"/>
      <c r="F1" s="594"/>
      <c r="G1" s="594"/>
      <c r="H1" s="594"/>
      <c r="I1" s="594"/>
      <c r="J1" s="595"/>
      <c r="K1" s="513" t="s">
        <v>1028</v>
      </c>
      <c r="L1" s="500" t="s">
        <v>42</v>
      </c>
      <c r="M1" s="501"/>
      <c r="N1" s="502"/>
      <c r="O1" s="500" t="s">
        <v>151</v>
      </c>
      <c r="P1" s="501"/>
      <c r="Q1" s="502"/>
      <c r="R1" s="500" t="s">
        <v>1027</v>
      </c>
      <c r="S1" s="502"/>
      <c r="T1" s="515" t="s">
        <v>100</v>
      </c>
      <c r="U1" s="516"/>
      <c r="V1" s="517"/>
      <c r="W1" s="515" t="s">
        <v>915</v>
      </c>
      <c r="X1" s="516"/>
      <c r="Y1" s="517"/>
      <c r="Z1" s="309"/>
      <c r="AA1" s="323"/>
      <c r="AB1" s="340"/>
      <c r="AC1" s="515" t="s">
        <v>303</v>
      </c>
      <c r="AD1" s="516"/>
      <c r="AE1" s="517"/>
      <c r="AF1" s="515" t="s">
        <v>205</v>
      </c>
      <c r="AG1" s="516"/>
      <c r="AH1" s="517"/>
      <c r="AK1" s="5"/>
      <c r="AL1" s="5"/>
      <c r="AM1" s="5"/>
      <c r="AP1" s="5"/>
    </row>
    <row r="2" spans="1:42" ht="15" customHeight="1" thickBot="1" x14ac:dyDescent="0.3">
      <c r="A2" s="237" t="s">
        <v>0</v>
      </c>
      <c r="B2" s="238" t="s">
        <v>305</v>
      </c>
      <c r="C2" s="183" t="s">
        <v>101</v>
      </c>
      <c r="D2" s="252" t="s">
        <v>306</v>
      </c>
      <c r="E2" s="239" t="s">
        <v>1</v>
      </c>
      <c r="F2" s="274" t="s">
        <v>2</v>
      </c>
      <c r="G2" s="160" t="s">
        <v>305</v>
      </c>
      <c r="H2" s="275" t="s">
        <v>101</v>
      </c>
      <c r="I2" s="260" t="s">
        <v>306</v>
      </c>
      <c r="J2" s="276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518"/>
      <c r="U2" s="519"/>
      <c r="V2" s="520"/>
      <c r="W2" s="518"/>
      <c r="X2" s="519"/>
      <c r="Y2" s="520"/>
      <c r="Z2" s="309"/>
      <c r="AA2" s="323"/>
      <c r="AB2" s="340"/>
      <c r="AC2" s="518"/>
      <c r="AD2" s="519"/>
      <c r="AE2" s="520"/>
      <c r="AF2" s="518"/>
      <c r="AG2" s="519"/>
      <c r="AH2" s="520"/>
    </row>
    <row r="3" spans="1:42" ht="15" customHeight="1" thickBot="1" x14ac:dyDescent="0.3">
      <c r="A3" s="240" t="s">
        <v>72</v>
      </c>
      <c r="B3" s="205">
        <v>0</v>
      </c>
      <c r="C3" s="184">
        <v>0</v>
      </c>
      <c r="D3" s="253">
        <v>0</v>
      </c>
      <c r="E3" s="241">
        <f>SUM(B3:D3)</f>
        <v>0</v>
      </c>
      <c r="F3" s="277" t="s">
        <v>72</v>
      </c>
      <c r="G3" s="105">
        <v>0</v>
      </c>
      <c r="H3" s="278">
        <v>0</v>
      </c>
      <c r="I3" s="256">
        <v>0</v>
      </c>
      <c r="J3" s="279">
        <f>SUM(G3:I3)</f>
        <v>0</v>
      </c>
      <c r="K3" s="35"/>
      <c r="L3" s="4" t="s">
        <v>176</v>
      </c>
      <c r="M3" s="4" t="s">
        <v>36</v>
      </c>
      <c r="N3" s="4" t="s">
        <v>37</v>
      </c>
      <c r="O3" s="4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127"/>
      <c r="AB3" s="341"/>
      <c r="AC3" s="283" t="s">
        <v>176</v>
      </c>
      <c r="AD3" s="8" t="s">
        <v>36</v>
      </c>
      <c r="AE3" s="8" t="s">
        <v>37</v>
      </c>
      <c r="AF3" s="8" t="s">
        <v>176</v>
      </c>
      <c r="AG3" s="8" t="s">
        <v>36</v>
      </c>
      <c r="AH3" s="8" t="s">
        <v>37</v>
      </c>
    </row>
    <row r="4" spans="1:42" ht="15" customHeight="1" thickBot="1" x14ac:dyDescent="0.3">
      <c r="A4" s="240" t="s">
        <v>166</v>
      </c>
      <c r="B4" s="205">
        <v>1</v>
      </c>
      <c r="C4" s="184">
        <v>0</v>
      </c>
      <c r="D4" s="253">
        <v>0</v>
      </c>
      <c r="E4" s="241">
        <f t="shared" ref="E4:E58" si="0">SUM(B4:D4)</f>
        <v>1</v>
      </c>
      <c r="F4" s="277" t="s">
        <v>166</v>
      </c>
      <c r="G4" s="105">
        <v>5</v>
      </c>
      <c r="H4" s="278">
        <v>0</v>
      </c>
      <c r="I4" s="256">
        <v>0</v>
      </c>
      <c r="J4" s="279">
        <f t="shared" ref="J4:J58" si="1">SUM(G4:I4)</f>
        <v>5</v>
      </c>
      <c r="K4" s="240" t="s">
        <v>454</v>
      </c>
      <c r="L4" s="241">
        <v>48</v>
      </c>
      <c r="M4" s="241">
        <v>62</v>
      </c>
      <c r="N4" s="242">
        <f>(barkleywelgoals/barkleywelatt)*100</f>
        <v>77.41935483870968</v>
      </c>
      <c r="O4" s="241" t="s">
        <v>43</v>
      </c>
      <c r="P4" s="241" t="s">
        <v>43</v>
      </c>
      <c r="Q4" s="242" t="s">
        <v>43</v>
      </c>
      <c r="R4" s="241">
        <v>8</v>
      </c>
      <c r="S4" s="241">
        <v>8</v>
      </c>
      <c r="T4" s="8">
        <v>73</v>
      </c>
      <c r="U4" s="8">
        <v>87</v>
      </c>
      <c r="V4" s="294">
        <f>SUM(T4/U4)*100</f>
        <v>83.908045977011497</v>
      </c>
      <c r="W4" s="283">
        <v>26</v>
      </c>
      <c r="X4" s="8">
        <v>33</v>
      </c>
      <c r="Y4" s="294">
        <f>SUM(W4/X4)*100</f>
        <v>78.787878787878782</v>
      </c>
      <c r="Z4" s="126"/>
      <c r="AA4" s="127"/>
      <c r="AB4" s="341"/>
      <c r="AC4" s="283">
        <v>42</v>
      </c>
      <c r="AD4" s="8">
        <v>53</v>
      </c>
      <c r="AE4" s="294">
        <f>SUM(AC4/AD4)*100</f>
        <v>79.245283018867923</v>
      </c>
      <c r="AF4" s="8">
        <v>41</v>
      </c>
      <c r="AG4" s="8">
        <v>57</v>
      </c>
      <c r="AH4" s="294">
        <f>SUM(AF4/AG4)*100</f>
        <v>71.929824561403507</v>
      </c>
    </row>
    <row r="5" spans="1:42" ht="15" customHeight="1" thickBot="1" x14ac:dyDescent="0.3">
      <c r="A5" s="240" t="s">
        <v>72</v>
      </c>
      <c r="B5" s="205">
        <v>0</v>
      </c>
      <c r="C5" s="184">
        <v>0</v>
      </c>
      <c r="D5" s="253">
        <v>0</v>
      </c>
      <c r="E5" s="241">
        <f t="shared" si="0"/>
        <v>0</v>
      </c>
      <c r="F5" s="277" t="s">
        <v>72</v>
      </c>
      <c r="G5" s="105">
        <v>0</v>
      </c>
      <c r="H5" s="278">
        <v>0</v>
      </c>
      <c r="I5" s="256">
        <v>0</v>
      </c>
      <c r="J5" s="279">
        <f t="shared" si="1"/>
        <v>0</v>
      </c>
      <c r="K5" s="240" t="s">
        <v>209</v>
      </c>
      <c r="L5" s="241" t="s">
        <v>43</v>
      </c>
      <c r="M5" s="241" t="s">
        <v>43</v>
      </c>
      <c r="N5" s="242" t="s">
        <v>43</v>
      </c>
      <c r="O5" s="241" t="s">
        <v>43</v>
      </c>
      <c r="P5" s="241" t="s">
        <v>43</v>
      </c>
      <c r="Q5" s="242" t="s">
        <v>43</v>
      </c>
      <c r="R5" s="241">
        <v>-1</v>
      </c>
      <c r="S5" s="241">
        <v>9</v>
      </c>
      <c r="T5" s="8">
        <v>0</v>
      </c>
      <c r="U5" s="8">
        <v>1</v>
      </c>
      <c r="V5" s="8">
        <v>0</v>
      </c>
      <c r="W5" s="283">
        <v>8</v>
      </c>
      <c r="X5" s="8">
        <v>14</v>
      </c>
      <c r="Y5" s="294">
        <f t="shared" ref="Y5:Y7" si="2">SUM(W5/X5)*100</f>
        <v>57.142857142857139</v>
      </c>
      <c r="Z5" s="126"/>
      <c r="AA5" s="127"/>
      <c r="AB5" s="341"/>
      <c r="AC5" s="283">
        <v>13</v>
      </c>
      <c r="AD5" s="8">
        <v>18</v>
      </c>
      <c r="AE5" s="294">
        <f>SUM(AC5/AD5)*100</f>
        <v>72.222222222222214</v>
      </c>
      <c r="AF5" s="8" t="s">
        <v>43</v>
      </c>
      <c r="AG5" s="8" t="s">
        <v>43</v>
      </c>
      <c r="AH5" s="8" t="s">
        <v>43</v>
      </c>
    </row>
    <row r="6" spans="1:42" ht="15" customHeight="1" thickBot="1" x14ac:dyDescent="0.3">
      <c r="A6" s="240" t="s">
        <v>167</v>
      </c>
      <c r="B6" s="205">
        <v>0</v>
      </c>
      <c r="C6" s="184">
        <v>0</v>
      </c>
      <c r="D6" s="253">
        <v>0</v>
      </c>
      <c r="E6" s="241">
        <f t="shared" si="0"/>
        <v>0</v>
      </c>
      <c r="F6" s="277" t="s">
        <v>167</v>
      </c>
      <c r="G6" s="105">
        <v>0</v>
      </c>
      <c r="H6" s="278">
        <v>0</v>
      </c>
      <c r="I6" s="256">
        <v>0</v>
      </c>
      <c r="J6" s="279">
        <f t="shared" si="1"/>
        <v>0</v>
      </c>
      <c r="K6" s="240" t="s">
        <v>268</v>
      </c>
      <c r="L6" s="241">
        <v>9</v>
      </c>
      <c r="M6" s="241">
        <v>11</v>
      </c>
      <c r="N6" s="242">
        <f t="shared" ref="N6:N9" si="3">(L6/M6)*100</f>
        <v>81.818181818181827</v>
      </c>
      <c r="O6" s="241" t="s">
        <v>43</v>
      </c>
      <c r="P6" s="241" t="s">
        <v>43</v>
      </c>
      <c r="Q6" s="242" t="s">
        <v>43</v>
      </c>
      <c r="R6" s="241">
        <v>2</v>
      </c>
      <c r="S6" s="241">
        <v>2</v>
      </c>
      <c r="T6" s="8" t="s">
        <v>43</v>
      </c>
      <c r="U6" s="8" t="s">
        <v>43</v>
      </c>
      <c r="V6" s="8" t="s">
        <v>43</v>
      </c>
      <c r="W6" s="283">
        <v>5</v>
      </c>
      <c r="X6" s="8">
        <v>12</v>
      </c>
      <c r="Y6" s="294">
        <f t="shared" si="2"/>
        <v>41.666666666666671</v>
      </c>
      <c r="Z6" s="126"/>
      <c r="AA6" s="127"/>
      <c r="AB6" s="341"/>
      <c r="AC6" s="283" t="s">
        <v>43</v>
      </c>
      <c r="AD6" s="8" t="s">
        <v>43</v>
      </c>
      <c r="AE6" s="8" t="s">
        <v>43</v>
      </c>
      <c r="AF6" s="8" t="s">
        <v>43</v>
      </c>
      <c r="AG6" s="8" t="s">
        <v>43</v>
      </c>
      <c r="AH6" s="8" t="s">
        <v>43</v>
      </c>
    </row>
    <row r="7" spans="1:42" ht="15" customHeight="1" thickBot="1" x14ac:dyDescent="0.3">
      <c r="A7" s="240" t="s">
        <v>72</v>
      </c>
      <c r="B7" s="205">
        <v>0</v>
      </c>
      <c r="C7" s="184">
        <v>0</v>
      </c>
      <c r="D7" s="253">
        <v>0</v>
      </c>
      <c r="E7" s="241">
        <f t="shared" si="0"/>
        <v>0</v>
      </c>
      <c r="F7" s="277" t="s">
        <v>72</v>
      </c>
      <c r="G7" s="105">
        <v>0</v>
      </c>
      <c r="H7" s="278">
        <v>0</v>
      </c>
      <c r="I7" s="256">
        <v>0</v>
      </c>
      <c r="J7" s="279">
        <f t="shared" si="1"/>
        <v>0</v>
      </c>
      <c r="K7" s="240" t="s">
        <v>171</v>
      </c>
      <c r="L7" s="241">
        <v>0</v>
      </c>
      <c r="M7" s="241">
        <v>2</v>
      </c>
      <c r="N7" s="242">
        <f t="shared" si="3"/>
        <v>0</v>
      </c>
      <c r="O7" s="241" t="s">
        <v>43</v>
      </c>
      <c r="P7" s="241" t="s">
        <v>43</v>
      </c>
      <c r="Q7" s="242" t="s">
        <v>43</v>
      </c>
      <c r="R7" s="241">
        <v>-2</v>
      </c>
      <c r="S7" s="241">
        <v>-2</v>
      </c>
      <c r="T7" s="8">
        <v>12</v>
      </c>
      <c r="U7" s="8">
        <v>16</v>
      </c>
      <c r="V7" s="294">
        <f>SUM(T7/U7)*100</f>
        <v>75</v>
      </c>
      <c r="W7" s="283">
        <v>31</v>
      </c>
      <c r="X7" s="8">
        <v>44</v>
      </c>
      <c r="Y7" s="294">
        <f t="shared" si="2"/>
        <v>70.454545454545453</v>
      </c>
      <c r="Z7" s="126"/>
      <c r="AA7" s="127"/>
      <c r="AB7" s="341"/>
      <c r="AC7" s="283">
        <v>3</v>
      </c>
      <c r="AD7" s="8">
        <v>4</v>
      </c>
      <c r="AE7" s="294">
        <f>SUM(AC7/AD7)*100</f>
        <v>75</v>
      </c>
      <c r="AF7" s="8" t="s">
        <v>43</v>
      </c>
      <c r="AG7" s="8" t="s">
        <v>43</v>
      </c>
      <c r="AH7" s="8" t="s">
        <v>43</v>
      </c>
    </row>
    <row r="8" spans="1:42" ht="15" customHeight="1" thickBot="1" x14ac:dyDescent="0.3">
      <c r="A8" s="240" t="s">
        <v>447</v>
      </c>
      <c r="B8" s="205">
        <v>3</v>
      </c>
      <c r="C8" s="184">
        <v>0</v>
      </c>
      <c r="D8" s="253">
        <v>1</v>
      </c>
      <c r="E8" s="241">
        <f t="shared" si="0"/>
        <v>4</v>
      </c>
      <c r="F8" s="277" t="s">
        <v>447</v>
      </c>
      <c r="G8" s="105">
        <v>15</v>
      </c>
      <c r="H8" s="278">
        <v>0</v>
      </c>
      <c r="I8" s="256">
        <v>5</v>
      </c>
      <c r="J8" s="279">
        <f t="shared" si="1"/>
        <v>20</v>
      </c>
      <c r="K8" s="240" t="s">
        <v>1232</v>
      </c>
      <c r="L8" s="241">
        <v>8</v>
      </c>
      <c r="M8" s="241">
        <v>13</v>
      </c>
      <c r="N8" s="242">
        <f t="shared" si="3"/>
        <v>61.53846153846154</v>
      </c>
      <c r="O8" s="241">
        <v>4</v>
      </c>
      <c r="P8" s="241">
        <v>5</v>
      </c>
      <c r="Q8" s="242">
        <f>(O8/P8)*100</f>
        <v>80</v>
      </c>
      <c r="R8" s="241">
        <v>-1</v>
      </c>
      <c r="S8" s="241">
        <v>-1</v>
      </c>
      <c r="T8" s="8"/>
      <c r="U8" s="8"/>
      <c r="V8" s="294"/>
      <c r="W8" s="283"/>
      <c r="X8" s="8"/>
      <c r="Y8" s="294"/>
      <c r="Z8" s="126"/>
      <c r="AA8" s="127"/>
      <c r="AB8" s="341"/>
      <c r="AC8" s="283"/>
      <c r="AD8" s="8"/>
      <c r="AE8" s="294"/>
      <c r="AF8" s="8"/>
      <c r="AG8" s="8"/>
      <c r="AH8" s="8"/>
    </row>
    <row r="9" spans="1:42" ht="15" customHeight="1" thickBot="1" x14ac:dyDescent="0.3">
      <c r="A9" s="240" t="s">
        <v>446</v>
      </c>
      <c r="B9" s="205">
        <v>0</v>
      </c>
      <c r="C9" s="184">
        <v>0</v>
      </c>
      <c r="D9" s="253">
        <v>0</v>
      </c>
      <c r="E9" s="241">
        <f t="shared" si="0"/>
        <v>0</v>
      </c>
      <c r="F9" s="277" t="s">
        <v>446</v>
      </c>
      <c r="G9" s="105">
        <v>0</v>
      </c>
      <c r="H9" s="278">
        <v>0</v>
      </c>
      <c r="I9" s="256">
        <v>0</v>
      </c>
      <c r="J9" s="279">
        <f t="shared" si="1"/>
        <v>0</v>
      </c>
      <c r="K9" s="240" t="s">
        <v>450</v>
      </c>
      <c r="L9" s="241">
        <v>1</v>
      </c>
      <c r="M9" s="241">
        <v>1</v>
      </c>
      <c r="N9" s="242">
        <f t="shared" si="3"/>
        <v>100</v>
      </c>
      <c r="O9" s="241" t="s">
        <v>43</v>
      </c>
      <c r="P9" s="241" t="s">
        <v>43</v>
      </c>
      <c r="Q9" s="242" t="s">
        <v>43</v>
      </c>
      <c r="R9" s="241" t="s">
        <v>53</v>
      </c>
      <c r="S9" s="241">
        <v>-1</v>
      </c>
      <c r="T9" s="8" t="s">
        <v>43</v>
      </c>
      <c r="U9" s="8" t="s">
        <v>43</v>
      </c>
      <c r="V9" s="8" t="s">
        <v>43</v>
      </c>
      <c r="W9" s="283" t="s">
        <v>43</v>
      </c>
      <c r="X9" s="8" t="s">
        <v>43</v>
      </c>
      <c r="Y9" s="8" t="s">
        <v>43</v>
      </c>
      <c r="Z9" s="126"/>
      <c r="AA9" s="127"/>
      <c r="AB9" s="341"/>
      <c r="AC9" s="283" t="s">
        <v>43</v>
      </c>
      <c r="AD9" s="8" t="s">
        <v>43</v>
      </c>
      <c r="AE9" s="8" t="s">
        <v>43</v>
      </c>
      <c r="AF9" s="8" t="s">
        <v>43</v>
      </c>
      <c r="AG9" s="8" t="s">
        <v>43</v>
      </c>
      <c r="AH9" s="8" t="s">
        <v>43</v>
      </c>
    </row>
    <row r="10" spans="1:42" ht="15" customHeight="1" thickBot="1" x14ac:dyDescent="0.3">
      <c r="A10" s="240" t="s">
        <v>168</v>
      </c>
      <c r="B10" s="205">
        <v>0</v>
      </c>
      <c r="C10" s="184">
        <v>0</v>
      </c>
      <c r="D10" s="253">
        <v>0</v>
      </c>
      <c r="E10" s="241">
        <f t="shared" si="0"/>
        <v>0</v>
      </c>
      <c r="F10" s="277" t="s">
        <v>168</v>
      </c>
      <c r="G10" s="105">
        <v>0</v>
      </c>
      <c r="H10" s="278">
        <v>0</v>
      </c>
      <c r="I10" s="256">
        <v>0</v>
      </c>
      <c r="J10" s="279">
        <f t="shared" si="1"/>
        <v>0</v>
      </c>
      <c r="K10" s="240" t="s">
        <v>74</v>
      </c>
      <c r="L10" s="241" t="s">
        <v>43</v>
      </c>
      <c r="M10" s="241" t="s">
        <v>43</v>
      </c>
      <c r="N10" s="242" t="s">
        <v>43</v>
      </c>
      <c r="O10" s="241" t="s">
        <v>43</v>
      </c>
      <c r="P10" s="241" t="s">
        <v>43</v>
      </c>
      <c r="Q10" s="242" t="s">
        <v>43</v>
      </c>
      <c r="R10" s="241">
        <v>1</v>
      </c>
      <c r="S10" s="241">
        <v>1</v>
      </c>
      <c r="T10" s="8" t="s">
        <v>43</v>
      </c>
      <c r="U10" s="8" t="s">
        <v>43</v>
      </c>
      <c r="V10" s="8" t="s">
        <v>43</v>
      </c>
      <c r="W10" s="283">
        <v>3</v>
      </c>
      <c r="X10" s="8">
        <v>5</v>
      </c>
      <c r="Y10" s="294">
        <f>SUM(W10/X10)*100</f>
        <v>60</v>
      </c>
      <c r="Z10" s="126"/>
      <c r="AA10" s="127"/>
      <c r="AB10" s="341"/>
      <c r="AC10" s="283">
        <v>40</v>
      </c>
      <c r="AD10" s="8">
        <v>58</v>
      </c>
      <c r="AE10" s="294">
        <f>SUM(AC10/AD10)*100</f>
        <v>68.965517241379317</v>
      </c>
      <c r="AF10" s="8">
        <v>8</v>
      </c>
      <c r="AG10" s="8">
        <v>14</v>
      </c>
      <c r="AH10" s="294">
        <f>SUM(AF10/AG10)*100</f>
        <v>57.142857142857139</v>
      </c>
    </row>
    <row r="11" spans="1:42" ht="15" customHeight="1" thickBot="1" x14ac:dyDescent="0.3">
      <c r="A11" s="240" t="s">
        <v>811</v>
      </c>
      <c r="B11" s="205">
        <v>0</v>
      </c>
      <c r="C11" s="184">
        <v>0</v>
      </c>
      <c r="D11" s="253">
        <v>0</v>
      </c>
      <c r="E11" s="241">
        <f t="shared" si="0"/>
        <v>0</v>
      </c>
      <c r="F11" s="277" t="s">
        <v>811</v>
      </c>
      <c r="G11" s="105">
        <v>0</v>
      </c>
      <c r="H11" s="278">
        <v>0</v>
      </c>
      <c r="I11" s="256">
        <v>0</v>
      </c>
      <c r="J11" s="279">
        <f t="shared" si="1"/>
        <v>0</v>
      </c>
      <c r="K11" s="83"/>
    </row>
    <row r="12" spans="1:42" ht="15" customHeight="1" thickBot="1" x14ac:dyDescent="0.3">
      <c r="A12" s="240" t="s">
        <v>301</v>
      </c>
      <c r="B12" s="205">
        <v>0</v>
      </c>
      <c r="C12" s="184">
        <v>1</v>
      </c>
      <c r="D12" s="253">
        <v>0</v>
      </c>
      <c r="E12" s="241">
        <f t="shared" si="0"/>
        <v>1</v>
      </c>
      <c r="F12" s="277" t="s">
        <v>301</v>
      </c>
      <c r="G12" s="105">
        <v>0</v>
      </c>
      <c r="H12" s="278">
        <v>5</v>
      </c>
      <c r="I12" s="256">
        <v>0</v>
      </c>
      <c r="J12" s="279">
        <f t="shared" si="1"/>
        <v>5</v>
      </c>
      <c r="K12" s="530" t="s">
        <v>1041</v>
      </c>
      <c r="L12" s="500" t="s">
        <v>42</v>
      </c>
      <c r="M12" s="501"/>
      <c r="N12" s="502"/>
      <c r="O12" s="515" t="s">
        <v>42</v>
      </c>
      <c r="P12" s="516"/>
      <c r="Q12" s="517"/>
      <c r="R12" s="515" t="s">
        <v>100</v>
      </c>
      <c r="S12" s="516"/>
      <c r="T12" s="517"/>
      <c r="U12" s="515" t="s">
        <v>303</v>
      </c>
      <c r="V12" s="516"/>
      <c r="W12" s="517"/>
      <c r="X12" s="323"/>
      <c r="Y12" s="323"/>
      <c r="Z12" s="323"/>
      <c r="AA12" s="466"/>
      <c r="AB12" s="466"/>
      <c r="AC12" s="515" t="s">
        <v>205</v>
      </c>
      <c r="AD12" s="516"/>
      <c r="AE12" s="517"/>
    </row>
    <row r="13" spans="1:42" ht="15" customHeight="1" thickBot="1" x14ac:dyDescent="0.3">
      <c r="A13" s="240" t="s">
        <v>813</v>
      </c>
      <c r="B13" s="205">
        <v>0</v>
      </c>
      <c r="C13" s="184">
        <v>1</v>
      </c>
      <c r="D13" s="253">
        <v>0</v>
      </c>
      <c r="E13" s="241">
        <f t="shared" si="0"/>
        <v>1</v>
      </c>
      <c r="F13" s="277" t="s">
        <v>813</v>
      </c>
      <c r="G13" s="105">
        <v>0</v>
      </c>
      <c r="H13" s="278">
        <v>5</v>
      </c>
      <c r="I13" s="256">
        <v>0</v>
      </c>
      <c r="J13" s="279">
        <f t="shared" si="1"/>
        <v>5</v>
      </c>
      <c r="K13" s="531"/>
      <c r="L13" s="503"/>
      <c r="M13" s="504"/>
      <c r="N13" s="505"/>
      <c r="O13" s="518"/>
      <c r="P13" s="519"/>
      <c r="Q13" s="520"/>
      <c r="R13" s="518"/>
      <c r="S13" s="519"/>
      <c r="T13" s="520"/>
      <c r="U13" s="518"/>
      <c r="V13" s="519"/>
      <c r="W13" s="520"/>
      <c r="X13" s="323"/>
      <c r="Y13" s="323"/>
      <c r="Z13" s="323"/>
      <c r="AA13" s="466"/>
      <c r="AB13" s="466"/>
      <c r="AC13" s="518"/>
      <c r="AD13" s="519"/>
      <c r="AE13" s="520"/>
    </row>
    <row r="14" spans="1:42" ht="15" customHeight="1" thickBot="1" x14ac:dyDescent="0.3">
      <c r="A14" s="240" t="s">
        <v>1160</v>
      </c>
      <c r="B14" s="205">
        <v>1</v>
      </c>
      <c r="C14" s="184">
        <v>0</v>
      </c>
      <c r="D14" s="253">
        <v>0</v>
      </c>
      <c r="E14" s="241">
        <f t="shared" si="0"/>
        <v>1</v>
      </c>
      <c r="F14" s="277" t="s">
        <v>1160</v>
      </c>
      <c r="G14" s="105">
        <v>5</v>
      </c>
      <c r="H14" s="278">
        <v>0</v>
      </c>
      <c r="I14" s="256">
        <v>0</v>
      </c>
      <c r="J14" s="279">
        <f t="shared" si="1"/>
        <v>5</v>
      </c>
      <c r="K14" s="134" t="s">
        <v>72</v>
      </c>
      <c r="L14" s="4" t="s">
        <v>176</v>
      </c>
      <c r="M14" s="4" t="s">
        <v>36</v>
      </c>
      <c r="N14" s="4" t="s">
        <v>37</v>
      </c>
      <c r="O14" s="8" t="s">
        <v>176</v>
      </c>
      <c r="P14" s="8" t="s">
        <v>36</v>
      </c>
      <c r="Q14" s="8" t="s">
        <v>37</v>
      </c>
      <c r="R14" s="8" t="s">
        <v>176</v>
      </c>
      <c r="S14" s="8" t="s">
        <v>36</v>
      </c>
      <c r="T14" s="8" t="s">
        <v>37</v>
      </c>
      <c r="U14" s="283" t="s">
        <v>176</v>
      </c>
      <c r="V14" s="8" t="s">
        <v>36</v>
      </c>
      <c r="W14" s="8" t="s">
        <v>37</v>
      </c>
      <c r="X14" s="466"/>
      <c r="Y14" s="466"/>
      <c r="Z14" s="466"/>
      <c r="AA14" s="466"/>
      <c r="AB14" s="466"/>
      <c r="AC14" s="283" t="s">
        <v>176</v>
      </c>
      <c r="AD14" s="8" t="s">
        <v>36</v>
      </c>
      <c r="AE14" s="8" t="s">
        <v>37</v>
      </c>
    </row>
    <row r="15" spans="1:42" ht="15" customHeight="1" thickBot="1" x14ac:dyDescent="0.3">
      <c r="A15" s="240" t="s">
        <v>885</v>
      </c>
      <c r="B15" s="205">
        <v>3</v>
      </c>
      <c r="C15" s="184">
        <v>1</v>
      </c>
      <c r="D15" s="253">
        <v>0</v>
      </c>
      <c r="E15" s="241">
        <f t="shared" si="0"/>
        <v>4</v>
      </c>
      <c r="F15" s="277" t="s">
        <v>885</v>
      </c>
      <c r="G15" s="105">
        <v>15</v>
      </c>
      <c r="H15" s="278">
        <v>5</v>
      </c>
      <c r="I15" s="256">
        <v>0</v>
      </c>
      <c r="J15" s="279">
        <f t="shared" si="1"/>
        <v>20</v>
      </c>
      <c r="K15" s="243" t="s">
        <v>209</v>
      </c>
      <c r="L15" s="241">
        <v>20</v>
      </c>
      <c r="M15" s="241">
        <v>25</v>
      </c>
      <c r="N15" s="242">
        <f>(L15/M15)*100</f>
        <v>80</v>
      </c>
      <c r="O15" s="8">
        <v>7</v>
      </c>
      <c r="P15" s="8">
        <v>8</v>
      </c>
      <c r="Q15" s="294">
        <f t="shared" ref="Q15:Q17" si="4">SUM(O15/P15)*100</f>
        <v>87.5</v>
      </c>
      <c r="R15" s="8">
        <v>0</v>
      </c>
      <c r="S15" s="8">
        <v>3</v>
      </c>
      <c r="T15" s="294">
        <f>SUM(R15/S15)*100</f>
        <v>0</v>
      </c>
      <c r="U15" s="283">
        <v>3</v>
      </c>
      <c r="V15" s="8">
        <v>4</v>
      </c>
      <c r="W15" s="294">
        <f>SUM(U15/V15)*100</f>
        <v>75</v>
      </c>
      <c r="X15" s="466"/>
      <c r="Y15" s="466"/>
      <c r="Z15" s="466"/>
      <c r="AA15" s="466"/>
      <c r="AB15" s="466"/>
      <c r="AC15" s="283" t="s">
        <v>43</v>
      </c>
      <c r="AD15" s="8" t="s">
        <v>43</v>
      </c>
      <c r="AE15" s="8" t="s">
        <v>43</v>
      </c>
    </row>
    <row r="16" spans="1:42" ht="15" customHeight="1" thickBot="1" x14ac:dyDescent="0.3">
      <c r="A16" s="240" t="s">
        <v>448</v>
      </c>
      <c r="B16" s="205">
        <v>2</v>
      </c>
      <c r="C16" s="184">
        <v>0</v>
      </c>
      <c r="D16" s="253">
        <v>0</v>
      </c>
      <c r="E16" s="241">
        <f t="shared" si="0"/>
        <v>2</v>
      </c>
      <c r="F16" s="277" t="s">
        <v>448</v>
      </c>
      <c r="G16" s="105">
        <v>10</v>
      </c>
      <c r="H16" s="278">
        <v>0</v>
      </c>
      <c r="I16" s="256">
        <v>0</v>
      </c>
      <c r="J16" s="279">
        <f t="shared" si="1"/>
        <v>10</v>
      </c>
      <c r="K16" s="243" t="s">
        <v>268</v>
      </c>
      <c r="L16" s="241" t="s">
        <v>43</v>
      </c>
      <c r="M16" s="241" t="s">
        <v>43</v>
      </c>
      <c r="N16" s="242" t="s">
        <v>43</v>
      </c>
      <c r="O16" s="8">
        <v>6</v>
      </c>
      <c r="P16" s="8">
        <v>8</v>
      </c>
      <c r="Q16" s="294">
        <f t="shared" si="4"/>
        <v>75</v>
      </c>
      <c r="R16" s="8">
        <v>5</v>
      </c>
      <c r="S16" s="8">
        <v>7</v>
      </c>
      <c r="T16" s="294">
        <f>SUM(R16/S16)*100</f>
        <v>71.428571428571431</v>
      </c>
      <c r="U16" s="283" t="s">
        <v>43</v>
      </c>
      <c r="V16" s="8" t="s">
        <v>43</v>
      </c>
      <c r="W16" s="8" t="s">
        <v>43</v>
      </c>
      <c r="X16" s="466"/>
      <c r="Y16" s="466"/>
      <c r="Z16" s="466"/>
      <c r="AA16" s="466"/>
      <c r="AB16" s="466"/>
      <c r="AC16" s="283" t="s">
        <v>43</v>
      </c>
      <c r="AD16" s="8" t="s">
        <v>43</v>
      </c>
      <c r="AE16" s="8" t="s">
        <v>43</v>
      </c>
    </row>
    <row r="17" spans="1:38" ht="15" customHeight="1" thickBot="1" x14ac:dyDescent="0.3">
      <c r="A17" s="240" t="s">
        <v>72</v>
      </c>
      <c r="B17" s="205">
        <v>0</v>
      </c>
      <c r="C17" s="184">
        <v>0</v>
      </c>
      <c r="D17" s="253">
        <v>0</v>
      </c>
      <c r="E17" s="241">
        <f t="shared" si="0"/>
        <v>0</v>
      </c>
      <c r="F17" s="277" t="s">
        <v>72</v>
      </c>
      <c r="G17" s="105">
        <v>0</v>
      </c>
      <c r="H17" s="278">
        <v>0</v>
      </c>
      <c r="I17" s="256">
        <v>0</v>
      </c>
      <c r="J17" s="279">
        <f t="shared" si="1"/>
        <v>0</v>
      </c>
      <c r="K17" s="243" t="s">
        <v>171</v>
      </c>
      <c r="L17" s="241" t="s">
        <v>43</v>
      </c>
      <c r="M17" s="241" t="s">
        <v>43</v>
      </c>
      <c r="N17" s="242" t="s">
        <v>43</v>
      </c>
      <c r="O17" s="8">
        <v>3</v>
      </c>
      <c r="P17" s="8">
        <v>6</v>
      </c>
      <c r="Q17" s="294">
        <f t="shared" si="4"/>
        <v>50</v>
      </c>
      <c r="R17" s="8">
        <v>3</v>
      </c>
      <c r="S17" s="8">
        <v>5</v>
      </c>
      <c r="T17" s="294">
        <f>SUM(R17/S17)*100</f>
        <v>60</v>
      </c>
      <c r="U17" s="283" t="s">
        <v>43</v>
      </c>
      <c r="V17" s="8" t="s">
        <v>43</v>
      </c>
      <c r="W17" s="8" t="s">
        <v>43</v>
      </c>
      <c r="X17" s="466"/>
      <c r="Y17" s="466"/>
      <c r="Z17" s="466"/>
      <c r="AA17" s="466"/>
      <c r="AB17" s="466"/>
      <c r="AC17" s="283" t="s">
        <v>43</v>
      </c>
      <c r="AD17" s="8" t="s">
        <v>43</v>
      </c>
      <c r="AE17" s="8" t="s">
        <v>43</v>
      </c>
    </row>
    <row r="18" spans="1:38" ht="15" customHeight="1" thickBot="1" x14ac:dyDescent="0.3">
      <c r="A18" s="240" t="s">
        <v>1105</v>
      </c>
      <c r="B18" s="205">
        <v>2</v>
      </c>
      <c r="C18" s="184">
        <v>0</v>
      </c>
      <c r="D18" s="253">
        <v>0</v>
      </c>
      <c r="E18" s="241">
        <f t="shared" si="0"/>
        <v>2</v>
      </c>
      <c r="F18" s="277" t="s">
        <v>1105</v>
      </c>
      <c r="G18" s="105">
        <v>10</v>
      </c>
      <c r="H18" s="278">
        <v>0</v>
      </c>
      <c r="I18" s="256">
        <v>0</v>
      </c>
      <c r="J18" s="279">
        <f t="shared" si="1"/>
        <v>10</v>
      </c>
      <c r="K18" s="243" t="s">
        <v>74</v>
      </c>
      <c r="L18" s="241" t="s">
        <v>43</v>
      </c>
      <c r="M18" s="241" t="s">
        <v>43</v>
      </c>
      <c r="N18" s="241" t="s">
        <v>43</v>
      </c>
      <c r="O18" s="8" t="s">
        <v>43</v>
      </c>
      <c r="P18" s="8" t="s">
        <v>43</v>
      </c>
      <c r="Q18" s="8" t="s">
        <v>43</v>
      </c>
      <c r="R18" s="8" t="s">
        <v>43</v>
      </c>
      <c r="S18" s="8" t="s">
        <v>43</v>
      </c>
      <c r="T18" s="8" t="s">
        <v>43</v>
      </c>
      <c r="U18" s="283">
        <v>1</v>
      </c>
      <c r="V18" s="8">
        <v>1</v>
      </c>
      <c r="W18" s="294">
        <f>SUM(U18/V18)*100</f>
        <v>100</v>
      </c>
      <c r="X18" s="466"/>
      <c r="Y18" s="466"/>
      <c r="Z18" s="466"/>
      <c r="AA18" s="466"/>
      <c r="AB18" s="466"/>
      <c r="AC18" s="283" t="s">
        <v>43</v>
      </c>
      <c r="AD18" s="8" t="s">
        <v>43</v>
      </c>
      <c r="AE18" s="8" t="s">
        <v>43</v>
      </c>
    </row>
    <row r="19" spans="1:38" ht="15" customHeight="1" thickBot="1" x14ac:dyDescent="0.3">
      <c r="A19" s="240" t="s">
        <v>169</v>
      </c>
      <c r="B19" s="205">
        <v>0</v>
      </c>
      <c r="C19" s="184">
        <v>0</v>
      </c>
      <c r="D19" s="253">
        <v>0</v>
      </c>
      <c r="E19" s="241">
        <f t="shared" si="0"/>
        <v>0</v>
      </c>
      <c r="F19" s="277" t="s">
        <v>169</v>
      </c>
      <c r="G19" s="105">
        <v>0</v>
      </c>
      <c r="H19" s="278">
        <v>0</v>
      </c>
      <c r="I19" s="256">
        <v>0</v>
      </c>
      <c r="J19" s="279">
        <f t="shared" si="1"/>
        <v>0</v>
      </c>
      <c r="K19" s="243" t="s">
        <v>450</v>
      </c>
      <c r="L19" s="241" t="s">
        <v>43</v>
      </c>
      <c r="M19" s="241" t="s">
        <v>43</v>
      </c>
      <c r="N19" s="242" t="s">
        <v>43</v>
      </c>
      <c r="O19" s="8">
        <v>1</v>
      </c>
      <c r="P19" s="8">
        <v>3</v>
      </c>
      <c r="Q19" s="294">
        <f t="shared" ref="Q19" si="5">SUM(O19/P19)*100</f>
        <v>33.333333333333329</v>
      </c>
      <c r="R19" s="8" t="s">
        <v>43</v>
      </c>
      <c r="S19" s="8" t="s">
        <v>43</v>
      </c>
      <c r="T19" s="8" t="s">
        <v>43</v>
      </c>
      <c r="U19" s="283" t="s">
        <v>43</v>
      </c>
      <c r="V19" s="8" t="s">
        <v>43</v>
      </c>
      <c r="W19" s="8" t="s">
        <v>43</v>
      </c>
      <c r="X19" s="466"/>
      <c r="Y19" s="466"/>
      <c r="Z19" s="466"/>
      <c r="AA19" s="466"/>
      <c r="AB19" s="466"/>
      <c r="AC19" s="283" t="s">
        <v>43</v>
      </c>
      <c r="AD19" s="8" t="s">
        <v>43</v>
      </c>
      <c r="AE19" s="8" t="s">
        <v>43</v>
      </c>
    </row>
    <row r="20" spans="1:38" ht="15" customHeight="1" thickBot="1" x14ac:dyDescent="0.3">
      <c r="A20" s="240" t="s">
        <v>449</v>
      </c>
      <c r="B20" s="205">
        <v>0</v>
      </c>
      <c r="C20" s="184">
        <v>1</v>
      </c>
      <c r="D20" s="253">
        <v>0</v>
      </c>
      <c r="E20" s="241">
        <f t="shared" si="0"/>
        <v>1</v>
      </c>
      <c r="F20" s="277" t="s">
        <v>449</v>
      </c>
      <c r="G20" s="105">
        <v>0</v>
      </c>
      <c r="H20" s="278">
        <v>5</v>
      </c>
      <c r="I20" s="256">
        <v>0</v>
      </c>
      <c r="J20" s="279">
        <f t="shared" si="1"/>
        <v>5</v>
      </c>
      <c r="K20" s="243" t="s">
        <v>452</v>
      </c>
      <c r="L20" s="241">
        <v>12</v>
      </c>
      <c r="M20" s="241">
        <v>13</v>
      </c>
      <c r="N20" s="242">
        <f>(L20/M20)*100</f>
        <v>92.307692307692307</v>
      </c>
      <c r="O20" s="8">
        <v>7</v>
      </c>
      <c r="P20" s="8">
        <v>10</v>
      </c>
      <c r="Q20" s="294">
        <f>SUM(O20/P20)*100</f>
        <v>70</v>
      </c>
      <c r="R20" s="8" t="s">
        <v>43</v>
      </c>
      <c r="S20" s="8" t="s">
        <v>43</v>
      </c>
      <c r="T20" s="8" t="s">
        <v>43</v>
      </c>
      <c r="U20" s="283">
        <v>16</v>
      </c>
      <c r="V20" s="8">
        <v>18</v>
      </c>
      <c r="W20" s="294">
        <f>SUM(U20/V20)*100</f>
        <v>88.888888888888886</v>
      </c>
      <c r="X20" s="466"/>
      <c r="Y20" s="466"/>
      <c r="Z20" s="466"/>
      <c r="AA20" s="466"/>
      <c r="AB20" s="466"/>
      <c r="AC20" s="283">
        <v>5</v>
      </c>
      <c r="AD20" s="8">
        <v>5</v>
      </c>
      <c r="AE20" s="294">
        <f>SUM(AC20/AD20)*100</f>
        <v>100</v>
      </c>
    </row>
    <row r="21" spans="1:38" ht="15" customHeight="1" thickBot="1" x14ac:dyDescent="0.3">
      <c r="A21" s="240" t="s">
        <v>972</v>
      </c>
      <c r="B21" s="205">
        <v>0</v>
      </c>
      <c r="C21" s="184">
        <v>0</v>
      </c>
      <c r="D21" s="253">
        <v>1</v>
      </c>
      <c r="E21" s="241">
        <f t="shared" si="0"/>
        <v>1</v>
      </c>
      <c r="F21" s="277" t="s">
        <v>972</v>
      </c>
      <c r="G21" s="105">
        <v>0</v>
      </c>
      <c r="H21" s="278">
        <v>0</v>
      </c>
      <c r="I21" s="256">
        <v>5</v>
      </c>
      <c r="J21" s="279">
        <f t="shared" si="1"/>
        <v>5</v>
      </c>
      <c r="X21" s="466"/>
      <c r="Y21" s="466"/>
      <c r="Z21" s="466"/>
      <c r="AA21" s="466"/>
      <c r="AB21" s="466"/>
      <c r="AC21" s="465"/>
      <c r="AD21" s="465"/>
      <c r="AE21" s="465"/>
      <c r="AF21" s="113"/>
      <c r="AI21" s="113"/>
    </row>
    <row r="22" spans="1:38" ht="15" customHeight="1" thickBot="1" x14ac:dyDescent="0.3">
      <c r="A22" s="240" t="s">
        <v>1069</v>
      </c>
      <c r="B22" s="205">
        <v>1</v>
      </c>
      <c r="C22" s="184">
        <v>3</v>
      </c>
      <c r="D22" s="253">
        <v>0</v>
      </c>
      <c r="E22" s="241">
        <f t="shared" si="0"/>
        <v>4</v>
      </c>
      <c r="F22" s="277" t="s">
        <v>1069</v>
      </c>
      <c r="G22" s="105">
        <v>5</v>
      </c>
      <c r="H22" s="278">
        <v>15</v>
      </c>
      <c r="I22" s="256">
        <v>0</v>
      </c>
      <c r="J22" s="279">
        <f t="shared" si="1"/>
        <v>20</v>
      </c>
      <c r="K22" s="509" t="s">
        <v>304</v>
      </c>
      <c r="L22" s="500" t="s">
        <v>42</v>
      </c>
      <c r="M22" s="501"/>
      <c r="N22" s="502"/>
      <c r="O22" s="515" t="s">
        <v>42</v>
      </c>
      <c r="P22" s="516"/>
      <c r="Q22" s="517"/>
      <c r="R22" s="515" t="s">
        <v>100</v>
      </c>
      <c r="S22" s="516"/>
      <c r="T22" s="517"/>
      <c r="U22" s="515" t="s">
        <v>303</v>
      </c>
      <c r="V22" s="516"/>
      <c r="W22" s="517"/>
      <c r="X22" s="466"/>
      <c r="Y22" s="466"/>
      <c r="Z22" s="466"/>
      <c r="AA22" s="466"/>
      <c r="AB22" s="466"/>
      <c r="AC22" s="515" t="s">
        <v>186</v>
      </c>
      <c r="AD22" s="516"/>
      <c r="AE22" s="517"/>
      <c r="AF22" s="54"/>
    </row>
    <row r="23" spans="1:38" ht="15" customHeight="1" thickBot="1" x14ac:dyDescent="0.3">
      <c r="A23" s="240" t="s">
        <v>96</v>
      </c>
      <c r="B23" s="205">
        <v>3</v>
      </c>
      <c r="C23" s="184">
        <v>0</v>
      </c>
      <c r="D23" s="253">
        <v>1</v>
      </c>
      <c r="E23" s="241">
        <f t="shared" si="0"/>
        <v>4</v>
      </c>
      <c r="F23" s="277" t="s">
        <v>96</v>
      </c>
      <c r="G23" s="105">
        <v>15</v>
      </c>
      <c r="H23" s="278">
        <v>0</v>
      </c>
      <c r="I23" s="256">
        <v>5</v>
      </c>
      <c r="J23" s="279">
        <f t="shared" si="1"/>
        <v>20</v>
      </c>
      <c r="K23" s="510"/>
      <c r="L23" s="503"/>
      <c r="M23" s="504"/>
      <c r="N23" s="505"/>
      <c r="O23" s="518"/>
      <c r="P23" s="519"/>
      <c r="Q23" s="520"/>
      <c r="R23" s="518"/>
      <c r="S23" s="519"/>
      <c r="T23" s="520"/>
      <c r="U23" s="518"/>
      <c r="V23" s="519"/>
      <c r="W23" s="520"/>
      <c r="X23" s="466"/>
      <c r="Y23" s="466"/>
      <c r="Z23" s="466"/>
      <c r="AA23" s="466"/>
      <c r="AB23" s="466"/>
      <c r="AC23" s="518"/>
      <c r="AD23" s="519"/>
      <c r="AE23" s="520"/>
      <c r="AF23" s="52"/>
    </row>
    <row r="24" spans="1:38" ht="15" customHeight="1" thickBot="1" x14ac:dyDescent="0.3">
      <c r="A24" s="240" t="s">
        <v>180</v>
      </c>
      <c r="B24" s="205">
        <v>5</v>
      </c>
      <c r="C24" s="184">
        <v>0</v>
      </c>
      <c r="D24" s="253">
        <v>1</v>
      </c>
      <c r="E24" s="241">
        <f t="shared" si="0"/>
        <v>6</v>
      </c>
      <c r="F24" s="277" t="s">
        <v>180</v>
      </c>
      <c r="G24" s="105">
        <v>25</v>
      </c>
      <c r="H24" s="278">
        <v>0</v>
      </c>
      <c r="I24" s="256">
        <v>5</v>
      </c>
      <c r="J24" s="279">
        <f t="shared" si="1"/>
        <v>30</v>
      </c>
      <c r="K24" s="35" t="s">
        <v>72</v>
      </c>
      <c r="L24" s="4" t="s">
        <v>176</v>
      </c>
      <c r="M24" s="4" t="s">
        <v>36</v>
      </c>
      <c r="N24" s="4" t="s">
        <v>37</v>
      </c>
      <c r="O24" s="8" t="s">
        <v>176</v>
      </c>
      <c r="P24" s="8" t="s">
        <v>36</v>
      </c>
      <c r="Q24" s="8" t="s">
        <v>37</v>
      </c>
      <c r="R24" s="8" t="s">
        <v>176</v>
      </c>
      <c r="S24" s="8" t="s">
        <v>36</v>
      </c>
      <c r="T24" s="8" t="s">
        <v>37</v>
      </c>
      <c r="U24" s="283" t="s">
        <v>176</v>
      </c>
      <c r="V24" s="8" t="s">
        <v>36</v>
      </c>
      <c r="W24" s="8" t="s">
        <v>37</v>
      </c>
      <c r="X24" s="466"/>
      <c r="Y24" s="466"/>
      <c r="Z24" s="466"/>
      <c r="AA24" s="466"/>
      <c r="AB24" s="466"/>
      <c r="AC24" s="283" t="s">
        <v>176</v>
      </c>
      <c r="AD24" s="8" t="s">
        <v>36</v>
      </c>
      <c r="AE24" s="8" t="s">
        <v>37</v>
      </c>
      <c r="AF24" s="52"/>
    </row>
    <row r="25" spans="1:38" ht="15" customHeight="1" thickBot="1" x14ac:dyDescent="0.3">
      <c r="A25" s="240" t="s">
        <v>218</v>
      </c>
      <c r="B25" s="205">
        <v>1</v>
      </c>
      <c r="C25" s="184">
        <v>1</v>
      </c>
      <c r="D25" s="253">
        <v>3</v>
      </c>
      <c r="E25" s="241">
        <f t="shared" si="0"/>
        <v>5</v>
      </c>
      <c r="F25" s="277" t="s">
        <v>218</v>
      </c>
      <c r="G25" s="105">
        <v>5</v>
      </c>
      <c r="H25" s="278">
        <v>5</v>
      </c>
      <c r="I25" s="256">
        <v>15</v>
      </c>
      <c r="J25" s="279">
        <f t="shared" si="1"/>
        <v>25</v>
      </c>
      <c r="K25" s="243" t="s">
        <v>74</v>
      </c>
      <c r="L25" s="241" t="s">
        <v>43</v>
      </c>
      <c r="M25" s="241" t="s">
        <v>43</v>
      </c>
      <c r="N25" s="241" t="s">
        <v>43</v>
      </c>
      <c r="O25" s="8" t="s">
        <v>43</v>
      </c>
      <c r="P25" s="8" t="s">
        <v>43</v>
      </c>
      <c r="Q25" s="8" t="s">
        <v>43</v>
      </c>
      <c r="R25" s="8" t="s">
        <v>43</v>
      </c>
      <c r="S25" s="8" t="s">
        <v>43</v>
      </c>
      <c r="T25" s="8" t="s">
        <v>43</v>
      </c>
      <c r="U25" s="283">
        <v>9</v>
      </c>
      <c r="V25" s="8">
        <v>14</v>
      </c>
      <c r="W25" s="294">
        <f>SUM(U25/V25)*100</f>
        <v>64.285714285714292</v>
      </c>
      <c r="X25" s="466"/>
      <c r="Y25" s="466"/>
      <c r="Z25" s="466"/>
      <c r="AA25" s="466"/>
      <c r="AB25" s="466"/>
      <c r="AC25" s="283" t="s">
        <v>43</v>
      </c>
      <c r="AD25" s="8" t="s">
        <v>43</v>
      </c>
      <c r="AE25" s="8" t="s">
        <v>43</v>
      </c>
    </row>
    <row r="26" spans="1:38" ht="15" customHeight="1" thickBot="1" x14ac:dyDescent="0.3">
      <c r="A26" s="240" t="s">
        <v>202</v>
      </c>
      <c r="B26" s="205">
        <v>5</v>
      </c>
      <c r="C26" s="184">
        <v>0</v>
      </c>
      <c r="D26" s="253">
        <v>1</v>
      </c>
      <c r="E26" s="241">
        <f t="shared" si="0"/>
        <v>6</v>
      </c>
      <c r="F26" s="277" t="s">
        <v>203</v>
      </c>
      <c r="G26" s="105">
        <v>25</v>
      </c>
      <c r="H26" s="278">
        <v>0</v>
      </c>
      <c r="I26" s="256">
        <v>5</v>
      </c>
      <c r="J26" s="279">
        <f t="shared" si="1"/>
        <v>30</v>
      </c>
      <c r="K26" s="243" t="s">
        <v>268</v>
      </c>
      <c r="L26" s="241">
        <v>7</v>
      </c>
      <c r="M26" s="241">
        <v>9</v>
      </c>
      <c r="N26" s="242">
        <f>(L26/M26)*100</f>
        <v>77.777777777777786</v>
      </c>
      <c r="O26" s="8">
        <v>2</v>
      </c>
      <c r="P26" s="8">
        <v>7</v>
      </c>
      <c r="Q26" s="294">
        <f t="shared" ref="Q26" si="6">SUM(O26/P26)*100</f>
        <v>28.571428571428569</v>
      </c>
      <c r="R26" s="8"/>
      <c r="S26" s="8"/>
      <c r="T26" s="8"/>
      <c r="U26" s="283"/>
      <c r="V26" s="8"/>
      <c r="W26" s="294"/>
      <c r="X26" s="466"/>
      <c r="Y26" s="466"/>
      <c r="Z26" s="466"/>
      <c r="AA26" s="466"/>
      <c r="AB26" s="466"/>
      <c r="AC26" s="283"/>
      <c r="AD26" s="8"/>
      <c r="AE26" s="8"/>
    </row>
    <row r="27" spans="1:38" ht="15.75" thickBot="1" x14ac:dyDescent="0.3">
      <c r="A27" s="240" t="s">
        <v>72</v>
      </c>
      <c r="B27" s="205">
        <v>0</v>
      </c>
      <c r="C27" s="184">
        <v>0</v>
      </c>
      <c r="D27" s="253">
        <v>0</v>
      </c>
      <c r="E27" s="241">
        <f t="shared" si="0"/>
        <v>0</v>
      </c>
      <c r="F27" s="277" t="s">
        <v>72</v>
      </c>
      <c r="G27" s="105">
        <v>0</v>
      </c>
      <c r="H27" s="278">
        <v>0</v>
      </c>
      <c r="I27" s="256">
        <v>0</v>
      </c>
      <c r="J27" s="279">
        <f t="shared" si="1"/>
        <v>0</v>
      </c>
      <c r="K27" s="243" t="s">
        <v>450</v>
      </c>
      <c r="L27" s="241">
        <v>2</v>
      </c>
      <c r="M27" s="241">
        <v>2</v>
      </c>
      <c r="N27" s="242">
        <f>(L27/M27)*100</f>
        <v>100</v>
      </c>
      <c r="O27" s="8">
        <v>2</v>
      </c>
      <c r="P27" s="8">
        <v>7</v>
      </c>
      <c r="Q27" s="294">
        <f t="shared" ref="Q27:Q29" si="7">SUM(O27/P27)*100</f>
        <v>28.571428571428569</v>
      </c>
      <c r="R27" s="8"/>
      <c r="S27" s="8"/>
      <c r="T27" s="8"/>
      <c r="U27" s="283"/>
      <c r="V27" s="8"/>
      <c r="W27" s="294"/>
      <c r="X27" s="466"/>
      <c r="Y27" s="466"/>
      <c r="Z27" s="466"/>
      <c r="AA27" s="466"/>
      <c r="AB27" s="466"/>
      <c r="AC27" s="283"/>
      <c r="AD27" s="8"/>
      <c r="AE27" s="8"/>
    </row>
    <row r="28" spans="1:38" ht="15.95" customHeight="1" thickBot="1" x14ac:dyDescent="0.3">
      <c r="A28" s="240" t="s">
        <v>1071</v>
      </c>
      <c r="B28" s="205">
        <v>0</v>
      </c>
      <c r="C28" s="184">
        <v>2</v>
      </c>
      <c r="D28" s="253">
        <v>0</v>
      </c>
      <c r="E28" s="241">
        <f t="shared" si="0"/>
        <v>2</v>
      </c>
      <c r="F28" s="277" t="s">
        <v>1071</v>
      </c>
      <c r="G28" s="105">
        <v>0</v>
      </c>
      <c r="H28" s="278">
        <v>10</v>
      </c>
      <c r="I28" s="256">
        <v>0</v>
      </c>
      <c r="J28" s="279">
        <f t="shared" si="1"/>
        <v>10</v>
      </c>
      <c r="K28" s="243" t="s">
        <v>452</v>
      </c>
      <c r="L28" s="241">
        <v>4</v>
      </c>
      <c r="M28" s="241">
        <v>6</v>
      </c>
      <c r="N28" s="242">
        <f>(L28/M28)*100</f>
        <v>66.666666666666657</v>
      </c>
      <c r="O28" s="8">
        <v>15</v>
      </c>
      <c r="P28" s="8">
        <v>18</v>
      </c>
      <c r="Q28" s="294">
        <f t="shared" si="7"/>
        <v>83.333333333333343</v>
      </c>
      <c r="R28" s="8" t="s">
        <v>43</v>
      </c>
      <c r="S28" s="8" t="s">
        <v>43</v>
      </c>
      <c r="T28" s="8" t="s">
        <v>43</v>
      </c>
      <c r="U28" s="283" t="s">
        <v>43</v>
      </c>
      <c r="V28" s="8" t="s">
        <v>43</v>
      </c>
      <c r="W28" s="8" t="s">
        <v>43</v>
      </c>
      <c r="X28" s="466"/>
      <c r="Y28" s="466"/>
      <c r="Z28" s="466"/>
      <c r="AA28" s="466"/>
      <c r="AB28" s="466"/>
      <c r="AC28" s="283" t="s">
        <v>43</v>
      </c>
      <c r="AD28" s="8" t="s">
        <v>43</v>
      </c>
      <c r="AE28" s="8" t="s">
        <v>43</v>
      </c>
    </row>
    <row r="29" spans="1:38" ht="15.95" customHeight="1" thickBot="1" x14ac:dyDescent="0.3">
      <c r="A29" s="240" t="s">
        <v>268</v>
      </c>
      <c r="B29" s="205">
        <v>1</v>
      </c>
      <c r="C29" s="184">
        <v>0</v>
      </c>
      <c r="D29" s="253">
        <v>0</v>
      </c>
      <c r="E29" s="241">
        <f t="shared" si="0"/>
        <v>1</v>
      </c>
      <c r="F29" s="277" t="s">
        <v>268</v>
      </c>
      <c r="G29" s="105">
        <v>28</v>
      </c>
      <c r="H29" s="278">
        <v>0</v>
      </c>
      <c r="I29" s="256">
        <v>15</v>
      </c>
      <c r="J29" s="279">
        <f t="shared" si="1"/>
        <v>43</v>
      </c>
      <c r="K29" s="243" t="s">
        <v>209</v>
      </c>
      <c r="L29" s="241">
        <v>2</v>
      </c>
      <c r="M29" s="241">
        <v>2</v>
      </c>
      <c r="N29" s="242">
        <f>(L29/M29)*100</f>
        <v>100</v>
      </c>
      <c r="O29" s="8">
        <v>1</v>
      </c>
      <c r="P29" s="8">
        <v>1</v>
      </c>
      <c r="Q29" s="294">
        <f t="shared" si="7"/>
        <v>100</v>
      </c>
      <c r="R29" s="8">
        <v>3</v>
      </c>
      <c r="S29" s="8">
        <v>5</v>
      </c>
      <c r="T29" s="294">
        <f>SUM(R29/S29)*100</f>
        <v>60</v>
      </c>
      <c r="U29" s="283" t="s">
        <v>43</v>
      </c>
      <c r="V29" s="8" t="s">
        <v>43</v>
      </c>
      <c r="W29" s="8" t="s">
        <v>43</v>
      </c>
      <c r="X29" s="466"/>
      <c r="Y29" s="466"/>
      <c r="Z29" s="466"/>
      <c r="AA29" s="466"/>
      <c r="AB29" s="466"/>
      <c r="AC29" s="283" t="s">
        <v>43</v>
      </c>
      <c r="AD29" s="8" t="s">
        <v>43</v>
      </c>
      <c r="AE29" s="8" t="s">
        <v>43</v>
      </c>
      <c r="AI29" s="408"/>
      <c r="AJ29" s="408"/>
      <c r="AK29" s="408"/>
    </row>
    <row r="30" spans="1:38" ht="15.75" thickBot="1" x14ac:dyDescent="0.3">
      <c r="A30" s="240" t="s">
        <v>275</v>
      </c>
      <c r="B30" s="205">
        <v>5</v>
      </c>
      <c r="C30" s="184">
        <v>4</v>
      </c>
      <c r="D30" s="253">
        <v>1</v>
      </c>
      <c r="E30" s="241">
        <f t="shared" si="0"/>
        <v>10</v>
      </c>
      <c r="F30" s="277" t="s">
        <v>275</v>
      </c>
      <c r="G30" s="105">
        <v>25</v>
      </c>
      <c r="H30" s="278">
        <v>20</v>
      </c>
      <c r="I30" s="256">
        <v>5</v>
      </c>
      <c r="J30" s="279">
        <f t="shared" si="1"/>
        <v>50</v>
      </c>
      <c r="K30" s="532" t="s">
        <v>955</v>
      </c>
      <c r="L30" s="533"/>
      <c r="M30" s="533"/>
      <c r="N30" s="533"/>
      <c r="O30" s="533"/>
      <c r="P30" s="533"/>
      <c r="Q30" s="533"/>
      <c r="R30" s="533"/>
      <c r="S30" s="533"/>
      <c r="T30" s="533"/>
      <c r="U30" s="533"/>
      <c r="V30" s="533"/>
      <c r="W30" s="533"/>
      <c r="X30" s="533"/>
      <c r="Y30" s="533"/>
      <c r="Z30" s="533"/>
      <c r="AA30" s="533"/>
      <c r="AB30" s="533"/>
      <c r="AC30" s="533"/>
      <c r="AD30" s="533"/>
      <c r="AE30" s="533"/>
      <c r="AF30" s="533"/>
      <c r="AG30" s="533"/>
      <c r="AH30" s="533"/>
      <c r="AI30" s="533"/>
      <c r="AJ30" s="533"/>
      <c r="AK30" s="533"/>
      <c r="AL30" s="533"/>
    </row>
    <row r="31" spans="1:38" ht="15.75" thickBot="1" x14ac:dyDescent="0.3">
      <c r="A31" s="240" t="s">
        <v>85</v>
      </c>
      <c r="B31" s="205">
        <v>0</v>
      </c>
      <c r="C31" s="184">
        <v>0</v>
      </c>
      <c r="D31" s="253">
        <v>0</v>
      </c>
      <c r="E31" s="241">
        <f t="shared" si="0"/>
        <v>0</v>
      </c>
      <c r="F31" s="277" t="s">
        <v>85</v>
      </c>
      <c r="G31" s="105">
        <v>0</v>
      </c>
      <c r="H31" s="278">
        <v>0</v>
      </c>
      <c r="I31" s="256">
        <v>0</v>
      </c>
      <c r="J31" s="279">
        <f t="shared" si="1"/>
        <v>0</v>
      </c>
      <c r="K31" s="82"/>
      <c r="L31" s="67"/>
      <c r="M31" s="67"/>
      <c r="N31" s="69"/>
    </row>
    <row r="32" spans="1:38" ht="15.75" thickBot="1" x14ac:dyDescent="0.3">
      <c r="A32" s="240" t="s">
        <v>170</v>
      </c>
      <c r="B32" s="205">
        <v>1</v>
      </c>
      <c r="C32" s="184">
        <v>2</v>
      </c>
      <c r="D32" s="253">
        <v>1</v>
      </c>
      <c r="E32" s="241">
        <f t="shared" si="0"/>
        <v>4</v>
      </c>
      <c r="F32" s="277" t="s">
        <v>170</v>
      </c>
      <c r="G32" s="105">
        <v>5</v>
      </c>
      <c r="H32" s="278">
        <v>10</v>
      </c>
      <c r="I32" s="256">
        <v>5</v>
      </c>
      <c r="J32" s="279">
        <f t="shared" si="1"/>
        <v>20</v>
      </c>
    </row>
    <row r="33" spans="1:10" ht="15.75" thickBot="1" x14ac:dyDescent="0.3">
      <c r="A33" s="240" t="s">
        <v>815</v>
      </c>
      <c r="B33" s="205">
        <v>0</v>
      </c>
      <c r="C33" s="184">
        <v>0</v>
      </c>
      <c r="D33" s="253">
        <v>0</v>
      </c>
      <c r="E33" s="241">
        <f t="shared" si="0"/>
        <v>0</v>
      </c>
      <c r="F33" s="277" t="s">
        <v>815</v>
      </c>
      <c r="G33" s="105">
        <v>0</v>
      </c>
      <c r="H33" s="278">
        <v>0</v>
      </c>
      <c r="I33" s="256">
        <v>0</v>
      </c>
      <c r="J33" s="279">
        <f t="shared" si="1"/>
        <v>0</v>
      </c>
    </row>
    <row r="34" spans="1:10" ht="15.75" thickBot="1" x14ac:dyDescent="0.3">
      <c r="A34" s="240" t="s">
        <v>55</v>
      </c>
      <c r="B34" s="205">
        <v>0</v>
      </c>
      <c r="C34" s="184">
        <v>1</v>
      </c>
      <c r="D34" s="253">
        <v>1</v>
      </c>
      <c r="E34" s="241">
        <f t="shared" si="0"/>
        <v>2</v>
      </c>
      <c r="F34" s="277" t="s">
        <v>55</v>
      </c>
      <c r="G34" s="105">
        <v>0</v>
      </c>
      <c r="H34" s="278">
        <v>5</v>
      </c>
      <c r="I34" s="256">
        <v>5</v>
      </c>
      <c r="J34" s="279">
        <f t="shared" si="1"/>
        <v>10</v>
      </c>
    </row>
    <row r="35" spans="1:10" ht="15.75" thickBot="1" x14ac:dyDescent="0.3">
      <c r="A35" s="240" t="s">
        <v>74</v>
      </c>
      <c r="B35" s="205">
        <v>0</v>
      </c>
      <c r="C35" s="184">
        <v>1</v>
      </c>
      <c r="D35" s="253">
        <v>0</v>
      </c>
      <c r="E35" s="241">
        <f t="shared" si="0"/>
        <v>1</v>
      </c>
      <c r="F35" s="277" t="s">
        <v>74</v>
      </c>
      <c r="G35" s="105">
        <v>0</v>
      </c>
      <c r="H35" s="278">
        <v>5</v>
      </c>
      <c r="I35" s="256">
        <v>0</v>
      </c>
      <c r="J35" s="279">
        <f t="shared" si="1"/>
        <v>5</v>
      </c>
    </row>
    <row r="36" spans="1:10" ht="15.75" thickBot="1" x14ac:dyDescent="0.3">
      <c r="A36" s="240" t="s">
        <v>971</v>
      </c>
      <c r="B36" s="205">
        <v>0</v>
      </c>
      <c r="C36" s="184">
        <v>0</v>
      </c>
      <c r="D36" s="253">
        <v>1</v>
      </c>
      <c r="E36" s="241">
        <f t="shared" si="0"/>
        <v>1</v>
      </c>
      <c r="F36" s="277" t="s">
        <v>971</v>
      </c>
      <c r="G36" s="105">
        <v>0</v>
      </c>
      <c r="H36" s="278">
        <v>0</v>
      </c>
      <c r="I36" s="256">
        <v>5</v>
      </c>
      <c r="J36" s="279">
        <f t="shared" si="1"/>
        <v>5</v>
      </c>
    </row>
    <row r="37" spans="1:10" ht="15.75" thickBot="1" x14ac:dyDescent="0.3">
      <c r="A37" s="240" t="s">
        <v>817</v>
      </c>
      <c r="B37" s="205">
        <v>0</v>
      </c>
      <c r="C37" s="184">
        <v>0</v>
      </c>
      <c r="D37" s="253">
        <v>1</v>
      </c>
      <c r="E37" s="241">
        <f t="shared" si="0"/>
        <v>1</v>
      </c>
      <c r="F37" s="277" t="s">
        <v>817</v>
      </c>
      <c r="G37" s="105">
        <v>0</v>
      </c>
      <c r="H37" s="278">
        <v>0</v>
      </c>
      <c r="I37" s="256">
        <v>5</v>
      </c>
      <c r="J37" s="279">
        <f t="shared" si="1"/>
        <v>5</v>
      </c>
    </row>
    <row r="38" spans="1:10" ht="15.75" thickBot="1" x14ac:dyDescent="0.3">
      <c r="A38" s="240" t="s">
        <v>1073</v>
      </c>
      <c r="B38" s="205">
        <v>0</v>
      </c>
      <c r="C38" s="184">
        <v>1</v>
      </c>
      <c r="D38" s="253">
        <v>0</v>
      </c>
      <c r="E38" s="241">
        <f t="shared" si="0"/>
        <v>1</v>
      </c>
      <c r="F38" s="277" t="s">
        <v>1073</v>
      </c>
      <c r="G38" s="105">
        <v>0</v>
      </c>
      <c r="H38" s="278">
        <v>5</v>
      </c>
      <c r="I38" s="256">
        <v>0</v>
      </c>
      <c r="J38" s="279">
        <f t="shared" si="1"/>
        <v>5</v>
      </c>
    </row>
    <row r="39" spans="1:10" ht="15.75" thickBot="1" x14ac:dyDescent="0.3">
      <c r="A39" s="240" t="s">
        <v>1192</v>
      </c>
      <c r="B39" s="205">
        <v>2</v>
      </c>
      <c r="C39" s="184">
        <v>0</v>
      </c>
      <c r="D39" s="253">
        <v>0</v>
      </c>
      <c r="E39" s="241">
        <f t="shared" si="0"/>
        <v>2</v>
      </c>
      <c r="F39" s="277" t="s">
        <v>1192</v>
      </c>
      <c r="G39" s="105">
        <v>10</v>
      </c>
      <c r="H39" s="278">
        <v>0</v>
      </c>
      <c r="I39" s="256">
        <v>0</v>
      </c>
      <c r="J39" s="279">
        <f t="shared" si="1"/>
        <v>10</v>
      </c>
    </row>
    <row r="40" spans="1:10" ht="15" customHeight="1" thickBot="1" x14ac:dyDescent="0.3">
      <c r="A40" s="240" t="s">
        <v>1258</v>
      </c>
      <c r="B40" s="205">
        <v>4</v>
      </c>
      <c r="C40" s="184">
        <v>0</v>
      </c>
      <c r="D40" s="253">
        <v>0</v>
      </c>
      <c r="E40" s="241">
        <f t="shared" si="0"/>
        <v>4</v>
      </c>
      <c r="F40" s="277" t="s">
        <v>1258</v>
      </c>
      <c r="G40" s="105">
        <v>20</v>
      </c>
      <c r="H40" s="278">
        <v>0</v>
      </c>
      <c r="I40" s="256">
        <v>0</v>
      </c>
      <c r="J40" s="279">
        <f t="shared" si="1"/>
        <v>20</v>
      </c>
    </row>
    <row r="41" spans="1:10" ht="15.75" thickBot="1" x14ac:dyDescent="0.3">
      <c r="A41" s="240" t="s">
        <v>1074</v>
      </c>
      <c r="B41" s="205">
        <v>0</v>
      </c>
      <c r="C41" s="184">
        <v>1</v>
      </c>
      <c r="D41" s="253">
        <v>0</v>
      </c>
      <c r="E41" s="241">
        <f t="shared" si="0"/>
        <v>1</v>
      </c>
      <c r="F41" s="277" t="s">
        <v>1074</v>
      </c>
      <c r="G41" s="105">
        <v>0</v>
      </c>
      <c r="H41" s="278">
        <v>5</v>
      </c>
      <c r="I41" s="256">
        <v>0</v>
      </c>
      <c r="J41" s="279">
        <f t="shared" si="1"/>
        <v>5</v>
      </c>
    </row>
    <row r="42" spans="1:10" ht="15.75" thickBot="1" x14ac:dyDescent="0.3">
      <c r="A42" s="240" t="s">
        <v>6</v>
      </c>
      <c r="B42" s="205">
        <v>1</v>
      </c>
      <c r="C42" s="184">
        <v>0</v>
      </c>
      <c r="D42" s="253">
        <v>1</v>
      </c>
      <c r="E42" s="241">
        <f t="shared" si="0"/>
        <v>2</v>
      </c>
      <c r="F42" s="277" t="s">
        <v>6</v>
      </c>
      <c r="G42" s="105">
        <v>7</v>
      </c>
      <c r="H42" s="278">
        <v>0</v>
      </c>
      <c r="I42" s="256">
        <v>7</v>
      </c>
      <c r="J42" s="279">
        <f t="shared" si="1"/>
        <v>14</v>
      </c>
    </row>
    <row r="43" spans="1:10" ht="15.75" thickBot="1" x14ac:dyDescent="0.3">
      <c r="A43" s="240" t="s">
        <v>72</v>
      </c>
      <c r="B43" s="205">
        <v>0</v>
      </c>
      <c r="C43" s="184">
        <v>0</v>
      </c>
      <c r="D43" s="253">
        <v>0</v>
      </c>
      <c r="E43" s="241">
        <f t="shared" si="0"/>
        <v>0</v>
      </c>
      <c r="F43" s="277" t="s">
        <v>72</v>
      </c>
      <c r="G43" s="105">
        <v>0</v>
      </c>
      <c r="H43" s="278">
        <v>0</v>
      </c>
      <c r="I43" s="256">
        <v>0</v>
      </c>
      <c r="J43" s="279">
        <f t="shared" si="1"/>
        <v>0</v>
      </c>
    </row>
    <row r="44" spans="1:10" ht="15.75" thickBot="1" x14ac:dyDescent="0.3">
      <c r="A44" s="240" t="s">
        <v>171</v>
      </c>
      <c r="B44" s="205">
        <v>0</v>
      </c>
      <c r="C44" s="184">
        <v>0</v>
      </c>
      <c r="D44" s="253">
        <v>0</v>
      </c>
      <c r="E44" s="241">
        <f t="shared" si="0"/>
        <v>0</v>
      </c>
      <c r="F44" s="277" t="s">
        <v>171</v>
      </c>
      <c r="G44" s="105">
        <v>0</v>
      </c>
      <c r="H44" s="278">
        <v>0</v>
      </c>
      <c r="I44" s="256">
        <v>0</v>
      </c>
      <c r="J44" s="279">
        <f t="shared" si="1"/>
        <v>0</v>
      </c>
    </row>
    <row r="45" spans="1:10" ht="15.75" thickBot="1" x14ac:dyDescent="0.3">
      <c r="A45" s="240" t="s">
        <v>72</v>
      </c>
      <c r="B45" s="205">
        <v>0</v>
      </c>
      <c r="C45" s="184">
        <v>0</v>
      </c>
      <c r="D45" s="253">
        <v>0</v>
      </c>
      <c r="E45" s="241">
        <f t="shared" si="0"/>
        <v>0</v>
      </c>
      <c r="F45" s="277" t="s">
        <v>72</v>
      </c>
      <c r="G45" s="105">
        <v>0</v>
      </c>
      <c r="H45" s="278">
        <v>0</v>
      </c>
      <c r="I45" s="256">
        <v>0</v>
      </c>
      <c r="J45" s="279">
        <f t="shared" si="1"/>
        <v>0</v>
      </c>
    </row>
    <row r="46" spans="1:10" ht="15.75" thickBot="1" x14ac:dyDescent="0.3">
      <c r="A46" s="240" t="s">
        <v>181</v>
      </c>
      <c r="B46" s="205">
        <v>0</v>
      </c>
      <c r="C46" s="184">
        <v>0</v>
      </c>
      <c r="D46" s="253">
        <v>0</v>
      </c>
      <c r="E46" s="241">
        <f t="shared" si="0"/>
        <v>0</v>
      </c>
      <c r="F46" s="277" t="s">
        <v>181</v>
      </c>
      <c r="G46" s="105">
        <v>0</v>
      </c>
      <c r="H46" s="278">
        <v>0</v>
      </c>
      <c r="I46" s="256">
        <v>0</v>
      </c>
      <c r="J46" s="279">
        <f t="shared" si="1"/>
        <v>0</v>
      </c>
    </row>
    <row r="47" spans="1:10" ht="15.75" thickBot="1" x14ac:dyDescent="0.3">
      <c r="A47" s="240" t="s">
        <v>172</v>
      </c>
      <c r="B47" s="205">
        <v>0</v>
      </c>
      <c r="C47" s="184">
        <v>0</v>
      </c>
      <c r="D47" s="253">
        <v>0</v>
      </c>
      <c r="E47" s="241">
        <f t="shared" si="0"/>
        <v>0</v>
      </c>
      <c r="F47" s="277" t="s">
        <v>172</v>
      </c>
      <c r="G47" s="105">
        <v>0</v>
      </c>
      <c r="H47" s="278">
        <v>0</v>
      </c>
      <c r="I47" s="256">
        <v>0</v>
      </c>
      <c r="J47" s="279">
        <f t="shared" si="1"/>
        <v>0</v>
      </c>
    </row>
    <row r="48" spans="1:10" ht="15.75" thickBot="1" x14ac:dyDescent="0.3">
      <c r="A48" s="240" t="s">
        <v>1232</v>
      </c>
      <c r="B48" s="205">
        <v>1</v>
      </c>
      <c r="C48" s="184">
        <v>0</v>
      </c>
      <c r="D48" s="253">
        <v>0</v>
      </c>
      <c r="E48" s="241">
        <f t="shared" si="0"/>
        <v>1</v>
      </c>
      <c r="F48" s="277" t="s">
        <v>1232</v>
      </c>
      <c r="G48" s="105">
        <v>23</v>
      </c>
      <c r="H48" s="278">
        <v>0</v>
      </c>
      <c r="I48" s="256">
        <v>0</v>
      </c>
      <c r="J48" s="279">
        <f t="shared" si="1"/>
        <v>23</v>
      </c>
    </row>
    <row r="49" spans="1:10" ht="15.75" thickBot="1" x14ac:dyDescent="0.3">
      <c r="A49" s="240" t="s">
        <v>209</v>
      </c>
      <c r="B49" s="205">
        <v>1</v>
      </c>
      <c r="C49" s="184">
        <v>5</v>
      </c>
      <c r="D49" s="253">
        <v>1</v>
      </c>
      <c r="E49" s="241">
        <f t="shared" si="0"/>
        <v>7</v>
      </c>
      <c r="F49" s="277" t="s">
        <v>209</v>
      </c>
      <c r="G49" s="105">
        <v>5</v>
      </c>
      <c r="H49" s="278">
        <v>67</v>
      </c>
      <c r="I49" s="256">
        <v>9</v>
      </c>
      <c r="J49" s="279">
        <f t="shared" si="1"/>
        <v>81</v>
      </c>
    </row>
    <row r="50" spans="1:10" ht="15" customHeight="1" thickBot="1" x14ac:dyDescent="0.3">
      <c r="A50" s="240" t="s">
        <v>49</v>
      </c>
      <c r="B50" s="205">
        <v>0</v>
      </c>
      <c r="C50" s="184">
        <v>1</v>
      </c>
      <c r="D50" s="253">
        <v>0</v>
      </c>
      <c r="E50" s="241">
        <f t="shared" si="0"/>
        <v>1</v>
      </c>
      <c r="F50" s="277" t="s">
        <v>49</v>
      </c>
      <c r="G50" s="105">
        <v>0</v>
      </c>
      <c r="H50" s="278">
        <v>5</v>
      </c>
      <c r="I50" s="256">
        <v>0</v>
      </c>
      <c r="J50" s="279">
        <f t="shared" si="1"/>
        <v>5</v>
      </c>
    </row>
    <row r="51" spans="1:10" ht="15.75" thickBot="1" x14ac:dyDescent="0.3">
      <c r="A51" s="240" t="s">
        <v>222</v>
      </c>
      <c r="B51" s="205">
        <v>0</v>
      </c>
      <c r="C51" s="184">
        <v>0</v>
      </c>
      <c r="D51" s="253">
        <v>0</v>
      </c>
      <c r="E51" s="241">
        <f t="shared" si="0"/>
        <v>0</v>
      </c>
      <c r="F51" s="277" t="s">
        <v>222</v>
      </c>
      <c r="G51" s="105">
        <v>0</v>
      </c>
      <c r="H51" s="278">
        <v>0</v>
      </c>
      <c r="I51" s="256">
        <v>0</v>
      </c>
      <c r="J51" s="279">
        <f t="shared" si="1"/>
        <v>0</v>
      </c>
    </row>
    <row r="52" spans="1:10" ht="15.75" thickBot="1" x14ac:dyDescent="0.3">
      <c r="A52" s="240" t="s">
        <v>72</v>
      </c>
      <c r="B52" s="205">
        <v>0</v>
      </c>
      <c r="C52" s="184">
        <v>0</v>
      </c>
      <c r="D52" s="253">
        <v>0</v>
      </c>
      <c r="E52" s="241">
        <f t="shared" si="0"/>
        <v>0</v>
      </c>
      <c r="F52" s="277" t="s">
        <v>72</v>
      </c>
      <c r="G52" s="105">
        <v>0</v>
      </c>
      <c r="H52" s="278">
        <v>0</v>
      </c>
      <c r="I52" s="256">
        <v>0</v>
      </c>
      <c r="J52" s="279">
        <f t="shared" si="1"/>
        <v>0</v>
      </c>
    </row>
    <row r="53" spans="1:10" ht="15.75" thickBot="1" x14ac:dyDescent="0.3">
      <c r="A53" s="240" t="s">
        <v>450</v>
      </c>
      <c r="B53" s="205">
        <v>1</v>
      </c>
      <c r="C53" s="184">
        <v>1</v>
      </c>
      <c r="D53" s="253">
        <v>0</v>
      </c>
      <c r="E53" s="241">
        <f t="shared" si="0"/>
        <v>2</v>
      </c>
      <c r="F53" s="277" t="s">
        <v>450</v>
      </c>
      <c r="G53" s="105">
        <v>8</v>
      </c>
      <c r="H53" s="278">
        <v>5</v>
      </c>
      <c r="I53" s="256">
        <v>4</v>
      </c>
      <c r="J53" s="279">
        <f t="shared" si="1"/>
        <v>17</v>
      </c>
    </row>
    <row r="54" spans="1:10" ht="15.75" thickBot="1" x14ac:dyDescent="0.3">
      <c r="A54" s="240" t="s">
        <v>154</v>
      </c>
      <c r="B54" s="205">
        <v>0</v>
      </c>
      <c r="C54" s="184">
        <v>0</v>
      </c>
      <c r="D54" s="253">
        <v>0</v>
      </c>
      <c r="E54" s="241">
        <f t="shared" si="0"/>
        <v>0</v>
      </c>
      <c r="F54" s="277" t="s">
        <v>154</v>
      </c>
      <c r="G54" s="105">
        <v>0</v>
      </c>
      <c r="H54" s="278">
        <v>0</v>
      </c>
      <c r="I54" s="256">
        <v>0</v>
      </c>
      <c r="J54" s="279">
        <f t="shared" si="1"/>
        <v>0</v>
      </c>
    </row>
    <row r="55" spans="1:10" ht="15.75" thickBot="1" x14ac:dyDescent="0.3">
      <c r="A55" s="240" t="s">
        <v>451</v>
      </c>
      <c r="B55" s="205">
        <v>1</v>
      </c>
      <c r="C55" s="184">
        <v>0</v>
      </c>
      <c r="D55" s="253">
        <v>0</v>
      </c>
      <c r="E55" s="241">
        <f t="shared" si="0"/>
        <v>1</v>
      </c>
      <c r="F55" s="277" t="s">
        <v>451</v>
      </c>
      <c r="G55" s="105">
        <v>5</v>
      </c>
      <c r="H55" s="278">
        <v>0</v>
      </c>
      <c r="I55" s="256">
        <v>0</v>
      </c>
      <c r="J55" s="279">
        <f t="shared" si="1"/>
        <v>5</v>
      </c>
    </row>
    <row r="56" spans="1:10" ht="15.75" thickBot="1" x14ac:dyDescent="0.3">
      <c r="A56" s="240" t="s">
        <v>250</v>
      </c>
      <c r="B56" s="205">
        <v>0</v>
      </c>
      <c r="C56" s="184">
        <v>0</v>
      </c>
      <c r="D56" s="253">
        <v>0</v>
      </c>
      <c r="E56" s="241">
        <f t="shared" si="0"/>
        <v>0</v>
      </c>
      <c r="F56" s="277" t="s">
        <v>250</v>
      </c>
      <c r="G56" s="105">
        <v>0</v>
      </c>
      <c r="H56" s="278">
        <v>0</v>
      </c>
      <c r="I56" s="256">
        <v>0</v>
      </c>
      <c r="J56" s="279">
        <f t="shared" si="1"/>
        <v>0</v>
      </c>
    </row>
    <row r="57" spans="1:10" ht="15.75" thickBot="1" x14ac:dyDescent="0.3">
      <c r="A57" s="240" t="s">
        <v>452</v>
      </c>
      <c r="B57" s="205">
        <v>1</v>
      </c>
      <c r="C57" s="184">
        <v>0</v>
      </c>
      <c r="D57" s="253">
        <v>0</v>
      </c>
      <c r="E57" s="241">
        <f t="shared" si="0"/>
        <v>1</v>
      </c>
      <c r="F57" s="277" t="s">
        <v>452</v>
      </c>
      <c r="G57" s="105">
        <v>127</v>
      </c>
      <c r="H57" s="278">
        <v>32</v>
      </c>
      <c r="I57" s="256">
        <v>10</v>
      </c>
      <c r="J57" s="279">
        <f t="shared" si="1"/>
        <v>169</v>
      </c>
    </row>
    <row r="58" spans="1:10" ht="15.75" thickBot="1" x14ac:dyDescent="0.3">
      <c r="A58" s="240" t="s">
        <v>8</v>
      </c>
      <c r="B58" s="205">
        <v>0</v>
      </c>
      <c r="C58" s="184">
        <v>0</v>
      </c>
      <c r="D58" s="253">
        <v>0</v>
      </c>
      <c r="E58" s="241">
        <f t="shared" si="0"/>
        <v>0</v>
      </c>
      <c r="F58" s="277" t="s">
        <v>8</v>
      </c>
      <c r="G58" s="105">
        <v>0</v>
      </c>
      <c r="H58" s="278">
        <v>0</v>
      </c>
      <c r="I58" s="256">
        <v>0</v>
      </c>
      <c r="J58" s="279">
        <f t="shared" si="1"/>
        <v>0</v>
      </c>
    </row>
    <row r="59" spans="1:10" ht="15.75" thickBot="1" x14ac:dyDescent="0.3">
      <c r="A59" s="240" t="s">
        <v>3</v>
      </c>
      <c r="B59" s="205">
        <f>SUM(B3:B58)</f>
        <v>46</v>
      </c>
      <c r="C59" s="184">
        <f>SUM(C3:C58)</f>
        <v>27</v>
      </c>
      <c r="D59" s="253">
        <f>SUM(D3:D58)</f>
        <v>15</v>
      </c>
      <c r="E59" s="241">
        <f t="shared" ref="E59" si="8">SUM(B59:D59)</f>
        <v>88</v>
      </c>
      <c r="F59" s="277" t="s">
        <v>3</v>
      </c>
      <c r="G59" s="105">
        <f>SUM(G3:G58)</f>
        <v>398</v>
      </c>
      <c r="H59" s="278">
        <f>SUM(H3:H58)</f>
        <v>209</v>
      </c>
      <c r="I59" s="256">
        <f>SUM(I3:I58)</f>
        <v>110</v>
      </c>
      <c r="J59" s="279">
        <f t="shared" ref="J59" si="9">SUM(G59:I59)</f>
        <v>717</v>
      </c>
    </row>
    <row r="60" spans="1:10" x14ac:dyDescent="0.25">
      <c r="B60" s="199"/>
      <c r="C60" s="91"/>
      <c r="D60" s="91"/>
      <c r="E60" s="229"/>
      <c r="F60" s="56"/>
      <c r="G60" s="227"/>
      <c r="H60" s="55"/>
      <c r="I60" s="55"/>
      <c r="J60" s="230"/>
    </row>
    <row r="61" spans="1:10" ht="15.75" thickBot="1" x14ac:dyDescent="0.3">
      <c r="A61" s="60" t="s">
        <v>39</v>
      </c>
      <c r="B61" s="199"/>
      <c r="C61" s="91"/>
      <c r="D61" s="91"/>
      <c r="E61" s="229"/>
      <c r="F61" s="51"/>
      <c r="G61" s="228"/>
      <c r="H61" s="53"/>
      <c r="I61" s="53"/>
      <c r="J61" s="52"/>
    </row>
    <row r="62" spans="1:10" ht="15.75" thickBot="1" x14ac:dyDescent="0.3">
      <c r="A62" s="237" t="s">
        <v>0</v>
      </c>
      <c r="B62" s="238" t="s">
        <v>305</v>
      </c>
      <c r="C62" s="183" t="s">
        <v>101</v>
      </c>
      <c r="D62" s="252" t="s">
        <v>306</v>
      </c>
      <c r="E62" s="239" t="s">
        <v>1</v>
      </c>
      <c r="F62" s="274" t="s">
        <v>2</v>
      </c>
      <c r="G62" s="160" t="s">
        <v>305</v>
      </c>
      <c r="H62" s="275" t="s">
        <v>101</v>
      </c>
      <c r="I62" s="260" t="s">
        <v>306</v>
      </c>
      <c r="J62" s="276" t="s">
        <v>1</v>
      </c>
    </row>
    <row r="63" spans="1:10" ht="15.75" thickBot="1" x14ac:dyDescent="0.3">
      <c r="A63" s="240" t="s">
        <v>275</v>
      </c>
      <c r="B63" s="205">
        <v>5</v>
      </c>
      <c r="C63" s="184">
        <v>4</v>
      </c>
      <c r="D63" s="253">
        <v>1</v>
      </c>
      <c r="E63" s="241">
        <f t="shared" ref="E63:E94" si="10">SUM(B63:D63)</f>
        <v>10</v>
      </c>
      <c r="F63" s="277" t="s">
        <v>452</v>
      </c>
      <c r="G63" s="105">
        <v>127</v>
      </c>
      <c r="H63" s="278">
        <v>32</v>
      </c>
      <c r="I63" s="256">
        <v>10</v>
      </c>
      <c r="J63" s="279">
        <f t="shared" ref="J63:J94" si="11">SUM(G63:I63)</f>
        <v>169</v>
      </c>
    </row>
    <row r="64" spans="1:10" ht="15.75" thickBot="1" x14ac:dyDescent="0.3">
      <c r="A64" s="240" t="s">
        <v>209</v>
      </c>
      <c r="B64" s="205">
        <v>1</v>
      </c>
      <c r="C64" s="184">
        <v>5</v>
      </c>
      <c r="D64" s="253">
        <v>1</v>
      </c>
      <c r="E64" s="241">
        <f t="shared" si="10"/>
        <v>7</v>
      </c>
      <c r="F64" s="277" t="s">
        <v>209</v>
      </c>
      <c r="G64" s="105">
        <v>5</v>
      </c>
      <c r="H64" s="278">
        <v>67</v>
      </c>
      <c r="I64" s="256">
        <v>9</v>
      </c>
      <c r="J64" s="279">
        <f t="shared" si="11"/>
        <v>81</v>
      </c>
    </row>
    <row r="65" spans="1:10" ht="15.75" thickBot="1" x14ac:dyDescent="0.3">
      <c r="A65" s="240" t="s">
        <v>180</v>
      </c>
      <c r="B65" s="205">
        <v>5</v>
      </c>
      <c r="C65" s="184">
        <v>0</v>
      </c>
      <c r="D65" s="253">
        <v>1</v>
      </c>
      <c r="E65" s="241">
        <f t="shared" si="10"/>
        <v>6</v>
      </c>
      <c r="F65" s="277" t="s">
        <v>275</v>
      </c>
      <c r="G65" s="105">
        <v>25</v>
      </c>
      <c r="H65" s="278">
        <v>20</v>
      </c>
      <c r="I65" s="256">
        <v>5</v>
      </c>
      <c r="J65" s="279">
        <f t="shared" si="11"/>
        <v>50</v>
      </c>
    </row>
    <row r="66" spans="1:10" ht="15.75" thickBot="1" x14ac:dyDescent="0.3">
      <c r="A66" s="240" t="s">
        <v>202</v>
      </c>
      <c r="B66" s="205">
        <v>5</v>
      </c>
      <c r="C66" s="184">
        <v>0</v>
      </c>
      <c r="D66" s="253">
        <v>1</v>
      </c>
      <c r="E66" s="241">
        <f t="shared" si="10"/>
        <v>6</v>
      </c>
      <c r="F66" s="277" t="s">
        <v>268</v>
      </c>
      <c r="G66" s="105">
        <v>28</v>
      </c>
      <c r="H66" s="278">
        <v>0</v>
      </c>
      <c r="I66" s="256">
        <v>15</v>
      </c>
      <c r="J66" s="279">
        <f t="shared" si="11"/>
        <v>43</v>
      </c>
    </row>
    <row r="67" spans="1:10" ht="15.75" thickBot="1" x14ac:dyDescent="0.3">
      <c r="A67" s="240" t="s">
        <v>218</v>
      </c>
      <c r="B67" s="205">
        <v>1</v>
      </c>
      <c r="C67" s="184">
        <v>1</v>
      </c>
      <c r="D67" s="253">
        <v>3</v>
      </c>
      <c r="E67" s="241">
        <f t="shared" si="10"/>
        <v>5</v>
      </c>
      <c r="F67" s="277" t="s">
        <v>180</v>
      </c>
      <c r="G67" s="105">
        <v>25</v>
      </c>
      <c r="H67" s="278">
        <v>0</v>
      </c>
      <c r="I67" s="256">
        <v>5</v>
      </c>
      <c r="J67" s="279">
        <f t="shared" si="11"/>
        <v>30</v>
      </c>
    </row>
    <row r="68" spans="1:10" ht="15.75" thickBot="1" x14ac:dyDescent="0.3">
      <c r="A68" s="240" t="s">
        <v>447</v>
      </c>
      <c r="B68" s="205">
        <v>3</v>
      </c>
      <c r="C68" s="184">
        <v>0</v>
      </c>
      <c r="D68" s="253">
        <v>1</v>
      </c>
      <c r="E68" s="241">
        <f t="shared" si="10"/>
        <v>4</v>
      </c>
      <c r="F68" s="277" t="s">
        <v>203</v>
      </c>
      <c r="G68" s="105">
        <v>25</v>
      </c>
      <c r="H68" s="278">
        <v>0</v>
      </c>
      <c r="I68" s="256">
        <v>5</v>
      </c>
      <c r="J68" s="279">
        <f t="shared" si="11"/>
        <v>30</v>
      </c>
    </row>
    <row r="69" spans="1:10" ht="15.75" thickBot="1" x14ac:dyDescent="0.3">
      <c r="A69" s="240" t="s">
        <v>885</v>
      </c>
      <c r="B69" s="205">
        <v>3</v>
      </c>
      <c r="C69" s="184">
        <v>1</v>
      </c>
      <c r="D69" s="253">
        <v>0</v>
      </c>
      <c r="E69" s="241">
        <f t="shared" si="10"/>
        <v>4</v>
      </c>
      <c r="F69" s="277" t="s">
        <v>218</v>
      </c>
      <c r="G69" s="105">
        <v>5</v>
      </c>
      <c r="H69" s="278">
        <v>5</v>
      </c>
      <c r="I69" s="256">
        <v>15</v>
      </c>
      <c r="J69" s="279">
        <f t="shared" si="11"/>
        <v>25</v>
      </c>
    </row>
    <row r="70" spans="1:10" ht="15.75" thickBot="1" x14ac:dyDescent="0.3">
      <c r="A70" s="240" t="s">
        <v>1069</v>
      </c>
      <c r="B70" s="205">
        <v>1</v>
      </c>
      <c r="C70" s="184">
        <v>3</v>
      </c>
      <c r="D70" s="253">
        <v>0</v>
      </c>
      <c r="E70" s="241">
        <f t="shared" si="10"/>
        <v>4</v>
      </c>
      <c r="F70" s="277" t="s">
        <v>1232</v>
      </c>
      <c r="G70" s="105">
        <v>23</v>
      </c>
      <c r="H70" s="278">
        <v>0</v>
      </c>
      <c r="I70" s="256">
        <v>0</v>
      </c>
      <c r="J70" s="279">
        <f t="shared" si="11"/>
        <v>23</v>
      </c>
    </row>
    <row r="71" spans="1:10" ht="15.75" thickBot="1" x14ac:dyDescent="0.3">
      <c r="A71" s="240" t="s">
        <v>96</v>
      </c>
      <c r="B71" s="205">
        <v>3</v>
      </c>
      <c r="C71" s="184">
        <v>0</v>
      </c>
      <c r="D71" s="253">
        <v>1</v>
      </c>
      <c r="E71" s="241">
        <f t="shared" si="10"/>
        <v>4</v>
      </c>
      <c r="F71" s="277" t="s">
        <v>447</v>
      </c>
      <c r="G71" s="105">
        <v>15</v>
      </c>
      <c r="H71" s="278">
        <v>0</v>
      </c>
      <c r="I71" s="256">
        <v>5</v>
      </c>
      <c r="J71" s="279">
        <f t="shared" si="11"/>
        <v>20</v>
      </c>
    </row>
    <row r="72" spans="1:10" ht="15.75" thickBot="1" x14ac:dyDescent="0.3">
      <c r="A72" s="240" t="s">
        <v>170</v>
      </c>
      <c r="B72" s="205">
        <v>1</v>
      </c>
      <c r="C72" s="184">
        <v>2</v>
      </c>
      <c r="D72" s="253">
        <v>1</v>
      </c>
      <c r="E72" s="241">
        <f t="shared" si="10"/>
        <v>4</v>
      </c>
      <c r="F72" s="277" t="s">
        <v>885</v>
      </c>
      <c r="G72" s="105">
        <v>15</v>
      </c>
      <c r="H72" s="278">
        <v>5</v>
      </c>
      <c r="I72" s="256">
        <v>0</v>
      </c>
      <c r="J72" s="279">
        <f t="shared" si="11"/>
        <v>20</v>
      </c>
    </row>
    <row r="73" spans="1:10" ht="15.75" thickBot="1" x14ac:dyDescent="0.3">
      <c r="A73" s="240" t="s">
        <v>1258</v>
      </c>
      <c r="B73" s="205">
        <v>4</v>
      </c>
      <c r="C73" s="184">
        <v>0</v>
      </c>
      <c r="D73" s="253">
        <v>0</v>
      </c>
      <c r="E73" s="241">
        <f t="shared" si="10"/>
        <v>4</v>
      </c>
      <c r="F73" s="277" t="s">
        <v>1069</v>
      </c>
      <c r="G73" s="105">
        <v>5</v>
      </c>
      <c r="H73" s="278">
        <v>15</v>
      </c>
      <c r="I73" s="256">
        <v>0</v>
      </c>
      <c r="J73" s="279">
        <f t="shared" si="11"/>
        <v>20</v>
      </c>
    </row>
    <row r="74" spans="1:10" ht="15.75" thickBot="1" x14ac:dyDescent="0.3">
      <c r="A74" s="240" t="s">
        <v>448</v>
      </c>
      <c r="B74" s="205">
        <v>2</v>
      </c>
      <c r="C74" s="184">
        <v>0</v>
      </c>
      <c r="D74" s="253">
        <v>0</v>
      </c>
      <c r="E74" s="241">
        <f t="shared" si="10"/>
        <v>2</v>
      </c>
      <c r="F74" s="277" t="s">
        <v>96</v>
      </c>
      <c r="G74" s="105">
        <v>15</v>
      </c>
      <c r="H74" s="278">
        <v>0</v>
      </c>
      <c r="I74" s="256">
        <v>5</v>
      </c>
      <c r="J74" s="279">
        <f t="shared" si="11"/>
        <v>20</v>
      </c>
    </row>
    <row r="75" spans="1:10" ht="15.75" thickBot="1" x14ac:dyDescent="0.3">
      <c r="A75" s="240" t="s">
        <v>1105</v>
      </c>
      <c r="B75" s="205">
        <v>2</v>
      </c>
      <c r="C75" s="184">
        <v>0</v>
      </c>
      <c r="D75" s="253">
        <v>0</v>
      </c>
      <c r="E75" s="241">
        <f t="shared" si="10"/>
        <v>2</v>
      </c>
      <c r="F75" s="277" t="s">
        <v>170</v>
      </c>
      <c r="G75" s="105">
        <v>5</v>
      </c>
      <c r="H75" s="278">
        <v>10</v>
      </c>
      <c r="I75" s="256">
        <v>5</v>
      </c>
      <c r="J75" s="279">
        <f t="shared" si="11"/>
        <v>20</v>
      </c>
    </row>
    <row r="76" spans="1:10" ht="15.75" thickBot="1" x14ac:dyDescent="0.3">
      <c r="A76" s="240" t="s">
        <v>1071</v>
      </c>
      <c r="B76" s="205">
        <v>0</v>
      </c>
      <c r="C76" s="184">
        <v>2</v>
      </c>
      <c r="D76" s="253">
        <v>0</v>
      </c>
      <c r="E76" s="241">
        <f t="shared" si="10"/>
        <v>2</v>
      </c>
      <c r="F76" s="277" t="s">
        <v>1258</v>
      </c>
      <c r="G76" s="105">
        <v>20</v>
      </c>
      <c r="H76" s="278">
        <v>0</v>
      </c>
      <c r="I76" s="256">
        <v>0</v>
      </c>
      <c r="J76" s="279">
        <f t="shared" si="11"/>
        <v>20</v>
      </c>
    </row>
    <row r="77" spans="1:10" ht="15.75" thickBot="1" x14ac:dyDescent="0.3">
      <c r="A77" s="240" t="s">
        <v>55</v>
      </c>
      <c r="B77" s="205">
        <v>0</v>
      </c>
      <c r="C77" s="184">
        <v>1</v>
      </c>
      <c r="D77" s="253">
        <v>1</v>
      </c>
      <c r="E77" s="241">
        <f t="shared" si="10"/>
        <v>2</v>
      </c>
      <c r="F77" s="277" t="s">
        <v>450</v>
      </c>
      <c r="G77" s="105">
        <v>8</v>
      </c>
      <c r="H77" s="278">
        <v>5</v>
      </c>
      <c r="I77" s="256">
        <v>4</v>
      </c>
      <c r="J77" s="279">
        <f t="shared" si="11"/>
        <v>17</v>
      </c>
    </row>
    <row r="78" spans="1:10" ht="15.75" thickBot="1" x14ac:dyDescent="0.3">
      <c r="A78" s="240" t="s">
        <v>1192</v>
      </c>
      <c r="B78" s="205">
        <v>2</v>
      </c>
      <c r="C78" s="184">
        <v>0</v>
      </c>
      <c r="D78" s="253">
        <v>0</v>
      </c>
      <c r="E78" s="241">
        <f t="shared" si="10"/>
        <v>2</v>
      </c>
      <c r="F78" s="277" t="s">
        <v>6</v>
      </c>
      <c r="G78" s="105">
        <v>7</v>
      </c>
      <c r="H78" s="278">
        <v>0</v>
      </c>
      <c r="I78" s="256">
        <v>7</v>
      </c>
      <c r="J78" s="279">
        <f t="shared" si="11"/>
        <v>14</v>
      </c>
    </row>
    <row r="79" spans="1:10" ht="15.75" thickBot="1" x14ac:dyDescent="0.3">
      <c r="A79" s="240" t="s">
        <v>6</v>
      </c>
      <c r="B79" s="205">
        <v>1</v>
      </c>
      <c r="C79" s="184">
        <v>0</v>
      </c>
      <c r="D79" s="253">
        <v>1</v>
      </c>
      <c r="E79" s="241">
        <f t="shared" si="10"/>
        <v>2</v>
      </c>
      <c r="F79" s="277" t="s">
        <v>448</v>
      </c>
      <c r="G79" s="105">
        <v>10</v>
      </c>
      <c r="H79" s="278">
        <v>0</v>
      </c>
      <c r="I79" s="256">
        <v>0</v>
      </c>
      <c r="J79" s="279">
        <f t="shared" si="11"/>
        <v>10</v>
      </c>
    </row>
    <row r="80" spans="1:10" ht="15.75" thickBot="1" x14ac:dyDescent="0.3">
      <c r="A80" s="240" t="s">
        <v>450</v>
      </c>
      <c r="B80" s="205">
        <v>1</v>
      </c>
      <c r="C80" s="184">
        <v>1</v>
      </c>
      <c r="D80" s="253">
        <v>0</v>
      </c>
      <c r="E80" s="241">
        <f t="shared" si="10"/>
        <v>2</v>
      </c>
      <c r="F80" s="277" t="s">
        <v>1105</v>
      </c>
      <c r="G80" s="105">
        <v>10</v>
      </c>
      <c r="H80" s="278">
        <v>0</v>
      </c>
      <c r="I80" s="256">
        <v>0</v>
      </c>
      <c r="J80" s="279">
        <f t="shared" si="11"/>
        <v>10</v>
      </c>
    </row>
    <row r="81" spans="1:10" ht="15.75" thickBot="1" x14ac:dyDescent="0.3">
      <c r="A81" s="240" t="s">
        <v>166</v>
      </c>
      <c r="B81" s="205">
        <v>1</v>
      </c>
      <c r="C81" s="184">
        <v>0</v>
      </c>
      <c r="D81" s="253">
        <v>0</v>
      </c>
      <c r="E81" s="241">
        <f t="shared" si="10"/>
        <v>1</v>
      </c>
      <c r="F81" s="277" t="s">
        <v>1071</v>
      </c>
      <c r="G81" s="105">
        <v>0</v>
      </c>
      <c r="H81" s="278">
        <v>10</v>
      </c>
      <c r="I81" s="256">
        <v>0</v>
      </c>
      <c r="J81" s="279">
        <f t="shared" si="11"/>
        <v>10</v>
      </c>
    </row>
    <row r="82" spans="1:10" ht="15.75" thickBot="1" x14ac:dyDescent="0.3">
      <c r="A82" s="240" t="s">
        <v>301</v>
      </c>
      <c r="B82" s="205">
        <v>0</v>
      </c>
      <c r="C82" s="184">
        <v>1</v>
      </c>
      <c r="D82" s="253">
        <v>0</v>
      </c>
      <c r="E82" s="241">
        <f t="shared" si="10"/>
        <v>1</v>
      </c>
      <c r="F82" s="277" t="s">
        <v>55</v>
      </c>
      <c r="G82" s="105">
        <v>0</v>
      </c>
      <c r="H82" s="278">
        <v>5</v>
      </c>
      <c r="I82" s="256">
        <v>5</v>
      </c>
      <c r="J82" s="279">
        <f t="shared" si="11"/>
        <v>10</v>
      </c>
    </row>
    <row r="83" spans="1:10" ht="15.75" thickBot="1" x14ac:dyDescent="0.3">
      <c r="A83" s="240" t="s">
        <v>813</v>
      </c>
      <c r="B83" s="205">
        <v>0</v>
      </c>
      <c r="C83" s="184">
        <v>1</v>
      </c>
      <c r="D83" s="253">
        <v>0</v>
      </c>
      <c r="E83" s="241">
        <f t="shared" si="10"/>
        <v>1</v>
      </c>
      <c r="F83" s="277" t="s">
        <v>1192</v>
      </c>
      <c r="G83" s="105">
        <v>10</v>
      </c>
      <c r="H83" s="278">
        <v>0</v>
      </c>
      <c r="I83" s="256">
        <v>0</v>
      </c>
      <c r="J83" s="279">
        <f t="shared" si="11"/>
        <v>10</v>
      </c>
    </row>
    <row r="84" spans="1:10" ht="15.75" thickBot="1" x14ac:dyDescent="0.3">
      <c r="A84" s="240" t="s">
        <v>1160</v>
      </c>
      <c r="B84" s="205">
        <v>1</v>
      </c>
      <c r="C84" s="184">
        <v>0</v>
      </c>
      <c r="D84" s="253">
        <v>0</v>
      </c>
      <c r="E84" s="241">
        <f t="shared" si="10"/>
        <v>1</v>
      </c>
      <c r="F84" s="277" t="s">
        <v>166</v>
      </c>
      <c r="G84" s="105">
        <v>5</v>
      </c>
      <c r="H84" s="278">
        <v>0</v>
      </c>
      <c r="I84" s="256">
        <v>0</v>
      </c>
      <c r="J84" s="279">
        <f t="shared" si="11"/>
        <v>5</v>
      </c>
    </row>
    <row r="85" spans="1:10" ht="15.75" thickBot="1" x14ac:dyDescent="0.3">
      <c r="A85" s="240" t="s">
        <v>449</v>
      </c>
      <c r="B85" s="205">
        <v>0</v>
      </c>
      <c r="C85" s="184">
        <v>1</v>
      </c>
      <c r="D85" s="253">
        <v>0</v>
      </c>
      <c r="E85" s="241">
        <f t="shared" si="10"/>
        <v>1</v>
      </c>
      <c r="F85" s="277" t="s">
        <v>301</v>
      </c>
      <c r="G85" s="105">
        <v>0</v>
      </c>
      <c r="H85" s="278">
        <v>5</v>
      </c>
      <c r="I85" s="256">
        <v>0</v>
      </c>
      <c r="J85" s="279">
        <f t="shared" si="11"/>
        <v>5</v>
      </c>
    </row>
    <row r="86" spans="1:10" ht="15.75" thickBot="1" x14ac:dyDescent="0.3">
      <c r="A86" s="240" t="s">
        <v>972</v>
      </c>
      <c r="B86" s="205">
        <v>0</v>
      </c>
      <c r="C86" s="184">
        <v>0</v>
      </c>
      <c r="D86" s="253">
        <v>1</v>
      </c>
      <c r="E86" s="241">
        <f t="shared" si="10"/>
        <v>1</v>
      </c>
      <c r="F86" s="277" t="s">
        <v>813</v>
      </c>
      <c r="G86" s="105">
        <v>0</v>
      </c>
      <c r="H86" s="278">
        <v>5</v>
      </c>
      <c r="I86" s="256">
        <v>0</v>
      </c>
      <c r="J86" s="279">
        <f t="shared" si="11"/>
        <v>5</v>
      </c>
    </row>
    <row r="87" spans="1:10" ht="15.75" thickBot="1" x14ac:dyDescent="0.3">
      <c r="A87" s="240" t="s">
        <v>268</v>
      </c>
      <c r="B87" s="205">
        <v>1</v>
      </c>
      <c r="C87" s="184">
        <v>0</v>
      </c>
      <c r="D87" s="253">
        <v>0</v>
      </c>
      <c r="E87" s="241">
        <f t="shared" si="10"/>
        <v>1</v>
      </c>
      <c r="F87" s="277" t="s">
        <v>1160</v>
      </c>
      <c r="G87" s="105">
        <v>5</v>
      </c>
      <c r="H87" s="278">
        <v>0</v>
      </c>
      <c r="I87" s="256">
        <v>0</v>
      </c>
      <c r="J87" s="279">
        <f t="shared" si="11"/>
        <v>5</v>
      </c>
    </row>
    <row r="88" spans="1:10" ht="15.75" thickBot="1" x14ac:dyDescent="0.3">
      <c r="A88" s="240" t="s">
        <v>74</v>
      </c>
      <c r="B88" s="205">
        <v>0</v>
      </c>
      <c r="C88" s="184">
        <v>1</v>
      </c>
      <c r="D88" s="253">
        <v>0</v>
      </c>
      <c r="E88" s="241">
        <f t="shared" si="10"/>
        <v>1</v>
      </c>
      <c r="F88" s="277" t="s">
        <v>449</v>
      </c>
      <c r="G88" s="105">
        <v>0</v>
      </c>
      <c r="H88" s="278">
        <v>5</v>
      </c>
      <c r="I88" s="256">
        <v>0</v>
      </c>
      <c r="J88" s="279">
        <f t="shared" si="11"/>
        <v>5</v>
      </c>
    </row>
    <row r="89" spans="1:10" ht="15.75" thickBot="1" x14ac:dyDescent="0.3">
      <c r="A89" s="240" t="s">
        <v>971</v>
      </c>
      <c r="B89" s="205">
        <v>0</v>
      </c>
      <c r="C89" s="184">
        <v>0</v>
      </c>
      <c r="D89" s="253">
        <v>1</v>
      </c>
      <c r="E89" s="241">
        <f t="shared" si="10"/>
        <v>1</v>
      </c>
      <c r="F89" s="277" t="s">
        <v>972</v>
      </c>
      <c r="G89" s="105">
        <v>0</v>
      </c>
      <c r="H89" s="278">
        <v>0</v>
      </c>
      <c r="I89" s="256">
        <v>5</v>
      </c>
      <c r="J89" s="279">
        <f t="shared" si="11"/>
        <v>5</v>
      </c>
    </row>
    <row r="90" spans="1:10" ht="15.75" thickBot="1" x14ac:dyDescent="0.3">
      <c r="A90" s="240" t="s">
        <v>817</v>
      </c>
      <c r="B90" s="205">
        <v>0</v>
      </c>
      <c r="C90" s="184">
        <v>0</v>
      </c>
      <c r="D90" s="253">
        <v>1</v>
      </c>
      <c r="E90" s="241">
        <f t="shared" si="10"/>
        <v>1</v>
      </c>
      <c r="F90" s="277" t="s">
        <v>74</v>
      </c>
      <c r="G90" s="105">
        <v>0</v>
      </c>
      <c r="H90" s="278">
        <v>5</v>
      </c>
      <c r="I90" s="256">
        <v>0</v>
      </c>
      <c r="J90" s="279">
        <f t="shared" si="11"/>
        <v>5</v>
      </c>
    </row>
    <row r="91" spans="1:10" ht="15.75" thickBot="1" x14ac:dyDescent="0.3">
      <c r="A91" s="240" t="s">
        <v>1073</v>
      </c>
      <c r="B91" s="205">
        <v>0</v>
      </c>
      <c r="C91" s="184">
        <v>1</v>
      </c>
      <c r="D91" s="253">
        <v>0</v>
      </c>
      <c r="E91" s="241">
        <f t="shared" si="10"/>
        <v>1</v>
      </c>
      <c r="F91" s="277" t="s">
        <v>971</v>
      </c>
      <c r="G91" s="105">
        <v>0</v>
      </c>
      <c r="H91" s="278">
        <v>0</v>
      </c>
      <c r="I91" s="256">
        <v>5</v>
      </c>
      <c r="J91" s="279">
        <f t="shared" si="11"/>
        <v>5</v>
      </c>
    </row>
    <row r="92" spans="1:10" ht="15.75" thickBot="1" x14ac:dyDescent="0.3">
      <c r="A92" s="240" t="s">
        <v>1074</v>
      </c>
      <c r="B92" s="205">
        <v>0</v>
      </c>
      <c r="C92" s="184">
        <v>1</v>
      </c>
      <c r="D92" s="253">
        <v>0</v>
      </c>
      <c r="E92" s="241">
        <f t="shared" si="10"/>
        <v>1</v>
      </c>
      <c r="F92" s="277" t="s">
        <v>817</v>
      </c>
      <c r="G92" s="105">
        <v>0</v>
      </c>
      <c r="H92" s="278">
        <v>0</v>
      </c>
      <c r="I92" s="256">
        <v>5</v>
      </c>
      <c r="J92" s="279">
        <f t="shared" si="11"/>
        <v>5</v>
      </c>
    </row>
    <row r="93" spans="1:10" ht="15.75" thickBot="1" x14ac:dyDescent="0.3">
      <c r="A93" s="240" t="s">
        <v>1232</v>
      </c>
      <c r="B93" s="205">
        <v>1</v>
      </c>
      <c r="C93" s="184">
        <v>0</v>
      </c>
      <c r="D93" s="253">
        <v>0</v>
      </c>
      <c r="E93" s="241">
        <f t="shared" si="10"/>
        <v>1</v>
      </c>
      <c r="F93" s="277" t="s">
        <v>1073</v>
      </c>
      <c r="G93" s="105">
        <v>0</v>
      </c>
      <c r="H93" s="278">
        <v>5</v>
      </c>
      <c r="I93" s="256">
        <v>0</v>
      </c>
      <c r="J93" s="279">
        <f t="shared" si="11"/>
        <v>5</v>
      </c>
    </row>
    <row r="94" spans="1:10" ht="15.75" thickBot="1" x14ac:dyDescent="0.3">
      <c r="A94" s="240" t="s">
        <v>49</v>
      </c>
      <c r="B94" s="205">
        <v>0</v>
      </c>
      <c r="C94" s="184">
        <v>1</v>
      </c>
      <c r="D94" s="253">
        <v>0</v>
      </c>
      <c r="E94" s="241">
        <f t="shared" si="10"/>
        <v>1</v>
      </c>
      <c r="F94" s="277" t="s">
        <v>1074</v>
      </c>
      <c r="G94" s="105">
        <v>0</v>
      </c>
      <c r="H94" s="278">
        <v>5</v>
      </c>
      <c r="I94" s="256">
        <v>0</v>
      </c>
      <c r="J94" s="279">
        <f t="shared" si="11"/>
        <v>5</v>
      </c>
    </row>
    <row r="95" spans="1:10" ht="15.75" thickBot="1" x14ac:dyDescent="0.3">
      <c r="A95" s="240" t="s">
        <v>451</v>
      </c>
      <c r="B95" s="205">
        <v>1</v>
      </c>
      <c r="C95" s="184">
        <v>0</v>
      </c>
      <c r="D95" s="253">
        <v>0</v>
      </c>
      <c r="E95" s="241">
        <f t="shared" ref="E95:E118" si="12">SUM(B95:D95)</f>
        <v>1</v>
      </c>
      <c r="F95" s="277" t="s">
        <v>49</v>
      </c>
      <c r="G95" s="105">
        <v>0</v>
      </c>
      <c r="H95" s="278">
        <v>5</v>
      </c>
      <c r="I95" s="256">
        <v>0</v>
      </c>
      <c r="J95" s="279">
        <f t="shared" ref="J95:J118" si="13">SUM(G95:I95)</f>
        <v>5</v>
      </c>
    </row>
    <row r="96" spans="1:10" ht="15.75" thickBot="1" x14ac:dyDescent="0.3">
      <c r="A96" s="240" t="s">
        <v>452</v>
      </c>
      <c r="B96" s="205">
        <v>1</v>
      </c>
      <c r="C96" s="184">
        <v>0</v>
      </c>
      <c r="D96" s="253">
        <v>0</v>
      </c>
      <c r="E96" s="241">
        <f t="shared" si="12"/>
        <v>1</v>
      </c>
      <c r="F96" s="277" t="s">
        <v>451</v>
      </c>
      <c r="G96" s="105">
        <v>5</v>
      </c>
      <c r="H96" s="278">
        <v>0</v>
      </c>
      <c r="I96" s="256">
        <v>0</v>
      </c>
      <c r="J96" s="279">
        <f t="shared" si="13"/>
        <v>5</v>
      </c>
    </row>
    <row r="97" spans="1:10" ht="15.75" thickBot="1" x14ac:dyDescent="0.3">
      <c r="A97" s="240" t="s">
        <v>72</v>
      </c>
      <c r="B97" s="205">
        <v>0</v>
      </c>
      <c r="C97" s="184">
        <v>0</v>
      </c>
      <c r="D97" s="253">
        <v>0</v>
      </c>
      <c r="E97" s="241">
        <f t="shared" si="12"/>
        <v>0</v>
      </c>
      <c r="F97" s="277" t="s">
        <v>72</v>
      </c>
      <c r="G97" s="105">
        <v>0</v>
      </c>
      <c r="H97" s="278">
        <v>0</v>
      </c>
      <c r="I97" s="256">
        <v>0</v>
      </c>
      <c r="J97" s="279">
        <f t="shared" si="13"/>
        <v>0</v>
      </c>
    </row>
    <row r="98" spans="1:10" ht="15.75" thickBot="1" x14ac:dyDescent="0.3">
      <c r="A98" s="240" t="s">
        <v>72</v>
      </c>
      <c r="B98" s="205">
        <v>0</v>
      </c>
      <c r="C98" s="184">
        <v>0</v>
      </c>
      <c r="D98" s="253">
        <v>0</v>
      </c>
      <c r="E98" s="241">
        <f t="shared" si="12"/>
        <v>0</v>
      </c>
      <c r="F98" s="277" t="s">
        <v>72</v>
      </c>
      <c r="G98" s="105">
        <v>0</v>
      </c>
      <c r="H98" s="278">
        <v>0</v>
      </c>
      <c r="I98" s="256">
        <v>0</v>
      </c>
      <c r="J98" s="279">
        <f t="shared" si="13"/>
        <v>0</v>
      </c>
    </row>
    <row r="99" spans="1:10" ht="15.75" thickBot="1" x14ac:dyDescent="0.3">
      <c r="A99" s="240" t="s">
        <v>167</v>
      </c>
      <c r="B99" s="205">
        <v>0</v>
      </c>
      <c r="C99" s="184">
        <v>0</v>
      </c>
      <c r="D99" s="253">
        <v>0</v>
      </c>
      <c r="E99" s="241">
        <f t="shared" si="12"/>
        <v>0</v>
      </c>
      <c r="F99" s="277" t="s">
        <v>167</v>
      </c>
      <c r="G99" s="105">
        <v>0</v>
      </c>
      <c r="H99" s="278">
        <v>0</v>
      </c>
      <c r="I99" s="256">
        <v>0</v>
      </c>
      <c r="J99" s="279">
        <f t="shared" si="13"/>
        <v>0</v>
      </c>
    </row>
    <row r="100" spans="1:10" ht="15.75" thickBot="1" x14ac:dyDescent="0.3">
      <c r="A100" s="240" t="s">
        <v>72</v>
      </c>
      <c r="B100" s="205">
        <v>0</v>
      </c>
      <c r="C100" s="184">
        <v>0</v>
      </c>
      <c r="D100" s="253">
        <v>0</v>
      </c>
      <c r="E100" s="241">
        <f t="shared" si="12"/>
        <v>0</v>
      </c>
      <c r="F100" s="277" t="s">
        <v>72</v>
      </c>
      <c r="G100" s="105">
        <v>0</v>
      </c>
      <c r="H100" s="278">
        <v>0</v>
      </c>
      <c r="I100" s="256">
        <v>0</v>
      </c>
      <c r="J100" s="279">
        <f t="shared" si="13"/>
        <v>0</v>
      </c>
    </row>
    <row r="101" spans="1:10" ht="15.75" thickBot="1" x14ac:dyDescent="0.3">
      <c r="A101" s="240" t="s">
        <v>446</v>
      </c>
      <c r="B101" s="205">
        <v>0</v>
      </c>
      <c r="C101" s="184">
        <v>0</v>
      </c>
      <c r="D101" s="253">
        <v>0</v>
      </c>
      <c r="E101" s="241">
        <f t="shared" si="12"/>
        <v>0</v>
      </c>
      <c r="F101" s="277" t="s">
        <v>446</v>
      </c>
      <c r="G101" s="105">
        <v>0</v>
      </c>
      <c r="H101" s="278">
        <v>0</v>
      </c>
      <c r="I101" s="256">
        <v>0</v>
      </c>
      <c r="J101" s="279">
        <f t="shared" si="13"/>
        <v>0</v>
      </c>
    </row>
    <row r="102" spans="1:10" ht="15.75" thickBot="1" x14ac:dyDescent="0.3">
      <c r="A102" s="240" t="s">
        <v>168</v>
      </c>
      <c r="B102" s="205">
        <v>0</v>
      </c>
      <c r="C102" s="184">
        <v>0</v>
      </c>
      <c r="D102" s="253">
        <v>0</v>
      </c>
      <c r="E102" s="241">
        <f t="shared" si="12"/>
        <v>0</v>
      </c>
      <c r="F102" s="277" t="s">
        <v>168</v>
      </c>
      <c r="G102" s="105">
        <v>0</v>
      </c>
      <c r="H102" s="278">
        <v>0</v>
      </c>
      <c r="I102" s="256">
        <v>0</v>
      </c>
      <c r="J102" s="279">
        <f t="shared" si="13"/>
        <v>0</v>
      </c>
    </row>
    <row r="103" spans="1:10" ht="15.75" thickBot="1" x14ac:dyDescent="0.3">
      <c r="A103" s="240" t="s">
        <v>811</v>
      </c>
      <c r="B103" s="205">
        <v>0</v>
      </c>
      <c r="C103" s="184">
        <v>0</v>
      </c>
      <c r="D103" s="253">
        <v>0</v>
      </c>
      <c r="E103" s="241">
        <f t="shared" si="12"/>
        <v>0</v>
      </c>
      <c r="F103" s="277" t="s">
        <v>811</v>
      </c>
      <c r="G103" s="105">
        <v>0</v>
      </c>
      <c r="H103" s="278">
        <v>0</v>
      </c>
      <c r="I103" s="256">
        <v>0</v>
      </c>
      <c r="J103" s="279">
        <f t="shared" si="13"/>
        <v>0</v>
      </c>
    </row>
    <row r="104" spans="1:10" ht="15.75" thickBot="1" x14ac:dyDescent="0.3">
      <c r="A104" s="240" t="s">
        <v>72</v>
      </c>
      <c r="B104" s="205">
        <v>0</v>
      </c>
      <c r="C104" s="184">
        <v>0</v>
      </c>
      <c r="D104" s="253">
        <v>0</v>
      </c>
      <c r="E104" s="241">
        <f t="shared" si="12"/>
        <v>0</v>
      </c>
      <c r="F104" s="277" t="s">
        <v>72</v>
      </c>
      <c r="G104" s="105">
        <v>0</v>
      </c>
      <c r="H104" s="278">
        <v>0</v>
      </c>
      <c r="I104" s="256">
        <v>0</v>
      </c>
      <c r="J104" s="279">
        <f t="shared" si="13"/>
        <v>0</v>
      </c>
    </row>
    <row r="105" spans="1:10" ht="15.75" thickBot="1" x14ac:dyDescent="0.3">
      <c r="A105" s="240" t="s">
        <v>169</v>
      </c>
      <c r="B105" s="205">
        <v>0</v>
      </c>
      <c r="C105" s="184">
        <v>0</v>
      </c>
      <c r="D105" s="253">
        <v>0</v>
      </c>
      <c r="E105" s="241">
        <f t="shared" si="12"/>
        <v>0</v>
      </c>
      <c r="F105" s="277" t="s">
        <v>169</v>
      </c>
      <c r="G105" s="105">
        <v>0</v>
      </c>
      <c r="H105" s="278">
        <v>0</v>
      </c>
      <c r="I105" s="256">
        <v>0</v>
      </c>
      <c r="J105" s="279">
        <f t="shared" si="13"/>
        <v>0</v>
      </c>
    </row>
    <row r="106" spans="1:10" ht="15.75" thickBot="1" x14ac:dyDescent="0.3">
      <c r="A106" s="240" t="s">
        <v>72</v>
      </c>
      <c r="B106" s="205">
        <v>0</v>
      </c>
      <c r="C106" s="184">
        <v>0</v>
      </c>
      <c r="D106" s="253">
        <v>0</v>
      </c>
      <c r="E106" s="241">
        <f t="shared" si="12"/>
        <v>0</v>
      </c>
      <c r="F106" s="277" t="s">
        <v>72</v>
      </c>
      <c r="G106" s="105">
        <v>0</v>
      </c>
      <c r="H106" s="278">
        <v>0</v>
      </c>
      <c r="I106" s="256">
        <v>0</v>
      </c>
      <c r="J106" s="279">
        <f t="shared" si="13"/>
        <v>0</v>
      </c>
    </row>
    <row r="107" spans="1:10" ht="15.75" thickBot="1" x14ac:dyDescent="0.3">
      <c r="A107" s="240" t="s">
        <v>85</v>
      </c>
      <c r="B107" s="205">
        <v>0</v>
      </c>
      <c r="C107" s="184">
        <v>0</v>
      </c>
      <c r="D107" s="253">
        <v>0</v>
      </c>
      <c r="E107" s="241">
        <f t="shared" si="12"/>
        <v>0</v>
      </c>
      <c r="F107" s="277" t="s">
        <v>85</v>
      </c>
      <c r="G107" s="105">
        <v>0</v>
      </c>
      <c r="H107" s="278">
        <v>0</v>
      </c>
      <c r="I107" s="256">
        <v>0</v>
      </c>
      <c r="J107" s="279">
        <f t="shared" si="13"/>
        <v>0</v>
      </c>
    </row>
    <row r="108" spans="1:10" ht="15.75" thickBot="1" x14ac:dyDescent="0.3">
      <c r="A108" s="240" t="s">
        <v>815</v>
      </c>
      <c r="B108" s="205">
        <v>0</v>
      </c>
      <c r="C108" s="184">
        <v>0</v>
      </c>
      <c r="D108" s="253">
        <v>0</v>
      </c>
      <c r="E108" s="241">
        <f t="shared" si="12"/>
        <v>0</v>
      </c>
      <c r="F108" s="277" t="s">
        <v>815</v>
      </c>
      <c r="G108" s="105">
        <v>0</v>
      </c>
      <c r="H108" s="278">
        <v>0</v>
      </c>
      <c r="I108" s="256">
        <v>0</v>
      </c>
      <c r="J108" s="279">
        <f t="shared" si="13"/>
        <v>0</v>
      </c>
    </row>
    <row r="109" spans="1:10" ht="15.75" thickBot="1" x14ac:dyDescent="0.3">
      <c r="A109" s="240" t="s">
        <v>72</v>
      </c>
      <c r="B109" s="205">
        <v>0</v>
      </c>
      <c r="C109" s="184">
        <v>0</v>
      </c>
      <c r="D109" s="253">
        <v>0</v>
      </c>
      <c r="E109" s="241">
        <f t="shared" si="12"/>
        <v>0</v>
      </c>
      <c r="F109" s="277" t="s">
        <v>72</v>
      </c>
      <c r="G109" s="105">
        <v>0</v>
      </c>
      <c r="H109" s="278">
        <v>0</v>
      </c>
      <c r="I109" s="256">
        <v>0</v>
      </c>
      <c r="J109" s="279">
        <f t="shared" si="13"/>
        <v>0</v>
      </c>
    </row>
    <row r="110" spans="1:10" ht="15.75" thickBot="1" x14ac:dyDescent="0.3">
      <c r="A110" s="240" t="s">
        <v>171</v>
      </c>
      <c r="B110" s="205">
        <v>0</v>
      </c>
      <c r="C110" s="184">
        <v>0</v>
      </c>
      <c r="D110" s="253">
        <v>0</v>
      </c>
      <c r="E110" s="241">
        <f t="shared" si="12"/>
        <v>0</v>
      </c>
      <c r="F110" s="277" t="s">
        <v>171</v>
      </c>
      <c r="G110" s="105">
        <v>0</v>
      </c>
      <c r="H110" s="278">
        <v>0</v>
      </c>
      <c r="I110" s="256">
        <v>0</v>
      </c>
      <c r="J110" s="279">
        <f t="shared" si="13"/>
        <v>0</v>
      </c>
    </row>
    <row r="111" spans="1:10" ht="15.75" thickBot="1" x14ac:dyDescent="0.3">
      <c r="A111" s="240" t="s">
        <v>72</v>
      </c>
      <c r="B111" s="205">
        <v>0</v>
      </c>
      <c r="C111" s="184">
        <v>0</v>
      </c>
      <c r="D111" s="253">
        <v>0</v>
      </c>
      <c r="E111" s="241">
        <f t="shared" si="12"/>
        <v>0</v>
      </c>
      <c r="F111" s="277" t="s">
        <v>72</v>
      </c>
      <c r="G111" s="105">
        <v>0</v>
      </c>
      <c r="H111" s="278">
        <v>0</v>
      </c>
      <c r="I111" s="256">
        <v>0</v>
      </c>
      <c r="J111" s="279">
        <f t="shared" si="13"/>
        <v>0</v>
      </c>
    </row>
    <row r="112" spans="1:10" ht="15.75" thickBot="1" x14ac:dyDescent="0.3">
      <c r="A112" s="240" t="s">
        <v>181</v>
      </c>
      <c r="B112" s="205">
        <v>0</v>
      </c>
      <c r="C112" s="184">
        <v>0</v>
      </c>
      <c r="D112" s="253">
        <v>0</v>
      </c>
      <c r="E112" s="241">
        <f t="shared" si="12"/>
        <v>0</v>
      </c>
      <c r="F112" s="277" t="s">
        <v>181</v>
      </c>
      <c r="G112" s="105">
        <v>0</v>
      </c>
      <c r="H112" s="278">
        <v>0</v>
      </c>
      <c r="I112" s="256">
        <v>0</v>
      </c>
      <c r="J112" s="279">
        <f t="shared" si="13"/>
        <v>0</v>
      </c>
    </row>
    <row r="113" spans="1:11" ht="15.75" thickBot="1" x14ac:dyDescent="0.3">
      <c r="A113" s="240" t="s">
        <v>172</v>
      </c>
      <c r="B113" s="205">
        <v>0</v>
      </c>
      <c r="C113" s="184">
        <v>0</v>
      </c>
      <c r="D113" s="253">
        <v>0</v>
      </c>
      <c r="E113" s="241">
        <f t="shared" si="12"/>
        <v>0</v>
      </c>
      <c r="F113" s="277" t="s">
        <v>172</v>
      </c>
      <c r="G113" s="105">
        <v>0</v>
      </c>
      <c r="H113" s="278">
        <v>0</v>
      </c>
      <c r="I113" s="256">
        <v>0</v>
      </c>
      <c r="J113" s="279">
        <f t="shared" si="13"/>
        <v>0</v>
      </c>
    </row>
    <row r="114" spans="1:11" ht="15.75" thickBot="1" x14ac:dyDescent="0.3">
      <c r="A114" s="240" t="s">
        <v>222</v>
      </c>
      <c r="B114" s="205">
        <v>0</v>
      </c>
      <c r="C114" s="184">
        <v>0</v>
      </c>
      <c r="D114" s="253">
        <v>0</v>
      </c>
      <c r="E114" s="241">
        <f t="shared" si="12"/>
        <v>0</v>
      </c>
      <c r="F114" s="277" t="s">
        <v>222</v>
      </c>
      <c r="G114" s="105">
        <v>0</v>
      </c>
      <c r="H114" s="278">
        <v>0</v>
      </c>
      <c r="I114" s="256">
        <v>0</v>
      </c>
      <c r="J114" s="279">
        <f t="shared" si="13"/>
        <v>0</v>
      </c>
    </row>
    <row r="115" spans="1:11" ht="15.75" thickBot="1" x14ac:dyDescent="0.3">
      <c r="A115" s="240" t="s">
        <v>72</v>
      </c>
      <c r="B115" s="205">
        <v>0</v>
      </c>
      <c r="C115" s="184">
        <v>0</v>
      </c>
      <c r="D115" s="253">
        <v>0</v>
      </c>
      <c r="E115" s="241">
        <f t="shared" si="12"/>
        <v>0</v>
      </c>
      <c r="F115" s="277" t="s">
        <v>72</v>
      </c>
      <c r="G115" s="105">
        <v>0</v>
      </c>
      <c r="H115" s="278">
        <v>0</v>
      </c>
      <c r="I115" s="256">
        <v>0</v>
      </c>
      <c r="J115" s="279">
        <f t="shared" si="13"/>
        <v>0</v>
      </c>
    </row>
    <row r="116" spans="1:11" ht="15.75" thickBot="1" x14ac:dyDescent="0.3">
      <c r="A116" s="240" t="s">
        <v>154</v>
      </c>
      <c r="B116" s="205">
        <v>0</v>
      </c>
      <c r="C116" s="184">
        <v>0</v>
      </c>
      <c r="D116" s="253">
        <v>0</v>
      </c>
      <c r="E116" s="241">
        <f t="shared" si="12"/>
        <v>0</v>
      </c>
      <c r="F116" s="277" t="s">
        <v>154</v>
      </c>
      <c r="G116" s="105">
        <v>0</v>
      </c>
      <c r="H116" s="278">
        <v>0</v>
      </c>
      <c r="I116" s="256">
        <v>0</v>
      </c>
      <c r="J116" s="279">
        <f t="shared" si="13"/>
        <v>0</v>
      </c>
    </row>
    <row r="117" spans="1:11" ht="15.75" thickBot="1" x14ac:dyDescent="0.3">
      <c r="A117" s="240" t="s">
        <v>250</v>
      </c>
      <c r="B117" s="205">
        <v>0</v>
      </c>
      <c r="C117" s="184">
        <v>0</v>
      </c>
      <c r="D117" s="253">
        <v>0</v>
      </c>
      <c r="E117" s="241">
        <f t="shared" si="12"/>
        <v>0</v>
      </c>
      <c r="F117" s="277" t="s">
        <v>250</v>
      </c>
      <c r="G117" s="105">
        <v>0</v>
      </c>
      <c r="H117" s="278">
        <v>0</v>
      </c>
      <c r="I117" s="256">
        <v>0</v>
      </c>
      <c r="J117" s="279">
        <f t="shared" si="13"/>
        <v>0</v>
      </c>
    </row>
    <row r="118" spans="1:11" ht="15.75" thickBot="1" x14ac:dyDescent="0.3">
      <c r="A118" s="240" t="s">
        <v>8</v>
      </c>
      <c r="B118" s="205">
        <v>0</v>
      </c>
      <c r="C118" s="184">
        <v>0</v>
      </c>
      <c r="D118" s="253">
        <v>0</v>
      </c>
      <c r="E118" s="241">
        <f t="shared" si="12"/>
        <v>0</v>
      </c>
      <c r="F118" s="277" t="s">
        <v>8</v>
      </c>
      <c r="G118" s="105">
        <v>0</v>
      </c>
      <c r="H118" s="278">
        <v>0</v>
      </c>
      <c r="I118" s="256">
        <v>0</v>
      </c>
      <c r="J118" s="279">
        <f t="shared" si="13"/>
        <v>0</v>
      </c>
    </row>
    <row r="119" spans="1:11" ht="15.75" thickBot="1" x14ac:dyDescent="0.3">
      <c r="A119" s="240" t="s">
        <v>3</v>
      </c>
      <c r="B119" s="205">
        <f>SUM(B63:B118)</f>
        <v>46</v>
      </c>
      <c r="C119" s="184">
        <f>SUM(C63:C118)</f>
        <v>27</v>
      </c>
      <c r="D119" s="253">
        <f>SUM(D63:D118)</f>
        <v>15</v>
      </c>
      <c r="E119" s="241">
        <f t="shared" ref="E119" si="14">SUM(B119:D119)</f>
        <v>88</v>
      </c>
      <c r="F119" s="277" t="s">
        <v>3</v>
      </c>
      <c r="G119" s="105">
        <f>SUM(G63:G118)</f>
        <v>398</v>
      </c>
      <c r="H119" s="278">
        <f>SUM(H63:H118)</f>
        <v>209</v>
      </c>
      <c r="I119" s="256">
        <f>SUM(I63:I118)</f>
        <v>110</v>
      </c>
      <c r="J119" s="279">
        <f t="shared" ref="J119" si="15">SUM(G119:I119)</f>
        <v>717</v>
      </c>
    </row>
    <row r="120" spans="1:11" x14ac:dyDescent="0.25">
      <c r="A120" s="535" t="s">
        <v>1259</v>
      </c>
      <c r="B120" s="533"/>
      <c r="C120" s="533"/>
      <c r="D120" s="533"/>
      <c r="E120" s="533"/>
      <c r="F120" s="533"/>
      <c r="G120" s="533"/>
      <c r="H120" s="533"/>
      <c r="I120" s="533"/>
      <c r="J120" s="533"/>
      <c r="K120" s="533"/>
    </row>
    <row r="121" spans="1:11" x14ac:dyDescent="0.25">
      <c r="A121" s="58" t="s">
        <v>130</v>
      </c>
      <c r="B121" s="471"/>
      <c r="C121" s="471"/>
      <c r="D121" s="471"/>
      <c r="E121" s="471"/>
      <c r="F121" s="471"/>
      <c r="G121" s="471"/>
      <c r="H121" s="471"/>
      <c r="I121" s="471"/>
      <c r="J121" s="471"/>
      <c r="K121" s="471"/>
    </row>
  </sheetData>
  <sortState xmlns:xlrd2="http://schemas.microsoft.com/office/spreadsheetml/2017/richdata2" ref="F63:J118">
    <sortCondition descending="1" ref="J63:J118"/>
  </sortState>
  <mergeCells count="23">
    <mergeCell ref="AC12:AE13"/>
    <mergeCell ref="AC22:AE23"/>
    <mergeCell ref="K30:AL30"/>
    <mergeCell ref="A1:J1"/>
    <mergeCell ref="K22:K23"/>
    <mergeCell ref="L22:N23"/>
    <mergeCell ref="K12:K13"/>
    <mergeCell ref="L12:N13"/>
    <mergeCell ref="K1:K2"/>
    <mergeCell ref="L1:N2"/>
    <mergeCell ref="AC1:AE2"/>
    <mergeCell ref="W1:Y2"/>
    <mergeCell ref="R12:T13"/>
    <mergeCell ref="R22:T23"/>
    <mergeCell ref="AF1:AH2"/>
    <mergeCell ref="U12:W13"/>
    <mergeCell ref="A120:K120"/>
    <mergeCell ref="U22:W23"/>
    <mergeCell ref="T1:V2"/>
    <mergeCell ref="R1:S2"/>
    <mergeCell ref="O12:Q13"/>
    <mergeCell ref="O22:Q23"/>
    <mergeCell ref="O1:Q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646"/>
  <sheetViews>
    <sheetView workbookViewId="0">
      <selection activeCell="L24" sqref="L24"/>
    </sheetView>
  </sheetViews>
  <sheetFormatPr defaultColWidth="8.85546875" defaultRowHeight="15" x14ac:dyDescent="0.25"/>
  <cols>
    <col min="1" max="1" width="18.28515625" bestFit="1" customWidth="1"/>
    <col min="2" max="2" width="10.7109375" bestFit="1" customWidth="1"/>
    <col min="3" max="3" width="7.7109375" customWidth="1"/>
    <col min="4" max="4" width="18.28515625" bestFit="1" customWidth="1"/>
    <col min="5" max="5" width="10.7109375" bestFit="1" customWidth="1"/>
    <col min="6" max="6" width="8.5703125" bestFit="1" customWidth="1"/>
    <col min="7" max="7" width="17.7109375" customWidth="1"/>
    <col min="8" max="8" width="10.7109375" bestFit="1" customWidth="1"/>
    <col min="9" max="9" width="5.7109375" customWidth="1"/>
    <col min="10" max="11" width="5.28515625" customWidth="1"/>
    <col min="12" max="12" width="16.7109375" customWidth="1"/>
    <col min="13" max="13" width="5.42578125" bestFit="1" customWidth="1"/>
    <col min="14" max="14" width="3.7109375" customWidth="1"/>
    <col min="15" max="15" width="14.42578125" customWidth="1"/>
    <col min="16" max="16" width="5.42578125" bestFit="1" customWidth="1"/>
    <col min="17" max="17" width="4.85546875" customWidth="1"/>
  </cols>
  <sheetData>
    <row r="1" spans="1:23" ht="15" customHeight="1" thickBot="1" x14ac:dyDescent="0.3">
      <c r="A1" s="34" t="s">
        <v>92</v>
      </c>
      <c r="B1" s="171"/>
      <c r="C1" s="13"/>
      <c r="D1" s="29" t="s">
        <v>26</v>
      </c>
      <c r="E1" s="29"/>
      <c r="F1" s="26"/>
      <c r="G1" s="128" t="s">
        <v>132</v>
      </c>
      <c r="H1" s="173"/>
      <c r="I1" s="30" t="s">
        <v>176</v>
      </c>
      <c r="J1" s="30" t="s">
        <v>36</v>
      </c>
      <c r="K1" s="31" t="s">
        <v>37</v>
      </c>
      <c r="L1" s="598" t="s">
        <v>887</v>
      </c>
      <c r="M1" s="598"/>
      <c r="N1" s="599"/>
      <c r="O1" s="597" t="s">
        <v>895</v>
      </c>
      <c r="P1" s="598"/>
      <c r="Q1" s="599"/>
    </row>
    <row r="2" spans="1:23" ht="15" customHeight="1" thickBot="1" x14ac:dyDescent="0.3">
      <c r="A2" s="81" t="s">
        <v>557</v>
      </c>
      <c r="B2" s="81" t="s">
        <v>1157</v>
      </c>
      <c r="C2" s="12">
        <f>Earlsartries+Cowanblairtries</f>
        <v>11</v>
      </c>
      <c r="D2" s="3" t="s">
        <v>699</v>
      </c>
      <c r="E2" s="3" t="s">
        <v>310</v>
      </c>
      <c r="F2" s="2">
        <f>Priestlandbthpts</f>
        <v>206</v>
      </c>
      <c r="G2" s="37" t="s">
        <v>742</v>
      </c>
      <c r="H2" s="32" t="s">
        <v>353</v>
      </c>
      <c r="I2" s="32">
        <f>Steensongoals</f>
        <v>36</v>
      </c>
      <c r="J2" s="63">
        <f>steensonatt</f>
        <v>39</v>
      </c>
      <c r="K2" s="33">
        <f t="shared" ref="K2:K33" si="0">SUM(I2/J2)*100</f>
        <v>92.307692307692307</v>
      </c>
      <c r="L2" s="81" t="s">
        <v>557</v>
      </c>
      <c r="M2" s="81" t="s">
        <v>1157</v>
      </c>
      <c r="N2" s="12">
        <v>11</v>
      </c>
      <c r="O2" s="3" t="s">
        <v>699</v>
      </c>
      <c r="P2" s="3" t="s">
        <v>310</v>
      </c>
      <c r="Q2" s="2">
        <v>200</v>
      </c>
    </row>
    <row r="3" spans="1:23" ht="15" customHeight="1" thickBot="1" x14ac:dyDescent="0.3">
      <c r="A3" s="81" t="s">
        <v>754</v>
      </c>
      <c r="B3" s="81" t="s">
        <v>307</v>
      </c>
      <c r="C3" s="12">
        <f>Thorleyglotriescorrect</f>
        <v>11</v>
      </c>
      <c r="D3" s="3" t="s">
        <v>820</v>
      </c>
      <c r="E3" s="3" t="s">
        <v>352</v>
      </c>
      <c r="F3" s="18">
        <f>Smithharpts</f>
        <v>198</v>
      </c>
      <c r="G3" s="32" t="s">
        <v>348</v>
      </c>
      <c r="H3" s="32" t="s">
        <v>353</v>
      </c>
      <c r="I3" s="32">
        <f>simmondsexegoals</f>
        <v>64</v>
      </c>
      <c r="J3" s="63">
        <f>simmondsexeatt</f>
        <v>71</v>
      </c>
      <c r="K3" s="33">
        <f t="shared" si="0"/>
        <v>90.140845070422543</v>
      </c>
      <c r="L3" s="81" t="s">
        <v>754</v>
      </c>
      <c r="M3" s="81" t="s">
        <v>307</v>
      </c>
      <c r="N3" s="12">
        <v>11</v>
      </c>
      <c r="O3" s="3" t="s">
        <v>820</v>
      </c>
      <c r="P3" s="3" t="s">
        <v>352</v>
      </c>
      <c r="Q3" s="18">
        <v>163</v>
      </c>
      <c r="S3" s="321"/>
      <c r="T3" s="5"/>
      <c r="U3" s="5"/>
      <c r="V3" s="5"/>
      <c r="W3" s="5"/>
    </row>
    <row r="4" spans="1:23" ht="15" customHeight="1" thickBot="1" x14ac:dyDescent="0.3">
      <c r="A4" s="81" t="s">
        <v>345</v>
      </c>
      <c r="B4" s="81" t="s">
        <v>353</v>
      </c>
      <c r="C4" s="12">
        <f>Hill_Jexetries</f>
        <v>10</v>
      </c>
      <c r="D4" s="3" t="s">
        <v>727</v>
      </c>
      <c r="E4" s="3" t="s">
        <v>370</v>
      </c>
      <c r="F4" s="18">
        <f>Paulolirpts</f>
        <v>181</v>
      </c>
      <c r="G4" s="32" t="s">
        <v>251</v>
      </c>
      <c r="H4" s="32" t="s">
        <v>356</v>
      </c>
      <c r="I4" s="32">
        <f>burnsleigoals</f>
        <v>35</v>
      </c>
      <c r="J4" s="63">
        <f>burnsleiatt</f>
        <v>40</v>
      </c>
      <c r="K4" s="33">
        <f t="shared" si="0"/>
        <v>87.5</v>
      </c>
      <c r="L4" s="81" t="s">
        <v>976</v>
      </c>
      <c r="M4" s="81" t="s">
        <v>977</v>
      </c>
      <c r="N4" s="12">
        <v>10</v>
      </c>
      <c r="O4" s="3" t="s">
        <v>727</v>
      </c>
      <c r="P4" s="3" t="s">
        <v>370</v>
      </c>
      <c r="Q4" s="18">
        <v>177</v>
      </c>
      <c r="S4" s="5"/>
      <c r="T4" s="321"/>
      <c r="U4" s="321"/>
      <c r="V4" s="321"/>
      <c r="W4" s="321"/>
    </row>
    <row r="5" spans="1:23" ht="15" customHeight="1" thickBot="1" x14ac:dyDescent="0.3">
      <c r="A5" s="81" t="s">
        <v>1054</v>
      </c>
      <c r="B5" s="81" t="s">
        <v>354</v>
      </c>
      <c r="C5" s="12">
        <f>Kilbridgewastries</f>
        <v>10</v>
      </c>
      <c r="D5" s="3" t="s">
        <v>586</v>
      </c>
      <c r="E5" s="3" t="s">
        <v>354</v>
      </c>
      <c r="F5" s="18">
        <f>Goodewaspts</f>
        <v>173</v>
      </c>
      <c r="G5" s="32" t="s">
        <v>586</v>
      </c>
      <c r="H5" s="32" t="s">
        <v>354</v>
      </c>
      <c r="I5" s="32">
        <f>goodeandygoals</f>
        <v>66</v>
      </c>
      <c r="J5" s="63">
        <f>goodeandyatt</f>
        <v>76</v>
      </c>
      <c r="K5" s="33">
        <f t="shared" si="0"/>
        <v>86.842105263157904</v>
      </c>
      <c r="L5" s="81" t="s">
        <v>349</v>
      </c>
      <c r="M5" s="81" t="s">
        <v>353</v>
      </c>
      <c r="N5" s="12">
        <v>10</v>
      </c>
      <c r="O5" s="3" t="s">
        <v>586</v>
      </c>
      <c r="P5" s="3" t="s">
        <v>354</v>
      </c>
      <c r="Q5" s="18">
        <v>128</v>
      </c>
      <c r="S5" s="5"/>
      <c r="T5" s="321"/>
      <c r="U5" s="321"/>
      <c r="V5" s="321"/>
      <c r="W5" s="321"/>
    </row>
    <row r="6" spans="1:23" ht="15" customHeight="1" thickBot="1" x14ac:dyDescent="0.3">
      <c r="A6" s="81" t="s">
        <v>674</v>
      </c>
      <c r="B6" s="81" t="s">
        <v>370</v>
      </c>
      <c r="C6" s="12">
        <f>McNallylirtries</f>
        <v>10</v>
      </c>
      <c r="D6" s="3" t="s">
        <v>348</v>
      </c>
      <c r="E6" s="3" t="s">
        <v>353</v>
      </c>
      <c r="F6" s="18">
        <f>Simmondsexepts</f>
        <v>157</v>
      </c>
      <c r="G6" s="37" t="s">
        <v>501</v>
      </c>
      <c r="H6" s="32" t="s">
        <v>311</v>
      </c>
      <c r="I6" s="32">
        <f>mylergoals</f>
        <v>23</v>
      </c>
      <c r="J6" s="63">
        <f>myleratt</f>
        <v>27</v>
      </c>
      <c r="K6" s="33">
        <f t="shared" si="0"/>
        <v>85.18518518518519</v>
      </c>
      <c r="L6" s="81" t="s">
        <v>1022</v>
      </c>
      <c r="M6" s="81" t="s">
        <v>918</v>
      </c>
      <c r="N6" s="12">
        <v>9</v>
      </c>
      <c r="O6" s="3" t="s">
        <v>858</v>
      </c>
      <c r="P6" s="3" t="s">
        <v>309</v>
      </c>
      <c r="Q6" s="18">
        <v>126</v>
      </c>
      <c r="S6" s="5"/>
      <c r="T6" s="321"/>
      <c r="U6" s="321"/>
      <c r="V6" s="321"/>
      <c r="W6" s="321"/>
    </row>
    <row r="7" spans="1:23" ht="15" customHeight="1" thickBot="1" x14ac:dyDescent="0.3">
      <c r="A7" s="81" t="s">
        <v>976</v>
      </c>
      <c r="B7" s="81" t="s">
        <v>977</v>
      </c>
      <c r="C7" s="12">
        <f>Rees_Zammitglotries</f>
        <v>10</v>
      </c>
      <c r="D7" s="3" t="s">
        <v>858</v>
      </c>
      <c r="E7" s="3" t="s">
        <v>309</v>
      </c>
      <c r="F7" s="18">
        <f>du_Preez_Rsalpts</f>
        <v>141</v>
      </c>
      <c r="G7" s="37" t="s">
        <v>949</v>
      </c>
      <c r="H7" s="32" t="s">
        <v>918</v>
      </c>
      <c r="I7" s="32">
        <f>Hodgsonnewgoals</f>
        <v>32</v>
      </c>
      <c r="J7" s="63">
        <f>hodgsonnewattcorrect</f>
        <v>39</v>
      </c>
      <c r="K7" s="33">
        <f t="shared" si="0"/>
        <v>82.051282051282044</v>
      </c>
      <c r="L7" s="81" t="s">
        <v>1054</v>
      </c>
      <c r="M7" s="81" t="s">
        <v>354</v>
      </c>
      <c r="N7" s="12">
        <v>9</v>
      </c>
      <c r="O7" s="3" t="s">
        <v>348</v>
      </c>
      <c r="P7" s="3" t="s">
        <v>353</v>
      </c>
      <c r="Q7" s="18">
        <v>123</v>
      </c>
      <c r="S7" s="5"/>
      <c r="T7" s="321"/>
      <c r="U7" s="321"/>
      <c r="V7" s="321"/>
      <c r="W7" s="321"/>
    </row>
    <row r="8" spans="1:23" ht="15" customHeight="1" thickBot="1" x14ac:dyDescent="0.3">
      <c r="A8" s="81" t="s">
        <v>349</v>
      </c>
      <c r="B8" s="81" t="s">
        <v>353</v>
      </c>
      <c r="C8" s="12">
        <f>Simmonds_Sexetries</f>
        <v>10</v>
      </c>
      <c r="D8" s="19" t="s">
        <v>787</v>
      </c>
      <c r="E8" s="3" t="s">
        <v>308</v>
      </c>
      <c r="F8" s="18">
        <f>Weirworpts</f>
        <v>127</v>
      </c>
      <c r="G8" s="32" t="s">
        <v>631</v>
      </c>
      <c r="H8" s="32" t="s">
        <v>308</v>
      </c>
      <c r="I8" s="32">
        <f>lanceworgls</f>
        <v>9</v>
      </c>
      <c r="J8" s="231">
        <f>lanceworatt</f>
        <v>11</v>
      </c>
      <c r="K8" s="33">
        <f t="shared" si="0"/>
        <v>81.818181818181827</v>
      </c>
      <c r="L8" s="81" t="s">
        <v>667</v>
      </c>
      <c r="M8" s="81" t="s">
        <v>310</v>
      </c>
      <c r="N8" s="12">
        <v>9</v>
      </c>
      <c r="O8" s="19" t="s">
        <v>787</v>
      </c>
      <c r="P8" s="3" t="s">
        <v>308</v>
      </c>
      <c r="Q8" s="18">
        <v>122</v>
      </c>
      <c r="S8" s="5"/>
      <c r="T8" s="321"/>
      <c r="U8" s="321"/>
      <c r="V8" s="321"/>
      <c r="W8" s="321"/>
    </row>
    <row r="9" spans="1:23" ht="15" customHeight="1" thickBot="1" x14ac:dyDescent="0.3">
      <c r="A9" s="81" t="s">
        <v>1022</v>
      </c>
      <c r="B9" s="81" t="s">
        <v>918</v>
      </c>
      <c r="C9" s="12">
        <f>Hassell_Collinslirtries</f>
        <v>9</v>
      </c>
      <c r="D9" s="3" t="s">
        <v>764</v>
      </c>
      <c r="E9" s="3" t="s">
        <v>307</v>
      </c>
      <c r="F9" s="18">
        <f>Twelvetreesglopts</f>
        <v>114</v>
      </c>
      <c r="G9" s="37" t="s">
        <v>820</v>
      </c>
      <c r="H9" s="32" t="s">
        <v>352</v>
      </c>
      <c r="I9" s="63">
        <f>boticagoals</f>
        <v>65</v>
      </c>
      <c r="J9" s="63">
        <f>boticaatt</f>
        <v>81</v>
      </c>
      <c r="K9" s="33">
        <f t="shared" si="0"/>
        <v>80.246913580246911</v>
      </c>
      <c r="L9" s="81" t="s">
        <v>674</v>
      </c>
      <c r="M9" s="81" t="s">
        <v>370</v>
      </c>
      <c r="N9" s="12">
        <v>9</v>
      </c>
      <c r="O9" s="3" t="s">
        <v>764</v>
      </c>
      <c r="P9" s="3" t="s">
        <v>307</v>
      </c>
      <c r="Q9" s="18">
        <v>104</v>
      </c>
      <c r="S9" s="5"/>
      <c r="T9" s="321"/>
      <c r="U9" s="321"/>
      <c r="V9" s="321"/>
      <c r="W9" s="321"/>
    </row>
    <row r="10" spans="1:23" ht="15" customHeight="1" thickBot="1" x14ac:dyDescent="0.3">
      <c r="A10" s="81" t="s">
        <v>667</v>
      </c>
      <c r="B10" s="81" t="s">
        <v>310</v>
      </c>
      <c r="C10" s="12">
        <f>McConnochiebthtries</f>
        <v>9</v>
      </c>
      <c r="D10" s="3" t="s">
        <v>588</v>
      </c>
      <c r="E10" s="3" t="s">
        <v>311</v>
      </c>
      <c r="F10" s="18">
        <f>Graysonnorpts</f>
        <v>104</v>
      </c>
      <c r="G10" s="32" t="s">
        <v>654</v>
      </c>
      <c r="H10" s="32" t="s">
        <v>309</v>
      </c>
      <c r="I10" s="32">
        <f>ciprianigoals</f>
        <v>27</v>
      </c>
      <c r="J10" s="63">
        <f>ciprianiatt</f>
        <v>34</v>
      </c>
      <c r="K10" s="33">
        <f t="shared" si="0"/>
        <v>79.411764705882348</v>
      </c>
      <c r="L10" s="81" t="s">
        <v>345</v>
      </c>
      <c r="M10" s="81" t="s">
        <v>353</v>
      </c>
      <c r="N10" s="12">
        <v>8</v>
      </c>
      <c r="O10" s="600" t="s">
        <v>821</v>
      </c>
      <c r="P10" s="490"/>
      <c r="Q10" s="490"/>
      <c r="S10" s="5"/>
      <c r="T10" s="321"/>
      <c r="U10" s="321"/>
      <c r="V10" s="321"/>
      <c r="W10" s="321"/>
    </row>
    <row r="11" spans="1:23" ht="15" customHeight="1" thickBot="1" x14ac:dyDescent="0.3">
      <c r="A11" s="11" t="s">
        <v>339</v>
      </c>
      <c r="B11" s="11" t="s">
        <v>354</v>
      </c>
      <c r="C11" s="12">
        <f>Williswastries</f>
        <v>9</v>
      </c>
      <c r="D11" s="3" t="s">
        <v>1026</v>
      </c>
      <c r="E11" s="3" t="s">
        <v>355</v>
      </c>
      <c r="F11" s="18">
        <f>Vunipola_Msarpts</f>
        <v>98</v>
      </c>
      <c r="G11" s="32" t="s">
        <v>699</v>
      </c>
      <c r="H11" s="32" t="s">
        <v>310</v>
      </c>
      <c r="I11" s="32">
        <f>Priestlandbthgoals</f>
        <v>80</v>
      </c>
      <c r="J11" s="63">
        <f>priestlandbthatt</f>
        <v>102</v>
      </c>
      <c r="K11" s="33">
        <f t="shared" si="0"/>
        <v>78.431372549019613</v>
      </c>
      <c r="L11" s="81" t="s">
        <v>285</v>
      </c>
      <c r="M11" s="81" t="s">
        <v>309</v>
      </c>
      <c r="N11" s="12">
        <v>8</v>
      </c>
      <c r="O11" t="s">
        <v>72</v>
      </c>
      <c r="S11" s="5"/>
      <c r="T11" s="321"/>
      <c r="U11" s="321"/>
      <c r="V11" s="321"/>
      <c r="W11" s="321"/>
    </row>
    <row r="12" spans="1:23" ht="15" customHeight="1" thickBot="1" x14ac:dyDescent="0.3">
      <c r="A12" s="81" t="s">
        <v>285</v>
      </c>
      <c r="B12" s="81" t="s">
        <v>309</v>
      </c>
      <c r="C12" s="12">
        <f>James_Lsaltries</f>
        <v>8</v>
      </c>
      <c r="D12" s="3" t="s">
        <v>322</v>
      </c>
      <c r="E12" s="3" t="s">
        <v>356</v>
      </c>
      <c r="F12" s="18">
        <f>fordleicpts</f>
        <v>96</v>
      </c>
      <c r="G12" s="32" t="s">
        <v>740</v>
      </c>
      <c r="H12" s="32" t="s">
        <v>354</v>
      </c>
      <c r="I12" s="32">
        <f>SopoagaGLSWAS</f>
        <v>18</v>
      </c>
      <c r="J12" s="63">
        <f>SOPOAGAWASATT</f>
        <v>23</v>
      </c>
      <c r="K12" s="33">
        <f t="shared" si="0"/>
        <v>78.260869565217391</v>
      </c>
      <c r="L12" s="11" t="s">
        <v>339</v>
      </c>
      <c r="M12" s="11" t="s">
        <v>354</v>
      </c>
      <c r="N12" s="12">
        <v>8</v>
      </c>
      <c r="S12" s="5"/>
      <c r="T12" s="321"/>
      <c r="U12" s="321"/>
      <c r="V12" s="321"/>
      <c r="W12" s="321"/>
    </row>
    <row r="13" spans="1:23" ht="15" customHeight="1" thickBot="1" x14ac:dyDescent="0.3">
      <c r="A13" s="81" t="s">
        <v>766</v>
      </c>
      <c r="B13" s="81" t="s">
        <v>354</v>
      </c>
      <c r="C13" s="12">
        <f>Umagawastries</f>
        <v>8</v>
      </c>
      <c r="D13" s="3" t="s">
        <v>766</v>
      </c>
      <c r="E13" s="3" t="s">
        <v>354</v>
      </c>
      <c r="F13" s="18">
        <f>Umagawaspts</f>
        <v>85</v>
      </c>
      <c r="G13" s="37" t="s">
        <v>787</v>
      </c>
      <c r="H13" s="32" t="s">
        <v>308</v>
      </c>
      <c r="I13" s="32">
        <f>barkleywelgoals</f>
        <v>48</v>
      </c>
      <c r="J13" s="63">
        <f>barkleywelatt</f>
        <v>62</v>
      </c>
      <c r="K13" s="33">
        <f t="shared" si="0"/>
        <v>77.41935483870968</v>
      </c>
      <c r="L13" s="81" t="s">
        <v>551</v>
      </c>
      <c r="M13" s="81" t="s">
        <v>352</v>
      </c>
      <c r="N13" s="12">
        <v>7</v>
      </c>
      <c r="S13" s="5"/>
      <c r="T13" s="321"/>
      <c r="U13" s="321"/>
      <c r="V13" s="321"/>
      <c r="W13" s="321"/>
    </row>
    <row r="14" spans="1:23" ht="15" customHeight="1" thickBot="1" x14ac:dyDescent="0.3">
      <c r="A14" s="81" t="s">
        <v>551</v>
      </c>
      <c r="B14" s="81" t="s">
        <v>352</v>
      </c>
      <c r="C14" s="12">
        <f>Dombrandthartries</f>
        <v>7</v>
      </c>
      <c r="D14" s="3" t="s">
        <v>742</v>
      </c>
      <c r="E14" s="3" t="s">
        <v>353</v>
      </c>
      <c r="F14" s="18">
        <f>Steensonexepts</f>
        <v>82</v>
      </c>
      <c r="G14" s="32" t="s">
        <v>981</v>
      </c>
      <c r="H14" s="32" t="s">
        <v>352</v>
      </c>
      <c r="I14" s="32">
        <f>Herronhargls</f>
        <v>13</v>
      </c>
      <c r="J14" s="231">
        <f>herronharatt</f>
        <v>17</v>
      </c>
      <c r="K14" s="33">
        <f t="shared" si="0"/>
        <v>76.470588235294116</v>
      </c>
      <c r="L14" s="81" t="s">
        <v>875</v>
      </c>
      <c r="M14" s="81" t="s">
        <v>352</v>
      </c>
      <c r="N14" s="12">
        <v>7</v>
      </c>
      <c r="S14" s="5"/>
      <c r="T14" s="321"/>
      <c r="U14" s="321"/>
      <c r="V14" s="321"/>
      <c r="W14" s="321"/>
    </row>
    <row r="15" spans="1:23" ht="15" customHeight="1" thickBot="1" x14ac:dyDescent="0.3">
      <c r="A15" s="81" t="s">
        <v>875</v>
      </c>
      <c r="B15" s="81" t="s">
        <v>352</v>
      </c>
      <c r="C15" s="12">
        <f>Murleyhartries</f>
        <v>7</v>
      </c>
      <c r="D15" s="3" t="s">
        <v>949</v>
      </c>
      <c r="E15" s="3" t="s">
        <v>918</v>
      </c>
      <c r="F15" s="18">
        <f>Mylerlirpts</f>
        <v>74</v>
      </c>
      <c r="G15" s="32" t="s">
        <v>806</v>
      </c>
      <c r="H15" s="32" t="s">
        <v>356</v>
      </c>
      <c r="I15" s="32">
        <f>hardwickleicgls</f>
        <v>16</v>
      </c>
      <c r="J15" s="231">
        <f>hardwickleicatt</f>
        <v>21</v>
      </c>
      <c r="K15" s="33">
        <f t="shared" si="0"/>
        <v>76.19047619047619</v>
      </c>
      <c r="L15" s="11" t="s">
        <v>725</v>
      </c>
      <c r="M15" s="11" t="s">
        <v>355</v>
      </c>
      <c r="N15" s="12">
        <v>7</v>
      </c>
      <c r="S15" s="5"/>
      <c r="T15" s="321"/>
      <c r="U15" s="321"/>
      <c r="V15" s="321"/>
      <c r="W15" s="321"/>
    </row>
    <row r="16" spans="1:23" ht="15" customHeight="1" thickBot="1" x14ac:dyDescent="0.3">
      <c r="A16" s="81" t="s">
        <v>714</v>
      </c>
      <c r="B16" s="81" t="s">
        <v>354</v>
      </c>
      <c r="C16" s="12">
        <f>Robsonwastries</f>
        <v>7</v>
      </c>
      <c r="D16" s="3" t="s">
        <v>654</v>
      </c>
      <c r="E16" s="3" t="s">
        <v>309</v>
      </c>
      <c r="F16" s="18">
        <f>MacKenziephilpts</f>
        <v>72</v>
      </c>
      <c r="G16" s="32" t="s">
        <v>565</v>
      </c>
      <c r="H16" s="32" t="s">
        <v>355</v>
      </c>
      <c r="I16" s="32">
        <f>farrellgoals</f>
        <v>27</v>
      </c>
      <c r="J16" s="231">
        <f>farrellatt</f>
        <v>36</v>
      </c>
      <c r="K16" s="33">
        <f t="shared" si="0"/>
        <v>75</v>
      </c>
      <c r="L16" s="81" t="s">
        <v>820</v>
      </c>
      <c r="M16" s="81" t="s">
        <v>352</v>
      </c>
      <c r="N16" s="12">
        <v>7</v>
      </c>
      <c r="S16" s="321"/>
      <c r="T16" s="321"/>
      <c r="U16" s="321"/>
      <c r="V16" s="321"/>
      <c r="W16" s="321"/>
    </row>
    <row r="17" spans="1:22" ht="15" customHeight="1" thickBot="1" x14ac:dyDescent="0.3">
      <c r="A17" s="11" t="s">
        <v>725</v>
      </c>
      <c r="B17" s="11" t="s">
        <v>355</v>
      </c>
      <c r="C17" s="12">
        <f>Segunsartries</f>
        <v>7</v>
      </c>
      <c r="D17" s="19" t="s">
        <v>565</v>
      </c>
      <c r="E17" s="19" t="s">
        <v>355</v>
      </c>
      <c r="F17" s="18">
        <f>Farrellsarpts</f>
        <v>65</v>
      </c>
      <c r="G17" s="32" t="s">
        <v>727</v>
      </c>
      <c r="H17" s="32" t="s">
        <v>370</v>
      </c>
      <c r="I17" s="32">
        <f>atkinslirgls</f>
        <v>74</v>
      </c>
      <c r="J17" s="231">
        <f>atkinsliratt</f>
        <v>99</v>
      </c>
      <c r="K17" s="33">
        <f t="shared" si="0"/>
        <v>74.747474747474755</v>
      </c>
      <c r="L17" s="81" t="s">
        <v>766</v>
      </c>
      <c r="M17" s="81" t="s">
        <v>354</v>
      </c>
      <c r="N17" s="12">
        <v>7</v>
      </c>
    </row>
    <row r="18" spans="1:22" ht="15" customHeight="1" thickBot="1" x14ac:dyDescent="0.3">
      <c r="A18" s="81" t="s">
        <v>820</v>
      </c>
      <c r="B18" s="81" t="s">
        <v>352</v>
      </c>
      <c r="C18" s="12">
        <f>Smithhartries</f>
        <v>7</v>
      </c>
      <c r="D18" s="3" t="s">
        <v>557</v>
      </c>
      <c r="E18" s="3" t="s">
        <v>1157</v>
      </c>
      <c r="F18" s="2">
        <f>Earlsarpts+Cowanlipts</f>
        <v>55</v>
      </c>
      <c r="G18" s="32" t="s">
        <v>588</v>
      </c>
      <c r="H18" s="32" t="s">
        <v>311</v>
      </c>
      <c r="I18" s="32">
        <f>graysonnorgls</f>
        <v>38</v>
      </c>
      <c r="J18" s="231">
        <f>graysonnoratt</f>
        <v>53</v>
      </c>
      <c r="K18" s="33">
        <f t="shared" si="0"/>
        <v>71.698113207547166</v>
      </c>
      <c r="L18" s="51" t="s">
        <v>821</v>
      </c>
    </row>
    <row r="19" spans="1:22" ht="15" customHeight="1" thickBot="1" x14ac:dyDescent="0.3">
      <c r="A19" s="81" t="s">
        <v>179</v>
      </c>
      <c r="B19" s="81" t="s">
        <v>370</v>
      </c>
      <c r="C19" s="12">
        <f>Poreckilirtries</f>
        <v>7</v>
      </c>
      <c r="D19" s="3" t="s">
        <v>754</v>
      </c>
      <c r="E19" s="3" t="s">
        <v>307</v>
      </c>
      <c r="F19" s="18">
        <f>Thorleygloptscorrect</f>
        <v>55</v>
      </c>
      <c r="G19" s="32" t="s">
        <v>766</v>
      </c>
      <c r="H19" s="32" t="s">
        <v>354</v>
      </c>
      <c r="I19" s="32">
        <f>umagawasgoals</f>
        <v>20</v>
      </c>
      <c r="J19" s="63">
        <f>umagawasatt</f>
        <v>28</v>
      </c>
      <c r="K19" s="33">
        <f t="shared" si="0"/>
        <v>71.428571428571431</v>
      </c>
    </row>
    <row r="20" spans="1:22" ht="15" customHeight="1" thickBot="1" x14ac:dyDescent="0.3">
      <c r="A20" s="81" t="s">
        <v>863</v>
      </c>
      <c r="B20" s="81" t="s">
        <v>1178</v>
      </c>
      <c r="C20" s="12">
        <f>Ashtonsaltries+Alofafartries</f>
        <v>6</v>
      </c>
      <c r="D20" s="3" t="s">
        <v>501</v>
      </c>
      <c r="E20" s="3" t="s">
        <v>311</v>
      </c>
      <c r="F20" s="18">
        <f>Biggarnorpts</f>
        <v>54</v>
      </c>
      <c r="G20" s="32" t="s">
        <v>948</v>
      </c>
      <c r="H20" s="32" t="s">
        <v>918</v>
      </c>
      <c r="I20" s="32">
        <f>connonnewgoals</f>
        <v>21</v>
      </c>
      <c r="J20" s="63">
        <f>connonnewatt</f>
        <v>30</v>
      </c>
      <c r="K20" s="33">
        <f t="shared" si="0"/>
        <v>70</v>
      </c>
    </row>
    <row r="21" spans="1:22" ht="15" customHeight="1" thickBot="1" x14ac:dyDescent="0.3">
      <c r="A21" s="81" t="s">
        <v>536</v>
      </c>
      <c r="B21" s="81" t="s">
        <v>353</v>
      </c>
      <c r="C21" s="12">
        <f>Cowan_Dickie_Luketries</f>
        <v>6</v>
      </c>
      <c r="D21" s="3" t="s">
        <v>948</v>
      </c>
      <c r="E21" s="3" t="s">
        <v>918</v>
      </c>
      <c r="F21" s="72">
        <f>Jacksonlirpts</f>
        <v>53</v>
      </c>
      <c r="G21" s="32" t="s">
        <v>858</v>
      </c>
      <c r="H21" s="32" t="s">
        <v>309</v>
      </c>
      <c r="I21" s="32">
        <f>dupreezsalgls</f>
        <v>52</v>
      </c>
      <c r="J21" s="63">
        <f>dupreezsalatt</f>
        <v>77</v>
      </c>
      <c r="K21" s="33">
        <f t="shared" si="0"/>
        <v>67.532467532467535</v>
      </c>
      <c r="V21" t="s">
        <v>72</v>
      </c>
    </row>
    <row r="22" spans="1:22" ht="15" customHeight="1" thickBot="1" x14ac:dyDescent="0.3">
      <c r="A22" s="11" t="s">
        <v>555</v>
      </c>
      <c r="B22" s="11" t="s">
        <v>310</v>
      </c>
      <c r="C22" s="12">
        <f>Dunnbattries</f>
        <v>6</v>
      </c>
      <c r="D22" s="3" t="s">
        <v>345</v>
      </c>
      <c r="E22" s="3" t="s">
        <v>353</v>
      </c>
      <c r="F22" s="18">
        <f>Hill_Jexepts</f>
        <v>50</v>
      </c>
      <c r="G22" s="32" t="s">
        <v>1026</v>
      </c>
      <c r="H22" s="32" t="s">
        <v>355</v>
      </c>
      <c r="I22" s="32">
        <f>Vunipola_Msargls</f>
        <v>41</v>
      </c>
      <c r="J22" s="63">
        <f>Vunipola_Msaratt</f>
        <v>61</v>
      </c>
      <c r="K22" s="33">
        <f t="shared" si="0"/>
        <v>67.213114754098356</v>
      </c>
    </row>
    <row r="23" spans="1:22" ht="15" customHeight="1" thickBot="1" x14ac:dyDescent="0.3">
      <c r="A23" s="81" t="s">
        <v>657</v>
      </c>
      <c r="B23" s="81" t="s">
        <v>1157</v>
      </c>
      <c r="C23" s="12">
        <f>Malinssartries+McLeanlirtries</f>
        <v>6</v>
      </c>
      <c r="D23" s="3" t="s">
        <v>1054</v>
      </c>
      <c r="E23" s="3" t="s">
        <v>354</v>
      </c>
      <c r="F23" s="18">
        <f>Kilbridgewaspts</f>
        <v>50</v>
      </c>
      <c r="G23" s="32" t="s">
        <v>1168</v>
      </c>
      <c r="H23" s="32" t="s">
        <v>356</v>
      </c>
      <c r="I23" s="32">
        <f>Henryleicgls</f>
        <v>10</v>
      </c>
      <c r="J23" s="63">
        <f>henryleicatt</f>
        <v>15</v>
      </c>
      <c r="K23" s="33">
        <f t="shared" si="0"/>
        <v>66.666666666666657</v>
      </c>
    </row>
    <row r="24" spans="1:22" ht="15" customHeight="1" thickBot="1" x14ac:dyDescent="0.3">
      <c r="A24" s="81" t="s">
        <v>467</v>
      </c>
      <c r="B24" s="81" t="s">
        <v>309</v>
      </c>
      <c r="C24" s="12">
        <f>McGuigansaltries</f>
        <v>6</v>
      </c>
      <c r="D24" s="3" t="s">
        <v>674</v>
      </c>
      <c r="E24" s="3" t="s">
        <v>370</v>
      </c>
      <c r="F24" s="18">
        <f>McNallylirpts</f>
        <v>50</v>
      </c>
      <c r="G24" s="32" t="s">
        <v>724</v>
      </c>
      <c r="H24" s="32" t="s">
        <v>1151</v>
      </c>
      <c r="I24" s="32">
        <f>Searlewasgls+Searleworgls</f>
        <v>13</v>
      </c>
      <c r="J24" s="63">
        <f>searlewasatt+searleworatt</f>
        <v>20</v>
      </c>
      <c r="K24" s="33">
        <f t="shared" si="0"/>
        <v>65</v>
      </c>
      <c r="L24" t="s">
        <v>72</v>
      </c>
    </row>
    <row r="25" spans="1:22" ht="15" customHeight="1" thickBot="1" x14ac:dyDescent="0.3">
      <c r="A25" s="81" t="s">
        <v>687</v>
      </c>
      <c r="B25" s="81" t="s">
        <v>370</v>
      </c>
      <c r="C25" s="12">
        <f>MulchronelirtriesCORRECT</f>
        <v>6</v>
      </c>
      <c r="D25" s="3" t="s">
        <v>976</v>
      </c>
      <c r="E25" s="3" t="s">
        <v>307</v>
      </c>
      <c r="F25" s="18">
        <f>Rees_Zammitglopts</f>
        <v>50</v>
      </c>
      <c r="G25" s="32" t="s">
        <v>764</v>
      </c>
      <c r="H25" s="32" t="s">
        <v>307</v>
      </c>
      <c r="I25" s="32">
        <f>twelvetreesgoals</f>
        <v>44</v>
      </c>
      <c r="J25" s="63">
        <f>twelvetreesatt</f>
        <v>68</v>
      </c>
      <c r="K25" s="33">
        <f t="shared" si="0"/>
        <v>64.705882352941174</v>
      </c>
    </row>
    <row r="26" spans="1:22" ht="15" customHeight="1" thickBot="1" x14ac:dyDescent="0.3">
      <c r="A26" s="81" t="s">
        <v>802</v>
      </c>
      <c r="B26" s="81" t="s">
        <v>309</v>
      </c>
      <c r="C26" s="12">
        <f>Yardesaltries</f>
        <v>6</v>
      </c>
      <c r="D26" s="3" t="s">
        <v>349</v>
      </c>
      <c r="E26" s="3" t="s">
        <v>353</v>
      </c>
      <c r="F26" s="18">
        <f>Simmonds_Sexepts</f>
        <v>50</v>
      </c>
      <c r="G26" s="32" t="s">
        <v>524</v>
      </c>
      <c r="H26" s="32" t="s">
        <v>307</v>
      </c>
      <c r="I26" s="32">
        <f>ciprianiglogls</f>
        <v>14</v>
      </c>
      <c r="J26" s="63">
        <f>ciprianigloatt</f>
        <v>22</v>
      </c>
      <c r="K26" s="33">
        <f t="shared" si="0"/>
        <v>63.636363636363633</v>
      </c>
    </row>
    <row r="27" spans="1:22" ht="15" customHeight="1" thickBot="1" x14ac:dyDescent="0.3">
      <c r="A27" s="81" t="s">
        <v>496</v>
      </c>
      <c r="B27" s="81" t="s">
        <v>354</v>
      </c>
      <c r="C27" s="12">
        <f>Bassettwastries</f>
        <v>5</v>
      </c>
      <c r="D27" s="3" t="s">
        <v>740</v>
      </c>
      <c r="E27" s="3" t="s">
        <v>354</v>
      </c>
      <c r="F27" s="18">
        <f>Sopoagawaspts</f>
        <v>48</v>
      </c>
      <c r="G27" s="32" t="s">
        <v>805</v>
      </c>
      <c r="H27" s="32" t="s">
        <v>311</v>
      </c>
      <c r="I27" s="32">
        <f>Hanrahannorgoals</f>
        <v>4</v>
      </c>
      <c r="J27" s="322">
        <f>hanrahannoratt</f>
        <v>4</v>
      </c>
      <c r="K27" s="33">
        <f t="shared" si="0"/>
        <v>100</v>
      </c>
    </row>
    <row r="28" spans="1:22" ht="15" customHeight="1" thickBot="1" x14ac:dyDescent="0.3">
      <c r="A28" s="81" t="s">
        <v>1091</v>
      </c>
      <c r="B28" s="81" t="s">
        <v>307</v>
      </c>
      <c r="C28" s="12">
        <f>Harrisglotries</f>
        <v>5</v>
      </c>
      <c r="D28" s="3" t="s">
        <v>657</v>
      </c>
      <c r="E28" s="3" t="s">
        <v>1157</v>
      </c>
      <c r="F28" s="18">
        <f>Malinssarpts+McLeanlirpts</f>
        <v>47</v>
      </c>
      <c r="G28" s="32" t="s">
        <v>544</v>
      </c>
      <c r="H28" s="32" t="s">
        <v>355</v>
      </c>
      <c r="I28" s="32">
        <f>Boschgoals</f>
        <v>3</v>
      </c>
      <c r="J28" s="322">
        <f>boschatt</f>
        <v>3</v>
      </c>
      <c r="K28" s="33">
        <f t="shared" si="0"/>
        <v>100</v>
      </c>
    </row>
    <row r="29" spans="1:22" ht="15" customHeight="1" thickBot="1" x14ac:dyDescent="0.3">
      <c r="A29" s="81" t="s">
        <v>1065</v>
      </c>
      <c r="B29" s="81" t="s">
        <v>353</v>
      </c>
      <c r="C29" s="12">
        <f>Hoggexetries</f>
        <v>5</v>
      </c>
      <c r="D29" s="3" t="s">
        <v>471</v>
      </c>
      <c r="E29" s="3" t="s">
        <v>1155</v>
      </c>
      <c r="F29" s="18">
        <f>Spencersarpts+Spencer_Bbthpts</f>
        <v>47</v>
      </c>
      <c r="G29" s="32" t="s">
        <v>658</v>
      </c>
      <c r="H29" s="32" t="s">
        <v>311</v>
      </c>
      <c r="I29" s="32">
        <f>Mallindernorgoals</f>
        <v>3</v>
      </c>
      <c r="J29" s="322">
        <f>mallindernoratt</f>
        <v>3</v>
      </c>
      <c r="K29" s="33">
        <f t="shared" si="0"/>
        <v>100</v>
      </c>
    </row>
    <row r="30" spans="1:22" ht="15" customHeight="1" thickBot="1" x14ac:dyDescent="0.3">
      <c r="A30" s="81" t="s">
        <v>603</v>
      </c>
      <c r="B30" s="81" t="s">
        <v>308</v>
      </c>
      <c r="C30" s="12">
        <f>Hougaardwortries</f>
        <v>5</v>
      </c>
      <c r="D30" s="3" t="s">
        <v>1022</v>
      </c>
      <c r="E30" s="3" t="s">
        <v>918</v>
      </c>
      <c r="F30" s="18">
        <f>Hassell_Collinslirpts</f>
        <v>45</v>
      </c>
      <c r="G30" s="37" t="s">
        <v>361</v>
      </c>
      <c r="H30" s="32" t="s">
        <v>307</v>
      </c>
      <c r="I30" s="32">
        <f>burnsfreddiegoals</f>
        <v>3</v>
      </c>
      <c r="J30" s="322">
        <f>burnsfreddieatt</f>
        <v>3</v>
      </c>
      <c r="K30" s="33">
        <f t="shared" si="0"/>
        <v>100</v>
      </c>
    </row>
    <row r="31" spans="1:22" ht="15" customHeight="1" thickBot="1" x14ac:dyDescent="0.3">
      <c r="A31" s="81" t="s">
        <v>607</v>
      </c>
      <c r="B31" s="81" t="s">
        <v>308</v>
      </c>
      <c r="C31" s="80">
        <f>Humphreyswortries</f>
        <v>5</v>
      </c>
      <c r="D31" s="3" t="s">
        <v>667</v>
      </c>
      <c r="E31" s="3" t="s">
        <v>310</v>
      </c>
      <c r="F31" s="18">
        <f>McConnochiebthpts</f>
        <v>45</v>
      </c>
      <c r="G31" s="32" t="s">
        <v>855</v>
      </c>
      <c r="H31" s="32" t="s">
        <v>370</v>
      </c>
      <c r="I31" s="32">
        <f>Edenbrigls</f>
        <v>1</v>
      </c>
      <c r="J31" s="322">
        <f>edenbriatt</f>
        <v>1</v>
      </c>
      <c r="K31" s="33">
        <f t="shared" si="0"/>
        <v>100</v>
      </c>
    </row>
    <row r="32" spans="1:22" ht="15" customHeight="1" thickBot="1" x14ac:dyDescent="0.3">
      <c r="A32" s="81" t="s">
        <v>610</v>
      </c>
      <c r="B32" s="81" t="s">
        <v>352</v>
      </c>
      <c r="C32" s="12">
        <f>Ibitoyehartries</f>
        <v>5</v>
      </c>
      <c r="D32" s="19" t="s">
        <v>339</v>
      </c>
      <c r="E32" s="19" t="s">
        <v>354</v>
      </c>
      <c r="F32" s="18">
        <f>Williswaspts</f>
        <v>45</v>
      </c>
      <c r="G32" s="32" t="s">
        <v>655</v>
      </c>
      <c r="H32" s="32" t="s">
        <v>370</v>
      </c>
      <c r="I32" s="32">
        <f>Brophy_Clewslirgoals</f>
        <v>1</v>
      </c>
      <c r="J32" s="322">
        <f>brophyclewsliratt</f>
        <v>1</v>
      </c>
      <c r="K32" s="33">
        <f t="shared" si="0"/>
        <v>100</v>
      </c>
    </row>
    <row r="33" spans="1:11" ht="15" customHeight="1" thickBot="1" x14ac:dyDescent="0.3">
      <c r="A33" s="81" t="s">
        <v>830</v>
      </c>
      <c r="B33" s="81" t="s">
        <v>309</v>
      </c>
      <c r="C33" s="80">
        <f>Jansevanrensburgsaltries</f>
        <v>5</v>
      </c>
      <c r="D33" s="3" t="s">
        <v>594</v>
      </c>
      <c r="E33" s="3" t="s">
        <v>356</v>
      </c>
      <c r="F33" s="2">
        <f>Hardwickleipts</f>
        <v>44</v>
      </c>
      <c r="G33" s="32" t="s">
        <v>1080</v>
      </c>
      <c r="H33" s="32" t="s">
        <v>356</v>
      </c>
      <c r="I33" s="32">
        <f>Stewardleicgls</f>
        <v>1</v>
      </c>
      <c r="J33" s="322">
        <f>stewardleicatt</f>
        <v>1</v>
      </c>
      <c r="K33" s="33">
        <f t="shared" si="0"/>
        <v>100</v>
      </c>
    </row>
    <row r="34" spans="1:11" ht="15" customHeight="1" thickBot="1" x14ac:dyDescent="0.3">
      <c r="A34" s="81" t="s">
        <v>635</v>
      </c>
      <c r="B34" s="81" t="s">
        <v>352</v>
      </c>
      <c r="C34" s="12">
        <f>Lasikehartries</f>
        <v>5</v>
      </c>
      <c r="D34" s="3" t="s">
        <v>285</v>
      </c>
      <c r="E34" s="3" t="s">
        <v>309</v>
      </c>
      <c r="F34" s="18">
        <f>James_Lsalpts</f>
        <v>40</v>
      </c>
      <c r="G34" s="32" t="s">
        <v>770</v>
      </c>
      <c r="H34" s="32" t="s">
        <v>308</v>
      </c>
      <c r="I34" s="32">
        <f>vanbredaworgls</f>
        <v>1</v>
      </c>
      <c r="J34" s="322">
        <f>vanbredaworatt</f>
        <v>1</v>
      </c>
      <c r="K34" s="33">
        <f t="shared" ref="K34:K53" si="1">SUM(I34/J34)*100</f>
        <v>100</v>
      </c>
    </row>
    <row r="35" spans="1:11" ht="15" customHeight="1" thickBot="1" x14ac:dyDescent="0.3">
      <c r="A35" s="81" t="s">
        <v>640</v>
      </c>
      <c r="B35" s="81" t="s">
        <v>308</v>
      </c>
      <c r="C35" s="12">
        <f>Lawrencewortries</f>
        <v>5</v>
      </c>
      <c r="D35" s="3" t="s">
        <v>714</v>
      </c>
      <c r="E35" s="3" t="s">
        <v>354</v>
      </c>
      <c r="F35" s="18">
        <f>Robsonwaspts</f>
        <v>38</v>
      </c>
      <c r="G35" s="32" t="s">
        <v>657</v>
      </c>
      <c r="H35" s="32" t="s">
        <v>1157</v>
      </c>
      <c r="I35" s="32">
        <f>malinssargls+Malinsbrigls</f>
        <v>8</v>
      </c>
      <c r="J35" s="322">
        <f>malinssaratt+malinsbriatt</f>
        <v>9</v>
      </c>
      <c r="K35" s="33">
        <f t="shared" si="1"/>
        <v>88.888888888888886</v>
      </c>
    </row>
    <row r="36" spans="1:11" ht="15" customHeight="1" thickBot="1" x14ac:dyDescent="0.3">
      <c r="A36" s="81" t="s">
        <v>318</v>
      </c>
      <c r="B36" s="81" t="s">
        <v>307</v>
      </c>
      <c r="C36" s="12">
        <f>Marshalltomglo</f>
        <v>5</v>
      </c>
      <c r="D36" s="19" t="s">
        <v>724</v>
      </c>
      <c r="E36" s="3" t="s">
        <v>1151</v>
      </c>
      <c r="F36" s="72">
        <f>Searlewaspts+Searleworpts</f>
        <v>36</v>
      </c>
      <c r="G36" s="32" t="s">
        <v>471</v>
      </c>
      <c r="H36" s="32" t="s">
        <v>1155</v>
      </c>
      <c r="I36" s="32">
        <f>spencerbengoals+Homer_Tombthgoals</f>
        <v>8</v>
      </c>
      <c r="J36" s="322">
        <f>spencerbenatt+homertombthatt</f>
        <v>9</v>
      </c>
      <c r="K36" s="33">
        <f t="shared" si="1"/>
        <v>88.888888888888886</v>
      </c>
    </row>
    <row r="37" spans="1:11" ht="15" customHeight="1" thickBot="1" x14ac:dyDescent="0.3">
      <c r="A37" s="11" t="s">
        <v>313</v>
      </c>
      <c r="B37" s="11" t="s">
        <v>310</v>
      </c>
      <c r="C37" s="12">
        <f>Mercerbattries</f>
        <v>5</v>
      </c>
      <c r="D37" s="3" t="s">
        <v>551</v>
      </c>
      <c r="E37" s="3" t="s">
        <v>352</v>
      </c>
      <c r="F37" s="18">
        <f>Dombrandtharpts</f>
        <v>35</v>
      </c>
      <c r="G37" s="32" t="s">
        <v>585</v>
      </c>
      <c r="H37" s="32" t="s">
        <v>355</v>
      </c>
      <c r="I37" s="32">
        <f>goodealexgoals</f>
        <v>5</v>
      </c>
      <c r="J37" s="322">
        <f>goodealexatt</f>
        <v>6</v>
      </c>
      <c r="K37" s="33">
        <f t="shared" si="1"/>
        <v>83.333333333333343</v>
      </c>
    </row>
    <row r="38" spans="1:11" ht="15" customHeight="1" thickBot="1" x14ac:dyDescent="0.3">
      <c r="A38" s="81" t="s">
        <v>689</v>
      </c>
      <c r="B38" s="81" t="s">
        <v>353</v>
      </c>
      <c r="C38" s="12">
        <f>Parlingexetries</f>
        <v>5</v>
      </c>
      <c r="D38" s="3" t="s">
        <v>875</v>
      </c>
      <c r="E38" s="3" t="s">
        <v>352</v>
      </c>
      <c r="F38" s="18">
        <f>Murleyharpts</f>
        <v>35</v>
      </c>
      <c r="G38" s="37" t="s">
        <v>468</v>
      </c>
      <c r="H38" s="32" t="s">
        <v>354</v>
      </c>
      <c r="I38" s="63">
        <f>millerwasgoals</f>
        <v>6</v>
      </c>
      <c r="J38" s="322">
        <f>millerwasatt</f>
        <v>8</v>
      </c>
      <c r="K38" s="33">
        <f t="shared" si="1"/>
        <v>75</v>
      </c>
    </row>
    <row r="39" spans="1:11" ht="15" customHeight="1" thickBot="1" x14ac:dyDescent="0.3">
      <c r="A39" s="81" t="s">
        <v>708</v>
      </c>
      <c r="B39" s="81" t="s">
        <v>311</v>
      </c>
      <c r="C39" s="12">
        <f>Reinachnortries</f>
        <v>5</v>
      </c>
      <c r="D39" s="19" t="s">
        <v>725</v>
      </c>
      <c r="E39" s="19" t="s">
        <v>355</v>
      </c>
      <c r="F39" s="72">
        <f>Segunsarpts</f>
        <v>35</v>
      </c>
      <c r="G39" s="32" t="s">
        <v>1146</v>
      </c>
      <c r="H39" s="32" t="s">
        <v>356</v>
      </c>
      <c r="I39" s="32">
        <f>Bellleigoals</f>
        <v>5</v>
      </c>
      <c r="J39" s="322">
        <f>bellleiatt</f>
        <v>7</v>
      </c>
      <c r="K39" s="33">
        <f t="shared" si="1"/>
        <v>71.428571428571431</v>
      </c>
    </row>
    <row r="40" spans="1:11" ht="15" customHeight="1" thickBot="1" x14ac:dyDescent="0.3">
      <c r="A40" s="81" t="s">
        <v>739</v>
      </c>
      <c r="B40" s="81" t="s">
        <v>309</v>
      </c>
      <c r="C40" s="12">
        <f>Solomonasaltries</f>
        <v>5</v>
      </c>
      <c r="D40" s="3" t="s">
        <v>179</v>
      </c>
      <c r="E40" s="3" t="s">
        <v>370</v>
      </c>
      <c r="F40" s="72">
        <f>Poreckilirpts</f>
        <v>35</v>
      </c>
      <c r="G40" s="32" t="s">
        <v>991</v>
      </c>
      <c r="H40" s="32" t="s">
        <v>356</v>
      </c>
      <c r="I40" s="32">
        <f>Reidleicgls</f>
        <v>5</v>
      </c>
      <c r="J40" s="322">
        <f>Reidleicatt</f>
        <v>7</v>
      </c>
      <c r="K40" s="33">
        <f t="shared" si="1"/>
        <v>71.428571428571431</v>
      </c>
    </row>
    <row r="41" spans="1:11" ht="15" customHeight="1" thickBot="1" x14ac:dyDescent="0.3">
      <c r="A41" s="81" t="s">
        <v>471</v>
      </c>
      <c r="B41" s="81" t="s">
        <v>1155</v>
      </c>
      <c r="C41" s="12">
        <f>Spencerbentries+Spencer_Bbthtries</f>
        <v>5</v>
      </c>
      <c r="D41" s="3" t="s">
        <v>1168</v>
      </c>
      <c r="E41" s="3" t="s">
        <v>356</v>
      </c>
      <c r="F41" s="18">
        <f>Henryleicpts</f>
        <v>31</v>
      </c>
      <c r="G41" s="32" t="s">
        <v>1183</v>
      </c>
      <c r="H41" s="32" t="s">
        <v>310</v>
      </c>
      <c r="I41" s="32">
        <f>Matavesibthgoals</f>
        <v>6</v>
      </c>
      <c r="J41" s="322">
        <f>matavesibthatt</f>
        <v>9</v>
      </c>
      <c r="K41" s="33">
        <f t="shared" si="1"/>
        <v>66.666666666666657</v>
      </c>
    </row>
    <row r="42" spans="1:11" ht="15" customHeight="1" thickBot="1" x14ac:dyDescent="0.3">
      <c r="A42" s="81" t="s">
        <v>756</v>
      </c>
      <c r="B42" s="81" t="s">
        <v>355</v>
      </c>
      <c r="C42" s="8">
        <f>Tompkinssartries</f>
        <v>5</v>
      </c>
      <c r="D42" s="19" t="s">
        <v>981</v>
      </c>
      <c r="E42" s="19" t="s">
        <v>352</v>
      </c>
      <c r="F42" s="18">
        <f>Herronharpts</f>
        <v>31</v>
      </c>
      <c r="G42" s="32" t="s">
        <v>1019</v>
      </c>
      <c r="H42" s="32" t="s">
        <v>370</v>
      </c>
      <c r="I42" s="32">
        <f>LloydBriGls</f>
        <v>2</v>
      </c>
      <c r="J42" s="322">
        <f>LloydBriAtt</f>
        <v>3</v>
      </c>
      <c r="K42" s="33">
        <f t="shared" si="1"/>
        <v>66.666666666666657</v>
      </c>
    </row>
    <row r="43" spans="1:11" ht="15" customHeight="1" thickBot="1" x14ac:dyDescent="0.3">
      <c r="A43" s="81" t="s">
        <v>1233</v>
      </c>
      <c r="B43" s="81" t="s">
        <v>307</v>
      </c>
      <c r="C43" s="12">
        <v>4</v>
      </c>
      <c r="D43" s="3" t="s">
        <v>863</v>
      </c>
      <c r="E43" s="3" t="s">
        <v>1178</v>
      </c>
      <c r="F43" s="18">
        <f>Ashtonsalpts+Alofaharpts</f>
        <v>30</v>
      </c>
      <c r="G43" s="32" t="s">
        <v>185</v>
      </c>
      <c r="H43" s="32" t="s">
        <v>307</v>
      </c>
      <c r="I43" s="32">
        <f>evanslglogoals</f>
        <v>5</v>
      </c>
      <c r="J43" s="322">
        <f>evanslgloatt</f>
        <v>8</v>
      </c>
      <c r="K43" s="33">
        <f t="shared" si="1"/>
        <v>62.5</v>
      </c>
    </row>
    <row r="44" spans="1:11" ht="15" customHeight="1" thickBot="1" x14ac:dyDescent="0.3">
      <c r="A44" s="81" t="s">
        <v>1243</v>
      </c>
      <c r="B44" s="81" t="s">
        <v>308</v>
      </c>
      <c r="C44" s="12">
        <v>4</v>
      </c>
      <c r="D44" s="19" t="s">
        <v>524</v>
      </c>
      <c r="E44" s="19" t="s">
        <v>307</v>
      </c>
      <c r="F44" s="2">
        <f>Ciprianiglopts</f>
        <v>30</v>
      </c>
      <c r="G44" s="37" t="s">
        <v>946</v>
      </c>
      <c r="H44" s="32" t="s">
        <v>918</v>
      </c>
      <c r="I44" s="32">
        <f>arscottnewgls</f>
        <v>3</v>
      </c>
      <c r="J44" s="322">
        <f>arscottnewatt</f>
        <v>5</v>
      </c>
      <c r="K44" s="33">
        <f t="shared" si="1"/>
        <v>60</v>
      </c>
    </row>
    <row r="45" spans="1:11" ht="15" customHeight="1" thickBot="1" x14ac:dyDescent="0.3">
      <c r="A45" s="81" t="s">
        <v>844</v>
      </c>
      <c r="B45" s="81" t="s">
        <v>354</v>
      </c>
      <c r="C45" s="12">
        <f>Barbearywastrie</f>
        <v>4</v>
      </c>
      <c r="D45" s="3" t="s">
        <v>536</v>
      </c>
      <c r="E45" s="3" t="s">
        <v>353</v>
      </c>
      <c r="F45" s="18">
        <f>Cowan_Dickie_Lukepts</f>
        <v>30</v>
      </c>
      <c r="G45" s="32" t="s">
        <v>362</v>
      </c>
      <c r="H45" s="32" t="s">
        <v>310</v>
      </c>
      <c r="I45" s="32">
        <f>Fordgeorgegoals</f>
        <v>3</v>
      </c>
      <c r="J45" s="322">
        <f>Fordgeorgeatt</f>
        <v>5</v>
      </c>
      <c r="K45" s="33">
        <f t="shared" si="1"/>
        <v>60</v>
      </c>
    </row>
    <row r="46" spans="1:11" ht="15" customHeight="1" thickBot="1" x14ac:dyDescent="0.3">
      <c r="A46" s="81" t="s">
        <v>492</v>
      </c>
      <c r="B46" s="81" t="s">
        <v>355</v>
      </c>
      <c r="C46" s="12">
        <f>Barringtonrichardtries</f>
        <v>4</v>
      </c>
      <c r="D46" s="19" t="s">
        <v>555</v>
      </c>
      <c r="E46" s="19" t="s">
        <v>310</v>
      </c>
      <c r="F46" s="18">
        <f>Dunntompts</f>
        <v>30</v>
      </c>
      <c r="G46" s="32" t="s">
        <v>849</v>
      </c>
      <c r="H46" s="32" t="s">
        <v>353</v>
      </c>
      <c r="I46" s="32">
        <f>Skinnerexegls</f>
        <v>3</v>
      </c>
      <c r="J46" s="322">
        <f>Skinnerexeatt</f>
        <v>5</v>
      </c>
      <c r="K46" s="33">
        <f t="shared" si="1"/>
        <v>60</v>
      </c>
    </row>
    <row r="47" spans="1:11" ht="15" customHeight="1" thickBot="1" x14ac:dyDescent="0.3">
      <c r="A47" s="11" t="s">
        <v>995</v>
      </c>
      <c r="B47" s="81" t="s">
        <v>309</v>
      </c>
      <c r="C47" s="12">
        <f>du_Preez_Dsaltries</f>
        <v>4</v>
      </c>
      <c r="D47" s="3" t="s">
        <v>467</v>
      </c>
      <c r="E47" s="3" t="s">
        <v>309</v>
      </c>
      <c r="F47" s="18">
        <f>McGuigansalpts</f>
        <v>30</v>
      </c>
      <c r="G47" s="37" t="s">
        <v>650</v>
      </c>
      <c r="H47" s="32" t="s">
        <v>355</v>
      </c>
      <c r="I47" s="63">
        <f>Hodgsoncharliegoals</f>
        <v>5</v>
      </c>
      <c r="J47" s="322">
        <f>hodgsoncharlieatt</f>
        <v>9</v>
      </c>
      <c r="K47" s="33">
        <f t="shared" si="1"/>
        <v>55.555555555555557</v>
      </c>
    </row>
    <row r="48" spans="1:11" ht="15" customHeight="1" thickBot="1" x14ac:dyDescent="0.3">
      <c r="A48" s="81" t="s">
        <v>1102</v>
      </c>
      <c r="B48" s="81" t="s">
        <v>354</v>
      </c>
      <c r="C48" s="12">
        <f>Eastgatewastries</f>
        <v>4</v>
      </c>
      <c r="D48" s="3" t="s">
        <v>687</v>
      </c>
      <c r="E48" s="3" t="s">
        <v>370</v>
      </c>
      <c r="F48" s="18">
        <f>Geraghtypts</f>
        <v>30</v>
      </c>
      <c r="G48" s="32" t="s">
        <v>632</v>
      </c>
      <c r="H48" s="32" t="s">
        <v>352</v>
      </c>
      <c r="I48" s="32">
        <f>Langhargls</f>
        <v>2</v>
      </c>
      <c r="J48" s="322">
        <f>langharatt</f>
        <v>4</v>
      </c>
      <c r="K48" s="33">
        <f t="shared" si="1"/>
        <v>50</v>
      </c>
    </row>
    <row r="49" spans="1:11" ht="15" customHeight="1" thickBot="1" x14ac:dyDescent="0.3">
      <c r="A49" s="81" t="s">
        <v>136</v>
      </c>
      <c r="B49" s="81" t="s">
        <v>1214</v>
      </c>
      <c r="C49" s="12">
        <f>Homer_Tombthtries+Furnonewtries</f>
        <v>4</v>
      </c>
      <c r="D49" s="3" t="s">
        <v>802</v>
      </c>
      <c r="E49" s="3" t="s">
        <v>309</v>
      </c>
      <c r="F49" s="2">
        <f>Yardesalpts</f>
        <v>30</v>
      </c>
      <c r="G49" s="32" t="s">
        <v>546</v>
      </c>
      <c r="H49" s="32" t="s">
        <v>309</v>
      </c>
      <c r="I49" s="32">
        <f>de_Klerksalgls</f>
        <v>1</v>
      </c>
      <c r="J49" s="322">
        <f>deklerksalatt</f>
        <v>2</v>
      </c>
      <c r="K49" s="33">
        <f t="shared" si="1"/>
        <v>50</v>
      </c>
    </row>
    <row r="50" spans="1:11" ht="15" customHeight="1" thickBot="1" x14ac:dyDescent="0.3">
      <c r="A50" s="81" t="s">
        <v>332</v>
      </c>
      <c r="B50" s="81" t="s">
        <v>309</v>
      </c>
      <c r="C50" s="12">
        <f>Jamessaltries</f>
        <v>4</v>
      </c>
      <c r="D50" s="19" t="s">
        <v>631</v>
      </c>
      <c r="E50" s="3" t="s">
        <v>308</v>
      </c>
      <c r="F50" s="18">
        <f>Lanceworpts</f>
        <v>28</v>
      </c>
      <c r="G50" s="32" t="s">
        <v>1000</v>
      </c>
      <c r="H50" s="32" t="s">
        <v>309</v>
      </c>
      <c r="I50" s="32">
        <f>redpathsalegls</f>
        <v>0</v>
      </c>
      <c r="J50" s="322">
        <f>redpathsalatt</f>
        <v>2</v>
      </c>
      <c r="K50" s="33">
        <f t="shared" si="1"/>
        <v>0</v>
      </c>
    </row>
    <row r="51" spans="1:11" ht="15" customHeight="1" thickBot="1" x14ac:dyDescent="0.3">
      <c r="A51" s="81" t="s">
        <v>1095</v>
      </c>
      <c r="B51" s="81" t="s">
        <v>353</v>
      </c>
      <c r="C51" s="12">
        <f>Kirstenexetries</f>
        <v>4</v>
      </c>
      <c r="D51" s="3" t="s">
        <v>314</v>
      </c>
      <c r="E51" s="3" t="s">
        <v>370</v>
      </c>
      <c r="F51" s="18">
        <f>Penalty_Triesbripts</f>
        <v>28</v>
      </c>
      <c r="G51" s="32" t="s">
        <v>1224</v>
      </c>
      <c r="H51" s="32" t="s">
        <v>353</v>
      </c>
      <c r="I51" s="32">
        <f>Hodgeexegls</f>
        <v>0</v>
      </c>
      <c r="J51" s="322">
        <f>Hodgeexeatt</f>
        <v>2</v>
      </c>
      <c r="K51" s="33">
        <f t="shared" si="1"/>
        <v>0</v>
      </c>
    </row>
    <row r="52" spans="1:11" ht="15" customHeight="1" thickBot="1" x14ac:dyDescent="0.3">
      <c r="A52" s="11" t="s">
        <v>645</v>
      </c>
      <c r="B52" s="11" t="s">
        <v>355</v>
      </c>
      <c r="C52" s="12">
        <f>Lewingtonsartries</f>
        <v>4</v>
      </c>
      <c r="D52" s="19" t="s">
        <v>317</v>
      </c>
      <c r="E52" s="19" t="s">
        <v>307</v>
      </c>
      <c r="F52" s="18">
        <f>Evans_Lglopts</f>
        <v>27</v>
      </c>
      <c r="G52" s="32" t="s">
        <v>693</v>
      </c>
      <c r="H52" s="32" t="s">
        <v>308</v>
      </c>
      <c r="I52" s="32">
        <f>Pennellworgls</f>
        <v>0</v>
      </c>
      <c r="J52" s="322">
        <f>pennellworatt</f>
        <v>2</v>
      </c>
      <c r="K52" s="33">
        <f t="shared" si="1"/>
        <v>0</v>
      </c>
    </row>
    <row r="53" spans="1:11" ht="15" customHeight="1" thickBot="1" x14ac:dyDescent="0.3">
      <c r="A53" s="81" t="s">
        <v>1019</v>
      </c>
      <c r="B53" s="81" t="s">
        <v>370</v>
      </c>
      <c r="C53" s="12">
        <f>LloydBriTries</f>
        <v>4</v>
      </c>
      <c r="D53" s="3" t="s">
        <v>496</v>
      </c>
      <c r="E53" s="3" t="s">
        <v>354</v>
      </c>
      <c r="F53" s="18">
        <f>Bassettwaspts</f>
        <v>25</v>
      </c>
      <c r="G53" s="32" t="s">
        <v>1020</v>
      </c>
      <c r="H53" s="32" t="s">
        <v>356</v>
      </c>
      <c r="I53" s="32">
        <f>Viljoen_EWleicgls</f>
        <v>0</v>
      </c>
      <c r="J53" s="322">
        <f>Viljoen_EWleicatt</f>
        <v>1</v>
      </c>
      <c r="K53" s="33">
        <f t="shared" si="1"/>
        <v>0</v>
      </c>
    </row>
    <row r="54" spans="1:11" ht="15" customHeight="1" thickBot="1" x14ac:dyDescent="0.3">
      <c r="A54" s="81" t="s">
        <v>661</v>
      </c>
      <c r="B54" s="81" t="s">
        <v>352</v>
      </c>
      <c r="C54" s="8">
        <f>Marchanthartries</f>
        <v>4</v>
      </c>
      <c r="D54" s="3" t="s">
        <v>1091</v>
      </c>
      <c r="E54" s="3" t="s">
        <v>307</v>
      </c>
      <c r="F54" s="18">
        <f>Harrisglopts</f>
        <v>25</v>
      </c>
      <c r="G54" s="32" t="s">
        <v>856</v>
      </c>
      <c r="H54" s="32" t="s">
        <v>310</v>
      </c>
      <c r="I54" s="32" t="str">
        <f>Atkinsbthgls</f>
        <v>-</v>
      </c>
      <c r="J54" s="322">
        <v>0</v>
      </c>
      <c r="K54" s="33">
        <v>0</v>
      </c>
    </row>
    <row r="55" spans="1:11" ht="15" customHeight="1" thickBot="1" x14ac:dyDescent="0.3">
      <c r="A55" s="81" t="s">
        <v>665</v>
      </c>
      <c r="B55" s="81" t="s">
        <v>356</v>
      </c>
      <c r="C55" s="12">
        <f>Mayleictries</f>
        <v>4</v>
      </c>
      <c r="D55" s="19" t="s">
        <v>1065</v>
      </c>
      <c r="E55" s="19" t="s">
        <v>353</v>
      </c>
      <c r="F55" s="18">
        <f>Hoggexepts</f>
        <v>25</v>
      </c>
      <c r="G55" s="32" t="s">
        <v>851</v>
      </c>
      <c r="H55" s="32" t="s">
        <v>370</v>
      </c>
      <c r="I55" s="32" t="str">
        <f>Bedlowbrigls</f>
        <v>-</v>
      </c>
      <c r="J55" s="322">
        <v>0</v>
      </c>
      <c r="K55" s="33">
        <v>0</v>
      </c>
    </row>
    <row r="56" spans="1:11" ht="15" customHeight="1" thickBot="1" x14ac:dyDescent="0.3">
      <c r="A56" s="81" t="s">
        <v>936</v>
      </c>
      <c r="B56" s="81" t="s">
        <v>918</v>
      </c>
      <c r="C56" s="12">
        <f>MacLeodnewtries</f>
        <v>4</v>
      </c>
      <c r="D56" s="3" t="s">
        <v>603</v>
      </c>
      <c r="E56" s="3" t="s">
        <v>308</v>
      </c>
      <c r="F56" s="18">
        <f>Hougaardworpts</f>
        <v>25</v>
      </c>
      <c r="G56" s="32" t="s">
        <v>947</v>
      </c>
      <c r="H56" s="32" t="s">
        <v>918</v>
      </c>
      <c r="I56" s="32" t="str">
        <f>clegggoals</f>
        <v>-</v>
      </c>
      <c r="J56" s="322">
        <v>0</v>
      </c>
      <c r="K56" s="33">
        <v>0</v>
      </c>
    </row>
    <row r="57" spans="1:11" ht="15" customHeight="1" thickBot="1" x14ac:dyDescent="0.3">
      <c r="A57" s="81" t="s">
        <v>681</v>
      </c>
      <c r="B57" s="81" t="s">
        <v>311</v>
      </c>
      <c r="C57" s="12">
        <f>Naiyaravoronortries</f>
        <v>4</v>
      </c>
      <c r="D57" s="3" t="s">
        <v>607</v>
      </c>
      <c r="E57" s="3" t="s">
        <v>308</v>
      </c>
      <c r="F57" s="18">
        <f>Humphreysworpts</f>
        <v>25</v>
      </c>
      <c r="G57" s="32" t="s">
        <v>842</v>
      </c>
      <c r="H57" s="32" t="s">
        <v>307</v>
      </c>
      <c r="I57" s="32" t="str">
        <f>chapmanglogls</f>
        <v>-</v>
      </c>
      <c r="J57" s="322">
        <v>0</v>
      </c>
      <c r="K57" s="33">
        <v>0</v>
      </c>
    </row>
    <row r="58" spans="1:11" ht="15" customHeight="1" thickBot="1" x14ac:dyDescent="0.3">
      <c r="A58" s="81" t="s">
        <v>1140</v>
      </c>
      <c r="B58" s="81" t="s">
        <v>354</v>
      </c>
      <c r="C58" s="12">
        <f>Nealwastries</f>
        <v>4</v>
      </c>
      <c r="D58" s="3" t="s">
        <v>610</v>
      </c>
      <c r="E58" s="3" t="s">
        <v>352</v>
      </c>
      <c r="F58" s="18">
        <f>Ibitoyeharpts</f>
        <v>25</v>
      </c>
      <c r="G58" s="32" t="s">
        <v>526</v>
      </c>
      <c r="H58" s="32" t="s">
        <v>309</v>
      </c>
      <c r="I58" s="32" t="str">
        <f>Cliffsalgls</f>
        <v>-</v>
      </c>
      <c r="J58" s="322">
        <v>0</v>
      </c>
      <c r="K58" s="33">
        <v>0</v>
      </c>
    </row>
    <row r="59" spans="1:11" ht="15" customHeight="1" thickBot="1" x14ac:dyDescent="0.3">
      <c r="A59" s="81" t="s">
        <v>314</v>
      </c>
      <c r="B59" s="81" t="s">
        <v>370</v>
      </c>
      <c r="C59" s="12">
        <f>Penalty_Triesbritries</f>
        <v>4</v>
      </c>
      <c r="D59" s="3" t="s">
        <v>830</v>
      </c>
      <c r="E59" s="3" t="s">
        <v>309</v>
      </c>
      <c r="F59" s="18">
        <f>Jansevanrensburgsalpts</f>
        <v>25</v>
      </c>
      <c r="G59" s="32" t="s">
        <v>575</v>
      </c>
      <c r="H59" s="32" t="s">
        <v>311</v>
      </c>
      <c r="I59" s="32" t="str">
        <f>furbanknorgls</f>
        <v>-</v>
      </c>
      <c r="J59" s="322">
        <v>0</v>
      </c>
      <c r="K59" s="33">
        <v>0</v>
      </c>
    </row>
    <row r="60" spans="1:11" ht="15" customHeight="1" thickBot="1" x14ac:dyDescent="0.3">
      <c r="A60" s="81" t="s">
        <v>710</v>
      </c>
      <c r="B60" s="81" t="s">
        <v>311</v>
      </c>
      <c r="C60" s="80">
        <f>Ribbansnortries</f>
        <v>4</v>
      </c>
      <c r="D60" s="3" t="s">
        <v>635</v>
      </c>
      <c r="E60" s="3" t="s">
        <v>352</v>
      </c>
      <c r="F60" s="18">
        <f>Lasikeharpts</f>
        <v>25</v>
      </c>
      <c r="G60" s="32" t="s">
        <v>1065</v>
      </c>
      <c r="H60" s="32" t="s">
        <v>353</v>
      </c>
      <c r="I60" s="32" t="str">
        <f>hoggexegls</f>
        <v>-</v>
      </c>
      <c r="J60" s="322">
        <v>0</v>
      </c>
      <c r="K60" s="33">
        <v>0</v>
      </c>
    </row>
    <row r="61" spans="1:11" ht="15" customHeight="1" thickBot="1" x14ac:dyDescent="0.3">
      <c r="A61" s="81" t="s">
        <v>1135</v>
      </c>
      <c r="B61" s="81" t="s">
        <v>918</v>
      </c>
      <c r="C61" s="12">
        <f>Nagusanewtries</f>
        <v>4</v>
      </c>
      <c r="D61" s="3" t="s">
        <v>640</v>
      </c>
      <c r="E61" s="3" t="s">
        <v>308</v>
      </c>
      <c r="F61" s="18">
        <f>Lawrenceworpts</f>
        <v>25</v>
      </c>
      <c r="G61" s="32" t="s">
        <v>609</v>
      </c>
      <c r="H61" s="32" t="s">
        <v>311</v>
      </c>
      <c r="I61" s="32" t="str">
        <f>hutchinsonnorgls</f>
        <v>-</v>
      </c>
      <c r="J61" s="322">
        <v>0</v>
      </c>
      <c r="K61" s="33">
        <v>0</v>
      </c>
    </row>
    <row r="62" spans="1:11" ht="15" customHeight="1" thickBot="1" x14ac:dyDescent="0.3">
      <c r="A62" s="81" t="s">
        <v>732</v>
      </c>
      <c r="B62" s="81" t="s">
        <v>307</v>
      </c>
      <c r="C62" s="12">
        <f>Simpsonglotries</f>
        <v>4</v>
      </c>
      <c r="D62" s="3" t="s">
        <v>318</v>
      </c>
      <c r="E62" s="3" t="s">
        <v>307</v>
      </c>
      <c r="F62" s="18">
        <f>Marshallglopts</f>
        <v>25</v>
      </c>
      <c r="G62" s="32" t="s">
        <v>332</v>
      </c>
      <c r="H62" s="32" t="s">
        <v>309</v>
      </c>
      <c r="I62" s="32" t="str">
        <f>Jamessalgls</f>
        <v>-</v>
      </c>
      <c r="J62" s="322">
        <v>0</v>
      </c>
      <c r="K62" s="33">
        <v>0</v>
      </c>
    </row>
    <row r="63" spans="1:11" ht="15" customHeight="1" thickBot="1" x14ac:dyDescent="0.3">
      <c r="A63" s="81" t="s">
        <v>399</v>
      </c>
      <c r="B63" s="81" t="s">
        <v>370</v>
      </c>
      <c r="C63" s="12">
        <f>Sheridaneamonntries</f>
        <v>4</v>
      </c>
      <c r="D63" s="19" t="s">
        <v>313</v>
      </c>
      <c r="E63" s="19" t="s">
        <v>310</v>
      </c>
      <c r="F63" s="18">
        <f>Mercerbatpts</f>
        <v>25</v>
      </c>
      <c r="G63" s="32" t="s">
        <v>846</v>
      </c>
      <c r="H63" s="32" t="s">
        <v>354</v>
      </c>
      <c r="I63" s="32" t="str">
        <f>jardinewasgls</f>
        <v>-</v>
      </c>
      <c r="J63" s="322">
        <v>0</v>
      </c>
      <c r="K63" s="33">
        <v>0</v>
      </c>
    </row>
    <row r="64" spans="1:11" ht="15" customHeight="1" thickBot="1" x14ac:dyDescent="0.3">
      <c r="A64" s="81" t="s">
        <v>1128</v>
      </c>
      <c r="B64" s="81" t="s">
        <v>918</v>
      </c>
      <c r="C64" s="12">
        <f>Robinsonnewtries</f>
        <v>4</v>
      </c>
      <c r="D64" s="3" t="s">
        <v>689</v>
      </c>
      <c r="E64" s="3" t="s">
        <v>353</v>
      </c>
      <c r="F64" s="18">
        <f>Parlinggeoffexepts</f>
        <v>25</v>
      </c>
      <c r="G64" s="32" t="s">
        <v>618</v>
      </c>
      <c r="H64" s="32" t="s">
        <v>310</v>
      </c>
      <c r="I64" s="32" t="str">
        <f>Josephbthgls</f>
        <v>-</v>
      </c>
      <c r="J64" s="322">
        <v>0</v>
      </c>
      <c r="K64" s="33">
        <v>0</v>
      </c>
    </row>
    <row r="65" spans="1:11" ht="15" customHeight="1" thickBot="1" x14ac:dyDescent="0.3">
      <c r="A65" s="81" t="s">
        <v>1025</v>
      </c>
      <c r="B65" s="81" t="s">
        <v>309</v>
      </c>
      <c r="C65" s="12">
        <f>Van_der_Merwe_Asaltries</f>
        <v>4</v>
      </c>
      <c r="D65" s="3" t="s">
        <v>708</v>
      </c>
      <c r="E65" s="3" t="s">
        <v>311</v>
      </c>
      <c r="F65" s="18">
        <f>Reinachnorpts</f>
        <v>25</v>
      </c>
      <c r="G65" s="32" t="s">
        <v>467</v>
      </c>
      <c r="H65" s="32" t="s">
        <v>309</v>
      </c>
      <c r="I65" s="32" t="str">
        <f>McGuigansalgoals</f>
        <v>-</v>
      </c>
      <c r="J65" s="322">
        <v>0</v>
      </c>
      <c r="K65" s="33">
        <v>0</v>
      </c>
    </row>
    <row r="66" spans="1:11" ht="15" customHeight="1" thickBot="1" x14ac:dyDescent="0.3">
      <c r="A66" s="81" t="s">
        <v>1154</v>
      </c>
      <c r="B66" s="81" t="s">
        <v>307</v>
      </c>
      <c r="C66" s="80">
        <f>Vellacottglotries</f>
        <v>4</v>
      </c>
      <c r="D66" s="3" t="s">
        <v>739</v>
      </c>
      <c r="E66" s="3" t="s">
        <v>309</v>
      </c>
      <c r="F66" s="18">
        <f>Solomonasalpts</f>
        <v>25</v>
      </c>
      <c r="G66" s="32" t="s">
        <v>671</v>
      </c>
      <c r="H66" s="32" t="s">
        <v>308</v>
      </c>
      <c r="I66" s="32" t="str">
        <f>millsworgoals</f>
        <v>-</v>
      </c>
      <c r="J66" s="322">
        <v>0</v>
      </c>
      <c r="K66" s="33">
        <v>0</v>
      </c>
    </row>
    <row r="67" spans="1:11" ht="15" customHeight="1" thickBot="1" x14ac:dyDescent="0.3">
      <c r="A67" s="81" t="s">
        <v>989</v>
      </c>
      <c r="B67" s="81" t="s">
        <v>353</v>
      </c>
      <c r="C67" s="12">
        <f>Vermeulenexetries</f>
        <v>4</v>
      </c>
      <c r="D67" s="3" t="s">
        <v>756</v>
      </c>
      <c r="E67" s="3" t="s">
        <v>355</v>
      </c>
      <c r="F67" s="18">
        <f>Tompkinssarpts</f>
        <v>25</v>
      </c>
      <c r="G67" s="32" t="s">
        <v>1124</v>
      </c>
      <c r="H67" s="32" t="s">
        <v>353</v>
      </c>
      <c r="I67" s="32" t="str">
        <f>Morleyexegls</f>
        <v>-</v>
      </c>
      <c r="J67" s="322">
        <v>0</v>
      </c>
      <c r="K67" s="33">
        <v>0</v>
      </c>
    </row>
    <row r="68" spans="1:11" ht="15" customHeight="1" thickBot="1" x14ac:dyDescent="0.3">
      <c r="A68" s="11" t="s">
        <v>443</v>
      </c>
      <c r="B68" s="11" t="s">
        <v>354</v>
      </c>
      <c r="C68" s="12">
        <f>Willis_Twastries</f>
        <v>4</v>
      </c>
      <c r="D68" s="3" t="s">
        <v>1019</v>
      </c>
      <c r="E68" s="3" t="s">
        <v>370</v>
      </c>
      <c r="F68" s="18">
        <f>LloydBriPts</f>
        <v>24</v>
      </c>
      <c r="G68" s="32" t="s">
        <v>705</v>
      </c>
      <c r="H68" s="32" t="s">
        <v>310</v>
      </c>
      <c r="I68" s="32" t="str">
        <f>repathbthgls</f>
        <v>-</v>
      </c>
      <c r="J68" s="322">
        <v>0</v>
      </c>
      <c r="K68" s="33">
        <v>0</v>
      </c>
    </row>
    <row r="69" spans="1:11" ht="15" customHeight="1" thickBot="1" x14ac:dyDescent="0.3">
      <c r="A69" s="81" t="s">
        <v>1004</v>
      </c>
      <c r="B69" s="81" t="s">
        <v>352</v>
      </c>
      <c r="C69" s="12">
        <f>Baldwinhartries</f>
        <v>3</v>
      </c>
      <c r="D69" s="3" t="s">
        <v>314</v>
      </c>
      <c r="E69" s="3" t="s">
        <v>311</v>
      </c>
      <c r="F69" s="18">
        <f>Penalty_Triessaintspts</f>
        <v>21</v>
      </c>
      <c r="G69" s="32" t="s">
        <v>714</v>
      </c>
      <c r="H69" s="32" t="s">
        <v>354</v>
      </c>
      <c r="I69" s="32" t="str">
        <f>robsobwasgoals</f>
        <v>-</v>
      </c>
      <c r="J69" s="322">
        <v>0</v>
      </c>
      <c r="K69" s="33">
        <v>0</v>
      </c>
    </row>
    <row r="70" spans="1:11" ht="15" customHeight="1" thickBot="1" x14ac:dyDescent="0.3">
      <c r="A70" s="81" t="s">
        <v>491</v>
      </c>
      <c r="B70" s="81" t="s">
        <v>307</v>
      </c>
      <c r="C70" s="12">
        <f>Banahanglotries</f>
        <v>3</v>
      </c>
      <c r="D70" s="3" t="s">
        <v>314</v>
      </c>
      <c r="E70" s="3" t="s">
        <v>354</v>
      </c>
      <c r="F70" s="18">
        <f>Penalty_Trieswaspts</f>
        <v>21</v>
      </c>
      <c r="G70" s="32" t="s">
        <v>729</v>
      </c>
      <c r="H70" s="32" t="s">
        <v>308</v>
      </c>
      <c r="I70" s="32" t="str">
        <f>shilllcockworgoals</f>
        <v>-</v>
      </c>
      <c r="J70" s="322">
        <v>0</v>
      </c>
      <c r="K70" s="33">
        <v>0</v>
      </c>
    </row>
    <row r="71" spans="1:11" ht="15" customHeight="1" thickBot="1" x14ac:dyDescent="0.3">
      <c r="A71" s="14" t="s">
        <v>493</v>
      </c>
      <c r="B71" s="14" t="s">
        <v>355</v>
      </c>
      <c r="C71" s="8">
        <f>Barrittbradtries</f>
        <v>3</v>
      </c>
      <c r="D71" s="3" t="s">
        <v>1233</v>
      </c>
      <c r="E71" s="3" t="s">
        <v>307</v>
      </c>
      <c r="F71" s="18">
        <v>20</v>
      </c>
      <c r="G71" s="32" t="s">
        <v>737</v>
      </c>
      <c r="H71" s="32" t="s">
        <v>353</v>
      </c>
      <c r="I71" s="32" t="str">
        <f>sladegoals</f>
        <v>-</v>
      </c>
      <c r="J71" s="322">
        <v>0</v>
      </c>
      <c r="K71" s="33">
        <v>0</v>
      </c>
    </row>
    <row r="72" spans="1:11" ht="15" customHeight="1" thickBot="1" x14ac:dyDescent="0.3">
      <c r="A72" s="81" t="s">
        <v>500</v>
      </c>
      <c r="B72" s="81" t="s">
        <v>308</v>
      </c>
      <c r="C72" s="12">
        <f>Beckwortries</f>
        <v>3</v>
      </c>
      <c r="D72" s="3" t="s">
        <v>1243</v>
      </c>
      <c r="E72" s="3" t="s">
        <v>308</v>
      </c>
      <c r="F72" s="18">
        <v>20</v>
      </c>
      <c r="G72" s="32" t="s">
        <v>748</v>
      </c>
      <c r="H72" s="32" t="s">
        <v>352</v>
      </c>
      <c r="I72" s="32" t="str">
        <f>tapuaiharglscorrect</f>
        <v>-</v>
      </c>
      <c r="J72" s="322">
        <v>0</v>
      </c>
      <c r="K72" s="33">
        <v>0</v>
      </c>
    </row>
    <row r="73" spans="1:11" ht="15" customHeight="1" thickBot="1" x14ac:dyDescent="0.3">
      <c r="A73" s="81" t="s">
        <v>506</v>
      </c>
      <c r="B73" s="81" t="s">
        <v>310</v>
      </c>
      <c r="C73" s="12">
        <f>Boycebthtries</f>
        <v>3</v>
      </c>
      <c r="D73" s="3" t="s">
        <v>844</v>
      </c>
      <c r="E73" s="3" t="s">
        <v>354</v>
      </c>
      <c r="F73" s="18">
        <f>Barbearywaspts</f>
        <v>20</v>
      </c>
      <c r="G73" s="32" t="s">
        <v>789</v>
      </c>
      <c r="H73" s="32" t="s">
        <v>355</v>
      </c>
      <c r="I73" s="32" t="str">
        <f>Whiteleysargls</f>
        <v>-</v>
      </c>
      <c r="J73" s="322">
        <v>0</v>
      </c>
      <c r="K73" s="33">
        <v>0</v>
      </c>
    </row>
    <row r="74" spans="1:11" ht="15" customHeight="1" thickBot="1" x14ac:dyDescent="0.3">
      <c r="A74" s="11" t="s">
        <v>519</v>
      </c>
      <c r="B74" s="81" t="s">
        <v>354</v>
      </c>
      <c r="C74" s="12">
        <f>Carrwastries</f>
        <v>3</v>
      </c>
      <c r="D74" s="3" t="s">
        <v>492</v>
      </c>
      <c r="E74" s="3" t="s">
        <v>355</v>
      </c>
      <c r="F74" s="18">
        <f>Barringtonrichardpts</f>
        <v>20</v>
      </c>
      <c r="G74" s="32" t="s">
        <v>791</v>
      </c>
      <c r="H74" s="32" t="s">
        <v>355</v>
      </c>
      <c r="I74" s="32" t="str">
        <f>Wigglesworthsargoals</f>
        <v>-</v>
      </c>
      <c r="J74" s="322">
        <v>0</v>
      </c>
      <c r="K74" s="33">
        <v>0</v>
      </c>
    </row>
    <row r="75" spans="1:11" ht="15" customHeight="1" thickBot="1" x14ac:dyDescent="0.3">
      <c r="A75" s="14" t="s">
        <v>523</v>
      </c>
      <c r="B75" s="14" t="s">
        <v>310</v>
      </c>
      <c r="C75" s="12">
        <f>Chudleybthtries</f>
        <v>3</v>
      </c>
      <c r="D75" s="19" t="s">
        <v>995</v>
      </c>
      <c r="E75" s="3" t="s">
        <v>309</v>
      </c>
      <c r="F75" s="18">
        <f>du_Preez_Dsalpts</f>
        <v>20</v>
      </c>
      <c r="G75" s="32" t="s">
        <v>837</v>
      </c>
      <c r="H75" s="32" t="s">
        <v>309</v>
      </c>
      <c r="I75" s="32" t="str">
        <f>wilkinsonsalgls</f>
        <v>-</v>
      </c>
      <c r="J75" s="322">
        <v>0</v>
      </c>
      <c r="K75" s="33">
        <v>0</v>
      </c>
    </row>
    <row r="76" spans="1:11" ht="15" customHeight="1" thickBot="1" x14ac:dyDescent="0.3">
      <c r="A76" s="81" t="s">
        <v>531</v>
      </c>
      <c r="B76" s="81" t="s">
        <v>311</v>
      </c>
      <c r="C76" s="12">
        <f>Collinstomtries</f>
        <v>3</v>
      </c>
      <c r="D76" s="3" t="s">
        <v>1102</v>
      </c>
      <c r="E76" s="3" t="s">
        <v>354</v>
      </c>
      <c r="F76" s="18">
        <f>Eastgatewaspts</f>
        <v>20</v>
      </c>
      <c r="G76" s="32" t="s">
        <v>797</v>
      </c>
      <c r="H76" s="32" t="s">
        <v>307</v>
      </c>
      <c r="I76" s="32" t="str">
        <f>tindallglogoals</f>
        <v>-</v>
      </c>
      <c r="J76" s="322">
        <v>0</v>
      </c>
      <c r="K76" s="33">
        <v>0</v>
      </c>
    </row>
    <row r="77" spans="1:11" ht="15" customHeight="1" thickBot="1" x14ac:dyDescent="0.3">
      <c r="A77" s="81" t="s">
        <v>1191</v>
      </c>
      <c r="B77" s="81" t="s">
        <v>918</v>
      </c>
      <c r="C77" s="12">
        <f>Collettnewtries</f>
        <v>3</v>
      </c>
      <c r="D77" s="3" t="s">
        <v>136</v>
      </c>
      <c r="E77" s="3" t="s">
        <v>1214</v>
      </c>
      <c r="F77" s="18">
        <f>Homer_Tombthpts+Furnonewpts</f>
        <v>20</v>
      </c>
      <c r="G77" s="32" t="s">
        <v>800</v>
      </c>
      <c r="H77" s="32" t="s">
        <v>356</v>
      </c>
      <c r="I77" s="32" t="str">
        <f>worthleigoals</f>
        <v>-</v>
      </c>
      <c r="J77" s="322">
        <v>0</v>
      </c>
      <c r="K77" s="33">
        <v>0</v>
      </c>
    </row>
    <row r="78" spans="1:11" ht="15" customHeight="1" thickBot="1" x14ac:dyDescent="0.3">
      <c r="A78" s="81" t="s">
        <v>1142</v>
      </c>
      <c r="B78" s="81" t="s">
        <v>355</v>
      </c>
      <c r="C78" s="12">
        <f>Crossdalesartriescorrect</f>
        <v>3</v>
      </c>
      <c r="D78" s="3" t="s">
        <v>332</v>
      </c>
      <c r="E78" s="3" t="s">
        <v>309</v>
      </c>
      <c r="F78" s="18">
        <f>Jamessalpts</f>
        <v>20</v>
      </c>
      <c r="G78" s="149" t="s">
        <v>264</v>
      </c>
      <c r="H78" s="174"/>
      <c r="I78" s="43"/>
    </row>
    <row r="79" spans="1:11" ht="15" customHeight="1" thickBot="1" x14ac:dyDescent="0.3">
      <c r="A79" s="81" t="s">
        <v>886</v>
      </c>
      <c r="B79" s="81" t="s">
        <v>308</v>
      </c>
      <c r="C79" s="12">
        <f>Davidwortries</f>
        <v>3</v>
      </c>
      <c r="D79" s="3" t="s">
        <v>1095</v>
      </c>
      <c r="E79" s="3" t="s">
        <v>353</v>
      </c>
      <c r="F79" s="18">
        <f>Kirstenexepts</f>
        <v>20</v>
      </c>
    </row>
    <row r="80" spans="1:11" ht="15" customHeight="1" thickBot="1" x14ac:dyDescent="0.3">
      <c r="A80" s="81" t="s">
        <v>1171</v>
      </c>
      <c r="B80" s="81" t="s">
        <v>310</v>
      </c>
      <c r="C80" s="12">
        <f>Delmasbthtries</f>
        <v>3</v>
      </c>
      <c r="D80" s="19" t="s">
        <v>645</v>
      </c>
      <c r="E80" s="19" t="s">
        <v>355</v>
      </c>
      <c r="F80" s="21">
        <f>Lewingtonsarpts</f>
        <v>20</v>
      </c>
    </row>
    <row r="81" spans="1:6" ht="15" customHeight="1" thickBot="1" x14ac:dyDescent="0.3">
      <c r="A81" s="81" t="s">
        <v>549</v>
      </c>
      <c r="B81" s="81" t="s">
        <v>353</v>
      </c>
      <c r="C81" s="12">
        <f>Devotoexetries</f>
        <v>3</v>
      </c>
      <c r="D81" s="3" t="s">
        <v>661</v>
      </c>
      <c r="E81" s="3" t="s">
        <v>352</v>
      </c>
      <c r="F81" s="21">
        <f>Marchantharpts</f>
        <v>20</v>
      </c>
    </row>
    <row r="82" spans="1:6" ht="15" customHeight="1" thickBot="1" x14ac:dyDescent="0.3">
      <c r="A82" s="81" t="s">
        <v>550</v>
      </c>
      <c r="B82" s="81" t="s">
        <v>353</v>
      </c>
      <c r="C82" s="12">
        <f>Dollmanexetries</f>
        <v>3</v>
      </c>
      <c r="D82" s="3" t="s">
        <v>665</v>
      </c>
      <c r="E82" s="3" t="s">
        <v>356</v>
      </c>
      <c r="F82" s="21">
        <f>Mayleicpts</f>
        <v>20</v>
      </c>
    </row>
    <row r="83" spans="1:6" ht="15" customHeight="1" thickBot="1" x14ac:dyDescent="0.3">
      <c r="A83" s="81" t="s">
        <v>858</v>
      </c>
      <c r="B83" s="81" t="s">
        <v>309</v>
      </c>
      <c r="C83" s="12">
        <f>du_Preez_Rsaltries</f>
        <v>3</v>
      </c>
      <c r="D83" s="3" t="s">
        <v>1255</v>
      </c>
      <c r="E83" s="3" t="s">
        <v>918</v>
      </c>
      <c r="F83" s="21">
        <f>MacLeodnewpts</f>
        <v>20</v>
      </c>
    </row>
    <row r="84" spans="1:6" ht="15" customHeight="1" thickBot="1" x14ac:dyDescent="0.3">
      <c r="A84" s="11" t="s">
        <v>317</v>
      </c>
      <c r="B84" s="11" t="s">
        <v>307</v>
      </c>
      <c r="C84" s="12">
        <f>Evans_Lglotries</f>
        <v>3</v>
      </c>
      <c r="D84" s="3" t="s">
        <v>681</v>
      </c>
      <c r="E84" s="3" t="s">
        <v>311</v>
      </c>
      <c r="F84" s="21">
        <f>Naiyaravoronorpts</f>
        <v>20</v>
      </c>
    </row>
    <row r="85" spans="1:6" ht="15" customHeight="1" thickBot="1" x14ac:dyDescent="0.3">
      <c r="A85" s="81" t="s">
        <v>586</v>
      </c>
      <c r="B85" s="81" t="s">
        <v>354</v>
      </c>
      <c r="C85" s="12">
        <f>Goodewastries</f>
        <v>3</v>
      </c>
      <c r="D85" s="3" t="s">
        <v>1140</v>
      </c>
      <c r="E85" s="3" t="s">
        <v>354</v>
      </c>
      <c r="F85" s="21">
        <f>Nealwaspts</f>
        <v>20</v>
      </c>
    </row>
    <row r="86" spans="1:6" ht="15" customHeight="1" thickBot="1" x14ac:dyDescent="0.3">
      <c r="A86" s="11" t="s">
        <v>360</v>
      </c>
      <c r="B86" s="81" t="s">
        <v>311</v>
      </c>
      <c r="C86" s="12">
        <f>Harrisonnortries</f>
        <v>3</v>
      </c>
      <c r="D86" s="3" t="s">
        <v>710</v>
      </c>
      <c r="E86" s="3" t="s">
        <v>311</v>
      </c>
      <c r="F86" s="21">
        <f>Ribbansnorpts</f>
        <v>20</v>
      </c>
    </row>
    <row r="87" spans="1:6" ht="15" customHeight="1" thickBot="1" x14ac:dyDescent="0.3">
      <c r="A87" s="81" t="s">
        <v>595</v>
      </c>
      <c r="B87" s="81" t="s">
        <v>311</v>
      </c>
      <c r="C87" s="12">
        <f>Haywoodmiketries</f>
        <v>3</v>
      </c>
      <c r="D87" s="3" t="s">
        <v>1135</v>
      </c>
      <c r="E87" s="3" t="s">
        <v>918</v>
      </c>
      <c r="F87" s="20">
        <f>Nagusanewpts</f>
        <v>20</v>
      </c>
    </row>
    <row r="88" spans="1:6" ht="15" customHeight="1" thickBot="1" x14ac:dyDescent="0.3">
      <c r="A88" s="81" t="s">
        <v>599</v>
      </c>
      <c r="B88" s="81" t="s">
        <v>353</v>
      </c>
      <c r="C88" s="12">
        <f>Hendricksonexetries</f>
        <v>3</v>
      </c>
      <c r="D88" s="3" t="s">
        <v>732</v>
      </c>
      <c r="E88" s="3" t="s">
        <v>307</v>
      </c>
      <c r="F88" s="21">
        <f>Simpsonglopts</f>
        <v>20</v>
      </c>
    </row>
    <row r="89" spans="1:6" ht="15" customHeight="1" thickBot="1" x14ac:dyDescent="0.3">
      <c r="A89" s="11" t="s">
        <v>824</v>
      </c>
      <c r="B89" s="11" t="s">
        <v>308</v>
      </c>
      <c r="C89" s="12">
        <f>Hillwortries</f>
        <v>3</v>
      </c>
      <c r="D89" s="3" t="s">
        <v>399</v>
      </c>
      <c r="E89" s="3" t="s">
        <v>370</v>
      </c>
      <c r="F89" s="21">
        <f>Thomas_Dbripts</f>
        <v>20</v>
      </c>
    </row>
    <row r="90" spans="1:6" ht="15" customHeight="1" thickBot="1" x14ac:dyDescent="0.3">
      <c r="A90" s="81" t="s">
        <v>606</v>
      </c>
      <c r="B90" s="81" t="s">
        <v>370</v>
      </c>
      <c r="C90" s="12">
        <f>Hughesbritries</f>
        <v>3</v>
      </c>
      <c r="D90" s="3" t="s">
        <v>1128</v>
      </c>
      <c r="E90" s="3" t="s">
        <v>918</v>
      </c>
      <c r="F90" s="21">
        <f>Robinsonnewpts</f>
        <v>20</v>
      </c>
    </row>
    <row r="91" spans="1:6" ht="15" customHeight="1" thickBot="1" x14ac:dyDescent="0.3">
      <c r="A91" s="81" t="s">
        <v>609</v>
      </c>
      <c r="B91" s="81" t="s">
        <v>311</v>
      </c>
      <c r="C91" s="12">
        <f>Hutchinsonnortries</f>
        <v>3</v>
      </c>
      <c r="D91" s="3" t="s">
        <v>1025</v>
      </c>
      <c r="E91" s="3" t="s">
        <v>309</v>
      </c>
      <c r="F91" s="21">
        <f>Van_der_Merwe_Asalpts</f>
        <v>20</v>
      </c>
    </row>
    <row r="92" spans="1:6" ht="15" customHeight="1" thickBot="1" x14ac:dyDescent="0.3">
      <c r="A92" s="81" t="s">
        <v>618</v>
      </c>
      <c r="B92" s="81" t="s">
        <v>310</v>
      </c>
      <c r="C92" s="12">
        <f>Josephbattries</f>
        <v>3</v>
      </c>
      <c r="D92" s="3" t="s">
        <v>1154</v>
      </c>
      <c r="E92" s="3" t="s">
        <v>307</v>
      </c>
      <c r="F92" s="21">
        <f>Vellacottglopts</f>
        <v>20</v>
      </c>
    </row>
    <row r="93" spans="1:6" ht="15" customHeight="1" thickBot="1" x14ac:dyDescent="0.3">
      <c r="A93" s="81" t="s">
        <v>643</v>
      </c>
      <c r="B93" s="81" t="s">
        <v>370</v>
      </c>
      <c r="C93" s="12">
        <f>Loaderlirtries</f>
        <v>3</v>
      </c>
      <c r="D93" s="3" t="s">
        <v>989</v>
      </c>
      <c r="E93" s="3" t="s">
        <v>353</v>
      </c>
      <c r="F93" s="21">
        <f>Vermeulenexepts</f>
        <v>20</v>
      </c>
    </row>
    <row r="94" spans="1:6" ht="15" customHeight="1" thickBot="1" x14ac:dyDescent="0.3">
      <c r="A94" s="81" t="s">
        <v>1254</v>
      </c>
      <c r="B94" s="81" t="s">
        <v>918</v>
      </c>
      <c r="C94" s="12">
        <f>Hammersleynewtries</f>
        <v>3</v>
      </c>
      <c r="D94" s="19" t="s">
        <v>443</v>
      </c>
      <c r="E94" s="19" t="s">
        <v>354</v>
      </c>
      <c r="F94" s="21">
        <f>Willis_Twaspts</f>
        <v>20</v>
      </c>
    </row>
    <row r="95" spans="1:6" ht="15" customHeight="1" thickBot="1" x14ac:dyDescent="0.3">
      <c r="A95" s="81" t="s">
        <v>656</v>
      </c>
      <c r="B95" s="81" t="s">
        <v>355</v>
      </c>
      <c r="C95" s="80">
        <f>Maitlandsartries</f>
        <v>3</v>
      </c>
      <c r="D95" s="3" t="s">
        <v>658</v>
      </c>
      <c r="E95" s="3" t="s">
        <v>311</v>
      </c>
      <c r="F95" s="21">
        <f>Mallindernorpts</f>
        <v>19</v>
      </c>
    </row>
    <row r="96" spans="1:6" ht="15" customHeight="1" thickBot="1" x14ac:dyDescent="0.3">
      <c r="A96" s="81" t="s">
        <v>664</v>
      </c>
      <c r="B96" s="81" t="s">
        <v>353</v>
      </c>
      <c r="C96" s="12">
        <f>Maunderexetries</f>
        <v>3</v>
      </c>
      <c r="D96" s="3" t="s">
        <v>544</v>
      </c>
      <c r="E96" s="3" t="s">
        <v>355</v>
      </c>
      <c r="F96" s="21">
        <f>Crossdalesarpts</f>
        <v>18</v>
      </c>
    </row>
    <row r="97" spans="1:6" ht="15" customHeight="1" thickBot="1" x14ac:dyDescent="0.3">
      <c r="A97" s="81" t="s">
        <v>1104</v>
      </c>
      <c r="B97" s="81" t="s">
        <v>354</v>
      </c>
      <c r="C97" s="12">
        <f>Morrisbenwasgtries</f>
        <v>3</v>
      </c>
      <c r="D97" s="19" t="s">
        <v>650</v>
      </c>
      <c r="E97" s="19" t="s">
        <v>355</v>
      </c>
      <c r="F97" s="21">
        <f>Longbottomsarpts</f>
        <v>18</v>
      </c>
    </row>
    <row r="98" spans="1:6" ht="15" customHeight="1" thickBot="1" x14ac:dyDescent="0.3">
      <c r="A98" s="81" t="s">
        <v>902</v>
      </c>
      <c r="B98" s="81" t="s">
        <v>355</v>
      </c>
      <c r="C98" s="12">
        <f>Naysartries</f>
        <v>3</v>
      </c>
      <c r="D98" s="19" t="s">
        <v>1182</v>
      </c>
      <c r="E98" s="19" t="s">
        <v>310</v>
      </c>
      <c r="F98" s="21">
        <f>Lahiffmaxbthpts</f>
        <v>18</v>
      </c>
    </row>
    <row r="99" spans="1:6" ht="15" customHeight="1" thickBot="1" x14ac:dyDescent="0.3">
      <c r="A99" s="11" t="s">
        <v>686</v>
      </c>
      <c r="B99" s="11" t="s">
        <v>310</v>
      </c>
      <c r="C99" s="8">
        <f>Obanobthtries</f>
        <v>3</v>
      </c>
      <c r="D99" s="3" t="s">
        <v>991</v>
      </c>
      <c r="E99" s="3" t="s">
        <v>356</v>
      </c>
      <c r="F99" s="21">
        <f>Reidleipts</f>
        <v>18</v>
      </c>
    </row>
    <row r="100" spans="1:6" ht="15" customHeight="1" thickBot="1" x14ac:dyDescent="0.3">
      <c r="A100" s="81" t="s">
        <v>314</v>
      </c>
      <c r="B100" s="81" t="s">
        <v>311</v>
      </c>
      <c r="C100" s="12">
        <f>Penalty_Triessaintstries</f>
        <v>3</v>
      </c>
      <c r="D100" s="3" t="s">
        <v>546</v>
      </c>
      <c r="E100" s="3" t="s">
        <v>309</v>
      </c>
      <c r="F100" s="21">
        <f>Fearnsalpts</f>
        <v>16</v>
      </c>
    </row>
    <row r="101" spans="1:6" ht="15" customHeight="1" thickBot="1" x14ac:dyDescent="0.3">
      <c r="A101" s="81" t="s">
        <v>314</v>
      </c>
      <c r="B101" s="81" t="s">
        <v>354</v>
      </c>
      <c r="C101" s="12">
        <f>Penalty_Trieswastries</f>
        <v>3</v>
      </c>
      <c r="D101" s="3" t="s">
        <v>1004</v>
      </c>
      <c r="E101" s="3" t="s">
        <v>352</v>
      </c>
      <c r="F101" s="21">
        <f>Baldwinharpts</f>
        <v>15</v>
      </c>
    </row>
    <row r="102" spans="1:6" ht="15" customHeight="1" thickBot="1" x14ac:dyDescent="0.3">
      <c r="A102" s="81" t="s">
        <v>701</v>
      </c>
      <c r="B102" s="81" t="s">
        <v>370</v>
      </c>
      <c r="C102" s="12">
        <f>Purdybritries</f>
        <v>3</v>
      </c>
      <c r="D102" s="3" t="s">
        <v>491</v>
      </c>
      <c r="E102" s="3" t="s">
        <v>307</v>
      </c>
      <c r="F102" s="21">
        <f>Banahanglopts</f>
        <v>15</v>
      </c>
    </row>
    <row r="103" spans="1:6" ht="15" customHeight="1" thickBot="1" x14ac:dyDescent="0.3">
      <c r="A103" s="11" t="s">
        <v>713</v>
      </c>
      <c r="B103" s="11" t="s">
        <v>352</v>
      </c>
      <c r="C103" s="12">
        <f>Robshawhartries</f>
        <v>3</v>
      </c>
      <c r="D103" s="172" t="s">
        <v>493</v>
      </c>
      <c r="E103" s="172" t="s">
        <v>355</v>
      </c>
      <c r="F103" s="21">
        <f>Barrittbradpts</f>
        <v>15</v>
      </c>
    </row>
    <row r="104" spans="1:6" ht="15" customHeight="1" thickBot="1" x14ac:dyDescent="0.3">
      <c r="A104" s="11" t="s">
        <v>728</v>
      </c>
      <c r="B104" s="81" t="s">
        <v>354</v>
      </c>
      <c r="C104" s="12">
        <f>Shieldswastries</f>
        <v>3</v>
      </c>
      <c r="D104" s="3" t="s">
        <v>500</v>
      </c>
      <c r="E104" s="3" t="s">
        <v>308</v>
      </c>
      <c r="F104" s="21">
        <f>Beckworpts</f>
        <v>15</v>
      </c>
    </row>
    <row r="105" spans="1:6" ht="15" customHeight="1" thickBot="1" x14ac:dyDescent="0.3">
      <c r="A105" s="81" t="s">
        <v>1162</v>
      </c>
      <c r="B105" s="81" t="s">
        <v>1163</v>
      </c>
      <c r="C105" s="12">
        <f>Swainstonhartries</f>
        <v>3</v>
      </c>
      <c r="D105" s="3" t="s">
        <v>506</v>
      </c>
      <c r="E105" s="3" t="s">
        <v>310</v>
      </c>
      <c r="F105" s="21">
        <f>Boycebthpts</f>
        <v>15</v>
      </c>
    </row>
    <row r="106" spans="1:6" ht="15" customHeight="1" thickBot="1" x14ac:dyDescent="0.3">
      <c r="A106" s="81" t="s">
        <v>744</v>
      </c>
      <c r="B106" s="81" t="s">
        <v>310</v>
      </c>
      <c r="C106" s="12">
        <f>Spencerwilltries</f>
        <v>3</v>
      </c>
      <c r="D106" s="19" t="s">
        <v>519</v>
      </c>
      <c r="E106" s="3" t="s">
        <v>354</v>
      </c>
      <c r="F106" s="21">
        <f>Carrwaspts</f>
        <v>15</v>
      </c>
    </row>
    <row r="107" spans="1:6" ht="15" customHeight="1" thickBot="1" x14ac:dyDescent="0.3">
      <c r="A107" s="81" t="s">
        <v>1093</v>
      </c>
      <c r="B107" s="81" t="s">
        <v>356</v>
      </c>
      <c r="C107" s="12">
        <f>Thacker_Cleictries</f>
        <v>3</v>
      </c>
      <c r="D107" s="172" t="s">
        <v>523</v>
      </c>
      <c r="E107" s="172" t="s">
        <v>310</v>
      </c>
      <c r="F107" s="21">
        <f>Chudleybthpts</f>
        <v>15</v>
      </c>
    </row>
    <row r="108" spans="1:6" ht="15" customHeight="1" thickBot="1" x14ac:dyDescent="0.3">
      <c r="A108" s="81" t="s">
        <v>473</v>
      </c>
      <c r="B108" s="81" t="s">
        <v>311</v>
      </c>
      <c r="C108" s="8">
        <f>Taylornortries</f>
        <v>3</v>
      </c>
      <c r="D108" s="3" t="s">
        <v>531</v>
      </c>
      <c r="E108" s="3" t="s">
        <v>311</v>
      </c>
      <c r="F108" s="21">
        <f>Collinstompts</f>
        <v>15</v>
      </c>
    </row>
    <row r="109" spans="1:6" ht="15" customHeight="1" thickBot="1" x14ac:dyDescent="0.3">
      <c r="A109" s="11" t="s">
        <v>780</v>
      </c>
      <c r="B109" s="11" t="s">
        <v>370</v>
      </c>
      <c r="C109" s="10">
        <f>Vuibritries</f>
        <v>3</v>
      </c>
      <c r="D109" s="3" t="s">
        <v>1191</v>
      </c>
      <c r="E109" s="3" t="s">
        <v>918</v>
      </c>
      <c r="F109" s="21">
        <f>Collettnewpts</f>
        <v>15</v>
      </c>
    </row>
    <row r="110" spans="1:6" ht="15" customHeight="1" thickBot="1" x14ac:dyDescent="0.3">
      <c r="A110" s="11" t="s">
        <v>838</v>
      </c>
      <c r="B110" s="11" t="s">
        <v>310</v>
      </c>
      <c r="C110" s="10">
        <f>Walkerbthtries</f>
        <v>3</v>
      </c>
      <c r="D110" s="19" t="s">
        <v>1142</v>
      </c>
      <c r="E110" s="19" t="s">
        <v>355</v>
      </c>
      <c r="F110" s="21">
        <f>Crossdalesarptscorrect</f>
        <v>15</v>
      </c>
    </row>
    <row r="111" spans="1:6" ht="15" customHeight="1" thickBot="1" x14ac:dyDescent="0.3">
      <c r="A111" s="11" t="s">
        <v>799</v>
      </c>
      <c r="B111" s="11" t="s">
        <v>355</v>
      </c>
      <c r="C111" s="10">
        <f>Woolstencroftsartries</f>
        <v>3</v>
      </c>
      <c r="D111" s="3" t="s">
        <v>886</v>
      </c>
      <c r="E111" s="3" t="s">
        <v>308</v>
      </c>
      <c r="F111" s="21">
        <f>Davidworpts</f>
        <v>15</v>
      </c>
    </row>
    <row r="112" spans="1:6" ht="15" customHeight="1" thickBot="1" x14ac:dyDescent="0.3">
      <c r="A112" s="81" t="s">
        <v>480</v>
      </c>
      <c r="B112" s="81" t="s">
        <v>307</v>
      </c>
      <c r="C112" s="10">
        <f>Ackermannglotries</f>
        <v>2</v>
      </c>
      <c r="D112" s="3" t="s">
        <v>1171</v>
      </c>
      <c r="E112" s="3" t="s">
        <v>310</v>
      </c>
      <c r="F112" s="21">
        <f>Delmasbthpts</f>
        <v>15</v>
      </c>
    </row>
    <row r="113" spans="1:6" ht="15" customHeight="1" thickBot="1" x14ac:dyDescent="0.3">
      <c r="A113" s="81" t="s">
        <v>484</v>
      </c>
      <c r="B113" s="81" t="s">
        <v>353</v>
      </c>
      <c r="C113" s="10">
        <f>Armanddontries</f>
        <v>2</v>
      </c>
      <c r="D113" s="3" t="s">
        <v>549</v>
      </c>
      <c r="E113" s="3" t="s">
        <v>353</v>
      </c>
      <c r="F113" s="21">
        <f>Devotoexepts</f>
        <v>15</v>
      </c>
    </row>
    <row r="114" spans="1:6" ht="15" customHeight="1" thickBot="1" x14ac:dyDescent="0.3">
      <c r="A114" s="81" t="s">
        <v>490</v>
      </c>
      <c r="B114" s="81" t="s">
        <v>307</v>
      </c>
      <c r="C114" s="10">
        <f>Balmainglotries</f>
        <v>2</v>
      </c>
      <c r="D114" s="3" t="s">
        <v>550</v>
      </c>
      <c r="E114" s="3" t="s">
        <v>353</v>
      </c>
      <c r="F114" s="21">
        <f>Dollmanexepts</f>
        <v>15</v>
      </c>
    </row>
    <row r="115" spans="1:6" ht="15" customHeight="1" thickBot="1" x14ac:dyDescent="0.3">
      <c r="A115" s="81" t="s">
        <v>1024</v>
      </c>
      <c r="B115" s="81" t="s">
        <v>918</v>
      </c>
      <c r="C115" s="281">
        <f>Bothalirtries</f>
        <v>2</v>
      </c>
      <c r="D115" s="3" t="s">
        <v>585</v>
      </c>
      <c r="E115" s="3" t="s">
        <v>355</v>
      </c>
      <c r="F115" s="21">
        <f>Goodealexpts</f>
        <v>15</v>
      </c>
    </row>
    <row r="116" spans="1:6" ht="15" customHeight="1" thickBot="1" x14ac:dyDescent="0.3">
      <c r="A116" s="81" t="s">
        <v>320</v>
      </c>
      <c r="B116" s="81" t="s">
        <v>352</v>
      </c>
      <c r="C116" s="62">
        <f>Chisholmjameshartries</f>
        <v>2</v>
      </c>
      <c r="D116" s="19" t="s">
        <v>360</v>
      </c>
      <c r="E116" s="3" t="s">
        <v>311</v>
      </c>
      <c r="F116" s="22">
        <f>Harrisonnorpts</f>
        <v>15</v>
      </c>
    </row>
    <row r="117" spans="1:6" ht="15" customHeight="1" thickBot="1" x14ac:dyDescent="0.3">
      <c r="A117" s="81" t="s">
        <v>525</v>
      </c>
      <c r="B117" s="81" t="s">
        <v>307</v>
      </c>
      <c r="C117" s="10">
        <f>Dawidiukglotries</f>
        <v>2</v>
      </c>
      <c r="D117" s="3" t="s">
        <v>595</v>
      </c>
      <c r="E117" s="3" t="s">
        <v>311</v>
      </c>
      <c r="F117" s="21">
        <f>Haywoodmikepts</f>
        <v>15</v>
      </c>
    </row>
    <row r="118" spans="1:6" ht="15" customHeight="1" thickBot="1" x14ac:dyDescent="0.3">
      <c r="A118" s="81" t="s">
        <v>1251</v>
      </c>
      <c r="B118" s="81" t="s">
        <v>918</v>
      </c>
      <c r="C118" s="10">
        <f>Cornishlirtries</f>
        <v>2</v>
      </c>
      <c r="D118" s="3" t="s">
        <v>599</v>
      </c>
      <c r="E118" s="3" t="s">
        <v>353</v>
      </c>
      <c r="F118" s="21">
        <f>Hendricksonexepts</f>
        <v>15</v>
      </c>
    </row>
    <row r="119" spans="1:6" ht="15" customHeight="1" thickBot="1" x14ac:dyDescent="0.3">
      <c r="A119" s="81" t="s">
        <v>540</v>
      </c>
      <c r="B119" s="81" t="s">
        <v>354</v>
      </c>
      <c r="C119" s="10">
        <f>Crusewastries</f>
        <v>2</v>
      </c>
      <c r="D119" s="3" t="s">
        <v>824</v>
      </c>
      <c r="E119" s="3" t="s">
        <v>308</v>
      </c>
      <c r="F119" s="21">
        <f>Hillworpts</f>
        <v>15</v>
      </c>
    </row>
    <row r="120" spans="1:6" ht="15" customHeight="1" thickBot="1" x14ac:dyDescent="0.3">
      <c r="A120" s="81" t="s">
        <v>544</v>
      </c>
      <c r="B120" s="81" t="s">
        <v>355</v>
      </c>
      <c r="C120" s="10">
        <f>Crossdalesartries</f>
        <v>2</v>
      </c>
      <c r="D120" s="3" t="s">
        <v>606</v>
      </c>
      <c r="E120" s="3" t="s">
        <v>370</v>
      </c>
      <c r="F120" s="21">
        <f>Hughesbripts</f>
        <v>15</v>
      </c>
    </row>
    <row r="121" spans="1:6" ht="15" customHeight="1" thickBot="1" x14ac:dyDescent="0.3">
      <c r="A121" s="81" t="s">
        <v>546</v>
      </c>
      <c r="B121" s="81" t="s">
        <v>309</v>
      </c>
      <c r="C121" s="10">
        <f>Fearnsaltries</f>
        <v>2</v>
      </c>
      <c r="D121" s="3" t="s">
        <v>609</v>
      </c>
      <c r="E121" s="3" t="s">
        <v>311</v>
      </c>
      <c r="F121" s="21">
        <f>Hutchinsonnorpts</f>
        <v>15</v>
      </c>
    </row>
    <row r="122" spans="1:6" ht="15" customHeight="1" thickBot="1" x14ac:dyDescent="0.3">
      <c r="A122" s="81" t="s">
        <v>548</v>
      </c>
      <c r="B122" s="81" t="s">
        <v>353</v>
      </c>
      <c r="C122" s="10">
        <f>Dennisexetries</f>
        <v>2</v>
      </c>
      <c r="D122" s="3" t="s">
        <v>618</v>
      </c>
      <c r="E122" s="3" t="s">
        <v>310</v>
      </c>
      <c r="F122" s="21">
        <f>Josephbatpts</f>
        <v>15</v>
      </c>
    </row>
    <row r="123" spans="1:6" ht="15" customHeight="1" thickBot="1" x14ac:dyDescent="0.3">
      <c r="A123" s="81" t="s">
        <v>865</v>
      </c>
      <c r="B123" s="81" t="s">
        <v>311</v>
      </c>
      <c r="C123" s="11">
        <f>Dingwallnortries</f>
        <v>2</v>
      </c>
      <c r="D123" s="3" t="s">
        <v>643</v>
      </c>
      <c r="E123" s="3" t="s">
        <v>370</v>
      </c>
      <c r="F123" s="21">
        <f>Loaderlirpts</f>
        <v>15</v>
      </c>
    </row>
    <row r="124" spans="1:6" ht="15" customHeight="1" thickBot="1" x14ac:dyDescent="0.3">
      <c r="A124" s="81" t="s">
        <v>554</v>
      </c>
      <c r="B124" s="81" t="s">
        <v>308</v>
      </c>
      <c r="C124" s="11">
        <f>du_Preezwortries</f>
        <v>2</v>
      </c>
      <c r="D124" s="3" t="s">
        <v>1254</v>
      </c>
      <c r="E124" s="3" t="s">
        <v>918</v>
      </c>
      <c r="F124" s="21">
        <f>Hammersleynewpts</f>
        <v>15</v>
      </c>
    </row>
    <row r="125" spans="1:6" ht="15" customHeight="1" thickBot="1" x14ac:dyDescent="0.3">
      <c r="A125" s="11" t="s">
        <v>560</v>
      </c>
      <c r="B125" s="11" t="s">
        <v>352</v>
      </c>
      <c r="C125" s="11">
        <f>Eliahartries</f>
        <v>2</v>
      </c>
      <c r="D125" s="3" t="s">
        <v>656</v>
      </c>
      <c r="E125" s="3" t="s">
        <v>355</v>
      </c>
      <c r="F125" s="21">
        <f>Maitlandsarpts</f>
        <v>15</v>
      </c>
    </row>
    <row r="126" spans="1:6" ht="15" customHeight="1" thickBot="1" x14ac:dyDescent="0.3">
      <c r="A126" s="81" t="s">
        <v>463</v>
      </c>
      <c r="B126" s="81" t="s">
        <v>309</v>
      </c>
      <c r="C126" s="11">
        <f>Evanssaltries</f>
        <v>2</v>
      </c>
      <c r="D126" s="3" t="s">
        <v>664</v>
      </c>
      <c r="E126" s="3" t="s">
        <v>353</v>
      </c>
      <c r="F126" s="21">
        <f>Maunderexepts</f>
        <v>15</v>
      </c>
    </row>
    <row r="127" spans="1:6" ht="15" customHeight="1" thickBot="1" x14ac:dyDescent="0.3">
      <c r="A127" s="81" t="s">
        <v>1106</v>
      </c>
      <c r="B127" s="81" t="s">
        <v>308</v>
      </c>
      <c r="C127" s="10">
        <f>Fatialofawortries</f>
        <v>2</v>
      </c>
      <c r="D127" s="3" t="s">
        <v>963</v>
      </c>
      <c r="E127" s="3" t="s">
        <v>356</v>
      </c>
      <c r="F127" s="21">
        <f>Mcphilipsleipts</f>
        <v>15</v>
      </c>
    </row>
    <row r="128" spans="1:6" ht="15" customHeight="1" thickBot="1" x14ac:dyDescent="0.3">
      <c r="A128" s="81" t="s">
        <v>575</v>
      </c>
      <c r="B128" s="81" t="s">
        <v>311</v>
      </c>
      <c r="C128" s="11">
        <f>Furbanknortriescorrect</f>
        <v>2</v>
      </c>
      <c r="D128" s="3" t="s">
        <v>1104</v>
      </c>
      <c r="E128" s="3" t="s">
        <v>354</v>
      </c>
      <c r="F128" s="21">
        <f>Morrisbenwaspts</f>
        <v>15</v>
      </c>
    </row>
    <row r="129" spans="1:17" ht="15" customHeight="1" thickBot="1" x14ac:dyDescent="0.3">
      <c r="A129" s="81" t="s">
        <v>581</v>
      </c>
      <c r="B129" s="81" t="s">
        <v>355</v>
      </c>
      <c r="C129" s="11">
        <f>Georgesartries</f>
        <v>2</v>
      </c>
      <c r="D129" s="3" t="s">
        <v>902</v>
      </c>
      <c r="E129" s="3" t="s">
        <v>355</v>
      </c>
      <c r="F129" s="21">
        <f>Naysarpts</f>
        <v>15</v>
      </c>
    </row>
    <row r="130" spans="1:17" ht="15" customHeight="1" thickBot="1" x14ac:dyDescent="0.3">
      <c r="A130" s="81" t="s">
        <v>966</v>
      </c>
      <c r="B130" s="81" t="s">
        <v>309</v>
      </c>
      <c r="C130" s="11">
        <f>Hammersleysaltries</f>
        <v>2</v>
      </c>
      <c r="D130" s="19" t="s">
        <v>686</v>
      </c>
      <c r="E130" s="19" t="s">
        <v>310</v>
      </c>
      <c r="F130" s="21">
        <f>Obanobthpts</f>
        <v>15</v>
      </c>
      <c r="O130" s="465"/>
      <c r="P130" s="465"/>
      <c r="Q130" s="465"/>
    </row>
    <row r="131" spans="1:17" ht="15" customHeight="1" thickBot="1" x14ac:dyDescent="0.3">
      <c r="A131" s="81" t="s">
        <v>358</v>
      </c>
      <c r="B131" s="81" t="s">
        <v>354</v>
      </c>
      <c r="C131" s="11">
        <f>Harris_Bwastries</f>
        <v>2</v>
      </c>
      <c r="D131" s="3" t="s">
        <v>701</v>
      </c>
      <c r="E131" s="3" t="s">
        <v>370</v>
      </c>
      <c r="F131" s="21">
        <f>Purdybripts</f>
        <v>15</v>
      </c>
    </row>
    <row r="132" spans="1:17" ht="15" customHeight="1" thickBot="1" x14ac:dyDescent="0.3">
      <c r="A132" s="11" t="s">
        <v>1187</v>
      </c>
      <c r="B132" s="11" t="s">
        <v>356</v>
      </c>
      <c r="C132" s="11">
        <f>Harrisonsamtries</f>
        <v>2</v>
      </c>
      <c r="D132" s="19" t="s">
        <v>713</v>
      </c>
      <c r="E132" s="19" t="s">
        <v>352</v>
      </c>
      <c r="F132" s="22">
        <f>Robshawharpts</f>
        <v>15</v>
      </c>
    </row>
    <row r="133" spans="1:17" ht="15" customHeight="1" thickBot="1" x14ac:dyDescent="0.3">
      <c r="A133" s="11" t="s">
        <v>346</v>
      </c>
      <c r="B133" s="11" t="s">
        <v>353</v>
      </c>
      <c r="C133" s="11">
        <f>Hill_Samexetries</f>
        <v>2</v>
      </c>
      <c r="D133" s="19" t="s">
        <v>728</v>
      </c>
      <c r="E133" s="3" t="s">
        <v>354</v>
      </c>
      <c r="F133" s="22">
        <f>Shieldswaspts</f>
        <v>15</v>
      </c>
    </row>
    <row r="134" spans="1:17" ht="15" customHeight="1" thickBot="1" x14ac:dyDescent="0.3">
      <c r="A134" s="81" t="s">
        <v>465</v>
      </c>
      <c r="B134" s="81" t="s">
        <v>370</v>
      </c>
      <c r="C134" s="411">
        <f>Frankslirtries</f>
        <v>2</v>
      </c>
      <c r="D134" s="3" t="s">
        <v>1162</v>
      </c>
      <c r="E134" s="3" t="s">
        <v>1163</v>
      </c>
      <c r="F134" s="21">
        <f>Swainstonharpts</f>
        <v>15</v>
      </c>
    </row>
    <row r="135" spans="1:17" ht="15" customHeight="1" thickBot="1" x14ac:dyDescent="0.3">
      <c r="A135" s="81" t="s">
        <v>1248</v>
      </c>
      <c r="B135" s="81" t="s">
        <v>918</v>
      </c>
      <c r="C135" s="11">
        <f>Grahamnewtries</f>
        <v>2</v>
      </c>
      <c r="D135" s="3" t="s">
        <v>744</v>
      </c>
      <c r="E135" s="3" t="s">
        <v>310</v>
      </c>
      <c r="F135" s="21">
        <f>Spencerwillpts</f>
        <v>15</v>
      </c>
    </row>
    <row r="136" spans="1:17" ht="15" customHeight="1" thickBot="1" x14ac:dyDescent="0.3">
      <c r="A136" s="81" t="s">
        <v>613</v>
      </c>
      <c r="B136" s="81" t="s">
        <v>355</v>
      </c>
      <c r="C136" s="11">
        <f>Itojesartries</f>
        <v>2</v>
      </c>
      <c r="D136" s="3" t="s">
        <v>1093</v>
      </c>
      <c r="E136" s="3" t="s">
        <v>356</v>
      </c>
      <c r="F136" s="21">
        <f>Thacker_Cleicpts</f>
        <v>15</v>
      </c>
    </row>
    <row r="137" spans="1:17" ht="15" customHeight="1" thickBot="1" x14ac:dyDescent="0.3">
      <c r="A137" s="11" t="s">
        <v>1003</v>
      </c>
      <c r="B137" s="11" t="s">
        <v>352</v>
      </c>
      <c r="C137" s="10">
        <f>Landajohartries</f>
        <v>2</v>
      </c>
      <c r="D137" s="3" t="s">
        <v>473</v>
      </c>
      <c r="E137" s="3" t="s">
        <v>311</v>
      </c>
      <c r="F137" s="20">
        <f>Taylornorpts</f>
        <v>15</v>
      </c>
    </row>
    <row r="138" spans="1:17" ht="15" customHeight="1" thickBot="1" x14ac:dyDescent="0.3">
      <c r="A138" s="11" t="s">
        <v>632</v>
      </c>
      <c r="B138" s="11" t="s">
        <v>352</v>
      </c>
      <c r="C138" s="10">
        <f>Langhartries</f>
        <v>2</v>
      </c>
      <c r="D138" s="19" t="s">
        <v>780</v>
      </c>
      <c r="E138" s="19" t="s">
        <v>370</v>
      </c>
      <c r="F138" s="21">
        <f>Vuibripts</f>
        <v>15</v>
      </c>
    </row>
    <row r="139" spans="1:17" ht="15" customHeight="1" thickBot="1" x14ac:dyDescent="0.3">
      <c r="A139" s="81" t="s">
        <v>658</v>
      </c>
      <c r="B139" s="81" t="s">
        <v>311</v>
      </c>
      <c r="C139" s="10">
        <f>Mallindernortries</f>
        <v>2</v>
      </c>
      <c r="D139" s="19" t="s">
        <v>838</v>
      </c>
      <c r="E139" s="19" t="s">
        <v>310</v>
      </c>
      <c r="F139" s="21">
        <f>Walkerbthpts</f>
        <v>15</v>
      </c>
    </row>
    <row r="140" spans="1:17" ht="15" customHeight="1" thickBot="1" x14ac:dyDescent="0.3">
      <c r="A140" s="81" t="s">
        <v>672</v>
      </c>
      <c r="B140" s="81" t="s">
        <v>311</v>
      </c>
      <c r="C140" s="10">
        <f>Mitchellnortries</f>
        <v>2</v>
      </c>
      <c r="D140" s="19" t="s">
        <v>799</v>
      </c>
      <c r="E140" s="19" t="s">
        <v>355</v>
      </c>
      <c r="F140" s="20">
        <f>Woolstencroftsarpts</f>
        <v>15</v>
      </c>
    </row>
    <row r="141" spans="1:17" ht="15" customHeight="1" thickBot="1" x14ac:dyDescent="0.3">
      <c r="A141" s="81" t="s">
        <v>673</v>
      </c>
      <c r="B141" s="81" t="s">
        <v>353</v>
      </c>
      <c r="C141" s="10">
        <f>mummtries</f>
        <v>2</v>
      </c>
      <c r="D141" s="19" t="s">
        <v>632</v>
      </c>
      <c r="E141" s="19" t="s">
        <v>352</v>
      </c>
      <c r="F141" s="21">
        <f>Langharpts</f>
        <v>14</v>
      </c>
    </row>
    <row r="142" spans="1:17" ht="15" customHeight="1" thickBot="1" x14ac:dyDescent="0.3">
      <c r="A142" s="81" t="s">
        <v>675</v>
      </c>
      <c r="B142" s="81" t="s">
        <v>307</v>
      </c>
      <c r="C142" s="10">
        <f>Morganbentries</f>
        <v>2</v>
      </c>
      <c r="D142" s="3" t="s">
        <v>468</v>
      </c>
      <c r="E142" s="3" t="s">
        <v>354</v>
      </c>
      <c r="F142" s="21">
        <f>Millerwaspts</f>
        <v>14</v>
      </c>
    </row>
    <row r="143" spans="1:17" ht="15" customHeight="1" thickBot="1" x14ac:dyDescent="0.3">
      <c r="A143" s="81" t="s">
        <v>890</v>
      </c>
      <c r="B143" s="81" t="s">
        <v>309</v>
      </c>
      <c r="C143" s="10">
        <f>Mooresaltries</f>
        <v>2</v>
      </c>
      <c r="D143" s="19" t="s">
        <v>314</v>
      </c>
      <c r="E143" s="19" t="s">
        <v>353</v>
      </c>
      <c r="F143" s="21">
        <f>Penalty_Triesexepts</f>
        <v>14</v>
      </c>
    </row>
    <row r="144" spans="1:17" ht="15" customHeight="1" thickBot="1" x14ac:dyDescent="0.3">
      <c r="A144" s="81" t="s">
        <v>1051</v>
      </c>
      <c r="B144" s="81" t="s">
        <v>918</v>
      </c>
      <c r="C144" s="10">
        <f>Nahololirtries</f>
        <v>2</v>
      </c>
      <c r="D144" s="3" t="s">
        <v>314</v>
      </c>
      <c r="E144" s="3" t="s">
        <v>352</v>
      </c>
      <c r="F144" s="21">
        <f>Penalty_Triesharpts</f>
        <v>14</v>
      </c>
    </row>
    <row r="145" spans="1:14" ht="15" customHeight="1" thickBot="1" x14ac:dyDescent="0.3">
      <c r="A145" s="81" t="s">
        <v>1193</v>
      </c>
      <c r="B145" s="81" t="s">
        <v>308</v>
      </c>
      <c r="C145" s="10">
        <f>Nanaiwortries</f>
        <v>2</v>
      </c>
      <c r="D145" s="19" t="s">
        <v>314</v>
      </c>
      <c r="E145" s="19" t="s">
        <v>355</v>
      </c>
      <c r="F145" s="21">
        <f>Penalty_Triessarpts</f>
        <v>14</v>
      </c>
    </row>
    <row r="146" spans="1:14" ht="15" customHeight="1" thickBot="1" x14ac:dyDescent="0.3">
      <c r="A146" s="81" t="s">
        <v>1249</v>
      </c>
      <c r="B146" s="81" t="s">
        <v>918</v>
      </c>
      <c r="C146" s="10">
        <f>McGuigannewtries</f>
        <v>2</v>
      </c>
      <c r="D146" s="3" t="s">
        <v>480</v>
      </c>
      <c r="E146" s="3" t="s">
        <v>307</v>
      </c>
      <c r="F146" s="21">
        <f>Ackermannglopts</f>
        <v>10</v>
      </c>
    </row>
    <row r="147" spans="1:14" ht="15" customHeight="1" thickBot="1" x14ac:dyDescent="0.3">
      <c r="A147" s="11" t="s">
        <v>314</v>
      </c>
      <c r="B147" s="11" t="s">
        <v>353</v>
      </c>
      <c r="C147" s="10">
        <f>Penalty_Triesexetries</f>
        <v>2</v>
      </c>
      <c r="D147" s="3" t="s">
        <v>484</v>
      </c>
      <c r="E147" s="3" t="s">
        <v>353</v>
      </c>
      <c r="F147" s="21">
        <f>Armanddonpts</f>
        <v>10</v>
      </c>
    </row>
    <row r="148" spans="1:14" ht="15" customHeight="1" thickBot="1" x14ac:dyDescent="0.3">
      <c r="A148" s="81" t="s">
        <v>314</v>
      </c>
      <c r="B148" s="81" t="s">
        <v>352</v>
      </c>
      <c r="C148" s="10">
        <f>Penalty_Trieshartries</f>
        <v>2</v>
      </c>
      <c r="D148" s="3" t="s">
        <v>490</v>
      </c>
      <c r="E148" s="3" t="s">
        <v>307</v>
      </c>
      <c r="F148" s="21">
        <f>Balmainglopts</f>
        <v>10</v>
      </c>
    </row>
    <row r="149" spans="1:14" ht="15" customHeight="1" thickBot="1" x14ac:dyDescent="0.3">
      <c r="A149" s="11" t="s">
        <v>314</v>
      </c>
      <c r="B149" s="11" t="s">
        <v>355</v>
      </c>
      <c r="C149" s="10">
        <f>Penalty_Triessartries</f>
        <v>2</v>
      </c>
      <c r="D149" s="3" t="s">
        <v>1024</v>
      </c>
      <c r="E149" s="3" t="s">
        <v>918</v>
      </c>
      <c r="F149" s="21">
        <f>Bothalirpts</f>
        <v>10</v>
      </c>
    </row>
    <row r="150" spans="1:14" ht="15" customHeight="1" thickBot="1" x14ac:dyDescent="0.3">
      <c r="A150" s="81" t="s">
        <v>391</v>
      </c>
      <c r="B150" s="81" t="s">
        <v>370</v>
      </c>
      <c r="C150" s="10">
        <f>Noakeslitries</f>
        <v>2</v>
      </c>
      <c r="D150" s="3" t="s">
        <v>320</v>
      </c>
      <c r="E150" s="3" t="s">
        <v>352</v>
      </c>
      <c r="F150" s="21">
        <f>Chisholmjamesharpts</f>
        <v>10</v>
      </c>
    </row>
    <row r="151" spans="1:14" ht="15" customHeight="1" thickBot="1" x14ac:dyDescent="0.3">
      <c r="A151" s="81" t="s">
        <v>697</v>
      </c>
      <c r="B151" s="81" t="s">
        <v>307</v>
      </c>
      <c r="C151" s="10">
        <f>Polledriglotries</f>
        <v>2</v>
      </c>
      <c r="D151" s="3" t="s">
        <v>525</v>
      </c>
      <c r="E151" s="3" t="s">
        <v>307</v>
      </c>
      <c r="F151" s="21">
        <f>Dawidiukglopts</f>
        <v>10</v>
      </c>
    </row>
    <row r="152" spans="1:14" ht="15" customHeight="1" thickBot="1" x14ac:dyDescent="0.3">
      <c r="A152" s="81" t="s">
        <v>1062</v>
      </c>
      <c r="B152" s="81" t="s">
        <v>311</v>
      </c>
      <c r="C152" s="7">
        <f>Pisikentriescorrect</f>
        <v>2</v>
      </c>
      <c r="D152" s="439" t="s">
        <v>1251</v>
      </c>
      <c r="E152" s="439" t="s">
        <v>918</v>
      </c>
      <c r="F152" s="21">
        <f>Cornishlirpts</f>
        <v>10</v>
      </c>
    </row>
    <row r="153" spans="1:14" ht="15" customHeight="1" thickBot="1" x14ac:dyDescent="0.3">
      <c r="A153" s="81" t="s">
        <v>700</v>
      </c>
      <c r="B153" s="81" t="s">
        <v>370</v>
      </c>
      <c r="C153" s="7">
        <f>Protheroebritries</f>
        <v>2</v>
      </c>
      <c r="D153" s="3" t="s">
        <v>540</v>
      </c>
      <c r="E153" s="3" t="s">
        <v>354</v>
      </c>
      <c r="F153" s="21">
        <f>Crusewaspts</f>
        <v>10</v>
      </c>
    </row>
    <row r="154" spans="1:14" ht="15" customHeight="1" thickBot="1" x14ac:dyDescent="0.3">
      <c r="A154" s="11" t="s">
        <v>1159</v>
      </c>
      <c r="B154" s="11" t="s">
        <v>370</v>
      </c>
      <c r="C154" s="10">
        <f>Radradrabritries</f>
        <v>2</v>
      </c>
      <c r="D154" s="3" t="s">
        <v>548</v>
      </c>
      <c r="E154" s="3" t="s">
        <v>353</v>
      </c>
      <c r="F154" s="21">
        <f>Dennisexepts</f>
        <v>10</v>
      </c>
    </row>
    <row r="155" spans="1:14" ht="15" customHeight="1" thickBot="1" x14ac:dyDescent="0.3">
      <c r="A155" s="11" t="s">
        <v>702</v>
      </c>
      <c r="B155" s="11" t="s">
        <v>370</v>
      </c>
      <c r="C155" s="10">
        <f>Palamobristries</f>
        <v>2</v>
      </c>
      <c r="D155" s="3" t="s">
        <v>865</v>
      </c>
      <c r="E155" s="3" t="s">
        <v>311</v>
      </c>
      <c r="F155" s="21">
        <f>Dingwallnorpts</f>
        <v>10</v>
      </c>
    </row>
    <row r="156" spans="1:14" ht="15" customHeight="1" thickBot="1" x14ac:dyDescent="0.3">
      <c r="A156" s="81" t="s">
        <v>1250</v>
      </c>
      <c r="B156" s="81" t="s">
        <v>918</v>
      </c>
      <c r="C156" s="10">
        <f>Mullennewtries</f>
        <v>2</v>
      </c>
      <c r="D156" s="3" t="s">
        <v>554</v>
      </c>
      <c r="E156" s="3" t="s">
        <v>308</v>
      </c>
      <c r="F156" s="21">
        <f>du_Preezworpts</f>
        <v>10</v>
      </c>
    </row>
    <row r="157" spans="1:14" ht="15" customHeight="1" thickBot="1" x14ac:dyDescent="0.3">
      <c r="A157" s="81" t="s">
        <v>717</v>
      </c>
      <c r="B157" s="81" t="s">
        <v>354</v>
      </c>
      <c r="C157" s="10">
        <f>Rowlandswastries</f>
        <v>2</v>
      </c>
      <c r="D157" s="19" t="s">
        <v>560</v>
      </c>
      <c r="E157" s="19" t="s">
        <v>352</v>
      </c>
      <c r="F157" s="21">
        <f>Eliaharpts</f>
        <v>10</v>
      </c>
    </row>
    <row r="158" spans="1:14" ht="15" customHeight="1" thickBot="1" x14ac:dyDescent="0.3">
      <c r="A158" s="81" t="s">
        <v>348</v>
      </c>
      <c r="B158" s="81" t="s">
        <v>353</v>
      </c>
      <c r="C158" s="10">
        <f>Simmondsexetries</f>
        <v>2</v>
      </c>
      <c r="D158" s="3" t="s">
        <v>463</v>
      </c>
      <c r="E158" s="3" t="s">
        <v>309</v>
      </c>
      <c r="F158" s="21">
        <f>Evanssalpts</f>
        <v>10</v>
      </c>
    </row>
    <row r="159" spans="1:14" ht="15" customHeight="1" thickBot="1" x14ac:dyDescent="0.3">
      <c r="A159" s="81" t="s">
        <v>734</v>
      </c>
      <c r="B159" s="81" t="s">
        <v>1152</v>
      </c>
      <c r="C159" s="10">
        <f>Singletonsartries+Terryglotries</f>
        <v>2</v>
      </c>
      <c r="D159" s="3" t="s">
        <v>1106</v>
      </c>
      <c r="E159" s="3" t="s">
        <v>308</v>
      </c>
      <c r="F159" s="21">
        <f>Fatialofaworpts</f>
        <v>10</v>
      </c>
    </row>
    <row r="160" spans="1:14" ht="15" customHeight="1" thickBot="1" x14ac:dyDescent="0.3">
      <c r="A160" s="81" t="s">
        <v>472</v>
      </c>
      <c r="B160" s="81" t="s">
        <v>310</v>
      </c>
      <c r="C160" s="62">
        <f>Stuartbthtries</f>
        <v>2</v>
      </c>
      <c r="D160" s="19" t="s">
        <v>328</v>
      </c>
      <c r="E160" s="3" t="s">
        <v>311</v>
      </c>
      <c r="F160" s="21">
        <f>Francisnorpts</f>
        <v>10</v>
      </c>
      <c r="L160" s="465"/>
      <c r="M160" s="465"/>
      <c r="N160" s="465"/>
    </row>
    <row r="161" spans="1:17" ht="15" customHeight="1" thickBot="1" x14ac:dyDescent="0.3">
      <c r="A161" s="81" t="s">
        <v>747</v>
      </c>
      <c r="B161" s="81" t="s">
        <v>353</v>
      </c>
      <c r="C161" s="10">
        <f>Taioneexetries</f>
        <v>2</v>
      </c>
      <c r="D161" s="3" t="s">
        <v>575</v>
      </c>
      <c r="E161" s="3" t="s">
        <v>311</v>
      </c>
      <c r="F161" s="20">
        <f>Furbanknorptscorrect</f>
        <v>10</v>
      </c>
    </row>
    <row r="162" spans="1:17" ht="15" customHeight="1" thickBot="1" x14ac:dyDescent="0.3">
      <c r="A162" s="81" t="s">
        <v>761</v>
      </c>
      <c r="B162" s="81" t="s">
        <v>311</v>
      </c>
      <c r="C162" s="7">
        <f>TualaNORTRIES</f>
        <v>2</v>
      </c>
      <c r="D162" s="3" t="s">
        <v>581</v>
      </c>
      <c r="E162" s="3" t="s">
        <v>355</v>
      </c>
      <c r="F162" s="21">
        <f>Georgesarpts</f>
        <v>10</v>
      </c>
    </row>
    <row r="163" spans="1:17" ht="15" customHeight="1" thickBot="1" x14ac:dyDescent="0.3">
      <c r="A163" s="81" t="s">
        <v>764</v>
      </c>
      <c r="B163" s="81" t="s">
        <v>307</v>
      </c>
      <c r="C163" s="10">
        <f>Twelvetreesglotries</f>
        <v>2</v>
      </c>
      <c r="D163" s="3" t="s">
        <v>966</v>
      </c>
      <c r="E163" s="3" t="s">
        <v>309</v>
      </c>
      <c r="F163" s="21">
        <f>Hammersleysalpts</f>
        <v>10</v>
      </c>
    </row>
    <row r="164" spans="1:17" s="465" customFormat="1" ht="15" customHeight="1" thickBot="1" x14ac:dyDescent="0.3">
      <c r="A164" s="81" t="s">
        <v>768</v>
      </c>
      <c r="B164" s="81" t="s">
        <v>370</v>
      </c>
      <c r="C164" s="10">
        <f>UrenBRITRIES</f>
        <v>2</v>
      </c>
      <c r="D164" s="3" t="s">
        <v>358</v>
      </c>
      <c r="E164" s="3" t="s">
        <v>354</v>
      </c>
      <c r="F164" s="21">
        <f>Harris_Bwaspts</f>
        <v>10</v>
      </c>
      <c r="L164"/>
      <c r="M164"/>
      <c r="N164"/>
      <c r="O164"/>
      <c r="P164"/>
      <c r="Q164"/>
    </row>
    <row r="165" spans="1:17" ht="15" customHeight="1" thickBot="1" x14ac:dyDescent="0.3">
      <c r="A165" s="81" t="s">
        <v>776</v>
      </c>
      <c r="B165" s="81" t="s">
        <v>356</v>
      </c>
      <c r="C165" s="62">
        <f>Veainuleitries</f>
        <v>2</v>
      </c>
      <c r="D165" s="19" t="s">
        <v>1187</v>
      </c>
      <c r="E165" s="19" t="s">
        <v>356</v>
      </c>
      <c r="F165" s="21">
        <f>Harrisonsampts</f>
        <v>10</v>
      </c>
    </row>
    <row r="166" spans="1:17" ht="15" customHeight="1" thickBot="1" x14ac:dyDescent="0.3">
      <c r="A166" s="81" t="s">
        <v>777</v>
      </c>
      <c r="B166" s="81" t="s">
        <v>354</v>
      </c>
      <c r="C166" s="10">
        <f>Vellacottwastries</f>
        <v>2</v>
      </c>
      <c r="D166" s="19" t="s">
        <v>346</v>
      </c>
      <c r="E166" s="19" t="s">
        <v>353</v>
      </c>
      <c r="F166" s="21">
        <f>Hill_Ssamexepts</f>
        <v>10</v>
      </c>
    </row>
    <row r="167" spans="1:17" ht="15" customHeight="1" thickBot="1" x14ac:dyDescent="0.3">
      <c r="A167" s="81" t="s">
        <v>1096</v>
      </c>
      <c r="B167" s="81" t="s">
        <v>355</v>
      </c>
      <c r="C167" s="10">
        <f>Vunipola__Makosartries</f>
        <v>2</v>
      </c>
      <c r="D167" s="3" t="s">
        <v>465</v>
      </c>
      <c r="E167" s="3" t="s">
        <v>370</v>
      </c>
      <c r="F167" s="21">
        <f>Frankslirpts</f>
        <v>10</v>
      </c>
    </row>
    <row r="168" spans="1:17" ht="15" customHeight="1" thickBot="1" x14ac:dyDescent="0.3">
      <c r="A168" s="81" t="s">
        <v>967</v>
      </c>
      <c r="B168" s="81" t="s">
        <v>355</v>
      </c>
      <c r="C168" s="10">
        <f>Watsonsartries</f>
        <v>2</v>
      </c>
      <c r="D168" s="3" t="s">
        <v>1248</v>
      </c>
      <c r="E168" s="3" t="s">
        <v>918</v>
      </c>
      <c r="F168" s="21">
        <f>Grahamnewpts</f>
        <v>10</v>
      </c>
    </row>
    <row r="169" spans="1:17" ht="14.25" customHeight="1" thickBot="1" x14ac:dyDescent="0.3">
      <c r="A169" s="81" t="s">
        <v>338</v>
      </c>
      <c r="B169" s="81" t="s">
        <v>354</v>
      </c>
      <c r="C169" s="10">
        <f>Watsonwastries</f>
        <v>2</v>
      </c>
      <c r="D169" s="3" t="s">
        <v>613</v>
      </c>
      <c r="E169" s="3" t="s">
        <v>355</v>
      </c>
      <c r="F169" s="21">
        <f>Itojesarpts</f>
        <v>10</v>
      </c>
    </row>
    <row r="170" spans="1:17" ht="15" customHeight="1" thickBot="1" x14ac:dyDescent="0.3">
      <c r="A170" s="81" t="s">
        <v>786</v>
      </c>
      <c r="B170" s="81" t="s">
        <v>309</v>
      </c>
      <c r="C170" s="10">
        <f>Webbersaltries</f>
        <v>2</v>
      </c>
      <c r="D170" s="19" t="s">
        <v>1003</v>
      </c>
      <c r="E170" s="19" t="s">
        <v>352</v>
      </c>
      <c r="F170" s="21">
        <f>Landajoharpts</f>
        <v>10</v>
      </c>
    </row>
    <row r="171" spans="1:17" ht="15" customHeight="1" thickBot="1" x14ac:dyDescent="0.3">
      <c r="A171" s="81" t="s">
        <v>788</v>
      </c>
      <c r="B171" s="81" t="s">
        <v>354</v>
      </c>
      <c r="C171" s="10">
        <f>Westwastries</f>
        <v>2</v>
      </c>
      <c r="D171" s="3" t="s">
        <v>672</v>
      </c>
      <c r="E171" s="3" t="s">
        <v>311</v>
      </c>
      <c r="F171" s="21">
        <f>Mitchellnorpts</f>
        <v>10</v>
      </c>
    </row>
    <row r="172" spans="1:17" ht="15" customHeight="1" thickBot="1" x14ac:dyDescent="0.3">
      <c r="A172" s="81" t="s">
        <v>325</v>
      </c>
      <c r="B172" s="81" t="s">
        <v>356</v>
      </c>
      <c r="C172" s="10">
        <f>Whiteleictries</f>
        <v>2</v>
      </c>
      <c r="D172" s="3" t="s">
        <v>673</v>
      </c>
      <c r="E172" s="3" t="s">
        <v>353</v>
      </c>
      <c r="F172" s="21">
        <f>Mummpts</f>
        <v>10</v>
      </c>
    </row>
    <row r="173" spans="1:17" ht="15" customHeight="1" thickBot="1" x14ac:dyDescent="0.3">
      <c r="A173" s="81" t="s">
        <v>350</v>
      </c>
      <c r="B173" s="81" t="s">
        <v>353</v>
      </c>
      <c r="C173" s="10">
        <f>White_Nicexetries</f>
        <v>2</v>
      </c>
      <c r="D173" s="3" t="s">
        <v>675</v>
      </c>
      <c r="E173" s="3" t="s">
        <v>307</v>
      </c>
      <c r="F173" s="22">
        <f>Morganbenpts</f>
        <v>10</v>
      </c>
    </row>
    <row r="174" spans="1:17" ht="15" customHeight="1" thickBot="1" x14ac:dyDescent="0.3">
      <c r="A174" s="81" t="s">
        <v>1222</v>
      </c>
      <c r="B174" s="81" t="s">
        <v>353</v>
      </c>
      <c r="C174" s="10">
        <f>Wittyexetries</f>
        <v>2</v>
      </c>
      <c r="D174" s="3" t="s">
        <v>890</v>
      </c>
      <c r="E174" s="3" t="s">
        <v>309</v>
      </c>
      <c r="F174" s="21">
        <f>Mooresalpts</f>
        <v>10</v>
      </c>
    </row>
    <row r="175" spans="1:17" ht="15" customHeight="1" thickBot="1" x14ac:dyDescent="0.3">
      <c r="A175" s="81" t="s">
        <v>795</v>
      </c>
      <c r="B175" s="81" t="s">
        <v>311</v>
      </c>
      <c r="C175" s="10">
        <f>Woodtomtriescorrect</f>
        <v>2</v>
      </c>
      <c r="D175" s="3" t="s">
        <v>1051</v>
      </c>
      <c r="E175" s="3" t="s">
        <v>918</v>
      </c>
      <c r="F175" s="21">
        <f>Nahololirpts</f>
        <v>10</v>
      </c>
    </row>
    <row r="176" spans="1:17" ht="15" customHeight="1" thickBot="1" x14ac:dyDescent="0.3">
      <c r="A176" s="81" t="s">
        <v>796</v>
      </c>
      <c r="B176" s="81" t="s">
        <v>353</v>
      </c>
      <c r="C176" s="10">
        <f>Woodburnexetries</f>
        <v>2</v>
      </c>
      <c r="D176" s="3" t="s">
        <v>1193</v>
      </c>
      <c r="E176" s="3" t="s">
        <v>308</v>
      </c>
      <c r="F176" s="21">
        <f>Nanaiworpts</f>
        <v>10</v>
      </c>
    </row>
    <row r="177" spans="1:6" ht="15" customHeight="1" thickBot="1" x14ac:dyDescent="0.3">
      <c r="A177" s="81" t="s">
        <v>797</v>
      </c>
      <c r="B177" s="81" t="s">
        <v>307</v>
      </c>
      <c r="C177" s="10">
        <f>Woodwardglotries</f>
        <v>2</v>
      </c>
      <c r="D177" s="3" t="s">
        <v>1249</v>
      </c>
      <c r="E177" s="3" t="s">
        <v>918</v>
      </c>
      <c r="F177" s="21">
        <f>McGuigannewpts</f>
        <v>10</v>
      </c>
    </row>
    <row r="178" spans="1:6" ht="15" customHeight="1" thickBot="1" x14ac:dyDescent="0.3">
      <c r="A178" s="81" t="s">
        <v>476</v>
      </c>
      <c r="B178" s="81" t="s">
        <v>354</v>
      </c>
      <c r="C178" s="62">
        <f>Youngwastries</f>
        <v>2</v>
      </c>
      <c r="D178" s="3" t="s">
        <v>391</v>
      </c>
      <c r="E178" s="3" t="s">
        <v>370</v>
      </c>
      <c r="F178" s="21">
        <f>Noakeslipts</f>
        <v>10</v>
      </c>
    </row>
    <row r="179" spans="1:6" ht="15" customHeight="1" thickBot="1" x14ac:dyDescent="0.3">
      <c r="A179" s="81" t="s">
        <v>327</v>
      </c>
      <c r="B179" s="81" t="s">
        <v>356</v>
      </c>
      <c r="C179" s="10">
        <f>youngstomtries</f>
        <v>2</v>
      </c>
      <c r="D179" s="3" t="s">
        <v>697</v>
      </c>
      <c r="E179" s="3" t="s">
        <v>307</v>
      </c>
      <c r="F179" s="22">
        <f>Polledriglopts</f>
        <v>10</v>
      </c>
    </row>
    <row r="180" spans="1:6" ht="15" customHeight="1" thickBot="1" x14ac:dyDescent="0.3">
      <c r="A180" s="81" t="s">
        <v>482</v>
      </c>
      <c r="B180" s="81" t="s">
        <v>370</v>
      </c>
      <c r="C180" s="10">
        <f>afoabritries</f>
        <v>1</v>
      </c>
      <c r="D180" s="3" t="s">
        <v>1062</v>
      </c>
      <c r="E180" s="3" t="s">
        <v>311</v>
      </c>
      <c r="F180" s="21">
        <f>Pisikenptscorrect</f>
        <v>10</v>
      </c>
    </row>
    <row r="181" spans="1:6" ht="15" customHeight="1" thickBot="1" x14ac:dyDescent="0.3">
      <c r="A181" s="81" t="s">
        <v>1246</v>
      </c>
      <c r="B181" s="81" t="s">
        <v>307</v>
      </c>
      <c r="C181" s="62">
        <f>Alemannoglotries</f>
        <v>1</v>
      </c>
      <c r="D181" s="3" t="s">
        <v>700</v>
      </c>
      <c r="E181" s="3" t="s">
        <v>370</v>
      </c>
      <c r="F181" s="21">
        <f>Protheroebripts</f>
        <v>10</v>
      </c>
    </row>
    <row r="182" spans="1:6" ht="15" customHeight="1" thickBot="1" x14ac:dyDescent="0.3">
      <c r="A182" s="81" t="s">
        <v>1126</v>
      </c>
      <c r="B182" s="81" t="s">
        <v>354</v>
      </c>
      <c r="C182" s="62">
        <f>Armitagewastries</f>
        <v>1</v>
      </c>
      <c r="D182" s="3" t="s">
        <v>1159</v>
      </c>
      <c r="E182" s="3" t="s">
        <v>370</v>
      </c>
      <c r="F182" s="21">
        <f>Radradrabripts</f>
        <v>10</v>
      </c>
    </row>
    <row r="183" spans="1:6" ht="15" customHeight="1" thickBot="1" x14ac:dyDescent="0.3">
      <c r="A183" s="81" t="s">
        <v>483</v>
      </c>
      <c r="B183" s="81" t="s">
        <v>308</v>
      </c>
      <c r="C183" s="10">
        <f>Aholeleiwelshtries</f>
        <v>1</v>
      </c>
      <c r="D183" s="19" t="s">
        <v>702</v>
      </c>
      <c r="E183" s="19" t="s">
        <v>370</v>
      </c>
      <c r="F183" s="21">
        <f>Randallbripts</f>
        <v>10</v>
      </c>
    </row>
    <row r="184" spans="1:6" ht="15" customHeight="1" thickBot="1" x14ac:dyDescent="0.3">
      <c r="A184" s="81" t="s">
        <v>456</v>
      </c>
      <c r="B184" s="81" t="s">
        <v>307</v>
      </c>
      <c r="C184" s="10">
        <f>Atkinsonglotries</f>
        <v>1</v>
      </c>
      <c r="D184" s="3" t="s">
        <v>1250</v>
      </c>
      <c r="E184" s="3" t="s">
        <v>918</v>
      </c>
      <c r="F184" s="21">
        <f>Mullennewpts</f>
        <v>10</v>
      </c>
    </row>
    <row r="185" spans="1:6" ht="15" customHeight="1" thickBot="1" x14ac:dyDescent="0.3">
      <c r="A185" s="11" t="s">
        <v>514</v>
      </c>
      <c r="B185" s="11" t="s">
        <v>356</v>
      </c>
      <c r="C185" s="10">
        <f>Batemanleitries</f>
        <v>1</v>
      </c>
      <c r="D185" s="3" t="s">
        <v>717</v>
      </c>
      <c r="E185" s="3" t="s">
        <v>354</v>
      </c>
      <c r="F185" s="21">
        <f>Rowlandswaspts</f>
        <v>10</v>
      </c>
    </row>
    <row r="186" spans="1:6" ht="15" customHeight="1" thickBot="1" x14ac:dyDescent="0.3">
      <c r="A186" s="81" t="s">
        <v>499</v>
      </c>
      <c r="B186" s="81" t="s">
        <v>309</v>
      </c>
      <c r="C186" s="7">
        <f>Beaumontsaltries</f>
        <v>1</v>
      </c>
      <c r="D186" s="3" t="s">
        <v>734</v>
      </c>
      <c r="E186" s="3" t="s">
        <v>1152</v>
      </c>
      <c r="F186" s="21">
        <f>Singletonsarpts+Terryglopts</f>
        <v>10</v>
      </c>
    </row>
    <row r="187" spans="1:6" ht="15" customHeight="1" thickBot="1" x14ac:dyDescent="0.3">
      <c r="A187" s="81" t="s">
        <v>1217</v>
      </c>
      <c r="B187" s="81" t="s">
        <v>355</v>
      </c>
      <c r="C187" s="10">
        <f>Boschmarcelotries</f>
        <v>1</v>
      </c>
      <c r="D187" s="3" t="s">
        <v>472</v>
      </c>
      <c r="E187" s="3" t="s">
        <v>310</v>
      </c>
      <c r="F187" s="21">
        <f>Stuartbthpts</f>
        <v>10</v>
      </c>
    </row>
    <row r="188" spans="1:6" ht="15" customHeight="1" thickBot="1" x14ac:dyDescent="0.3">
      <c r="A188" s="81" t="s">
        <v>1231</v>
      </c>
      <c r="B188" s="81" t="s">
        <v>370</v>
      </c>
      <c r="C188" s="10">
        <f>Byrnebritries</f>
        <v>1</v>
      </c>
      <c r="D188" s="3" t="s">
        <v>747</v>
      </c>
      <c r="E188" s="3" t="s">
        <v>353</v>
      </c>
      <c r="F188" s="21">
        <f>Taioneexepts</f>
        <v>10</v>
      </c>
    </row>
    <row r="189" spans="1:6" ht="15" customHeight="1" thickBot="1" x14ac:dyDescent="0.3">
      <c r="A189" s="81" t="s">
        <v>1017</v>
      </c>
      <c r="B189" s="81" t="s">
        <v>370</v>
      </c>
      <c r="C189" s="10">
        <f>Caponbritries</f>
        <v>1</v>
      </c>
      <c r="D189" s="3" t="s">
        <v>761</v>
      </c>
      <c r="E189" s="3" t="s">
        <v>311</v>
      </c>
      <c r="F189" s="20">
        <f>Tualanorpts</f>
        <v>10</v>
      </c>
    </row>
    <row r="190" spans="1:6" ht="15" customHeight="1" thickBot="1" x14ac:dyDescent="0.3">
      <c r="A190" s="81" t="s">
        <v>518</v>
      </c>
      <c r="B190" s="81" t="s">
        <v>352</v>
      </c>
      <c r="C190" s="7">
        <f>caretries</f>
        <v>1</v>
      </c>
      <c r="D190" s="3" t="s">
        <v>768</v>
      </c>
      <c r="E190" s="3" t="s">
        <v>370</v>
      </c>
      <c r="F190" s="21">
        <f>Sinclairjebbpts</f>
        <v>10</v>
      </c>
    </row>
    <row r="191" spans="1:6" ht="15" customHeight="1" thickBot="1" x14ac:dyDescent="0.3">
      <c r="A191" s="81" t="s">
        <v>1132</v>
      </c>
      <c r="B191" s="81" t="s">
        <v>355</v>
      </c>
      <c r="C191" s="10">
        <f>Burgerjacquestries</f>
        <v>1</v>
      </c>
      <c r="D191" s="3" t="s">
        <v>776</v>
      </c>
      <c r="E191" s="3" t="s">
        <v>356</v>
      </c>
      <c r="F191" s="21">
        <f>Veainuleipts</f>
        <v>10</v>
      </c>
    </row>
    <row r="192" spans="1:6" ht="15" customHeight="1" thickBot="1" x14ac:dyDescent="0.3">
      <c r="A192" s="14" t="s">
        <v>1145</v>
      </c>
      <c r="B192" s="14" t="s">
        <v>352</v>
      </c>
      <c r="C192" s="7">
        <f>Catrakilishartries</f>
        <v>1</v>
      </c>
      <c r="D192" s="3" t="s">
        <v>777</v>
      </c>
      <c r="E192" s="3" t="s">
        <v>354</v>
      </c>
      <c r="F192" s="20">
        <f>Vellacottwaspts</f>
        <v>10</v>
      </c>
    </row>
    <row r="193" spans="1:6" ht="15" customHeight="1" thickBot="1" x14ac:dyDescent="0.3">
      <c r="A193" s="81" t="s">
        <v>842</v>
      </c>
      <c r="B193" s="81" t="s">
        <v>307</v>
      </c>
      <c r="C193" s="10">
        <f>Chapmanglotries</f>
        <v>1</v>
      </c>
      <c r="D193" s="3" t="s">
        <v>1096</v>
      </c>
      <c r="E193" s="3" t="s">
        <v>355</v>
      </c>
      <c r="F193" s="20">
        <f>Vunipola__Makosarpts</f>
        <v>10</v>
      </c>
    </row>
    <row r="194" spans="1:6" ht="15" customHeight="1" thickBot="1" x14ac:dyDescent="0.3">
      <c r="A194" s="81" t="s">
        <v>321</v>
      </c>
      <c r="B194" s="81" t="s">
        <v>352</v>
      </c>
      <c r="C194" s="10">
        <f>Chisholm_Rhartries</f>
        <v>1</v>
      </c>
      <c r="D194" s="3" t="s">
        <v>967</v>
      </c>
      <c r="E194" s="3" t="s">
        <v>355</v>
      </c>
      <c r="F194" s="21">
        <f>Watsonsarpts</f>
        <v>10</v>
      </c>
    </row>
    <row r="195" spans="1:6" ht="15" customHeight="1" thickBot="1" x14ac:dyDescent="0.3">
      <c r="A195" s="81" t="s">
        <v>1165</v>
      </c>
      <c r="B195" s="81" t="s">
        <v>356</v>
      </c>
      <c r="C195" s="10">
        <f>Dentonleictries</f>
        <v>1</v>
      </c>
      <c r="D195" s="3" t="s">
        <v>338</v>
      </c>
      <c r="E195" s="3" t="s">
        <v>354</v>
      </c>
      <c r="F195" s="21">
        <f>Watsonwaspts</f>
        <v>10</v>
      </c>
    </row>
    <row r="196" spans="1:6" ht="15" customHeight="1" thickBot="1" x14ac:dyDescent="0.3">
      <c r="A196" s="81" t="s">
        <v>1098</v>
      </c>
      <c r="B196" s="81" t="s">
        <v>918</v>
      </c>
      <c r="C196" s="10">
        <f>Blairtries</f>
        <v>1</v>
      </c>
      <c r="D196" s="3" t="s">
        <v>786</v>
      </c>
      <c r="E196" s="3" t="s">
        <v>309</v>
      </c>
      <c r="F196" s="21">
        <f>Webbersalpts</f>
        <v>10</v>
      </c>
    </row>
    <row r="197" spans="1:6" ht="15" customHeight="1" thickBot="1" x14ac:dyDescent="0.3">
      <c r="A197" s="81" t="s">
        <v>1245</v>
      </c>
      <c r="B197" s="81" t="s">
        <v>353</v>
      </c>
      <c r="C197" s="10">
        <f>Carrick_Smithexetries</f>
        <v>1</v>
      </c>
      <c r="D197" s="3" t="s">
        <v>788</v>
      </c>
      <c r="E197" s="3" t="s">
        <v>354</v>
      </c>
      <c r="F197" s="21">
        <f>Westwaspts</f>
        <v>10</v>
      </c>
    </row>
    <row r="198" spans="1:6" ht="15" customHeight="1" thickBot="1" x14ac:dyDescent="0.3">
      <c r="A198" s="11" t="s">
        <v>1252</v>
      </c>
      <c r="B198" s="11" t="s">
        <v>918</v>
      </c>
      <c r="C198" s="10">
        <f>Chicknewtries</f>
        <v>1</v>
      </c>
      <c r="D198" s="3" t="s">
        <v>325</v>
      </c>
      <c r="E198" s="3" t="s">
        <v>356</v>
      </c>
      <c r="F198" s="21">
        <f>Whiteleicpts</f>
        <v>10</v>
      </c>
    </row>
    <row r="199" spans="1:6" ht="15" customHeight="1" thickBot="1" x14ac:dyDescent="0.3">
      <c r="A199" s="81" t="s">
        <v>331</v>
      </c>
      <c r="B199" s="81" t="s">
        <v>309</v>
      </c>
      <c r="C199" s="10">
        <f>Curry_Tsaltries</f>
        <v>1</v>
      </c>
      <c r="D199" s="3" t="s">
        <v>350</v>
      </c>
      <c r="E199" s="3" t="s">
        <v>353</v>
      </c>
      <c r="F199" s="22">
        <f>White_NexeptsCORRECT</f>
        <v>10</v>
      </c>
    </row>
    <row r="200" spans="1:6" ht="15" customHeight="1" thickBot="1" x14ac:dyDescent="0.3">
      <c r="A200" s="81" t="s">
        <v>1161</v>
      </c>
      <c r="B200" s="81" t="s">
        <v>308</v>
      </c>
      <c r="C200" s="10">
        <f>Coxwortries</f>
        <v>1</v>
      </c>
      <c r="D200" s="3" t="s">
        <v>1222</v>
      </c>
      <c r="E200" s="3" t="s">
        <v>353</v>
      </c>
      <c r="F200" s="21">
        <f>Wittyexepts</f>
        <v>10</v>
      </c>
    </row>
    <row r="201" spans="1:6" ht="15" customHeight="1" thickBot="1" x14ac:dyDescent="0.3">
      <c r="A201" s="81" t="s">
        <v>365</v>
      </c>
      <c r="B201" s="81" t="s">
        <v>355</v>
      </c>
      <c r="C201" s="10">
        <f>du_Plessissartries</f>
        <v>1</v>
      </c>
      <c r="D201" s="3" t="s">
        <v>795</v>
      </c>
      <c r="E201" s="3" t="s">
        <v>311</v>
      </c>
      <c r="F201" s="21">
        <f>Woodtomptscorrect</f>
        <v>10</v>
      </c>
    </row>
    <row r="202" spans="1:6" ht="15" customHeight="1" thickBot="1" x14ac:dyDescent="0.3">
      <c r="A202" s="81" t="s">
        <v>1208</v>
      </c>
      <c r="B202" s="81" t="s">
        <v>918</v>
      </c>
      <c r="C202" s="10">
        <f>Donnelllirtries</f>
        <v>1</v>
      </c>
      <c r="D202" s="3" t="s">
        <v>796</v>
      </c>
      <c r="E202" s="3" t="s">
        <v>353</v>
      </c>
      <c r="F202" s="21">
        <f>Woodburnexepts</f>
        <v>10</v>
      </c>
    </row>
    <row r="203" spans="1:6" ht="15" customHeight="1" thickBot="1" x14ac:dyDescent="0.3">
      <c r="A203" s="11" t="s">
        <v>871</v>
      </c>
      <c r="B203" s="81" t="s">
        <v>309</v>
      </c>
      <c r="C203" s="10">
        <f>du_Preez_J_Lsaltries</f>
        <v>1</v>
      </c>
      <c r="D203" s="3" t="s">
        <v>797</v>
      </c>
      <c r="E203" s="3" t="s">
        <v>307</v>
      </c>
      <c r="F203" s="21">
        <f>Woodwardglopts</f>
        <v>10</v>
      </c>
    </row>
    <row r="204" spans="1:6" ht="15" customHeight="1" thickBot="1" x14ac:dyDescent="0.3">
      <c r="A204" s="81" t="s">
        <v>558</v>
      </c>
      <c r="B204" s="81" t="s">
        <v>352</v>
      </c>
      <c r="C204" s="10">
        <f>Earlehartries</f>
        <v>1</v>
      </c>
      <c r="D204" s="3" t="s">
        <v>476</v>
      </c>
      <c r="E204" s="3" t="s">
        <v>354</v>
      </c>
      <c r="F204" s="22">
        <f>Youngwaspts</f>
        <v>10</v>
      </c>
    </row>
    <row r="205" spans="1:6" ht="15" customHeight="1" thickBot="1" x14ac:dyDescent="0.3">
      <c r="A205" s="81" t="s">
        <v>1247</v>
      </c>
      <c r="B205" s="81" t="s">
        <v>356</v>
      </c>
      <c r="C205" s="10">
        <f>Eastmondleictries</f>
        <v>1</v>
      </c>
      <c r="D205" s="3" t="s">
        <v>327</v>
      </c>
      <c r="E205" s="3" t="s">
        <v>356</v>
      </c>
      <c r="F205" s="21">
        <f>youngstompts</f>
        <v>10</v>
      </c>
    </row>
    <row r="206" spans="1:6" ht="15" customHeight="1" thickBot="1" x14ac:dyDescent="0.3">
      <c r="A206" s="81" t="s">
        <v>561</v>
      </c>
      <c r="B206" s="81" t="s">
        <v>310</v>
      </c>
      <c r="C206" s="10">
        <f>Evansbthtries</f>
        <v>1</v>
      </c>
      <c r="D206" s="3" t="s">
        <v>319</v>
      </c>
      <c r="E206" s="3" t="s">
        <v>307</v>
      </c>
      <c r="F206" s="21">
        <f>williamsglopts</f>
        <v>9</v>
      </c>
    </row>
    <row r="207" spans="1:6" ht="15" customHeight="1" thickBot="1" x14ac:dyDescent="0.3">
      <c r="A207" s="81" t="s">
        <v>563</v>
      </c>
      <c r="B207" s="81" t="s">
        <v>353</v>
      </c>
      <c r="C207" s="10">
        <f>Ewersexetries</f>
        <v>1</v>
      </c>
      <c r="D207" s="3" t="s">
        <v>362</v>
      </c>
      <c r="E207" s="3" t="s">
        <v>310</v>
      </c>
      <c r="F207" s="21">
        <f>burnsbthpts</f>
        <v>8</v>
      </c>
    </row>
    <row r="208" spans="1:6" ht="15" customHeight="1" thickBot="1" x14ac:dyDescent="0.3">
      <c r="A208" s="81" t="s">
        <v>322</v>
      </c>
      <c r="B208" s="81" t="s">
        <v>356</v>
      </c>
      <c r="C208" s="10">
        <f>fordleictries</f>
        <v>1</v>
      </c>
      <c r="D208" s="3" t="s">
        <v>1080</v>
      </c>
      <c r="E208" s="3" t="s">
        <v>356</v>
      </c>
      <c r="F208" s="21">
        <f>Stevensleicpts</f>
        <v>8</v>
      </c>
    </row>
    <row r="209" spans="1:6" ht="15" customHeight="1" thickBot="1" x14ac:dyDescent="0.3">
      <c r="A209" s="81" t="s">
        <v>576</v>
      </c>
      <c r="B209" s="81" t="s">
        <v>355</v>
      </c>
      <c r="C209" s="10">
        <f>Gallaghersartries</f>
        <v>1</v>
      </c>
      <c r="D209" s="3" t="s">
        <v>770</v>
      </c>
      <c r="E209" s="3" t="s">
        <v>308</v>
      </c>
      <c r="F209" s="21">
        <f>Van_Bredaworpts</f>
        <v>8</v>
      </c>
    </row>
    <row r="210" spans="1:6" ht="15" customHeight="1" thickBot="1" x14ac:dyDescent="0.3">
      <c r="A210" s="81" t="s">
        <v>580</v>
      </c>
      <c r="B210" s="81" t="s">
        <v>356</v>
      </c>
      <c r="C210" s="10">
        <f>Floodtobytries</f>
        <v>1</v>
      </c>
      <c r="D210" s="3" t="s">
        <v>946</v>
      </c>
      <c r="E210" s="3" t="s">
        <v>918</v>
      </c>
      <c r="F210" s="21">
        <f>Ah_Younewpts</f>
        <v>7</v>
      </c>
    </row>
    <row r="211" spans="1:6" ht="15" customHeight="1" thickBot="1" x14ac:dyDescent="0.3">
      <c r="A211" s="81" t="s">
        <v>1202</v>
      </c>
      <c r="B211" s="81" t="s">
        <v>311</v>
      </c>
      <c r="C211" s="10">
        <f>Gillespienortries</f>
        <v>1</v>
      </c>
      <c r="D211" s="3" t="s">
        <v>314</v>
      </c>
      <c r="E211" s="3" t="s">
        <v>310</v>
      </c>
      <c r="F211" s="20">
        <f>bathpentriesptsthisone</f>
        <v>7</v>
      </c>
    </row>
    <row r="212" spans="1:6" ht="15" customHeight="1" thickBot="1" x14ac:dyDescent="0.3">
      <c r="A212" s="81" t="s">
        <v>1204</v>
      </c>
      <c r="B212" s="81" t="s">
        <v>307</v>
      </c>
      <c r="C212" s="10">
        <f>Grayjoshglotries</f>
        <v>1</v>
      </c>
      <c r="D212" s="3" t="s">
        <v>314</v>
      </c>
      <c r="E212" s="3" t="s">
        <v>356</v>
      </c>
      <c r="F212" s="20">
        <f>leicspentriespts</f>
        <v>7</v>
      </c>
    </row>
    <row r="213" spans="1:6" ht="15" customHeight="1" thickBot="1" x14ac:dyDescent="0.3">
      <c r="A213" s="81" t="s">
        <v>588</v>
      </c>
      <c r="B213" s="81" t="s">
        <v>311</v>
      </c>
      <c r="C213" s="10">
        <f>Graysonnortries</f>
        <v>1</v>
      </c>
      <c r="D213" s="3" t="s">
        <v>314</v>
      </c>
      <c r="E213" s="3" t="s">
        <v>309</v>
      </c>
      <c r="F213" s="21">
        <f>Penalty_Triessalpts</f>
        <v>7</v>
      </c>
    </row>
    <row r="214" spans="1:6" ht="15" customHeight="1" thickBot="1" x14ac:dyDescent="0.3">
      <c r="A214" s="81" t="s">
        <v>589</v>
      </c>
      <c r="B214" s="81" t="s">
        <v>307</v>
      </c>
      <c r="C214" s="10">
        <f>Groblerglotrie</f>
        <v>1</v>
      </c>
      <c r="D214" s="3" t="s">
        <v>314</v>
      </c>
      <c r="E214" s="3" t="s">
        <v>308</v>
      </c>
      <c r="F214" s="21">
        <f>Penalty_Triesworpts</f>
        <v>7</v>
      </c>
    </row>
    <row r="215" spans="1:6" ht="15" customHeight="1" thickBot="1" x14ac:dyDescent="0.3">
      <c r="A215" s="81" t="s">
        <v>358</v>
      </c>
      <c r="B215" s="81" t="s">
        <v>355</v>
      </c>
      <c r="C215" s="7">
        <f>Griffithssartries</f>
        <v>1</v>
      </c>
      <c r="D215" s="3" t="s">
        <v>849</v>
      </c>
      <c r="E215" s="3" t="s">
        <v>353</v>
      </c>
      <c r="F215" s="21">
        <f>Skinner_Hexepts</f>
        <v>6</v>
      </c>
    </row>
    <row r="216" spans="1:6" ht="15" customHeight="1" thickBot="1" x14ac:dyDescent="0.3">
      <c r="A216" s="81" t="s">
        <v>597</v>
      </c>
      <c r="B216" s="81" t="s">
        <v>370</v>
      </c>
      <c r="C216" s="10">
        <f>Fowlietomtries</f>
        <v>1</v>
      </c>
      <c r="D216" s="3" t="s">
        <v>482</v>
      </c>
      <c r="E216" s="3" t="s">
        <v>370</v>
      </c>
      <c r="F216" s="21">
        <f>afoabripts</f>
        <v>5</v>
      </c>
    </row>
    <row r="217" spans="1:6" ht="15" customHeight="1" thickBot="1" x14ac:dyDescent="0.3">
      <c r="A217" s="81" t="s">
        <v>600</v>
      </c>
      <c r="B217" s="81" t="s">
        <v>353</v>
      </c>
      <c r="C217" s="10">
        <f>Hepburnexetries</f>
        <v>1</v>
      </c>
      <c r="D217" s="3" t="s">
        <v>1246</v>
      </c>
      <c r="E217" s="3" t="s">
        <v>307</v>
      </c>
      <c r="F217" s="21">
        <f>Alemannoglopts</f>
        <v>5</v>
      </c>
    </row>
    <row r="218" spans="1:6" ht="15" customHeight="1" thickBot="1" x14ac:dyDescent="0.3">
      <c r="A218" s="81" t="s">
        <v>1070</v>
      </c>
      <c r="B218" s="81" t="s">
        <v>308</v>
      </c>
      <c r="C218" s="10">
        <f>Galarzamarianotries</f>
        <v>1</v>
      </c>
      <c r="D218" s="3" t="s">
        <v>1126</v>
      </c>
      <c r="E218" s="3" t="s">
        <v>354</v>
      </c>
      <c r="F218" s="21">
        <f>Armitagewaspts</f>
        <v>5</v>
      </c>
    </row>
    <row r="219" spans="1:6" ht="15" customHeight="1" thickBot="1" x14ac:dyDescent="0.3">
      <c r="A219" s="11" t="s">
        <v>901</v>
      </c>
      <c r="B219" s="11" t="s">
        <v>353</v>
      </c>
      <c r="C219" s="281">
        <f>Freemanexetries</f>
        <v>1</v>
      </c>
      <c r="D219" s="3" t="s">
        <v>483</v>
      </c>
      <c r="E219" s="3" t="s">
        <v>308</v>
      </c>
      <c r="F219" s="21">
        <f>Aholeleiwelshpts</f>
        <v>5</v>
      </c>
    </row>
    <row r="220" spans="1:6" ht="15" customHeight="1" thickBot="1" x14ac:dyDescent="0.3">
      <c r="A220" s="11" t="s">
        <v>464</v>
      </c>
      <c r="B220" s="81" t="s">
        <v>311</v>
      </c>
      <c r="C220" s="10">
        <f>Hodgsonnortries</f>
        <v>1</v>
      </c>
      <c r="D220" s="3" t="s">
        <v>456</v>
      </c>
      <c r="E220" s="3" t="s">
        <v>307</v>
      </c>
      <c r="F220" s="21">
        <f>Atkinsonglopts</f>
        <v>5</v>
      </c>
    </row>
    <row r="221" spans="1:6" ht="15" customHeight="1" thickBot="1" x14ac:dyDescent="0.3">
      <c r="A221" s="81" t="s">
        <v>324</v>
      </c>
      <c r="B221" s="81" t="s">
        <v>356</v>
      </c>
      <c r="C221" s="10">
        <f>Holmesleictries</f>
        <v>1</v>
      </c>
      <c r="D221" s="19" t="s">
        <v>514</v>
      </c>
      <c r="E221" s="19" t="s">
        <v>356</v>
      </c>
      <c r="F221" s="20">
        <f>Batemanleipts</f>
        <v>5</v>
      </c>
    </row>
    <row r="222" spans="1:6" ht="15" customHeight="1" thickBot="1" x14ac:dyDescent="0.3">
      <c r="A222" s="81" t="s">
        <v>604</v>
      </c>
      <c r="B222" s="81" t="s">
        <v>308</v>
      </c>
      <c r="C222" s="62">
        <f>Howewortries</f>
        <v>1</v>
      </c>
      <c r="D222" s="3" t="s">
        <v>499</v>
      </c>
      <c r="E222" s="3" t="s">
        <v>309</v>
      </c>
      <c r="F222" s="21">
        <f>Beaumontsalpts</f>
        <v>5</v>
      </c>
    </row>
    <row r="223" spans="1:6" ht="15" customHeight="1" thickBot="1" x14ac:dyDescent="0.3">
      <c r="A223" s="81" t="s">
        <v>809</v>
      </c>
      <c r="B223" s="81" t="s">
        <v>1257</v>
      </c>
      <c r="C223" s="10">
        <f>Isiekwesartries</f>
        <v>1</v>
      </c>
      <c r="D223" s="3" t="s">
        <v>1217</v>
      </c>
      <c r="E223" s="3" t="s">
        <v>355</v>
      </c>
      <c r="F223" s="21">
        <f>Boschmarcelopts</f>
        <v>5</v>
      </c>
    </row>
    <row r="224" spans="1:6" ht="15" customHeight="1" thickBot="1" x14ac:dyDescent="0.3">
      <c r="A224" s="81" t="s">
        <v>862</v>
      </c>
      <c r="B224" s="81" t="s">
        <v>353</v>
      </c>
      <c r="C224" s="10">
        <f>Keastexetries</f>
        <v>1</v>
      </c>
      <c r="D224" s="3" t="s">
        <v>1231</v>
      </c>
      <c r="E224" s="3" t="s">
        <v>370</v>
      </c>
      <c r="F224" s="21">
        <f>Byrnebripts</f>
        <v>5</v>
      </c>
    </row>
    <row r="225" spans="1:6" ht="15" customHeight="1" thickBot="1" x14ac:dyDescent="0.3">
      <c r="A225" s="11" t="s">
        <v>1086</v>
      </c>
      <c r="B225" s="11" t="s">
        <v>356</v>
      </c>
      <c r="C225" s="10">
        <f>Kerrleictries</f>
        <v>1</v>
      </c>
      <c r="D225" s="3" t="s">
        <v>1017</v>
      </c>
      <c r="E225" s="3" t="s">
        <v>370</v>
      </c>
      <c r="F225" s="21">
        <f>Caponbripts</f>
        <v>5</v>
      </c>
    </row>
    <row r="226" spans="1:6" ht="15" customHeight="1" thickBot="1" x14ac:dyDescent="0.3">
      <c r="A226" s="81" t="s">
        <v>626</v>
      </c>
      <c r="B226" s="81" t="s">
        <v>353</v>
      </c>
      <c r="C226" s="10">
        <f>Johnsonexetries</f>
        <v>1</v>
      </c>
      <c r="D226" s="3" t="s">
        <v>518</v>
      </c>
      <c r="E226" s="3" t="s">
        <v>352</v>
      </c>
      <c r="F226" s="21">
        <f>Carepts</f>
        <v>5</v>
      </c>
    </row>
    <row r="227" spans="1:6" ht="15" customHeight="1" thickBot="1" x14ac:dyDescent="0.3">
      <c r="A227" s="11" t="s">
        <v>630</v>
      </c>
      <c r="B227" s="11" t="s">
        <v>355</v>
      </c>
      <c r="C227" s="10">
        <f>Lamositelesartries</f>
        <v>1</v>
      </c>
      <c r="D227" s="19" t="s">
        <v>1132</v>
      </c>
      <c r="E227" s="19" t="s">
        <v>355</v>
      </c>
      <c r="F227" s="20">
        <f>Burgerjacquespts</f>
        <v>5</v>
      </c>
    </row>
    <row r="228" spans="1:6" ht="15" customHeight="1" thickBot="1" x14ac:dyDescent="0.3">
      <c r="A228" s="11" t="s">
        <v>631</v>
      </c>
      <c r="B228" s="81" t="s">
        <v>308</v>
      </c>
      <c r="C228" s="10">
        <f>Lancewortries</f>
        <v>1</v>
      </c>
      <c r="D228" s="172" t="s">
        <v>1145</v>
      </c>
      <c r="E228" s="172" t="s">
        <v>352</v>
      </c>
      <c r="F228" s="21">
        <f>Catrakilisharpts</f>
        <v>5</v>
      </c>
    </row>
    <row r="229" spans="1:6" ht="15" customHeight="1" thickBot="1" x14ac:dyDescent="0.3">
      <c r="A229" s="81" t="s">
        <v>1100</v>
      </c>
      <c r="B229" s="81" t="s">
        <v>352</v>
      </c>
      <c r="C229" s="10">
        <f>Marfohartries</f>
        <v>1</v>
      </c>
      <c r="D229" s="3" t="s">
        <v>842</v>
      </c>
      <c r="E229" s="3" t="s">
        <v>307</v>
      </c>
      <c r="F229" s="21">
        <f>Chapmanglopts</f>
        <v>5</v>
      </c>
    </row>
    <row r="230" spans="1:6" ht="15" customHeight="1" thickBot="1" x14ac:dyDescent="0.3">
      <c r="A230" s="11" t="s">
        <v>1195</v>
      </c>
      <c r="B230" s="11" t="s">
        <v>356</v>
      </c>
      <c r="C230" s="10">
        <f>Liebenbergleictries</f>
        <v>1</v>
      </c>
      <c r="D230" s="3" t="s">
        <v>321</v>
      </c>
      <c r="E230" s="3" t="s">
        <v>352</v>
      </c>
      <c r="F230" s="21">
        <f>Chisholm_Rharpts</f>
        <v>5</v>
      </c>
    </row>
    <row r="231" spans="1:6" ht="15" customHeight="1" thickBot="1" x14ac:dyDescent="0.3">
      <c r="A231" s="81" t="s">
        <v>879</v>
      </c>
      <c r="B231" s="81" t="s">
        <v>353</v>
      </c>
      <c r="C231" s="10">
        <f>Lonsdaleexetries</f>
        <v>1</v>
      </c>
      <c r="D231" s="3" t="s">
        <v>1165</v>
      </c>
      <c r="E231" s="3" t="s">
        <v>356</v>
      </c>
      <c r="F231" s="21">
        <f>Dentonleicpts</f>
        <v>5</v>
      </c>
    </row>
    <row r="232" spans="1:6" ht="15" customHeight="1" thickBot="1" x14ac:dyDescent="0.3">
      <c r="A232" s="81" t="s">
        <v>647</v>
      </c>
      <c r="B232" s="81" t="s">
        <v>310</v>
      </c>
      <c r="C232" s="10">
        <f>Louwfrancoistris</f>
        <v>1</v>
      </c>
      <c r="D232" s="3" t="s">
        <v>1098</v>
      </c>
      <c r="E232" s="3" t="s">
        <v>918</v>
      </c>
      <c r="F232" s="21">
        <f>Blairnewpts</f>
        <v>5</v>
      </c>
    </row>
    <row r="233" spans="1:6" ht="15" customHeight="1" thickBot="1" x14ac:dyDescent="0.3">
      <c r="A233" s="11" t="s">
        <v>650</v>
      </c>
      <c r="B233" s="11" t="s">
        <v>355</v>
      </c>
      <c r="C233" s="10">
        <f>Longbottomsartries</f>
        <v>1</v>
      </c>
      <c r="D233" s="3" t="s">
        <v>1245</v>
      </c>
      <c r="E233" s="3" t="s">
        <v>353</v>
      </c>
      <c r="F233" s="21">
        <f>Carrick_Smithexepts</f>
        <v>5</v>
      </c>
    </row>
    <row r="234" spans="1:6" ht="15" customHeight="1" thickBot="1" x14ac:dyDescent="0.3">
      <c r="A234" s="81" t="s">
        <v>652</v>
      </c>
      <c r="B234" s="81" t="s">
        <v>311</v>
      </c>
      <c r="C234" s="10">
        <f>Ludlamnortries</f>
        <v>1</v>
      </c>
      <c r="D234" s="19" t="s">
        <v>1252</v>
      </c>
      <c r="E234" s="19" t="s">
        <v>918</v>
      </c>
      <c r="F234" s="21">
        <f>Chicknewpts</f>
        <v>5</v>
      </c>
    </row>
    <row r="235" spans="1:6" ht="15" customHeight="1" thickBot="1" x14ac:dyDescent="0.3">
      <c r="A235" s="81" t="s">
        <v>653</v>
      </c>
      <c r="B235" s="81" t="s">
        <v>307</v>
      </c>
      <c r="C235" s="10">
        <f>Ludlowglotries</f>
        <v>1</v>
      </c>
      <c r="D235" s="3" t="s">
        <v>331</v>
      </c>
      <c r="E235" s="3" t="s">
        <v>309</v>
      </c>
      <c r="F235" s="21">
        <f>Curry_Tsalpts</f>
        <v>5</v>
      </c>
    </row>
    <row r="236" spans="1:6" ht="15" customHeight="1" thickBot="1" x14ac:dyDescent="0.3">
      <c r="A236" s="81" t="s">
        <v>654</v>
      </c>
      <c r="B236" s="81" t="s">
        <v>309</v>
      </c>
      <c r="C236" s="10">
        <f>MacKenziephiltries</f>
        <v>1</v>
      </c>
      <c r="D236" s="3" t="s">
        <v>1161</v>
      </c>
      <c r="E236" s="3" t="s">
        <v>308</v>
      </c>
      <c r="F236" s="21">
        <f>Coxworpts</f>
        <v>5</v>
      </c>
    </row>
    <row r="237" spans="1:6" ht="15" customHeight="1" thickBot="1" x14ac:dyDescent="0.3">
      <c r="A237" s="81" t="s">
        <v>1090</v>
      </c>
      <c r="B237" s="81" t="s">
        <v>918</v>
      </c>
      <c r="C237" s="10">
        <f>Mafilirtries</f>
        <v>1</v>
      </c>
      <c r="D237" s="3" t="s">
        <v>365</v>
      </c>
      <c r="E237" s="3" t="s">
        <v>355</v>
      </c>
      <c r="F237" s="21">
        <f>du_Plessissarpts</f>
        <v>5</v>
      </c>
    </row>
    <row r="238" spans="1:6" ht="15" customHeight="1" thickBot="1" x14ac:dyDescent="0.3">
      <c r="A238" s="11" t="s">
        <v>659</v>
      </c>
      <c r="B238" s="81" t="s">
        <v>308</v>
      </c>
      <c r="C238" s="10">
        <f>McCaffreywelshtries</f>
        <v>1</v>
      </c>
      <c r="D238" s="3" t="s">
        <v>1208</v>
      </c>
      <c r="E238" s="3" t="s">
        <v>918</v>
      </c>
      <c r="F238" s="21">
        <f>Donnelllirpts</f>
        <v>5</v>
      </c>
    </row>
    <row r="239" spans="1:6" ht="15" customHeight="1" thickBot="1" x14ac:dyDescent="0.3">
      <c r="A239" s="81" t="s">
        <v>1182</v>
      </c>
      <c r="B239" s="81" t="s">
        <v>310</v>
      </c>
      <c r="C239" s="10">
        <f>lahiffmaxbthtries</f>
        <v>1</v>
      </c>
      <c r="D239" s="19" t="s">
        <v>871</v>
      </c>
      <c r="E239" s="3" t="s">
        <v>309</v>
      </c>
      <c r="F239" s="21">
        <f>du_Preez_J_Lsalpts</f>
        <v>5</v>
      </c>
    </row>
    <row r="240" spans="1:6" ht="15" customHeight="1" thickBot="1" x14ac:dyDescent="0.3">
      <c r="A240" s="81" t="s">
        <v>1253</v>
      </c>
      <c r="B240" s="81" t="s">
        <v>918</v>
      </c>
      <c r="C240" s="10">
        <f>Kibirigezachtries</f>
        <v>1</v>
      </c>
      <c r="D240" s="3" t="s">
        <v>558</v>
      </c>
      <c r="E240" s="3" t="s">
        <v>352</v>
      </c>
      <c r="F240" s="21">
        <f>Earleharpts</f>
        <v>5</v>
      </c>
    </row>
    <row r="241" spans="1:6" ht="15" customHeight="1" thickBot="1" x14ac:dyDescent="0.3">
      <c r="A241" s="81" t="s">
        <v>1212</v>
      </c>
      <c r="B241" s="81" t="s">
        <v>370</v>
      </c>
      <c r="C241" s="10">
        <f>McCabebritrie</f>
        <v>1</v>
      </c>
      <c r="D241" s="3" t="s">
        <v>1247</v>
      </c>
      <c r="E241" s="3" t="s">
        <v>356</v>
      </c>
      <c r="F241" s="21">
        <f>Eastmondlicpts</f>
        <v>5</v>
      </c>
    </row>
    <row r="242" spans="1:6" ht="15" customHeight="1" thickBot="1" x14ac:dyDescent="0.3">
      <c r="A242" s="81" t="s">
        <v>1134</v>
      </c>
      <c r="B242" s="81" t="s">
        <v>310</v>
      </c>
      <c r="C242" s="10">
        <f>McNallybthtries</f>
        <v>1</v>
      </c>
      <c r="D242" s="3" t="s">
        <v>561</v>
      </c>
      <c r="E242" s="3" t="s">
        <v>310</v>
      </c>
      <c r="F242" s="21">
        <f>Evansbthpts</f>
        <v>5</v>
      </c>
    </row>
    <row r="243" spans="1:6" ht="15" customHeight="1" thickBot="1" x14ac:dyDescent="0.3">
      <c r="A243" s="81" t="s">
        <v>469</v>
      </c>
      <c r="B243" s="81" t="s">
        <v>352</v>
      </c>
      <c r="C243" s="10">
        <f>Morrishartries</f>
        <v>1</v>
      </c>
      <c r="D243" s="3" t="s">
        <v>563</v>
      </c>
      <c r="E243" s="3" t="s">
        <v>353</v>
      </c>
      <c r="F243" s="21">
        <f>Ewersexepts</f>
        <v>5</v>
      </c>
    </row>
    <row r="244" spans="1:6" ht="15" customHeight="1" thickBot="1" x14ac:dyDescent="0.3">
      <c r="A244" s="11" t="s">
        <v>1229</v>
      </c>
      <c r="B244" s="11" t="s">
        <v>356</v>
      </c>
      <c r="C244" s="10">
        <f>Parlingleitries</f>
        <v>1</v>
      </c>
      <c r="D244" s="3" t="s">
        <v>576</v>
      </c>
      <c r="E244" s="3" t="s">
        <v>355</v>
      </c>
      <c r="F244" s="21">
        <f>Gallaghersarpts</f>
        <v>5</v>
      </c>
    </row>
    <row r="245" spans="1:6" ht="15" customHeight="1" thickBot="1" x14ac:dyDescent="0.3">
      <c r="A245" s="81" t="s">
        <v>682</v>
      </c>
      <c r="B245" s="81" t="s">
        <v>309</v>
      </c>
      <c r="C245" s="10">
        <f>Neildsaltries</f>
        <v>1</v>
      </c>
      <c r="D245" s="3" t="s">
        <v>580</v>
      </c>
      <c r="E245" s="3" t="s">
        <v>356</v>
      </c>
      <c r="F245" s="21">
        <f>Bowdendanpts</f>
        <v>5</v>
      </c>
    </row>
    <row r="246" spans="1:6" ht="15" customHeight="1" thickBot="1" x14ac:dyDescent="0.3">
      <c r="A246" s="81" t="s">
        <v>1210</v>
      </c>
      <c r="B246" s="81" t="s">
        <v>918</v>
      </c>
      <c r="C246" s="10">
        <f>Nortonlirtries</f>
        <v>1</v>
      </c>
      <c r="D246" s="3" t="s">
        <v>1202</v>
      </c>
      <c r="E246" s="3" t="s">
        <v>311</v>
      </c>
      <c r="F246" s="20">
        <f>Gillespienorpts</f>
        <v>5</v>
      </c>
    </row>
    <row r="247" spans="1:6" ht="15" customHeight="1" thickBot="1" x14ac:dyDescent="0.3">
      <c r="A247" s="81" t="s">
        <v>685</v>
      </c>
      <c r="B247" s="81" t="s">
        <v>353</v>
      </c>
      <c r="C247" s="10">
        <f>Nowellexetries</f>
        <v>1</v>
      </c>
      <c r="D247" s="3" t="s">
        <v>1204</v>
      </c>
      <c r="E247" s="3" t="s">
        <v>307</v>
      </c>
      <c r="F247" s="21">
        <f>Grayjoshglopts</f>
        <v>5</v>
      </c>
    </row>
    <row r="248" spans="1:6" ht="15" customHeight="1" thickBot="1" x14ac:dyDescent="0.3">
      <c r="A248" s="81" t="s">
        <v>1226</v>
      </c>
      <c r="B248" s="81" t="s">
        <v>355</v>
      </c>
      <c r="C248" s="10">
        <f>Obatoysartries</f>
        <v>1</v>
      </c>
      <c r="D248" s="3" t="s">
        <v>589</v>
      </c>
      <c r="E248" s="3" t="s">
        <v>307</v>
      </c>
      <c r="F248" s="21">
        <f>Groblerglopts</f>
        <v>5</v>
      </c>
    </row>
    <row r="249" spans="1:6" ht="15" customHeight="1" thickBot="1" x14ac:dyDescent="0.3">
      <c r="A249" s="81" t="s">
        <v>287</v>
      </c>
      <c r="B249" s="81" t="s">
        <v>356</v>
      </c>
      <c r="C249" s="10">
        <f>Olowofela_Jleictries</f>
        <v>1</v>
      </c>
      <c r="D249" s="3" t="s">
        <v>358</v>
      </c>
      <c r="E249" s="3" t="s">
        <v>355</v>
      </c>
      <c r="F249" s="21">
        <f>Griffithssarpts</f>
        <v>5</v>
      </c>
    </row>
    <row r="250" spans="1:6" ht="15" customHeight="1" thickBot="1" x14ac:dyDescent="0.3">
      <c r="A250" s="81" t="s">
        <v>1185</v>
      </c>
      <c r="B250" s="81" t="s">
        <v>311</v>
      </c>
      <c r="C250" s="10">
        <f>Olvernortriescorrect</f>
        <v>1</v>
      </c>
      <c r="D250" s="3" t="s">
        <v>597</v>
      </c>
      <c r="E250" s="3" t="s">
        <v>370</v>
      </c>
      <c r="F250" s="21">
        <f>Fowlielipts</f>
        <v>5</v>
      </c>
    </row>
    <row r="251" spans="1:6" ht="15" customHeight="1" thickBot="1" x14ac:dyDescent="0.3">
      <c r="A251" s="81" t="s">
        <v>1058</v>
      </c>
      <c r="B251" s="81" t="s">
        <v>309</v>
      </c>
      <c r="C251" s="7">
        <f>Ostrikovandreitries</f>
        <v>1</v>
      </c>
      <c r="D251" s="3" t="s">
        <v>600</v>
      </c>
      <c r="E251" s="3" t="s">
        <v>353</v>
      </c>
      <c r="F251" s="21">
        <f>Hepburnexepts</f>
        <v>5</v>
      </c>
    </row>
    <row r="252" spans="1:6" ht="15" customHeight="1" thickBot="1" x14ac:dyDescent="0.3">
      <c r="A252" s="81" t="s">
        <v>314</v>
      </c>
      <c r="B252" s="81" t="s">
        <v>310</v>
      </c>
      <c r="C252" s="10">
        <f>bathpentriestriesthisone</f>
        <v>1</v>
      </c>
      <c r="D252" s="3" t="s">
        <v>1070</v>
      </c>
      <c r="E252" s="3" t="s">
        <v>308</v>
      </c>
      <c r="F252" s="22">
        <f>Galarzamarianopts</f>
        <v>5</v>
      </c>
    </row>
    <row r="253" spans="1:6" ht="15" customHeight="1" thickBot="1" x14ac:dyDescent="0.3">
      <c r="A253" s="81" t="s">
        <v>314</v>
      </c>
      <c r="B253" s="81" t="s">
        <v>356</v>
      </c>
      <c r="C253" s="10">
        <f>leicspentriestries</f>
        <v>1</v>
      </c>
      <c r="D253" s="19" t="s">
        <v>901</v>
      </c>
      <c r="E253" s="19" t="s">
        <v>353</v>
      </c>
      <c r="F253" s="21">
        <f>Freemanexepts</f>
        <v>5</v>
      </c>
    </row>
    <row r="254" spans="1:6" ht="15" customHeight="1" thickBot="1" x14ac:dyDescent="0.3">
      <c r="A254" s="81" t="s">
        <v>314</v>
      </c>
      <c r="B254" s="81" t="s">
        <v>309</v>
      </c>
      <c r="C254" s="10">
        <f>Penalty_Triessaltries</f>
        <v>1</v>
      </c>
      <c r="D254" s="19" t="s">
        <v>464</v>
      </c>
      <c r="E254" s="3" t="s">
        <v>311</v>
      </c>
      <c r="F254" s="21">
        <f>Hodgsonnorpts</f>
        <v>5</v>
      </c>
    </row>
    <row r="255" spans="1:6" ht="15" customHeight="1" thickBot="1" x14ac:dyDescent="0.3">
      <c r="A255" s="81" t="s">
        <v>314</v>
      </c>
      <c r="B255" s="81" t="s">
        <v>308</v>
      </c>
      <c r="C255" s="62">
        <f>Penalty_Trieswortries</f>
        <v>1</v>
      </c>
      <c r="D255" s="3" t="s">
        <v>324</v>
      </c>
      <c r="E255" s="3" t="s">
        <v>356</v>
      </c>
      <c r="F255" s="22">
        <f>Holmesleicpts</f>
        <v>5</v>
      </c>
    </row>
    <row r="256" spans="1:6" ht="15" customHeight="1" thickBot="1" x14ac:dyDescent="0.3">
      <c r="A256" s="81" t="s">
        <v>392</v>
      </c>
      <c r="B256" s="81" t="s">
        <v>370</v>
      </c>
      <c r="C256" s="7">
        <f>Ojotopsytries</f>
        <v>1</v>
      </c>
      <c r="D256" s="3" t="s">
        <v>604</v>
      </c>
      <c r="E256" s="3" t="s">
        <v>308</v>
      </c>
      <c r="F256" s="21">
        <f>Howeworpts</f>
        <v>5</v>
      </c>
    </row>
    <row r="257" spans="1:6" ht="15" customHeight="1" thickBot="1" x14ac:dyDescent="0.3">
      <c r="A257" s="81" t="s">
        <v>1116</v>
      </c>
      <c r="B257" s="81" t="s">
        <v>918</v>
      </c>
      <c r="C257" s="10">
        <f>Poreckilirtriescorrect</f>
        <v>1</v>
      </c>
      <c r="D257" s="3" t="s">
        <v>809</v>
      </c>
      <c r="E257" s="3" t="s">
        <v>1257</v>
      </c>
      <c r="F257" s="21">
        <f>Isiekwesarpts</f>
        <v>5</v>
      </c>
    </row>
    <row r="258" spans="1:6" ht="15" customHeight="1" thickBot="1" x14ac:dyDescent="0.3">
      <c r="A258" s="81" t="s">
        <v>898</v>
      </c>
      <c r="B258" s="81" t="s">
        <v>309</v>
      </c>
      <c r="C258" s="10">
        <f>Postlethwaitesaltries</f>
        <v>1</v>
      </c>
      <c r="D258" s="3" t="s">
        <v>862</v>
      </c>
      <c r="E258" s="3" t="s">
        <v>353</v>
      </c>
      <c r="F258" s="21">
        <f>Keastexepts</f>
        <v>5</v>
      </c>
    </row>
    <row r="259" spans="1:6" ht="15" customHeight="1" thickBot="1" x14ac:dyDescent="0.3">
      <c r="A259" s="81" t="s">
        <v>1189</v>
      </c>
      <c r="B259" s="81" t="s">
        <v>356</v>
      </c>
      <c r="C259" s="10">
        <f>Owenleictries</f>
        <v>1</v>
      </c>
      <c r="D259" s="3" t="s">
        <v>1086</v>
      </c>
      <c r="E259" s="3" t="s">
        <v>356</v>
      </c>
      <c r="F259" s="21">
        <f>Kerrleicpts</f>
        <v>5</v>
      </c>
    </row>
    <row r="260" spans="1:6" ht="15" customHeight="1" thickBot="1" x14ac:dyDescent="0.3">
      <c r="A260" s="81" t="s">
        <v>704</v>
      </c>
      <c r="B260" s="81" t="s">
        <v>311</v>
      </c>
      <c r="C260" s="10">
        <f>Ratuniyarawanortries</f>
        <v>1</v>
      </c>
      <c r="D260" s="3" t="s">
        <v>626</v>
      </c>
      <c r="E260" s="3" t="s">
        <v>353</v>
      </c>
      <c r="F260" s="21">
        <f>Johnsonexepts</f>
        <v>5</v>
      </c>
    </row>
    <row r="261" spans="1:6" ht="15" customHeight="1" thickBot="1" x14ac:dyDescent="0.3">
      <c r="A261" s="81" t="s">
        <v>991</v>
      </c>
      <c r="B261" s="81" t="s">
        <v>356</v>
      </c>
      <c r="C261" s="10">
        <f>Reidleitries</f>
        <v>1</v>
      </c>
      <c r="D261" s="19" t="s">
        <v>630</v>
      </c>
      <c r="E261" s="19" t="s">
        <v>355</v>
      </c>
      <c r="F261" s="21">
        <f>Lamositelesarpts</f>
        <v>5</v>
      </c>
    </row>
    <row r="262" spans="1:6" ht="15" customHeight="1" thickBot="1" x14ac:dyDescent="0.3">
      <c r="A262" s="11" t="s">
        <v>715</v>
      </c>
      <c r="B262" s="11" t="s">
        <v>310</v>
      </c>
      <c r="C262" s="10">
        <f>Rokodugunibattries</f>
        <v>1</v>
      </c>
      <c r="D262" s="3" t="s">
        <v>1100</v>
      </c>
      <c r="E262" s="3" t="s">
        <v>352</v>
      </c>
      <c r="F262" s="21">
        <f>Marfoharpts</f>
        <v>5</v>
      </c>
    </row>
    <row r="263" spans="1:6" ht="15" customHeight="1" thickBot="1" x14ac:dyDescent="0.3">
      <c r="A263" s="11" t="s">
        <v>716</v>
      </c>
      <c r="B263" s="11" t="s">
        <v>309</v>
      </c>
      <c r="C263" s="10">
        <f>Rosssaltries</f>
        <v>1</v>
      </c>
      <c r="D263" s="19" t="s">
        <v>1195</v>
      </c>
      <c r="E263" s="19" t="s">
        <v>356</v>
      </c>
      <c r="F263" s="21">
        <f>Liebenbergleicpts</f>
        <v>5</v>
      </c>
    </row>
    <row r="264" spans="1:6" ht="15" customHeight="1" thickBot="1" x14ac:dyDescent="0.3">
      <c r="A264" s="81" t="s">
        <v>1236</v>
      </c>
      <c r="B264" s="81" t="s">
        <v>356</v>
      </c>
      <c r="C264" s="10">
        <f>Scottleictries</f>
        <v>1</v>
      </c>
      <c r="D264" s="3" t="s">
        <v>879</v>
      </c>
      <c r="E264" s="3" t="s">
        <v>353</v>
      </c>
      <c r="F264" s="21">
        <f>Lonsdaleexepts</f>
        <v>5</v>
      </c>
    </row>
    <row r="265" spans="1:6" ht="15" customHeight="1" thickBot="1" x14ac:dyDescent="0.3">
      <c r="A265" s="11" t="s">
        <v>724</v>
      </c>
      <c r="B265" s="81" t="s">
        <v>1151</v>
      </c>
      <c r="C265" s="10">
        <f>Searlewastries+Searlewortris</f>
        <v>1</v>
      </c>
      <c r="D265" s="3" t="s">
        <v>647</v>
      </c>
      <c r="E265" s="3" t="s">
        <v>310</v>
      </c>
      <c r="F265" s="21">
        <f>Louwfrancoispts</f>
        <v>5</v>
      </c>
    </row>
    <row r="266" spans="1:6" ht="15" customHeight="1" thickBot="1" x14ac:dyDescent="0.3">
      <c r="A266" s="9" t="s">
        <v>729</v>
      </c>
      <c r="B266" s="9" t="s">
        <v>308</v>
      </c>
      <c r="C266" s="10">
        <f>Shillcockwortries</f>
        <v>1</v>
      </c>
      <c r="D266" s="23" t="s">
        <v>652</v>
      </c>
      <c r="E266" s="23" t="s">
        <v>311</v>
      </c>
      <c r="F266" s="21">
        <f>Ludlamnorpts</f>
        <v>5</v>
      </c>
    </row>
    <row r="267" spans="1:6" ht="15" customHeight="1" thickBot="1" x14ac:dyDescent="0.3">
      <c r="A267" s="9" t="s">
        <v>733</v>
      </c>
      <c r="B267" s="9" t="s">
        <v>352</v>
      </c>
      <c r="C267" s="10">
        <f>Sincklerhartries</f>
        <v>1</v>
      </c>
      <c r="D267" s="23" t="s">
        <v>653</v>
      </c>
      <c r="E267" s="23" t="s">
        <v>307</v>
      </c>
      <c r="F267" s="21">
        <f>Ludlowglopts</f>
        <v>5</v>
      </c>
    </row>
    <row r="268" spans="1:6" ht="15" customHeight="1" thickBot="1" x14ac:dyDescent="0.3">
      <c r="A268" s="9" t="s">
        <v>737</v>
      </c>
      <c r="B268" s="9" t="s">
        <v>353</v>
      </c>
      <c r="C268" s="10">
        <f>Sladeexetries</f>
        <v>1</v>
      </c>
      <c r="D268" s="23" t="s">
        <v>1090</v>
      </c>
      <c r="E268" s="23" t="s">
        <v>918</v>
      </c>
      <c r="F268" s="21">
        <f>Mafilirpts</f>
        <v>5</v>
      </c>
    </row>
    <row r="269" spans="1:6" ht="15" customHeight="1" thickBot="1" x14ac:dyDescent="0.3">
      <c r="A269" s="9" t="s">
        <v>867</v>
      </c>
      <c r="B269" s="9" t="s">
        <v>311</v>
      </c>
      <c r="C269" s="10">
        <f>Sleightholmenortries</f>
        <v>1</v>
      </c>
      <c r="D269" s="21" t="s">
        <v>659</v>
      </c>
      <c r="E269" s="23" t="s">
        <v>308</v>
      </c>
      <c r="F269" s="21">
        <f>McCaffreywelshpts</f>
        <v>5</v>
      </c>
    </row>
    <row r="270" spans="1:6" ht="15" customHeight="1" thickBot="1" x14ac:dyDescent="0.3">
      <c r="A270" s="9" t="s">
        <v>1242</v>
      </c>
      <c r="B270" s="9" t="s">
        <v>353</v>
      </c>
      <c r="C270" s="10">
        <f>Southworthexetries</f>
        <v>1</v>
      </c>
      <c r="D270" s="23" t="s">
        <v>1253</v>
      </c>
      <c r="E270" s="23" t="s">
        <v>918</v>
      </c>
      <c r="F270" s="20">
        <f>Kibirigezachpts</f>
        <v>5</v>
      </c>
    </row>
    <row r="271" spans="1:6" ht="15" customHeight="1" thickBot="1" x14ac:dyDescent="0.3">
      <c r="A271" s="10" t="s">
        <v>1206</v>
      </c>
      <c r="B271" s="10" t="s">
        <v>354</v>
      </c>
      <c r="C271" s="10">
        <f>Stuartwastries</f>
        <v>1</v>
      </c>
      <c r="D271" s="23" t="s">
        <v>1212</v>
      </c>
      <c r="E271" s="23" t="s">
        <v>370</v>
      </c>
      <c r="F271" s="21">
        <f>McCabebripts</f>
        <v>5</v>
      </c>
    </row>
    <row r="272" spans="1:6" ht="15" customHeight="1" thickBot="1" x14ac:dyDescent="0.3">
      <c r="A272" s="9" t="s">
        <v>1200</v>
      </c>
      <c r="B272" s="9" t="s">
        <v>307</v>
      </c>
      <c r="C272" s="10">
        <f>Stanleyglotries</f>
        <v>1</v>
      </c>
      <c r="D272" s="23" t="s">
        <v>1134</v>
      </c>
      <c r="E272" s="23" t="s">
        <v>310</v>
      </c>
      <c r="F272" s="21">
        <f>McNallybthpts</f>
        <v>5</v>
      </c>
    </row>
    <row r="273" spans="1:6" ht="15" customHeight="1" thickBot="1" x14ac:dyDescent="0.3">
      <c r="A273" s="9" t="s">
        <v>1080</v>
      </c>
      <c r="B273" s="9" t="s">
        <v>356</v>
      </c>
      <c r="C273" s="7">
        <f>Stevensleictries</f>
        <v>1</v>
      </c>
      <c r="D273" s="23" t="s">
        <v>469</v>
      </c>
      <c r="E273" s="23" t="s">
        <v>352</v>
      </c>
      <c r="F273" s="20">
        <f>Morrisharpts</f>
        <v>5</v>
      </c>
    </row>
    <row r="274" spans="1:6" ht="15" customHeight="1" thickBot="1" x14ac:dyDescent="0.3">
      <c r="A274" s="10" t="s">
        <v>1238</v>
      </c>
      <c r="B274" s="10" t="s">
        <v>355</v>
      </c>
      <c r="C274" s="10">
        <f>Strettllesartries</f>
        <v>1</v>
      </c>
      <c r="D274" s="21" t="s">
        <v>1229</v>
      </c>
      <c r="E274" s="21" t="s">
        <v>356</v>
      </c>
      <c r="F274" s="21">
        <f>Parlingleipts</f>
        <v>5</v>
      </c>
    </row>
    <row r="275" spans="1:6" ht="15" customHeight="1" thickBot="1" x14ac:dyDescent="0.3">
      <c r="A275" s="9" t="s">
        <v>334</v>
      </c>
      <c r="B275" s="9" t="s">
        <v>355</v>
      </c>
      <c r="C275" s="10">
        <f>Taylorsartries</f>
        <v>1</v>
      </c>
      <c r="D275" s="23" t="s">
        <v>682</v>
      </c>
      <c r="E275" s="23" t="s">
        <v>309</v>
      </c>
      <c r="F275" s="21">
        <f>Neildsalpts</f>
        <v>5</v>
      </c>
    </row>
    <row r="276" spans="1:6" ht="15" customHeight="1" thickBot="1" x14ac:dyDescent="0.3">
      <c r="A276" s="9" t="s">
        <v>751</v>
      </c>
      <c r="B276" s="9" t="s">
        <v>370</v>
      </c>
      <c r="C276" s="10">
        <f>Geraghtytries</f>
        <v>1</v>
      </c>
      <c r="D276" s="23" t="s">
        <v>1210</v>
      </c>
      <c r="E276" s="23" t="s">
        <v>918</v>
      </c>
      <c r="F276" s="21">
        <f>Nortonlirpts</f>
        <v>5</v>
      </c>
    </row>
    <row r="277" spans="1:6" ht="15" customHeight="1" thickBot="1" x14ac:dyDescent="0.3">
      <c r="A277" s="9" t="s">
        <v>752</v>
      </c>
      <c r="B277" s="9" t="s">
        <v>356</v>
      </c>
      <c r="C277" s="10">
        <f>Thompsonleictries</f>
        <v>1</v>
      </c>
      <c r="D277" s="23" t="s">
        <v>685</v>
      </c>
      <c r="E277" s="23" t="s">
        <v>353</v>
      </c>
      <c r="F277" s="21">
        <f>Nowellexepts</f>
        <v>5</v>
      </c>
    </row>
    <row r="278" spans="1:6" ht="15" customHeight="1" thickBot="1" x14ac:dyDescent="0.3">
      <c r="A278" s="9" t="s">
        <v>753</v>
      </c>
      <c r="B278" s="9" t="s">
        <v>356</v>
      </c>
      <c r="C278" s="10">
        <f>Thompstoneleitries</f>
        <v>1</v>
      </c>
      <c r="D278" s="23" t="s">
        <v>1226</v>
      </c>
      <c r="E278" s="23" t="s">
        <v>355</v>
      </c>
      <c r="F278" s="21">
        <f>Obatoysarpts</f>
        <v>5</v>
      </c>
    </row>
    <row r="279" spans="1:6" ht="15" customHeight="1" thickBot="1" x14ac:dyDescent="0.3">
      <c r="A279" s="9" t="s">
        <v>759</v>
      </c>
      <c r="B279" s="9" t="s">
        <v>353</v>
      </c>
      <c r="C279" s="10">
        <f>Townsendexetries</f>
        <v>1</v>
      </c>
      <c r="D279" s="23" t="s">
        <v>287</v>
      </c>
      <c r="E279" s="23" t="s">
        <v>356</v>
      </c>
      <c r="F279" s="21">
        <f>Olowofela_Jleicpts</f>
        <v>5</v>
      </c>
    </row>
    <row r="280" spans="1:6" ht="15" customHeight="1" thickBot="1" x14ac:dyDescent="0.3">
      <c r="A280" s="10" t="s">
        <v>1108</v>
      </c>
      <c r="B280" s="10" t="s">
        <v>918</v>
      </c>
      <c r="C280" s="10">
        <f>Sinotisinotitries</f>
        <v>1</v>
      </c>
      <c r="D280" s="23" t="s">
        <v>1185</v>
      </c>
      <c r="E280" s="23" t="s">
        <v>311</v>
      </c>
      <c r="F280" s="21">
        <f>Olvernorpts</f>
        <v>5</v>
      </c>
    </row>
    <row r="281" spans="1:6" ht="15" customHeight="1" thickBot="1" x14ac:dyDescent="0.3">
      <c r="A281" s="9" t="s">
        <v>762</v>
      </c>
      <c r="B281" s="9" t="s">
        <v>1198</v>
      </c>
      <c r="C281" s="10">
        <f>Tuilagimanutries+Tuitupousamtries</f>
        <v>1</v>
      </c>
      <c r="D281" s="23" t="s">
        <v>1058</v>
      </c>
      <c r="E281" s="23" t="s">
        <v>309</v>
      </c>
      <c r="F281" s="22">
        <f>OStrikovsalpts</f>
        <v>5</v>
      </c>
    </row>
    <row r="282" spans="1:6" ht="15" customHeight="1" thickBot="1" x14ac:dyDescent="0.3">
      <c r="A282" s="9" t="s">
        <v>769</v>
      </c>
      <c r="B282" s="9" t="s">
        <v>354</v>
      </c>
      <c r="C282" s="10">
        <f>Vailanuwastries</f>
        <v>1</v>
      </c>
      <c r="D282" s="23" t="s">
        <v>392</v>
      </c>
      <c r="E282" s="23" t="s">
        <v>370</v>
      </c>
      <c r="F282" s="21">
        <f>Ojotopsypts</f>
        <v>5</v>
      </c>
    </row>
    <row r="283" spans="1:6" ht="15" customHeight="1" thickBot="1" x14ac:dyDescent="0.3">
      <c r="A283" s="9" t="s">
        <v>770</v>
      </c>
      <c r="B283" s="9" t="s">
        <v>308</v>
      </c>
      <c r="C283" s="62">
        <f>Van_Bredawortries</f>
        <v>1</v>
      </c>
      <c r="D283" s="23" t="s">
        <v>1116</v>
      </c>
      <c r="E283" s="23" t="s">
        <v>918</v>
      </c>
      <c r="F283" s="21">
        <f>Poreckilirptscorrect</f>
        <v>5</v>
      </c>
    </row>
    <row r="284" spans="1:6" ht="15" customHeight="1" thickBot="1" x14ac:dyDescent="0.3">
      <c r="A284" s="9" t="s">
        <v>1118</v>
      </c>
      <c r="B284" s="9" t="s">
        <v>918</v>
      </c>
      <c r="C284" s="10">
        <f>van_der_Merwelirtries</f>
        <v>1</v>
      </c>
      <c r="D284" s="23" t="s">
        <v>898</v>
      </c>
      <c r="E284" s="23" t="s">
        <v>309</v>
      </c>
      <c r="F284" s="21">
        <f>Postlethwaitesalpts</f>
        <v>5</v>
      </c>
    </row>
    <row r="285" spans="1:6" ht="15" customHeight="1" thickBot="1" x14ac:dyDescent="0.3">
      <c r="A285" s="9" t="s">
        <v>778</v>
      </c>
      <c r="B285" s="9" t="s">
        <v>308</v>
      </c>
      <c r="C285" s="62">
        <f>Venterwortries</f>
        <v>1</v>
      </c>
      <c r="D285" s="23" t="s">
        <v>1189</v>
      </c>
      <c r="E285" s="23" t="s">
        <v>356</v>
      </c>
      <c r="F285" s="20">
        <f>Owenleicpts</f>
        <v>5</v>
      </c>
    </row>
    <row r="286" spans="1:6" ht="15" customHeight="1" thickBot="1" x14ac:dyDescent="0.3">
      <c r="A286" s="9" t="s">
        <v>1219</v>
      </c>
      <c r="B286" s="9" t="s">
        <v>355</v>
      </c>
      <c r="C286" s="62">
        <f>Vailanusartries</f>
        <v>1</v>
      </c>
      <c r="D286" s="23" t="s">
        <v>704</v>
      </c>
      <c r="E286" s="23" t="s">
        <v>311</v>
      </c>
      <c r="F286" s="21">
        <f>Ratuniyarawanorpts</f>
        <v>5</v>
      </c>
    </row>
    <row r="287" spans="1:6" ht="15" customHeight="1" thickBot="1" x14ac:dyDescent="0.3">
      <c r="A287" s="9" t="s">
        <v>335</v>
      </c>
      <c r="B287" s="9" t="s">
        <v>355</v>
      </c>
      <c r="C287" s="10">
        <f>Vunipola_Bsartries</f>
        <v>1</v>
      </c>
      <c r="D287" s="21" t="s">
        <v>715</v>
      </c>
      <c r="E287" s="21" t="s">
        <v>310</v>
      </c>
      <c r="F287" s="21">
        <f>Rokodugunibatpts</f>
        <v>5</v>
      </c>
    </row>
    <row r="288" spans="1:6" ht="15" customHeight="1" thickBot="1" x14ac:dyDescent="0.3">
      <c r="A288" s="9" t="s">
        <v>1177</v>
      </c>
      <c r="B288" s="9" t="s">
        <v>307</v>
      </c>
      <c r="C288" s="10">
        <f>Visagieglotries</f>
        <v>1</v>
      </c>
      <c r="D288" s="21" t="s">
        <v>716</v>
      </c>
      <c r="E288" s="21" t="s">
        <v>309</v>
      </c>
      <c r="F288" s="22">
        <f>Rosssalpts</f>
        <v>5</v>
      </c>
    </row>
    <row r="289" spans="1:6" ht="15" customHeight="1" thickBot="1" x14ac:dyDescent="0.3">
      <c r="A289" s="9" t="s">
        <v>783</v>
      </c>
      <c r="B289" s="9" t="s">
        <v>356</v>
      </c>
      <c r="C289" s="62">
        <f>Vossleictries</f>
        <v>1</v>
      </c>
      <c r="D289" s="23" t="s">
        <v>1236</v>
      </c>
      <c r="E289" s="23" t="s">
        <v>356</v>
      </c>
      <c r="F289" s="21">
        <f>Scottleicpts</f>
        <v>5</v>
      </c>
    </row>
    <row r="290" spans="1:6" ht="15" customHeight="1" thickBot="1" x14ac:dyDescent="0.3">
      <c r="A290" s="9" t="s">
        <v>315</v>
      </c>
      <c r="B290" s="9" t="s">
        <v>310</v>
      </c>
      <c r="C290" s="10">
        <f>Watsonanthonytries</f>
        <v>1</v>
      </c>
      <c r="D290" s="23" t="s">
        <v>729</v>
      </c>
      <c r="E290" s="23" t="s">
        <v>308</v>
      </c>
      <c r="F290" s="22">
        <f>Shillcockworpts</f>
        <v>5</v>
      </c>
    </row>
    <row r="291" spans="1:6" ht="15" customHeight="1" thickBot="1" x14ac:dyDescent="0.3">
      <c r="A291" s="10" t="s">
        <v>787</v>
      </c>
      <c r="B291" s="9" t="s">
        <v>308</v>
      </c>
      <c r="C291" s="10">
        <f>Weirwortries</f>
        <v>1</v>
      </c>
      <c r="D291" s="23" t="s">
        <v>733</v>
      </c>
      <c r="E291" s="23" t="s">
        <v>352</v>
      </c>
      <c r="F291" s="21">
        <f>Sincklerharpts</f>
        <v>5</v>
      </c>
    </row>
    <row r="292" spans="1:6" ht="15" customHeight="1" thickBot="1" x14ac:dyDescent="0.3">
      <c r="A292" s="9" t="s">
        <v>789</v>
      </c>
      <c r="B292" s="9" t="s">
        <v>355</v>
      </c>
      <c r="C292" s="7">
        <f>Whiteleysartries</f>
        <v>1</v>
      </c>
      <c r="D292" s="23" t="s">
        <v>737</v>
      </c>
      <c r="E292" s="23" t="s">
        <v>353</v>
      </c>
      <c r="F292" s="21">
        <f>Sladeexepts</f>
        <v>5</v>
      </c>
    </row>
    <row r="293" spans="1:6" ht="15" customHeight="1" thickBot="1" x14ac:dyDescent="0.3">
      <c r="A293" s="9" t="s">
        <v>790</v>
      </c>
      <c r="B293" s="9" t="s">
        <v>353</v>
      </c>
      <c r="C293" s="10">
        <f>Whittentries</f>
        <v>1</v>
      </c>
      <c r="D293" s="23" t="s">
        <v>867</v>
      </c>
      <c r="E293" s="23" t="s">
        <v>311</v>
      </c>
      <c r="F293" s="21">
        <f>Sleightholmenorpts</f>
        <v>5</v>
      </c>
    </row>
    <row r="294" spans="1:6" ht="15" customHeight="1" thickBot="1" x14ac:dyDescent="0.3">
      <c r="A294" s="9" t="s">
        <v>1176</v>
      </c>
      <c r="B294" s="9" t="s">
        <v>356</v>
      </c>
      <c r="C294" s="10">
        <f>Wellsharrytries</f>
        <v>1</v>
      </c>
      <c r="D294" s="23" t="s">
        <v>1242</v>
      </c>
      <c r="E294" s="23" t="s">
        <v>353</v>
      </c>
      <c r="F294" s="21">
        <f>Southworthexepts</f>
        <v>5</v>
      </c>
    </row>
    <row r="295" spans="1:6" ht="15" customHeight="1" thickBot="1" x14ac:dyDescent="0.3">
      <c r="A295" s="10" t="s">
        <v>351</v>
      </c>
      <c r="B295" s="10" t="s">
        <v>353</v>
      </c>
      <c r="C295" s="10">
        <f>Williamsexetries</f>
        <v>1</v>
      </c>
      <c r="D295" s="21" t="s">
        <v>1206</v>
      </c>
      <c r="E295" s="21" t="s">
        <v>354</v>
      </c>
      <c r="F295" s="21">
        <f>Stuartwaspts</f>
        <v>5</v>
      </c>
    </row>
    <row r="296" spans="1:6" ht="15" customHeight="1" thickBot="1" x14ac:dyDescent="0.3">
      <c r="A296" s="9" t="s">
        <v>872</v>
      </c>
      <c r="B296" s="9" t="s">
        <v>918</v>
      </c>
      <c r="C296" s="62">
        <f>Sowreynewtries</f>
        <v>1</v>
      </c>
      <c r="D296" s="23" t="s">
        <v>1200</v>
      </c>
      <c r="E296" s="23" t="s">
        <v>307</v>
      </c>
      <c r="F296" s="21">
        <f>Stanleyglopts</f>
        <v>5</v>
      </c>
    </row>
    <row r="297" spans="1:6" ht="15" customHeight="1" thickBot="1" x14ac:dyDescent="0.3">
      <c r="A297" s="9" t="s">
        <v>801</v>
      </c>
      <c r="B297" s="9" t="s">
        <v>355</v>
      </c>
      <c r="C297" s="10">
        <f>Wrayjacksontries</f>
        <v>1</v>
      </c>
      <c r="D297" s="21" t="s">
        <v>1238</v>
      </c>
      <c r="E297" s="21" t="s">
        <v>355</v>
      </c>
      <c r="F297" s="21">
        <f>Strettlesarptscorrect</f>
        <v>5</v>
      </c>
    </row>
    <row r="298" spans="1:6" ht="15" customHeight="1" thickBot="1" x14ac:dyDescent="0.3">
      <c r="A298" s="9" t="s">
        <v>794</v>
      </c>
      <c r="B298" s="9" t="s">
        <v>310</v>
      </c>
      <c r="C298" s="10">
        <f>Wilson__Jamesbthtries</f>
        <v>1</v>
      </c>
      <c r="D298" s="23" t="s">
        <v>334</v>
      </c>
      <c r="E298" s="23" t="s">
        <v>355</v>
      </c>
      <c r="F298" s="21">
        <f>Taylorsarpts</f>
        <v>5</v>
      </c>
    </row>
    <row r="299" spans="1:6" ht="15" customHeight="1" thickBot="1" x14ac:dyDescent="0.3">
      <c r="A299" s="9" t="s">
        <v>326</v>
      </c>
      <c r="B299" s="9" t="s">
        <v>356</v>
      </c>
      <c r="C299" s="10">
        <f>youngsbentries</f>
        <v>1</v>
      </c>
      <c r="D299" s="23" t="s">
        <v>751</v>
      </c>
      <c r="E299" s="23" t="s">
        <v>370</v>
      </c>
      <c r="F299" s="21">
        <f>Ransomlirpts</f>
        <v>5</v>
      </c>
    </row>
    <row r="300" spans="1:6" ht="15" customHeight="1" thickBot="1" x14ac:dyDescent="0.3">
      <c r="A300" s="10" t="s">
        <v>481</v>
      </c>
      <c r="B300" s="10" t="s">
        <v>308</v>
      </c>
      <c r="C300" s="10">
        <f>Adamswortries</f>
        <v>0</v>
      </c>
      <c r="D300" s="23" t="s">
        <v>752</v>
      </c>
      <c r="E300" s="23" t="s">
        <v>356</v>
      </c>
      <c r="F300" s="21">
        <f>Thompsonleicpts</f>
        <v>5</v>
      </c>
    </row>
    <row r="301" spans="1:6" ht="15" customHeight="1" thickBot="1" x14ac:dyDescent="0.3">
      <c r="A301" s="9" t="s">
        <v>900</v>
      </c>
      <c r="B301" s="9" t="s">
        <v>355</v>
      </c>
      <c r="C301" s="10">
        <f>Adams_Halesartries</f>
        <v>0</v>
      </c>
      <c r="D301" s="23" t="s">
        <v>753</v>
      </c>
      <c r="E301" s="23" t="s">
        <v>356</v>
      </c>
      <c r="F301" s="21">
        <f>Thompstoneleipts</f>
        <v>5</v>
      </c>
    </row>
    <row r="302" spans="1:6" ht="15" customHeight="1" thickBot="1" x14ac:dyDescent="0.3">
      <c r="A302" s="388" t="s">
        <v>485</v>
      </c>
      <c r="B302" s="388" t="s">
        <v>308</v>
      </c>
      <c r="C302" s="10">
        <f>Barkleyollytries</f>
        <v>0</v>
      </c>
      <c r="D302" s="23" t="s">
        <v>759</v>
      </c>
      <c r="E302" s="23" t="s">
        <v>353</v>
      </c>
      <c r="F302" s="21">
        <f>Townsendexepts</f>
        <v>5</v>
      </c>
    </row>
    <row r="303" spans="1:6" ht="15" customHeight="1" thickBot="1" x14ac:dyDescent="0.3">
      <c r="A303" s="10" t="s">
        <v>486</v>
      </c>
      <c r="B303" s="10" t="s">
        <v>356</v>
      </c>
      <c r="C303" s="10">
        <f>Barbierileitries</f>
        <v>0</v>
      </c>
      <c r="D303" s="21" t="s">
        <v>1108</v>
      </c>
      <c r="E303" s="21" t="s">
        <v>918</v>
      </c>
      <c r="F303" s="21">
        <f>Sinotisinotipts</f>
        <v>5</v>
      </c>
    </row>
    <row r="304" spans="1:6" ht="15" customHeight="1" thickBot="1" x14ac:dyDescent="0.3">
      <c r="A304" s="9" t="s">
        <v>142</v>
      </c>
      <c r="B304" s="9" t="s">
        <v>918</v>
      </c>
      <c r="C304" s="7">
        <f>Ah_Younewtries</f>
        <v>0</v>
      </c>
      <c r="D304" s="23" t="s">
        <v>762</v>
      </c>
      <c r="E304" s="23" t="s">
        <v>1198</v>
      </c>
      <c r="F304" s="21">
        <f>Tuilagimanupts+Tuitupousampts</f>
        <v>5</v>
      </c>
    </row>
    <row r="305" spans="1:6" ht="15" customHeight="1" thickBot="1" x14ac:dyDescent="0.3">
      <c r="A305" s="388" t="s">
        <v>312</v>
      </c>
      <c r="B305" s="388" t="s">
        <v>310</v>
      </c>
      <c r="C305" s="10">
        <f>Atkinsbthtries</f>
        <v>0</v>
      </c>
      <c r="D305" s="3" t="s">
        <v>769</v>
      </c>
      <c r="E305" s="3" t="s">
        <v>354</v>
      </c>
      <c r="F305" s="21">
        <f>Vailanuwaspts</f>
        <v>5</v>
      </c>
    </row>
    <row r="306" spans="1:6" ht="15" customHeight="1" thickBot="1" x14ac:dyDescent="0.3">
      <c r="A306" s="10" t="s">
        <v>455</v>
      </c>
      <c r="B306" s="10" t="s">
        <v>353</v>
      </c>
      <c r="C306" s="10">
        <f>Batemangregtries</f>
        <v>0</v>
      </c>
      <c r="D306" s="3" t="s">
        <v>1118</v>
      </c>
      <c r="E306" s="3" t="s">
        <v>918</v>
      </c>
      <c r="F306" s="21">
        <f>van_der_Merwelirpts</f>
        <v>5</v>
      </c>
    </row>
    <row r="307" spans="1:6" ht="15" customHeight="1" thickBot="1" x14ac:dyDescent="0.3">
      <c r="A307" s="9" t="s">
        <v>487</v>
      </c>
      <c r="B307" s="9" t="s">
        <v>370</v>
      </c>
      <c r="C307" s="62">
        <f>Armstrongbritries</f>
        <v>0</v>
      </c>
      <c r="D307" s="3" t="s">
        <v>778</v>
      </c>
      <c r="E307" s="3" t="s">
        <v>308</v>
      </c>
      <c r="F307" s="22">
        <f>Venterworpts</f>
        <v>5</v>
      </c>
    </row>
    <row r="308" spans="1:6" ht="15" customHeight="1" thickBot="1" x14ac:dyDescent="0.3">
      <c r="A308" s="9" t="s">
        <v>488</v>
      </c>
      <c r="B308" s="9" t="s">
        <v>352</v>
      </c>
      <c r="C308" s="10">
        <f>Auterachartries</f>
        <v>0</v>
      </c>
      <c r="D308" s="3" t="s">
        <v>1219</v>
      </c>
      <c r="E308" s="3" t="s">
        <v>355</v>
      </c>
      <c r="F308" s="19">
        <f>Vailanusarpts</f>
        <v>5</v>
      </c>
    </row>
    <row r="309" spans="1:6" ht="15" customHeight="1" thickBot="1" x14ac:dyDescent="0.3">
      <c r="A309" s="477" t="s">
        <v>489</v>
      </c>
      <c r="B309" s="477" t="s">
        <v>308</v>
      </c>
      <c r="C309" s="10">
        <f>Brittonweltries</f>
        <v>0</v>
      </c>
      <c r="D309" s="3" t="s">
        <v>335</v>
      </c>
      <c r="E309" s="3" t="s">
        <v>355</v>
      </c>
      <c r="F309" s="18">
        <f>Vunipola_Bsarpts</f>
        <v>5</v>
      </c>
    </row>
    <row r="310" spans="1:6" ht="15" customHeight="1" thickBot="1" x14ac:dyDescent="0.3">
      <c r="A310" s="81" t="s">
        <v>494</v>
      </c>
      <c r="B310" s="81" t="s">
        <v>311</v>
      </c>
      <c r="C310" s="10">
        <f>Barrownortries</f>
        <v>0</v>
      </c>
      <c r="D310" s="3" t="s">
        <v>1177</v>
      </c>
      <c r="E310" s="3" t="s">
        <v>307</v>
      </c>
      <c r="F310" s="18">
        <f>Visagieglopts</f>
        <v>5</v>
      </c>
    </row>
    <row r="311" spans="1:6" ht="15" customHeight="1" thickBot="1" x14ac:dyDescent="0.3">
      <c r="A311" s="81" t="s">
        <v>495</v>
      </c>
      <c r="B311" s="81" t="s">
        <v>308</v>
      </c>
      <c r="C311" s="10">
        <f>Brownedanieltries</f>
        <v>0</v>
      </c>
      <c r="D311" s="3" t="s">
        <v>783</v>
      </c>
      <c r="E311" s="3" t="s">
        <v>356</v>
      </c>
      <c r="F311" s="18">
        <f>Vossleicpts</f>
        <v>5</v>
      </c>
    </row>
    <row r="312" spans="1:6" ht="15" customHeight="1" thickBot="1" x14ac:dyDescent="0.3">
      <c r="A312" s="81" t="s">
        <v>973</v>
      </c>
      <c r="B312" s="81" t="s">
        <v>307</v>
      </c>
      <c r="C312" s="10">
        <f>Bartonglotries</f>
        <v>0</v>
      </c>
      <c r="D312" s="3" t="s">
        <v>315</v>
      </c>
      <c r="E312" s="3" t="s">
        <v>310</v>
      </c>
      <c r="F312" s="72">
        <f>Watsonanthonypts</f>
        <v>5</v>
      </c>
    </row>
    <row r="313" spans="1:6" ht="15" customHeight="1" thickBot="1" x14ac:dyDescent="0.3">
      <c r="A313" s="11" t="s">
        <v>1015</v>
      </c>
      <c r="B313" s="11" t="s">
        <v>370</v>
      </c>
      <c r="C313" s="10">
        <f>Batesbritries</f>
        <v>0</v>
      </c>
      <c r="D313" s="3" t="s">
        <v>789</v>
      </c>
      <c r="E313" s="3" t="s">
        <v>355</v>
      </c>
      <c r="F313" s="18">
        <f>Whiteleysarpts</f>
        <v>5</v>
      </c>
    </row>
    <row r="314" spans="1:6" ht="15" customHeight="1" thickBot="1" x14ac:dyDescent="0.3">
      <c r="A314" s="11" t="s">
        <v>515</v>
      </c>
      <c r="B314" s="11" t="s">
        <v>370</v>
      </c>
      <c r="C314" s="10">
        <f>Batleybritries</f>
        <v>0</v>
      </c>
      <c r="D314" s="3" t="s">
        <v>790</v>
      </c>
      <c r="E314" s="3" t="s">
        <v>353</v>
      </c>
      <c r="F314" s="18">
        <f>Whittenpts</f>
        <v>5</v>
      </c>
    </row>
    <row r="315" spans="1:6" ht="15" customHeight="1" thickBot="1" x14ac:dyDescent="0.3">
      <c r="A315" s="81" t="s">
        <v>497</v>
      </c>
      <c r="B315" s="81" t="s">
        <v>310</v>
      </c>
      <c r="C315" s="10">
        <f>Battyrosstries</f>
        <v>0</v>
      </c>
      <c r="D315" s="3" t="s">
        <v>1176</v>
      </c>
      <c r="E315" s="3" t="s">
        <v>356</v>
      </c>
      <c r="F315" s="18">
        <f>Wellsharrypts</f>
        <v>5</v>
      </c>
    </row>
    <row r="316" spans="1:6" ht="15" customHeight="1" thickBot="1" x14ac:dyDescent="0.3">
      <c r="A316" s="81" t="s">
        <v>498</v>
      </c>
      <c r="B316" s="81" t="s">
        <v>310</v>
      </c>
      <c r="C316" s="10">
        <f>Baylissbthtries</f>
        <v>0</v>
      </c>
      <c r="D316" s="19" t="s">
        <v>351</v>
      </c>
      <c r="E316" s="19" t="s">
        <v>353</v>
      </c>
      <c r="F316" s="478">
        <f>Williamsexepts</f>
        <v>5</v>
      </c>
    </row>
    <row r="317" spans="1:6" ht="15" customHeight="1" thickBot="1" x14ac:dyDescent="0.3">
      <c r="A317" s="81" t="s">
        <v>851</v>
      </c>
      <c r="B317" s="81" t="s">
        <v>370</v>
      </c>
      <c r="C317" s="10">
        <f>bedlowbritries</f>
        <v>0</v>
      </c>
      <c r="D317" s="3" t="s">
        <v>872</v>
      </c>
      <c r="E317" s="3" t="s">
        <v>918</v>
      </c>
      <c r="F317" s="24">
        <f>Sowreynewpts</f>
        <v>5</v>
      </c>
    </row>
    <row r="318" spans="1:6" ht="15" customHeight="1" thickBot="1" x14ac:dyDescent="0.3">
      <c r="A318" s="81" t="s">
        <v>501</v>
      </c>
      <c r="B318" s="81" t="s">
        <v>311</v>
      </c>
      <c r="C318" s="10">
        <f>Biggarnortries</f>
        <v>0</v>
      </c>
      <c r="D318" s="3" t="s">
        <v>801</v>
      </c>
      <c r="E318" s="3" t="s">
        <v>355</v>
      </c>
      <c r="F318" s="476">
        <f>Wrayjacksonpts</f>
        <v>5</v>
      </c>
    </row>
    <row r="319" spans="1:6" ht="15" customHeight="1" thickBot="1" x14ac:dyDescent="0.3">
      <c r="A319" s="81" t="s">
        <v>502</v>
      </c>
      <c r="B319" s="81" t="s">
        <v>308</v>
      </c>
      <c r="C319" s="10">
        <f>Blackwortries</f>
        <v>0</v>
      </c>
      <c r="D319" s="3" t="s">
        <v>794</v>
      </c>
      <c r="E319" s="3" t="s">
        <v>310</v>
      </c>
      <c r="F319" s="24">
        <f>Wilson__Jamesbthpts</f>
        <v>5</v>
      </c>
    </row>
    <row r="320" spans="1:6" ht="15" customHeight="1" thickBot="1" x14ac:dyDescent="0.3">
      <c r="A320" s="11" t="s">
        <v>503</v>
      </c>
      <c r="B320" s="11" t="s">
        <v>353</v>
      </c>
      <c r="C320" s="10">
        <f>Bodillyexetries</f>
        <v>0</v>
      </c>
      <c r="D320" s="3" t="s">
        <v>326</v>
      </c>
      <c r="E320" s="3" t="s">
        <v>356</v>
      </c>
      <c r="F320" s="24">
        <f>Youngsbenptscorrect</f>
        <v>5</v>
      </c>
    </row>
    <row r="321" spans="1:6" ht="15" customHeight="1" thickBot="1" x14ac:dyDescent="0.3">
      <c r="A321" s="81" t="s">
        <v>504</v>
      </c>
      <c r="B321" s="81" t="s">
        <v>352</v>
      </c>
      <c r="C321" s="10">
        <f>Bothmahartries</f>
        <v>0</v>
      </c>
      <c r="D321" s="3" t="s">
        <v>655</v>
      </c>
      <c r="E321" s="3" t="s">
        <v>370</v>
      </c>
      <c r="F321" s="24">
        <f>McKibbinlirpts</f>
        <v>3</v>
      </c>
    </row>
    <row r="322" spans="1:6" ht="15" customHeight="1" thickBot="1" x14ac:dyDescent="0.3">
      <c r="A322" s="81" t="s">
        <v>505</v>
      </c>
      <c r="B322" s="81" t="s">
        <v>308</v>
      </c>
      <c r="C322" s="10">
        <f>Cooperweltries</f>
        <v>0</v>
      </c>
      <c r="D322" s="3" t="s">
        <v>855</v>
      </c>
      <c r="E322" s="3" t="s">
        <v>370</v>
      </c>
      <c r="F322" s="25">
        <f>Edenbripts</f>
        <v>2</v>
      </c>
    </row>
    <row r="323" spans="1:6" ht="15" customHeight="1" thickBot="1" x14ac:dyDescent="0.3">
      <c r="A323" s="81" t="s">
        <v>507</v>
      </c>
      <c r="B323" s="81" t="s">
        <v>307</v>
      </c>
      <c r="C323" s="10">
        <f>Braleyglotries</f>
        <v>0</v>
      </c>
      <c r="D323" s="3" t="s">
        <v>1053</v>
      </c>
      <c r="E323" s="3" t="s">
        <v>918</v>
      </c>
      <c r="F323" s="25">
        <f>Mulipolanewpts</f>
        <v>2</v>
      </c>
    </row>
    <row r="324" spans="1:6" ht="15" customHeight="1" thickBot="1" x14ac:dyDescent="0.3">
      <c r="A324" s="81" t="s">
        <v>919</v>
      </c>
      <c r="B324" s="81" t="s">
        <v>918</v>
      </c>
      <c r="C324" s="10">
        <f>Arscottnewtries</f>
        <v>0</v>
      </c>
      <c r="D324" s="19" t="s">
        <v>481</v>
      </c>
      <c r="E324" s="19" t="s">
        <v>308</v>
      </c>
      <c r="F324" s="25">
        <f>Adamsworpts</f>
        <v>0</v>
      </c>
    </row>
    <row r="325" spans="1:6" ht="15" customHeight="1" thickBot="1" x14ac:dyDescent="0.3">
      <c r="A325" s="81" t="s">
        <v>812</v>
      </c>
      <c r="B325" s="81" t="s">
        <v>308</v>
      </c>
      <c r="C325" s="10">
        <f>Breslerwortries</f>
        <v>0</v>
      </c>
      <c r="D325" s="19" t="s">
        <v>900</v>
      </c>
      <c r="E325" s="3" t="s">
        <v>355</v>
      </c>
      <c r="F325" s="474">
        <f>Adams_Halesarpts</f>
        <v>0</v>
      </c>
    </row>
    <row r="326" spans="1:6" ht="15" customHeight="1" thickBot="1" x14ac:dyDescent="0.3">
      <c r="A326" s="81" t="s">
        <v>508</v>
      </c>
      <c r="B326" s="81" t="s">
        <v>310</v>
      </c>
      <c r="C326" s="10">
        <f>Brewbthtries</f>
        <v>0</v>
      </c>
      <c r="D326" s="439" t="s">
        <v>485</v>
      </c>
      <c r="E326" s="439" t="s">
        <v>308</v>
      </c>
      <c r="F326" s="25">
        <f>Barkleyollypts</f>
        <v>0</v>
      </c>
    </row>
    <row r="327" spans="1:6" ht="15" customHeight="1" thickBot="1" x14ac:dyDescent="0.3">
      <c r="A327" s="81" t="s">
        <v>509</v>
      </c>
      <c r="B327" s="81" t="s">
        <v>354</v>
      </c>
      <c r="C327" s="10">
        <f>Brookeswastries</f>
        <v>0</v>
      </c>
      <c r="D327" s="19" t="s">
        <v>486</v>
      </c>
      <c r="E327" s="19" t="s">
        <v>356</v>
      </c>
      <c r="F327" s="21">
        <f>Barbierileipts</f>
        <v>0</v>
      </c>
    </row>
    <row r="328" spans="1:6" ht="15" customHeight="1" thickBot="1" x14ac:dyDescent="0.3">
      <c r="A328" s="11" t="s">
        <v>920</v>
      </c>
      <c r="B328" s="11" t="s">
        <v>918</v>
      </c>
      <c r="C328" s="10">
        <f>Bashamnewtries</f>
        <v>0</v>
      </c>
      <c r="D328" s="439" t="s">
        <v>312</v>
      </c>
      <c r="E328" s="439" t="s">
        <v>310</v>
      </c>
      <c r="F328" s="2">
        <f>Atkinsbthpts</f>
        <v>0</v>
      </c>
    </row>
    <row r="329" spans="1:6" ht="15" customHeight="1" thickBot="1" x14ac:dyDescent="0.3">
      <c r="A329" s="81" t="s">
        <v>510</v>
      </c>
      <c r="B329" s="81" t="s">
        <v>352</v>
      </c>
      <c r="C329" s="7">
        <f>Brownhartries</f>
        <v>0</v>
      </c>
      <c r="D329" s="19" t="s">
        <v>455</v>
      </c>
      <c r="E329" s="19" t="s">
        <v>353</v>
      </c>
      <c r="F329" s="18">
        <f>Batemangregpts</f>
        <v>0</v>
      </c>
    </row>
    <row r="330" spans="1:6" ht="15" customHeight="1" thickBot="1" x14ac:dyDescent="0.3">
      <c r="A330" s="81" t="s">
        <v>511</v>
      </c>
      <c r="B330" s="81" t="s">
        <v>311</v>
      </c>
      <c r="C330" s="10">
        <f>Brussownortries</f>
        <v>0</v>
      </c>
      <c r="D330" s="3" t="s">
        <v>487</v>
      </c>
      <c r="E330" s="3" t="s">
        <v>370</v>
      </c>
      <c r="F330" s="18">
        <f>Armstrongbripts</f>
        <v>0</v>
      </c>
    </row>
    <row r="331" spans="1:6" ht="15" customHeight="1" thickBot="1" x14ac:dyDescent="0.3">
      <c r="A331" s="81" t="s">
        <v>512</v>
      </c>
      <c r="B331" s="81" t="s">
        <v>352</v>
      </c>
      <c r="C331" s="7">
        <f>buchanantries</f>
        <v>0</v>
      </c>
      <c r="D331" s="3" t="s">
        <v>488</v>
      </c>
      <c r="E331" s="3" t="s">
        <v>352</v>
      </c>
      <c r="F331" s="21">
        <f>Auteracharpts</f>
        <v>0</v>
      </c>
    </row>
    <row r="332" spans="1:6" ht="15" customHeight="1" thickBot="1" x14ac:dyDescent="0.3">
      <c r="A332" s="81" t="s">
        <v>362</v>
      </c>
      <c r="B332" s="81" t="s">
        <v>310</v>
      </c>
      <c r="C332" s="7">
        <f>burnsbthtries</f>
        <v>0</v>
      </c>
      <c r="D332" s="439" t="s">
        <v>489</v>
      </c>
      <c r="E332" s="439" t="s">
        <v>308</v>
      </c>
      <c r="F332" s="21">
        <f>Brittonwelpts</f>
        <v>0</v>
      </c>
    </row>
    <row r="333" spans="1:6" ht="15" customHeight="1" thickBot="1" x14ac:dyDescent="0.3">
      <c r="A333" s="11" t="s">
        <v>513</v>
      </c>
      <c r="B333" s="81" t="s">
        <v>311</v>
      </c>
      <c r="C333" s="10">
        <f>Burrelltriescorrect</f>
        <v>0</v>
      </c>
      <c r="D333" s="3" t="s">
        <v>494</v>
      </c>
      <c r="E333" s="3" t="s">
        <v>311</v>
      </c>
      <c r="F333" s="21">
        <f>Barrownorpts</f>
        <v>0</v>
      </c>
    </row>
    <row r="334" spans="1:6" ht="15" customHeight="1" thickBot="1" x14ac:dyDescent="0.3">
      <c r="A334" s="81" t="s">
        <v>516</v>
      </c>
      <c r="B334" s="81" t="s">
        <v>308</v>
      </c>
      <c r="C334" s="10">
        <f>Daviesalextries</f>
        <v>0</v>
      </c>
      <c r="D334" s="3" t="s">
        <v>495</v>
      </c>
      <c r="E334" s="3" t="s">
        <v>308</v>
      </c>
      <c r="F334" s="21">
        <f>Brownedanielpts</f>
        <v>0</v>
      </c>
    </row>
    <row r="335" spans="1:6" ht="15" customHeight="1" thickBot="1" x14ac:dyDescent="0.3">
      <c r="A335" s="81" t="s">
        <v>517</v>
      </c>
      <c r="B335" s="81" t="s">
        <v>354</v>
      </c>
      <c r="C335" s="10">
        <f>Campagnarowastries</f>
        <v>0</v>
      </c>
      <c r="D335" s="3" t="s">
        <v>974</v>
      </c>
      <c r="E335" s="3" t="s">
        <v>307</v>
      </c>
      <c r="F335" s="21">
        <f>Bartonglopts</f>
        <v>0</v>
      </c>
    </row>
    <row r="336" spans="1:6" ht="15" customHeight="1" thickBot="1" x14ac:dyDescent="0.3">
      <c r="A336" s="81" t="s">
        <v>921</v>
      </c>
      <c r="B336" s="81" t="s">
        <v>918</v>
      </c>
      <c r="C336" s="10">
        <f>Bettencourtnewtries</f>
        <v>0</v>
      </c>
      <c r="D336" s="19" t="s">
        <v>1015</v>
      </c>
      <c r="E336" s="19" t="s">
        <v>370</v>
      </c>
      <c r="F336" s="20">
        <f>Batesbripts</f>
        <v>0</v>
      </c>
    </row>
    <row r="337" spans="1:6" ht="15" customHeight="1" thickBot="1" x14ac:dyDescent="0.3">
      <c r="A337" s="81" t="s">
        <v>860</v>
      </c>
      <c r="B337" s="81" t="s">
        <v>353</v>
      </c>
      <c r="C337" s="10">
        <f>Capstickexetries</f>
        <v>0</v>
      </c>
      <c r="D337" s="19" t="s">
        <v>515</v>
      </c>
      <c r="E337" s="19" t="s">
        <v>370</v>
      </c>
      <c r="F337" s="20">
        <f>Batleybripts</f>
        <v>0</v>
      </c>
    </row>
    <row r="338" spans="1:6" ht="15" customHeight="1" thickBot="1" x14ac:dyDescent="0.3">
      <c r="A338" s="81" t="s">
        <v>994</v>
      </c>
      <c r="B338" s="81" t="s">
        <v>354</v>
      </c>
      <c r="C338" s="10">
        <f>Cardallwastries</f>
        <v>0</v>
      </c>
      <c r="D338" s="3" t="s">
        <v>497</v>
      </c>
      <c r="E338" s="3" t="s">
        <v>310</v>
      </c>
      <c r="F338" s="21">
        <f>Battyrosspts</f>
        <v>0</v>
      </c>
    </row>
    <row r="339" spans="1:6" ht="15" customHeight="1" thickBot="1" x14ac:dyDescent="0.3">
      <c r="A339" s="11" t="s">
        <v>520</v>
      </c>
      <c r="B339" s="11" t="s">
        <v>310</v>
      </c>
      <c r="C339" s="62">
        <f>Cattnathantries</f>
        <v>0</v>
      </c>
      <c r="D339" s="3" t="s">
        <v>498</v>
      </c>
      <c r="E339" s="3" t="s">
        <v>310</v>
      </c>
      <c r="F339" s="21">
        <f>Baylissbthpts</f>
        <v>0</v>
      </c>
    </row>
    <row r="340" spans="1:6" ht="15" customHeight="1" thickBot="1" x14ac:dyDescent="0.3">
      <c r="A340" s="81" t="s">
        <v>521</v>
      </c>
      <c r="B340" s="81" t="s">
        <v>310</v>
      </c>
      <c r="C340" s="10">
        <f>Charterisbthtries</f>
        <v>0</v>
      </c>
      <c r="D340" s="3" t="s">
        <v>851</v>
      </c>
      <c r="E340" s="3" t="s">
        <v>370</v>
      </c>
      <c r="F340" s="21">
        <f>Bedlowbripts</f>
        <v>0</v>
      </c>
    </row>
    <row r="341" spans="1:6" ht="15" customHeight="1" thickBot="1" x14ac:dyDescent="0.3">
      <c r="A341" s="81" t="s">
        <v>922</v>
      </c>
      <c r="B341" s="81" t="s">
        <v>918</v>
      </c>
      <c r="C341" s="7">
        <f>Blamirenewtries</f>
        <v>0</v>
      </c>
      <c r="D341" s="3" t="s">
        <v>502</v>
      </c>
      <c r="E341" s="3" t="s">
        <v>308</v>
      </c>
      <c r="F341" s="21">
        <f>Blackworpts</f>
        <v>0</v>
      </c>
    </row>
    <row r="342" spans="1:6" ht="15" customHeight="1" thickBot="1" x14ac:dyDescent="0.3">
      <c r="A342" s="81" t="s">
        <v>522</v>
      </c>
      <c r="B342" s="81" t="s">
        <v>352</v>
      </c>
      <c r="C342" s="10">
        <f>Cheesemanhartries</f>
        <v>0</v>
      </c>
      <c r="D342" s="19" t="s">
        <v>503</v>
      </c>
      <c r="E342" s="19" t="s">
        <v>353</v>
      </c>
      <c r="F342" s="21">
        <f>Bodillyexepts</f>
        <v>0</v>
      </c>
    </row>
    <row r="343" spans="1:6" ht="15" customHeight="1" thickBot="1" x14ac:dyDescent="0.3">
      <c r="A343" s="11" t="s">
        <v>923</v>
      </c>
      <c r="B343" s="11" t="s">
        <v>918</v>
      </c>
      <c r="C343" s="11">
        <f>Burrowsnewtries</f>
        <v>0</v>
      </c>
      <c r="D343" s="3" t="s">
        <v>504</v>
      </c>
      <c r="E343" s="3" t="s">
        <v>352</v>
      </c>
      <c r="F343" s="21">
        <f>Bothmaharpts</f>
        <v>0</v>
      </c>
    </row>
    <row r="344" spans="1:6" ht="15" customHeight="1" thickBot="1" x14ac:dyDescent="0.3">
      <c r="A344" s="11" t="s">
        <v>524</v>
      </c>
      <c r="B344" s="11" t="s">
        <v>307</v>
      </c>
      <c r="C344" s="11">
        <f>Ciprianiglotries</f>
        <v>0</v>
      </c>
      <c r="D344" s="23" t="s">
        <v>505</v>
      </c>
      <c r="E344" s="23" t="s">
        <v>308</v>
      </c>
      <c r="F344" s="21">
        <f>Cooperwelpts</f>
        <v>0</v>
      </c>
    </row>
    <row r="345" spans="1:6" ht="15" customHeight="1" thickBot="1" x14ac:dyDescent="0.3">
      <c r="A345" s="81" t="s">
        <v>458</v>
      </c>
      <c r="B345" s="81" t="s">
        <v>355</v>
      </c>
      <c r="C345" s="11">
        <f>de_Kockneiltries</f>
        <v>0</v>
      </c>
      <c r="D345" s="23" t="s">
        <v>507</v>
      </c>
      <c r="E345" s="23" t="s">
        <v>307</v>
      </c>
      <c r="F345" s="21">
        <f>Braleyglopts</f>
        <v>0</v>
      </c>
    </row>
    <row r="346" spans="1:6" ht="15" customHeight="1" thickBot="1" x14ac:dyDescent="0.3">
      <c r="A346" s="9" t="s">
        <v>457</v>
      </c>
      <c r="B346" s="9" t="s">
        <v>310</v>
      </c>
      <c r="C346" s="11">
        <f>Clarkbattries</f>
        <v>0</v>
      </c>
      <c r="D346" s="23" t="s">
        <v>1256</v>
      </c>
      <c r="E346" s="23" t="s">
        <v>918</v>
      </c>
      <c r="F346" s="21">
        <f>Arscottnewpts</f>
        <v>0</v>
      </c>
    </row>
    <row r="347" spans="1:6" ht="15" customHeight="1" thickBot="1" x14ac:dyDescent="0.3">
      <c r="A347" s="9" t="s">
        <v>814</v>
      </c>
      <c r="B347" s="9" t="s">
        <v>308</v>
      </c>
      <c r="C347" s="10">
        <f>Cleggwortries</f>
        <v>0</v>
      </c>
      <c r="D347" s="23" t="s">
        <v>812</v>
      </c>
      <c r="E347" s="23" t="s">
        <v>308</v>
      </c>
      <c r="F347" s="21">
        <f>Breslerworpts</f>
        <v>0</v>
      </c>
    </row>
    <row r="348" spans="1:6" ht="15" customHeight="1" thickBot="1" x14ac:dyDescent="0.3">
      <c r="A348" s="9" t="s">
        <v>526</v>
      </c>
      <c r="B348" s="9" t="s">
        <v>309</v>
      </c>
      <c r="C348" s="10">
        <f>Cliffwillsaltries</f>
        <v>0</v>
      </c>
      <c r="D348" s="23" t="s">
        <v>508</v>
      </c>
      <c r="E348" s="23" t="s">
        <v>310</v>
      </c>
      <c r="F348" s="21">
        <f>Brewbthpts</f>
        <v>0</v>
      </c>
    </row>
    <row r="349" spans="1:6" ht="15" customHeight="1" thickBot="1" x14ac:dyDescent="0.3">
      <c r="A349" s="9" t="s">
        <v>527</v>
      </c>
      <c r="B349" s="9" t="s">
        <v>352</v>
      </c>
      <c r="C349" s="10">
        <f>Cliffordhartries</f>
        <v>0</v>
      </c>
      <c r="D349" s="23" t="s">
        <v>509</v>
      </c>
      <c r="E349" s="23" t="s">
        <v>354</v>
      </c>
      <c r="F349" s="21">
        <f>Brookeswaspts</f>
        <v>0</v>
      </c>
    </row>
    <row r="350" spans="1:6" ht="15" customHeight="1" thickBot="1" x14ac:dyDescent="0.3">
      <c r="A350" s="9" t="s">
        <v>840</v>
      </c>
      <c r="B350" s="9" t="s">
        <v>307</v>
      </c>
      <c r="C350" s="10">
        <f>Coetzerglotries</f>
        <v>0</v>
      </c>
      <c r="D350" s="21" t="s">
        <v>947</v>
      </c>
      <c r="E350" s="21" t="s">
        <v>918</v>
      </c>
      <c r="F350" s="22">
        <f>Bashamnewpts</f>
        <v>0</v>
      </c>
    </row>
    <row r="351" spans="1:6" ht="15" customHeight="1" thickBot="1" x14ac:dyDescent="0.3">
      <c r="A351" s="9" t="s">
        <v>1084</v>
      </c>
      <c r="B351" s="9" t="s">
        <v>356</v>
      </c>
      <c r="C351" s="10">
        <f>Blommetjiesleictries</f>
        <v>0</v>
      </c>
      <c r="D351" s="23" t="s">
        <v>510</v>
      </c>
      <c r="E351" s="23" t="s">
        <v>352</v>
      </c>
      <c r="F351" s="21">
        <f>Brownharpts</f>
        <v>0</v>
      </c>
    </row>
    <row r="352" spans="1:6" ht="15" customHeight="1" thickBot="1" x14ac:dyDescent="0.3">
      <c r="A352" s="9" t="s">
        <v>528</v>
      </c>
      <c r="B352" s="9" t="s">
        <v>310</v>
      </c>
      <c r="C352" s="10">
        <f>Cokanasigabthtries</f>
        <v>0</v>
      </c>
      <c r="D352" s="23" t="s">
        <v>511</v>
      </c>
      <c r="E352" s="23" t="s">
        <v>311</v>
      </c>
      <c r="F352" s="21">
        <f>Brussownorpts</f>
        <v>0</v>
      </c>
    </row>
    <row r="353" spans="1:6" ht="15" customHeight="1" thickBot="1" x14ac:dyDescent="0.3">
      <c r="A353" s="9" t="s">
        <v>529</v>
      </c>
      <c r="B353" s="9" t="s">
        <v>356</v>
      </c>
      <c r="C353" s="10">
        <f>Coleleitries</f>
        <v>0</v>
      </c>
      <c r="D353" s="23" t="s">
        <v>512</v>
      </c>
      <c r="E353" s="23" t="s">
        <v>352</v>
      </c>
      <c r="F353" s="21">
        <f>Buchananpts</f>
        <v>0</v>
      </c>
    </row>
    <row r="354" spans="1:6" ht="15" customHeight="1" thickBot="1" x14ac:dyDescent="0.3">
      <c r="A354" s="9" t="s">
        <v>884</v>
      </c>
      <c r="B354" s="9" t="s">
        <v>311</v>
      </c>
      <c r="C354" s="10">
        <f>Colesnortries</f>
        <v>0</v>
      </c>
      <c r="D354" s="21" t="s">
        <v>513</v>
      </c>
      <c r="E354" s="23" t="s">
        <v>311</v>
      </c>
      <c r="F354" s="21">
        <f>Burrelllutherpts</f>
        <v>0</v>
      </c>
    </row>
    <row r="355" spans="1:6" ht="15" customHeight="1" thickBot="1" x14ac:dyDescent="0.3">
      <c r="A355" s="9" t="s">
        <v>530</v>
      </c>
      <c r="B355" s="9" t="s">
        <v>352</v>
      </c>
      <c r="C355" s="10">
        <f>Collierhartries</f>
        <v>0</v>
      </c>
      <c r="D355" s="23" t="s">
        <v>516</v>
      </c>
      <c r="E355" s="23" t="s">
        <v>308</v>
      </c>
      <c r="F355" s="24">
        <f>Daviesalexpts</f>
        <v>0</v>
      </c>
    </row>
    <row r="356" spans="1:6" ht="15" customHeight="1" thickBot="1" x14ac:dyDescent="0.3">
      <c r="A356" s="9" t="s">
        <v>532</v>
      </c>
      <c r="B356" s="9" t="s">
        <v>310</v>
      </c>
      <c r="C356" s="10">
        <f>Cookbthtries</f>
        <v>0</v>
      </c>
      <c r="D356" s="23" t="s">
        <v>517</v>
      </c>
      <c r="E356" s="23" t="s">
        <v>354</v>
      </c>
      <c r="F356" s="20">
        <f>Campagnarowaspts</f>
        <v>0</v>
      </c>
    </row>
    <row r="357" spans="1:6" ht="15" customHeight="1" thickBot="1" x14ac:dyDescent="0.3">
      <c r="A357" s="10" t="s">
        <v>1010</v>
      </c>
      <c r="B357" s="10" t="s">
        <v>918</v>
      </c>
      <c r="C357" s="281">
        <f>Cookelirtries</f>
        <v>0</v>
      </c>
      <c r="D357" s="23" t="s">
        <v>921</v>
      </c>
      <c r="E357" s="23" t="s">
        <v>918</v>
      </c>
      <c r="F357" s="21">
        <f>Bettencourtnewpts</f>
        <v>0</v>
      </c>
    </row>
    <row r="358" spans="1:6" ht="15" customHeight="1" thickBot="1" x14ac:dyDescent="0.3">
      <c r="A358" s="9" t="s">
        <v>533</v>
      </c>
      <c r="B358" s="9" t="s">
        <v>354</v>
      </c>
      <c r="C358" s="10">
        <f>Cooper_Woolleywastries</f>
        <v>0</v>
      </c>
      <c r="D358" s="23" t="s">
        <v>860</v>
      </c>
      <c r="E358" s="23" t="s">
        <v>353</v>
      </c>
      <c r="F358" s="20">
        <f>Capstickexepts</f>
        <v>0</v>
      </c>
    </row>
    <row r="359" spans="1:6" ht="15" customHeight="1" thickBot="1" x14ac:dyDescent="0.3">
      <c r="A359" s="438" t="s">
        <v>996</v>
      </c>
      <c r="B359" s="438" t="s">
        <v>309</v>
      </c>
      <c r="C359" s="7">
        <f>Cooper_Woolleysaltries</f>
        <v>0</v>
      </c>
      <c r="D359" s="23" t="s">
        <v>994</v>
      </c>
      <c r="E359" s="23" t="s">
        <v>354</v>
      </c>
      <c r="F359" s="20">
        <f>Cardallwaspts</f>
        <v>0</v>
      </c>
    </row>
    <row r="360" spans="1:6" ht="15" customHeight="1" thickBot="1" x14ac:dyDescent="0.3">
      <c r="A360" s="9" t="s">
        <v>534</v>
      </c>
      <c r="B360" s="9" t="s">
        <v>356</v>
      </c>
      <c r="C360" s="10">
        <f>Croftleitries</f>
        <v>0</v>
      </c>
      <c r="D360" s="21" t="s">
        <v>520</v>
      </c>
      <c r="E360" s="21" t="s">
        <v>310</v>
      </c>
      <c r="F360" s="21">
        <f>Cattnathanpts</f>
        <v>0</v>
      </c>
    </row>
    <row r="361" spans="1:6" ht="15" customHeight="1" thickBot="1" x14ac:dyDescent="0.3">
      <c r="A361" s="9" t="s">
        <v>535</v>
      </c>
      <c r="B361" s="9" t="s">
        <v>370</v>
      </c>
      <c r="C361" s="10">
        <f>Comanlirtries</f>
        <v>0</v>
      </c>
      <c r="D361" s="23" t="s">
        <v>521</v>
      </c>
      <c r="E361" s="23" t="s">
        <v>310</v>
      </c>
      <c r="F361" s="21">
        <f>Charterisbthpts</f>
        <v>0</v>
      </c>
    </row>
    <row r="362" spans="1:6" ht="15" customHeight="1" thickBot="1" x14ac:dyDescent="0.3">
      <c r="A362" s="10" t="s">
        <v>537</v>
      </c>
      <c r="B362" s="9" t="s">
        <v>311</v>
      </c>
      <c r="C362" s="10">
        <f>Craignortries</f>
        <v>0</v>
      </c>
      <c r="D362" s="23" t="s">
        <v>922</v>
      </c>
      <c r="E362" s="23" t="s">
        <v>918</v>
      </c>
      <c r="F362" s="21">
        <f>Blamirenewpts</f>
        <v>0</v>
      </c>
    </row>
    <row r="363" spans="1:6" ht="15" customHeight="1" thickBot="1" x14ac:dyDescent="0.3">
      <c r="A363" s="9" t="s">
        <v>538</v>
      </c>
      <c r="B363" s="9" t="s">
        <v>370</v>
      </c>
      <c r="C363" s="10">
        <f>Cranebritries</f>
        <v>0</v>
      </c>
      <c r="D363" s="23" t="s">
        <v>522</v>
      </c>
      <c r="E363" s="23" t="s">
        <v>352</v>
      </c>
      <c r="F363" s="21">
        <f>Cheesemanharpts</f>
        <v>0</v>
      </c>
    </row>
    <row r="364" spans="1:6" ht="15" customHeight="1" thickBot="1" x14ac:dyDescent="0.3">
      <c r="A364" s="9" t="s">
        <v>539</v>
      </c>
      <c r="B364" s="9" t="s">
        <v>352</v>
      </c>
      <c r="C364" s="10">
        <f>Crumptonhartries</f>
        <v>0</v>
      </c>
      <c r="D364" s="21" t="s">
        <v>923</v>
      </c>
      <c r="E364" s="21" t="s">
        <v>918</v>
      </c>
      <c r="F364" s="21">
        <f>Burrowsnewpts</f>
        <v>0</v>
      </c>
    </row>
    <row r="365" spans="1:6" ht="15" customHeight="1" thickBot="1" x14ac:dyDescent="0.3">
      <c r="A365" s="9" t="s">
        <v>541</v>
      </c>
      <c r="B365" s="9" t="s">
        <v>370</v>
      </c>
      <c r="C365" s="10">
        <f>Comanlirtries</f>
        <v>0</v>
      </c>
      <c r="D365" s="23" t="s">
        <v>458</v>
      </c>
      <c r="E365" s="23" t="s">
        <v>355</v>
      </c>
      <c r="F365" s="21">
        <f>de_Kockneilpts</f>
        <v>0</v>
      </c>
    </row>
    <row r="366" spans="1:6" ht="15" customHeight="1" thickBot="1" x14ac:dyDescent="0.3">
      <c r="A366" s="438" t="s">
        <v>330</v>
      </c>
      <c r="B366" s="438" t="s">
        <v>309</v>
      </c>
      <c r="C366" s="7">
        <f>Curry_Bsaltries</f>
        <v>0</v>
      </c>
      <c r="D366" s="23" t="s">
        <v>457</v>
      </c>
      <c r="E366" s="23" t="s">
        <v>310</v>
      </c>
      <c r="F366" s="21">
        <f>Clarkbatpts</f>
        <v>0</v>
      </c>
    </row>
    <row r="367" spans="1:6" ht="15" customHeight="1" thickBot="1" x14ac:dyDescent="0.3">
      <c r="A367" s="9" t="s">
        <v>542</v>
      </c>
      <c r="B367" s="9" t="s">
        <v>354</v>
      </c>
      <c r="C367" s="10">
        <f>Curtiswastries</f>
        <v>0</v>
      </c>
      <c r="D367" s="23" t="s">
        <v>814</v>
      </c>
      <c r="E367" s="23" t="s">
        <v>308</v>
      </c>
      <c r="F367" s="21">
        <f>Cleggworpts</f>
        <v>0</v>
      </c>
    </row>
    <row r="368" spans="1:6" ht="15" customHeight="1" thickBot="1" x14ac:dyDescent="0.3">
      <c r="A368" s="9" t="s">
        <v>1000</v>
      </c>
      <c r="B368" s="9" t="s">
        <v>309</v>
      </c>
      <c r="C368" s="10">
        <f>Curtissaltries</f>
        <v>0</v>
      </c>
      <c r="D368" s="23" t="s">
        <v>526</v>
      </c>
      <c r="E368" s="23" t="s">
        <v>309</v>
      </c>
      <c r="F368" s="21">
        <f>Cliffwillsalpts</f>
        <v>0</v>
      </c>
    </row>
    <row r="369" spans="1:6" ht="15" customHeight="1" thickBot="1" x14ac:dyDescent="0.3">
      <c r="A369" s="438" t="s">
        <v>543</v>
      </c>
      <c r="B369" s="438" t="s">
        <v>353</v>
      </c>
      <c r="C369" s="7">
        <f>Daviesexetries</f>
        <v>0</v>
      </c>
      <c r="D369" s="23" t="s">
        <v>527</v>
      </c>
      <c r="E369" s="23" t="s">
        <v>352</v>
      </c>
      <c r="F369" s="21">
        <f>Cliffordharpts</f>
        <v>0</v>
      </c>
    </row>
    <row r="370" spans="1:6" ht="15" customHeight="1" thickBot="1" x14ac:dyDescent="0.3">
      <c r="A370" s="10" t="s">
        <v>894</v>
      </c>
      <c r="B370" s="9" t="s">
        <v>370</v>
      </c>
      <c r="C370" s="10">
        <f>Danielsbritries</f>
        <v>0</v>
      </c>
      <c r="D370" s="23" t="s">
        <v>840</v>
      </c>
      <c r="E370" s="23" t="s">
        <v>307</v>
      </c>
      <c r="F370" s="21">
        <f>Coetzerglopts</f>
        <v>0</v>
      </c>
    </row>
    <row r="371" spans="1:6" ht="15" customHeight="1" thickBot="1" x14ac:dyDescent="0.3">
      <c r="A371" s="9" t="s">
        <v>365</v>
      </c>
      <c r="B371" s="9" t="s">
        <v>310</v>
      </c>
      <c r="C371" s="10">
        <f>Daviesbthtries</f>
        <v>0</v>
      </c>
      <c r="D371" s="23" t="s">
        <v>1084</v>
      </c>
      <c r="E371" s="23" t="s">
        <v>356</v>
      </c>
      <c r="F371" s="21">
        <f>Blommetjiesleicpts</f>
        <v>0</v>
      </c>
    </row>
    <row r="372" spans="1:6" ht="15" customHeight="1" thickBot="1" x14ac:dyDescent="0.3">
      <c r="A372" s="10" t="s">
        <v>459</v>
      </c>
      <c r="B372" s="9" t="s">
        <v>311</v>
      </c>
      <c r="C372" s="10">
        <f>Daviesnortries</f>
        <v>0</v>
      </c>
      <c r="D372" s="23" t="s">
        <v>528</v>
      </c>
      <c r="E372" s="23" t="s">
        <v>310</v>
      </c>
      <c r="F372" s="21">
        <f>Cokanasigabthpts</f>
        <v>0</v>
      </c>
    </row>
    <row r="373" spans="1:6" ht="15" customHeight="1" thickBot="1" x14ac:dyDescent="0.3">
      <c r="A373" s="9" t="s">
        <v>461</v>
      </c>
      <c r="B373" s="9" t="s">
        <v>310</v>
      </c>
      <c r="C373" s="10">
        <f>Davisbthtries</f>
        <v>0</v>
      </c>
      <c r="D373" s="23" t="s">
        <v>529</v>
      </c>
      <c r="E373" s="23" t="s">
        <v>356</v>
      </c>
      <c r="F373" s="21">
        <f>Coleleipts</f>
        <v>0</v>
      </c>
    </row>
    <row r="374" spans="1:6" ht="15" customHeight="1" thickBot="1" x14ac:dyDescent="0.3">
      <c r="A374" s="9" t="s">
        <v>343</v>
      </c>
      <c r="B374" s="9" t="s">
        <v>353</v>
      </c>
      <c r="C374" s="10">
        <f>Davisexetries</f>
        <v>0</v>
      </c>
      <c r="D374" s="23" t="s">
        <v>884</v>
      </c>
      <c r="E374" s="23" t="s">
        <v>311</v>
      </c>
      <c r="F374" s="21">
        <f>Colesnorpts</f>
        <v>0</v>
      </c>
    </row>
    <row r="375" spans="1:6" ht="15" customHeight="1" thickBot="1" x14ac:dyDescent="0.3">
      <c r="A375" s="10" t="s">
        <v>460</v>
      </c>
      <c r="B375" s="9" t="s">
        <v>311</v>
      </c>
      <c r="C375" s="10">
        <f>Davisnortries</f>
        <v>0</v>
      </c>
      <c r="D375" s="23" t="s">
        <v>530</v>
      </c>
      <c r="E375" s="23" t="s">
        <v>352</v>
      </c>
      <c r="F375" s="21">
        <f>Collierharpts</f>
        <v>0</v>
      </c>
    </row>
    <row r="376" spans="1:6" ht="15" customHeight="1" thickBot="1" x14ac:dyDescent="0.3">
      <c r="A376" s="9" t="s">
        <v>545</v>
      </c>
      <c r="B376" s="9" t="s">
        <v>354</v>
      </c>
      <c r="C376" s="10">
        <f>de_Jonghwastries</f>
        <v>0</v>
      </c>
      <c r="D376" s="23" t="s">
        <v>532</v>
      </c>
      <c r="E376" s="23" t="s">
        <v>310</v>
      </c>
      <c r="F376" s="21">
        <f>Cookbthpts</f>
        <v>0</v>
      </c>
    </row>
    <row r="377" spans="1:6" ht="15" customHeight="1" thickBot="1" x14ac:dyDescent="0.3">
      <c r="A377" s="9" t="s">
        <v>547</v>
      </c>
      <c r="B377" s="9" t="s">
        <v>307</v>
      </c>
      <c r="C377" s="10">
        <f>Denmanglotries</f>
        <v>0</v>
      </c>
      <c r="D377" s="21" t="s">
        <v>1010</v>
      </c>
      <c r="E377" s="21" t="s">
        <v>918</v>
      </c>
      <c r="F377" s="21">
        <f>Cookelirpts</f>
        <v>0</v>
      </c>
    </row>
    <row r="378" spans="1:6" ht="15" customHeight="1" thickBot="1" x14ac:dyDescent="0.3">
      <c r="A378" s="9" t="s">
        <v>552</v>
      </c>
      <c r="B378" s="9" t="s">
        <v>310</v>
      </c>
      <c r="C378" s="10">
        <f>Douglasbthtries</f>
        <v>0</v>
      </c>
      <c r="D378" s="23" t="s">
        <v>533</v>
      </c>
      <c r="E378" s="23" t="s">
        <v>354</v>
      </c>
      <c r="F378" s="21">
        <f>Cooper_Woolleywaspts</f>
        <v>0</v>
      </c>
    </row>
    <row r="379" spans="1:6" ht="15" customHeight="1" thickBot="1" x14ac:dyDescent="0.3">
      <c r="A379" s="9" t="s">
        <v>553</v>
      </c>
      <c r="B379" s="9" t="s">
        <v>307</v>
      </c>
      <c r="C379" s="10">
        <f>Dentonglotries</f>
        <v>0</v>
      </c>
      <c r="D379" s="435" t="s">
        <v>996</v>
      </c>
      <c r="E379" s="435" t="s">
        <v>309</v>
      </c>
      <c r="F379" s="21">
        <f>Cooper_Woolleysalpts</f>
        <v>0</v>
      </c>
    </row>
    <row r="380" spans="1:6" ht="15" customHeight="1" thickBot="1" x14ac:dyDescent="0.3">
      <c r="A380" s="9" t="s">
        <v>556</v>
      </c>
      <c r="B380" s="9" t="s">
        <v>311</v>
      </c>
      <c r="C380" s="10">
        <f>Denmangarethtries</f>
        <v>0</v>
      </c>
      <c r="D380" s="23" t="s">
        <v>534</v>
      </c>
      <c r="E380" s="23" t="s">
        <v>356</v>
      </c>
      <c r="F380" s="21">
        <f>Croftleipts</f>
        <v>0</v>
      </c>
    </row>
    <row r="381" spans="1:6" ht="15" customHeight="1" thickBot="1" x14ac:dyDescent="0.3">
      <c r="A381" s="9" t="s">
        <v>855</v>
      </c>
      <c r="B381" s="9" t="s">
        <v>370</v>
      </c>
      <c r="C381" s="10">
        <f>Edenbritries</f>
        <v>0</v>
      </c>
      <c r="D381" s="23" t="s">
        <v>535</v>
      </c>
      <c r="E381" s="23" t="s">
        <v>370</v>
      </c>
      <c r="F381" s="21">
        <f>Cosgrovebripts</f>
        <v>0</v>
      </c>
    </row>
    <row r="382" spans="1:6" ht="15" customHeight="1" thickBot="1" x14ac:dyDescent="0.3">
      <c r="A382" s="9" t="s">
        <v>559</v>
      </c>
      <c r="B382" s="9" t="s">
        <v>370</v>
      </c>
      <c r="C382" s="10">
        <f>Dawidiuklirtries</f>
        <v>0</v>
      </c>
      <c r="D382" s="21" t="s">
        <v>537</v>
      </c>
      <c r="E382" s="23" t="s">
        <v>311</v>
      </c>
      <c r="F382" s="21">
        <f>Craignorpts</f>
        <v>0</v>
      </c>
    </row>
    <row r="383" spans="1:6" ht="15" customHeight="1" thickBot="1" x14ac:dyDescent="0.3">
      <c r="A383" s="9" t="s">
        <v>925</v>
      </c>
      <c r="B383" s="9" t="s">
        <v>918</v>
      </c>
      <c r="C383" s="10">
        <f>Connonnewtriescorrect</f>
        <v>0</v>
      </c>
      <c r="D383" s="23" t="s">
        <v>538</v>
      </c>
      <c r="E383" s="23" t="s">
        <v>370</v>
      </c>
      <c r="F383" s="21">
        <f>cranebripts</f>
        <v>0</v>
      </c>
    </row>
    <row r="384" spans="1:6" ht="15" customHeight="1" thickBot="1" x14ac:dyDescent="0.3">
      <c r="A384" s="9" t="s">
        <v>1009</v>
      </c>
      <c r="B384" s="9" t="s">
        <v>918</v>
      </c>
      <c r="C384" s="10">
        <f>Englefieldlirtries</f>
        <v>0</v>
      </c>
      <c r="D384" s="23" t="s">
        <v>539</v>
      </c>
      <c r="E384" s="23" t="s">
        <v>352</v>
      </c>
      <c r="F384" s="21">
        <f>Crumptonharpts</f>
        <v>0</v>
      </c>
    </row>
    <row r="385" spans="1:6" ht="15" customHeight="1" thickBot="1" x14ac:dyDescent="0.3">
      <c r="A385" s="10" t="s">
        <v>316</v>
      </c>
      <c r="B385" s="10" t="s">
        <v>307</v>
      </c>
      <c r="C385" s="10">
        <f>Evansgarethtries</f>
        <v>0</v>
      </c>
      <c r="D385" s="23" t="s">
        <v>541</v>
      </c>
      <c r="E385" s="23" t="s">
        <v>370</v>
      </c>
      <c r="F385" s="21">
        <f>Comanlirpts</f>
        <v>0</v>
      </c>
    </row>
    <row r="386" spans="1:6" ht="15" customHeight="1" thickBot="1" x14ac:dyDescent="0.3">
      <c r="A386" s="9" t="s">
        <v>462</v>
      </c>
      <c r="B386" s="9" t="s">
        <v>356</v>
      </c>
      <c r="C386" s="10">
        <f>Evansleitries</f>
        <v>0</v>
      </c>
      <c r="D386" s="435" t="s">
        <v>330</v>
      </c>
      <c r="E386" s="435" t="s">
        <v>309</v>
      </c>
      <c r="F386" s="21">
        <f>Curry_Bsalpts</f>
        <v>0</v>
      </c>
    </row>
    <row r="387" spans="1:6" ht="15" customHeight="1" thickBot="1" x14ac:dyDescent="0.3">
      <c r="A387" s="9" t="s">
        <v>562</v>
      </c>
      <c r="B387" s="9" t="s">
        <v>310</v>
      </c>
      <c r="C387" s="10">
        <f>ewelsbthtries</f>
        <v>0</v>
      </c>
      <c r="D387" s="23" t="s">
        <v>542</v>
      </c>
      <c r="E387" s="23" t="s">
        <v>354</v>
      </c>
      <c r="F387" s="21">
        <f>Curtiswaspts</f>
        <v>0</v>
      </c>
    </row>
    <row r="388" spans="1:6" ht="15" customHeight="1" thickBot="1" x14ac:dyDescent="0.3">
      <c r="A388" s="9" t="s">
        <v>992</v>
      </c>
      <c r="B388" s="9" t="s">
        <v>918</v>
      </c>
      <c r="C388" s="10">
        <f>Faingaalirtries</f>
        <v>0</v>
      </c>
      <c r="D388" s="23" t="s">
        <v>1000</v>
      </c>
      <c r="E388" s="23" t="s">
        <v>309</v>
      </c>
      <c r="F388" s="21">
        <f>Curtissalpts</f>
        <v>0</v>
      </c>
    </row>
    <row r="389" spans="1:6" ht="15" customHeight="1" thickBot="1" x14ac:dyDescent="0.3">
      <c r="A389" s="9" t="s">
        <v>376</v>
      </c>
      <c r="B389" s="9" t="s">
        <v>370</v>
      </c>
      <c r="C389" s="10">
        <f>Faletaubritries</f>
        <v>0</v>
      </c>
      <c r="D389" s="435" t="s">
        <v>543</v>
      </c>
      <c r="E389" s="435" t="s">
        <v>353</v>
      </c>
      <c r="F389" s="21">
        <f>Daviesexepts</f>
        <v>0</v>
      </c>
    </row>
    <row r="390" spans="1:6" ht="15" customHeight="1" thickBot="1" x14ac:dyDescent="0.3">
      <c r="A390" s="9" t="s">
        <v>375</v>
      </c>
      <c r="B390" s="9" t="s">
        <v>310</v>
      </c>
      <c r="C390" s="10">
        <f>Faletaubthtries</f>
        <v>0</v>
      </c>
      <c r="D390" s="23" t="s">
        <v>894</v>
      </c>
      <c r="E390" s="23" t="s">
        <v>370</v>
      </c>
      <c r="F390" s="21">
        <f>Danielsbripts</f>
        <v>0</v>
      </c>
    </row>
    <row r="391" spans="1:6" ht="15" customHeight="1" thickBot="1" x14ac:dyDescent="0.3">
      <c r="A391" s="9" t="s">
        <v>564</v>
      </c>
      <c r="B391" s="9" t="s">
        <v>308</v>
      </c>
      <c r="C391" s="10">
        <f>Faosilivawortries</f>
        <v>0</v>
      </c>
      <c r="D391" s="23" t="s">
        <v>365</v>
      </c>
      <c r="E391" s="23" t="s">
        <v>310</v>
      </c>
      <c r="F391" s="21">
        <f>Daviesbthpts</f>
        <v>0</v>
      </c>
    </row>
    <row r="392" spans="1:6" ht="15" customHeight="1" thickBot="1" x14ac:dyDescent="0.3">
      <c r="A392" s="10" t="s">
        <v>565</v>
      </c>
      <c r="B392" s="10" t="s">
        <v>355</v>
      </c>
      <c r="C392" s="10">
        <f>Farrellowentries</f>
        <v>0</v>
      </c>
      <c r="D392" s="21" t="s">
        <v>459</v>
      </c>
      <c r="E392" s="23" t="s">
        <v>311</v>
      </c>
      <c r="F392" s="21">
        <f>Daviesnorpts</f>
        <v>0</v>
      </c>
    </row>
    <row r="393" spans="1:6" ht="15" customHeight="1" thickBot="1" x14ac:dyDescent="0.3">
      <c r="A393" s="9" t="s">
        <v>848</v>
      </c>
      <c r="B393" s="9" t="s">
        <v>356</v>
      </c>
      <c r="C393" s="10">
        <f>Feaoleictries</f>
        <v>0</v>
      </c>
      <c r="D393" s="23" t="s">
        <v>461</v>
      </c>
      <c r="E393" s="23" t="s">
        <v>310</v>
      </c>
      <c r="F393" s="21">
        <f>Davisbthpts</f>
        <v>0</v>
      </c>
    </row>
    <row r="394" spans="1:6" ht="15" customHeight="1" thickBot="1" x14ac:dyDescent="0.3">
      <c r="A394" s="10" t="s">
        <v>566</v>
      </c>
      <c r="B394" s="10" t="s">
        <v>370</v>
      </c>
      <c r="C394" s="10">
        <f>Fenton_Wellsbritries</f>
        <v>0</v>
      </c>
      <c r="D394" s="23" t="s">
        <v>343</v>
      </c>
      <c r="E394" s="23" t="s">
        <v>353</v>
      </c>
      <c r="F394" s="21">
        <f>Davisexepts</f>
        <v>0</v>
      </c>
    </row>
    <row r="395" spans="1:6" ht="15" customHeight="1" thickBot="1" x14ac:dyDescent="0.3">
      <c r="A395" s="9" t="s">
        <v>567</v>
      </c>
      <c r="B395" s="9" t="s">
        <v>355</v>
      </c>
      <c r="C395" s="7">
        <f>Figallosartries</f>
        <v>0</v>
      </c>
      <c r="D395" s="21" t="s">
        <v>460</v>
      </c>
      <c r="E395" s="23" t="s">
        <v>311</v>
      </c>
      <c r="F395" s="21">
        <f>Davisnorpts</f>
        <v>0</v>
      </c>
    </row>
    <row r="396" spans="1:6" ht="15" customHeight="1" thickBot="1" x14ac:dyDescent="0.3">
      <c r="A396" s="9" t="s">
        <v>568</v>
      </c>
      <c r="B396" s="9" t="s">
        <v>311</v>
      </c>
      <c r="C396" s="10">
        <f>Fishnortries</f>
        <v>0</v>
      </c>
      <c r="D396" s="23" t="s">
        <v>545</v>
      </c>
      <c r="E396" s="23" t="s">
        <v>354</v>
      </c>
      <c r="F396" s="21">
        <f>de_Jonghwaspts</f>
        <v>0</v>
      </c>
    </row>
    <row r="397" spans="1:6" ht="15" customHeight="1" thickBot="1" x14ac:dyDescent="0.3">
      <c r="A397" s="9" t="s">
        <v>569</v>
      </c>
      <c r="B397" s="9" t="s">
        <v>356</v>
      </c>
      <c r="C397" s="10">
        <f>Fitzgerald__Leitries</f>
        <v>0</v>
      </c>
      <c r="D397" s="23" t="s">
        <v>547</v>
      </c>
      <c r="E397" s="23" t="s">
        <v>307</v>
      </c>
      <c r="F397" s="21">
        <f>Denmanglopts</f>
        <v>0</v>
      </c>
    </row>
    <row r="398" spans="1:6" ht="15" customHeight="1" thickBot="1" x14ac:dyDescent="0.3">
      <c r="A398" s="9" t="s">
        <v>970</v>
      </c>
      <c r="B398" s="9" t="s">
        <v>354</v>
      </c>
      <c r="C398" s="10">
        <f>Flamentwastries</f>
        <v>0</v>
      </c>
      <c r="D398" s="23" t="s">
        <v>552</v>
      </c>
      <c r="E398" s="23" t="s">
        <v>310</v>
      </c>
      <c r="F398" s="22">
        <f>Douglasbthpts</f>
        <v>0</v>
      </c>
    </row>
    <row r="399" spans="1:6" ht="15" customHeight="1" thickBot="1" x14ac:dyDescent="0.3">
      <c r="A399" s="9" t="s">
        <v>570</v>
      </c>
      <c r="B399" s="9" t="s">
        <v>309</v>
      </c>
      <c r="C399" s="10">
        <f>Flynnsaltries</f>
        <v>0</v>
      </c>
      <c r="D399" s="23" t="s">
        <v>553</v>
      </c>
      <c r="E399" s="23" t="s">
        <v>307</v>
      </c>
      <c r="F399" s="21">
        <f>Dentonglopts</f>
        <v>0</v>
      </c>
    </row>
    <row r="400" spans="1:6" ht="15" customHeight="1" thickBot="1" x14ac:dyDescent="0.3">
      <c r="A400" s="9" t="s">
        <v>323</v>
      </c>
      <c r="B400" s="9" t="s">
        <v>356</v>
      </c>
      <c r="C400" s="10">
        <f>Ford_Jleictries</f>
        <v>0</v>
      </c>
      <c r="D400" s="23" t="s">
        <v>556</v>
      </c>
      <c r="E400" s="23" t="s">
        <v>311</v>
      </c>
      <c r="F400" s="21">
        <f>Denmangarethpts</f>
        <v>0</v>
      </c>
    </row>
    <row r="401" spans="1:6" ht="15" customHeight="1" thickBot="1" x14ac:dyDescent="0.3">
      <c r="A401" s="9" t="s">
        <v>571</v>
      </c>
      <c r="B401" s="9" t="s">
        <v>311</v>
      </c>
      <c r="C401" s="10">
        <f>Ford_Robinsonnortries</f>
        <v>0</v>
      </c>
      <c r="D401" s="23" t="s">
        <v>559</v>
      </c>
      <c r="E401" s="23" t="s">
        <v>370</v>
      </c>
      <c r="F401" s="21">
        <f>Dawidiuklirpts</f>
        <v>0</v>
      </c>
    </row>
    <row r="402" spans="1:6" ht="15" customHeight="1" thickBot="1" x14ac:dyDescent="0.3">
      <c r="A402" s="9" t="s">
        <v>982</v>
      </c>
      <c r="B402" s="9" t="s">
        <v>356</v>
      </c>
      <c r="C402" s="10">
        <f>Forsythleitries</f>
        <v>0</v>
      </c>
      <c r="D402" s="23" t="s">
        <v>925</v>
      </c>
      <c r="E402" s="23" t="s">
        <v>918</v>
      </c>
      <c r="F402" s="21">
        <f>Connonnewptscorrect</f>
        <v>0</v>
      </c>
    </row>
    <row r="403" spans="1:6" ht="15" customHeight="1" thickBot="1" x14ac:dyDescent="0.3">
      <c r="A403" s="10" t="s">
        <v>572</v>
      </c>
      <c r="B403" s="9" t="s">
        <v>354</v>
      </c>
      <c r="C403" s="10">
        <f>Fosterwastries</f>
        <v>0</v>
      </c>
      <c r="D403" s="23" t="s">
        <v>1009</v>
      </c>
      <c r="E403" s="23" t="s">
        <v>918</v>
      </c>
      <c r="F403" s="21">
        <f>Englefieldlirpts</f>
        <v>0</v>
      </c>
    </row>
    <row r="404" spans="1:6" ht="15" customHeight="1" thickBot="1" x14ac:dyDescent="0.3">
      <c r="A404" s="9" t="s">
        <v>573</v>
      </c>
      <c r="B404" s="9" t="s">
        <v>310</v>
      </c>
      <c r="C404" s="10">
        <f>Fotuali_ibthtries</f>
        <v>0</v>
      </c>
      <c r="D404" s="21" t="s">
        <v>316</v>
      </c>
      <c r="E404" s="21" t="s">
        <v>307</v>
      </c>
      <c r="F404" s="21">
        <f>Evansgarethpts</f>
        <v>0</v>
      </c>
    </row>
    <row r="405" spans="1:6" ht="15" customHeight="1" thickBot="1" x14ac:dyDescent="0.3">
      <c r="A405" s="9" t="s">
        <v>926</v>
      </c>
      <c r="B405" s="9" t="s">
        <v>918</v>
      </c>
      <c r="C405" s="10">
        <f>Coopernewtries</f>
        <v>0</v>
      </c>
      <c r="D405" s="23" t="s">
        <v>462</v>
      </c>
      <c r="E405" s="23" t="s">
        <v>356</v>
      </c>
      <c r="F405" s="21">
        <f>Evansleipts</f>
        <v>0</v>
      </c>
    </row>
    <row r="406" spans="1:6" ht="15" customHeight="1" thickBot="1" x14ac:dyDescent="0.3">
      <c r="A406" s="10" t="s">
        <v>328</v>
      </c>
      <c r="B406" s="9" t="s">
        <v>311</v>
      </c>
      <c r="C406" s="10">
        <f>Francisnortries</f>
        <v>0</v>
      </c>
      <c r="D406" s="23" t="s">
        <v>562</v>
      </c>
      <c r="E406" s="23" t="s">
        <v>310</v>
      </c>
      <c r="F406" s="21">
        <f>Ewelsbthpts</f>
        <v>0</v>
      </c>
    </row>
    <row r="407" spans="1:6" ht="15" customHeight="1" thickBot="1" x14ac:dyDescent="0.3">
      <c r="A407" s="10" t="s">
        <v>344</v>
      </c>
      <c r="B407" s="10" t="s">
        <v>353</v>
      </c>
      <c r="C407" s="10">
        <f>Francisexetries</f>
        <v>0</v>
      </c>
      <c r="D407" s="23" t="s">
        <v>992</v>
      </c>
      <c r="E407" s="23" t="s">
        <v>918</v>
      </c>
      <c r="F407" s="21">
        <f>Faingaalirpts</f>
        <v>0</v>
      </c>
    </row>
    <row r="408" spans="1:6" ht="15" customHeight="1" thickBot="1" x14ac:dyDescent="0.3">
      <c r="A408" s="10" t="s">
        <v>574</v>
      </c>
      <c r="B408" s="9" t="s">
        <v>311</v>
      </c>
      <c r="C408" s="10">
        <f>Franksnortries</f>
        <v>0</v>
      </c>
      <c r="D408" s="23" t="s">
        <v>376</v>
      </c>
      <c r="E408" s="23" t="s">
        <v>370</v>
      </c>
      <c r="F408" s="21">
        <f>Faletaubripts</f>
        <v>0</v>
      </c>
    </row>
    <row r="409" spans="1:6" ht="15" customHeight="1" thickBot="1" x14ac:dyDescent="0.3">
      <c r="A409" s="9" t="s">
        <v>1067</v>
      </c>
      <c r="B409" s="9" t="s">
        <v>370</v>
      </c>
      <c r="C409" s="10">
        <f>Dorrianlitries</f>
        <v>0</v>
      </c>
      <c r="D409" s="23" t="s">
        <v>375</v>
      </c>
      <c r="E409" s="23" t="s">
        <v>310</v>
      </c>
      <c r="F409" s="21">
        <f>Faletaubthpts</f>
        <v>0</v>
      </c>
    </row>
    <row r="410" spans="1:6" ht="15" customHeight="1" thickBot="1" x14ac:dyDescent="0.3">
      <c r="A410" s="10" t="s">
        <v>577</v>
      </c>
      <c r="B410" s="9" t="s">
        <v>354</v>
      </c>
      <c r="C410" s="10">
        <f>Festucciacarlotries</f>
        <v>0</v>
      </c>
      <c r="D410" s="23" t="s">
        <v>564</v>
      </c>
      <c r="E410" s="23" t="s">
        <v>308</v>
      </c>
      <c r="F410" s="21">
        <f>Faosilivaworpts</f>
        <v>0</v>
      </c>
    </row>
    <row r="411" spans="1:6" ht="15" customHeight="1" thickBot="1" x14ac:dyDescent="0.3">
      <c r="A411" s="9" t="s">
        <v>578</v>
      </c>
      <c r="B411" s="9" t="s">
        <v>310</v>
      </c>
      <c r="C411" s="10">
        <f>Garveymatttries</f>
        <v>0</v>
      </c>
      <c r="D411" s="23" t="s">
        <v>848</v>
      </c>
      <c r="E411" s="23" t="s">
        <v>356</v>
      </c>
      <c r="F411" s="21">
        <f>Feaoleicpts</f>
        <v>0</v>
      </c>
    </row>
    <row r="412" spans="1:6" ht="15" customHeight="1" thickBot="1" x14ac:dyDescent="0.3">
      <c r="A412" s="10" t="s">
        <v>579</v>
      </c>
      <c r="B412" s="9" t="s">
        <v>354</v>
      </c>
      <c r="C412" s="10">
        <f>Gaskellwastries</f>
        <v>0</v>
      </c>
      <c r="D412" s="21" t="s">
        <v>566</v>
      </c>
      <c r="E412" s="21" t="s">
        <v>370</v>
      </c>
      <c r="F412" s="21">
        <f>Fenton_Wellsbripts</f>
        <v>0</v>
      </c>
    </row>
    <row r="413" spans="1:6" ht="15" customHeight="1" thickBot="1" x14ac:dyDescent="0.3">
      <c r="A413" s="9" t="s">
        <v>582</v>
      </c>
      <c r="B413" s="9" t="s">
        <v>311</v>
      </c>
      <c r="C413" s="10">
        <f>Gibsonnortries</f>
        <v>0</v>
      </c>
      <c r="D413" s="23" t="s">
        <v>567</v>
      </c>
      <c r="E413" s="23" t="s">
        <v>355</v>
      </c>
      <c r="F413" s="21">
        <f>Figallosarpts</f>
        <v>0</v>
      </c>
    </row>
    <row r="414" spans="1:6" ht="15" customHeight="1" thickBot="1" x14ac:dyDescent="0.3">
      <c r="A414" s="9" t="s">
        <v>892</v>
      </c>
      <c r="B414" s="9" t="s">
        <v>356</v>
      </c>
      <c r="C414" s="10">
        <f>Gigenaleictries</f>
        <v>0</v>
      </c>
      <c r="D414" s="23" t="s">
        <v>568</v>
      </c>
      <c r="E414" s="23" t="s">
        <v>311</v>
      </c>
      <c r="F414" s="21">
        <f>Fishnorpts</f>
        <v>0</v>
      </c>
    </row>
    <row r="415" spans="1:6" ht="15" customHeight="1" thickBot="1" x14ac:dyDescent="0.3">
      <c r="A415" s="9" t="s">
        <v>928</v>
      </c>
      <c r="B415" s="9" t="s">
        <v>918</v>
      </c>
      <c r="C415" s="10">
        <f>Gilsenanlirtries</f>
        <v>0</v>
      </c>
      <c r="D415" s="23" t="s">
        <v>569</v>
      </c>
      <c r="E415" s="23" t="s">
        <v>356</v>
      </c>
      <c r="F415" s="21">
        <f>Fitzgeraldleipts</f>
        <v>0</v>
      </c>
    </row>
    <row r="416" spans="1:6" ht="15" customHeight="1" thickBot="1" x14ac:dyDescent="0.3">
      <c r="A416" s="9" t="s">
        <v>583</v>
      </c>
      <c r="B416" s="9" t="s">
        <v>307</v>
      </c>
      <c r="C416" s="10">
        <f>Halaifonuaglotries</f>
        <v>0</v>
      </c>
      <c r="D416" s="23" t="s">
        <v>970</v>
      </c>
      <c r="E416" s="23" t="s">
        <v>354</v>
      </c>
      <c r="F416" s="21">
        <f>Flamentwaspts</f>
        <v>0</v>
      </c>
    </row>
    <row r="417" spans="1:6" ht="15" customHeight="1" thickBot="1" x14ac:dyDescent="0.3">
      <c r="A417" s="10" t="s">
        <v>584</v>
      </c>
      <c r="B417" s="10" t="s">
        <v>352</v>
      </c>
      <c r="C417" s="10">
        <f>Evans_Ohartries</f>
        <v>0</v>
      </c>
      <c r="D417" s="23" t="s">
        <v>570</v>
      </c>
      <c r="E417" s="23" t="s">
        <v>309</v>
      </c>
      <c r="F417" s="21">
        <f>Flynnsalpts</f>
        <v>0</v>
      </c>
    </row>
    <row r="418" spans="1:6" ht="15" customHeight="1" thickBot="1" x14ac:dyDescent="0.3">
      <c r="A418" s="9" t="s">
        <v>585</v>
      </c>
      <c r="B418" s="9" t="s">
        <v>355</v>
      </c>
      <c r="C418" s="10">
        <f>goodealextries</f>
        <v>0</v>
      </c>
      <c r="D418" s="23" t="s">
        <v>323</v>
      </c>
      <c r="E418" s="23" t="s">
        <v>356</v>
      </c>
      <c r="F418" s="21">
        <f>Ford_Jleicpts</f>
        <v>0</v>
      </c>
    </row>
    <row r="419" spans="1:6" ht="15" customHeight="1" thickBot="1" x14ac:dyDescent="0.3">
      <c r="A419" s="9" t="s">
        <v>927</v>
      </c>
      <c r="B419" s="9" t="s">
        <v>918</v>
      </c>
      <c r="C419" s="62">
        <f>Davidsonnewtries</f>
        <v>0</v>
      </c>
      <c r="D419" s="23" t="s">
        <v>571</v>
      </c>
      <c r="E419" s="23" t="s">
        <v>311</v>
      </c>
      <c r="F419" s="21">
        <f>Ford_Robinsonnorpts</f>
        <v>0</v>
      </c>
    </row>
    <row r="420" spans="1:6" ht="15" customHeight="1" thickBot="1" x14ac:dyDescent="0.3">
      <c r="A420" s="9" t="s">
        <v>881</v>
      </c>
      <c r="B420" s="9" t="s">
        <v>370</v>
      </c>
      <c r="C420" s="10">
        <f>Grahambritries</f>
        <v>0</v>
      </c>
      <c r="D420" s="23" t="s">
        <v>982</v>
      </c>
      <c r="E420" s="23" t="s">
        <v>356</v>
      </c>
      <c r="F420" s="21">
        <f>Forsythleipts</f>
        <v>0</v>
      </c>
    </row>
    <row r="421" spans="1:6" ht="15" customHeight="1" thickBot="1" x14ac:dyDescent="0.3">
      <c r="A421" s="9" t="s">
        <v>587</v>
      </c>
      <c r="B421" s="9" t="s">
        <v>310</v>
      </c>
      <c r="C421" s="10">
        <f>Grantbattries</f>
        <v>0</v>
      </c>
      <c r="D421" s="21" t="s">
        <v>572</v>
      </c>
      <c r="E421" s="23" t="s">
        <v>354</v>
      </c>
      <c r="F421" s="21">
        <f>Fosterwaspts</f>
        <v>0</v>
      </c>
    </row>
    <row r="422" spans="1:6" ht="15" customHeight="1" thickBot="1" x14ac:dyDescent="0.3">
      <c r="A422" s="9" t="s">
        <v>590</v>
      </c>
      <c r="B422" s="9" t="s">
        <v>370</v>
      </c>
      <c r="C422" s="10">
        <f>Fenbylitries</f>
        <v>0</v>
      </c>
      <c r="D422" s="23" t="s">
        <v>573</v>
      </c>
      <c r="E422" s="23" t="s">
        <v>310</v>
      </c>
      <c r="F422" s="21">
        <f>Fotuali_ibthpts</f>
        <v>0</v>
      </c>
    </row>
    <row r="423" spans="1:6" ht="15" customHeight="1" thickBot="1" x14ac:dyDescent="0.3">
      <c r="A423" s="9" t="s">
        <v>1056</v>
      </c>
      <c r="B423" s="9" t="s">
        <v>310</v>
      </c>
      <c r="C423" s="10">
        <f>Greenbthtries</f>
        <v>0</v>
      </c>
      <c r="D423" s="23" t="s">
        <v>926</v>
      </c>
      <c r="E423" s="23" t="s">
        <v>918</v>
      </c>
      <c r="F423" s="21">
        <f>Coopernewpts</f>
        <v>0</v>
      </c>
    </row>
    <row r="424" spans="1:6" ht="15" customHeight="1" thickBot="1" x14ac:dyDescent="0.3">
      <c r="A424" s="9" t="s">
        <v>1112</v>
      </c>
      <c r="B424" s="9" t="s">
        <v>370</v>
      </c>
      <c r="C424" s="10">
        <f>Fenbylitries</f>
        <v>0</v>
      </c>
      <c r="D424" s="21" t="s">
        <v>344</v>
      </c>
      <c r="E424" s="21" t="s">
        <v>353</v>
      </c>
      <c r="F424" s="21">
        <f>Francisexepts</f>
        <v>0</v>
      </c>
    </row>
    <row r="425" spans="1:6" ht="15" customHeight="1" thickBot="1" x14ac:dyDescent="0.3">
      <c r="A425" s="9" t="s">
        <v>591</v>
      </c>
      <c r="B425" s="9" t="s">
        <v>308</v>
      </c>
      <c r="C425" s="10">
        <f>Jewellsebtries</f>
        <v>0</v>
      </c>
      <c r="D425" s="21" t="s">
        <v>574</v>
      </c>
      <c r="E425" s="23" t="s">
        <v>311</v>
      </c>
      <c r="F425" s="21">
        <f>Franksnorpts</f>
        <v>0</v>
      </c>
    </row>
    <row r="426" spans="1:6" ht="15" customHeight="1" thickBot="1" x14ac:dyDescent="0.3">
      <c r="A426" s="9" t="s">
        <v>592</v>
      </c>
      <c r="B426" s="9" t="s">
        <v>354</v>
      </c>
      <c r="C426" s="10">
        <f>Hampsonwastriescorrect</f>
        <v>0</v>
      </c>
      <c r="D426" s="23" t="s">
        <v>1067</v>
      </c>
      <c r="E426" s="23" t="s">
        <v>370</v>
      </c>
      <c r="F426" s="21">
        <f>Dorrianlipts</f>
        <v>0</v>
      </c>
    </row>
    <row r="427" spans="1:6" ht="15" customHeight="1" thickBot="1" x14ac:dyDescent="0.3">
      <c r="A427" s="9" t="s">
        <v>593</v>
      </c>
      <c r="B427" s="9" t="s">
        <v>307</v>
      </c>
      <c r="C427" s="10">
        <f>Hansonglotries</f>
        <v>0</v>
      </c>
      <c r="D427" s="21" t="s">
        <v>577</v>
      </c>
      <c r="E427" s="23" t="s">
        <v>354</v>
      </c>
      <c r="F427" s="21">
        <f>Festucciacarlopts</f>
        <v>0</v>
      </c>
    </row>
    <row r="428" spans="1:6" ht="15" customHeight="1" thickBot="1" x14ac:dyDescent="0.3">
      <c r="A428" s="9" t="s">
        <v>594</v>
      </c>
      <c r="B428" s="9" t="s">
        <v>356</v>
      </c>
      <c r="C428" s="10">
        <f>Hardwickleitries</f>
        <v>0</v>
      </c>
      <c r="D428" s="23" t="s">
        <v>578</v>
      </c>
      <c r="E428" s="23" t="s">
        <v>310</v>
      </c>
      <c r="F428" s="21">
        <f>Garveymattpts</f>
        <v>0</v>
      </c>
    </row>
    <row r="429" spans="1:6" ht="15" customHeight="1" thickBot="1" x14ac:dyDescent="0.3">
      <c r="A429" s="9" t="s">
        <v>357</v>
      </c>
      <c r="B429" s="9" t="s">
        <v>354</v>
      </c>
      <c r="C429" s="10">
        <f>Halaiwastries</f>
        <v>0</v>
      </c>
      <c r="D429" s="21" t="s">
        <v>579</v>
      </c>
      <c r="E429" s="23" t="s">
        <v>354</v>
      </c>
      <c r="F429" s="21">
        <f>Gaskellwaspts</f>
        <v>0</v>
      </c>
    </row>
    <row r="430" spans="1:6" ht="15" customHeight="1" thickBot="1" x14ac:dyDescent="0.3">
      <c r="A430" s="9" t="s">
        <v>359</v>
      </c>
      <c r="B430" s="9" t="s">
        <v>309</v>
      </c>
      <c r="C430" s="10">
        <f>Harrisonsaltris</f>
        <v>0</v>
      </c>
      <c r="D430" s="23" t="s">
        <v>582</v>
      </c>
      <c r="E430" s="23" t="s">
        <v>311</v>
      </c>
      <c r="F430" s="21">
        <f>Gibsonnorpts</f>
        <v>0</v>
      </c>
    </row>
    <row r="431" spans="1:6" ht="15" customHeight="1" thickBot="1" x14ac:dyDescent="0.3">
      <c r="A431" s="9" t="s">
        <v>596</v>
      </c>
      <c r="B431" s="9" t="s">
        <v>308</v>
      </c>
      <c r="C431" s="10">
        <f>Heaneywortries</f>
        <v>0</v>
      </c>
      <c r="D431" s="23" t="s">
        <v>892</v>
      </c>
      <c r="E431" s="23" t="s">
        <v>356</v>
      </c>
      <c r="F431" s="21">
        <f>Gigenaleicpts</f>
        <v>0</v>
      </c>
    </row>
    <row r="432" spans="1:6" ht="15" customHeight="1" thickBot="1" x14ac:dyDescent="0.3">
      <c r="A432" s="9" t="s">
        <v>972</v>
      </c>
      <c r="B432" s="9" t="s">
        <v>308</v>
      </c>
      <c r="C432" s="10">
        <f>Hearlewortries</f>
        <v>0</v>
      </c>
      <c r="D432" s="23" t="s">
        <v>928</v>
      </c>
      <c r="E432" s="23" t="s">
        <v>918</v>
      </c>
      <c r="F432" s="21">
        <f>Gilsenanlirpts</f>
        <v>0</v>
      </c>
    </row>
    <row r="433" spans="1:6" ht="15" customHeight="1" thickBot="1" x14ac:dyDescent="0.3">
      <c r="A433" s="9" t="s">
        <v>598</v>
      </c>
      <c r="B433" s="9" t="s">
        <v>307</v>
      </c>
      <c r="C433" s="10">
        <f>Heinzglotries</f>
        <v>0</v>
      </c>
      <c r="D433" s="23" t="s">
        <v>583</v>
      </c>
      <c r="E433" s="23" t="s">
        <v>307</v>
      </c>
      <c r="F433" s="21">
        <f>Halaifonuaglopts</f>
        <v>0</v>
      </c>
    </row>
    <row r="434" spans="1:6" ht="15" customHeight="1" thickBot="1" x14ac:dyDescent="0.3">
      <c r="A434" s="9" t="s">
        <v>1168</v>
      </c>
      <c r="B434" s="9" t="s">
        <v>356</v>
      </c>
      <c r="C434" s="10">
        <f>Henryleictries</f>
        <v>0</v>
      </c>
      <c r="D434" s="21" t="s">
        <v>584</v>
      </c>
      <c r="E434" s="21" t="s">
        <v>352</v>
      </c>
      <c r="F434" s="21">
        <f>Evans_Oharpts</f>
        <v>0</v>
      </c>
    </row>
    <row r="435" spans="1:6" ht="15" customHeight="1" thickBot="1" x14ac:dyDescent="0.3">
      <c r="A435" s="9" t="s">
        <v>929</v>
      </c>
      <c r="B435" s="9" t="s">
        <v>918</v>
      </c>
      <c r="C435" s="10">
        <f>Floodnewtries</f>
        <v>0</v>
      </c>
      <c r="D435" s="23" t="s">
        <v>927</v>
      </c>
      <c r="E435" s="23" t="s">
        <v>918</v>
      </c>
      <c r="F435" s="21">
        <f>Davidsonnewpts</f>
        <v>0</v>
      </c>
    </row>
    <row r="436" spans="1:6" ht="15" customHeight="1" thickBot="1" x14ac:dyDescent="0.3">
      <c r="A436" s="10" t="s">
        <v>981</v>
      </c>
      <c r="B436" s="10" t="s">
        <v>352</v>
      </c>
      <c r="C436" s="10">
        <f>Herronhartries</f>
        <v>0</v>
      </c>
      <c r="D436" s="23" t="s">
        <v>881</v>
      </c>
      <c r="E436" s="23" t="s">
        <v>370</v>
      </c>
      <c r="F436" s="21">
        <f>Grahambripts</f>
        <v>0</v>
      </c>
    </row>
    <row r="437" spans="1:6" ht="15" customHeight="1" thickBot="1" x14ac:dyDescent="0.3">
      <c r="A437" s="9" t="s">
        <v>975</v>
      </c>
      <c r="B437" s="9" t="s">
        <v>307</v>
      </c>
      <c r="C437" s="10">
        <f>Hinkleyglotries</f>
        <v>0</v>
      </c>
      <c r="D437" s="23" t="s">
        <v>587</v>
      </c>
      <c r="E437" s="23" t="s">
        <v>310</v>
      </c>
      <c r="F437" s="21">
        <f>Grantbatpts</f>
        <v>0</v>
      </c>
    </row>
    <row r="438" spans="1:6" ht="15" customHeight="1" thickBot="1" x14ac:dyDescent="0.3">
      <c r="A438" s="9" t="s">
        <v>601</v>
      </c>
      <c r="B438" s="9" t="s">
        <v>307</v>
      </c>
      <c r="C438" s="10">
        <f>Hicksglotries</f>
        <v>0</v>
      </c>
      <c r="D438" s="23" t="s">
        <v>590</v>
      </c>
      <c r="E438" s="23" t="s">
        <v>370</v>
      </c>
      <c r="F438" s="21">
        <f>Fenbylipts</f>
        <v>0</v>
      </c>
    </row>
    <row r="439" spans="1:6" ht="15" customHeight="1" thickBot="1" x14ac:dyDescent="0.3">
      <c r="A439" s="9" t="s">
        <v>347</v>
      </c>
      <c r="B439" s="9" t="s">
        <v>353</v>
      </c>
      <c r="C439" s="10">
        <f>holmesexetries</f>
        <v>0</v>
      </c>
      <c r="D439" s="21" t="s">
        <v>1056</v>
      </c>
      <c r="E439" s="23" t="s">
        <v>310</v>
      </c>
      <c r="F439" s="21">
        <f>Greenbthpts</f>
        <v>0</v>
      </c>
    </row>
    <row r="440" spans="1:6" ht="15" customHeight="1" thickBot="1" x14ac:dyDescent="0.3">
      <c r="A440" s="9" t="s">
        <v>602</v>
      </c>
      <c r="B440" s="9" t="s">
        <v>352</v>
      </c>
      <c r="C440" s="10">
        <f>Horwillhartries</f>
        <v>0</v>
      </c>
      <c r="D440" s="23" t="s">
        <v>1112</v>
      </c>
      <c r="E440" s="23" t="s">
        <v>370</v>
      </c>
      <c r="F440" s="21">
        <f>Fenbylipts</f>
        <v>0</v>
      </c>
    </row>
    <row r="441" spans="1:6" ht="15" customHeight="1" thickBot="1" x14ac:dyDescent="0.3">
      <c r="A441" s="9" t="s">
        <v>605</v>
      </c>
      <c r="B441" s="9" t="s">
        <v>307</v>
      </c>
      <c r="C441" s="10">
        <f>Hudsonglotries</f>
        <v>0</v>
      </c>
      <c r="D441" s="23" t="s">
        <v>591</v>
      </c>
      <c r="E441" s="23" t="s">
        <v>308</v>
      </c>
      <c r="F441" s="21">
        <f>Fainga_anukuofapts</f>
        <v>0</v>
      </c>
    </row>
    <row r="442" spans="1:6" ht="15" customHeight="1" thickBot="1" x14ac:dyDescent="0.3">
      <c r="A442" s="9" t="s">
        <v>606</v>
      </c>
      <c r="B442" s="9" t="s">
        <v>354</v>
      </c>
      <c r="C442" s="10">
        <f>Hugheswastries</f>
        <v>0</v>
      </c>
      <c r="D442" s="23" t="s">
        <v>592</v>
      </c>
      <c r="E442" s="23" t="s">
        <v>354</v>
      </c>
      <c r="F442" s="20">
        <f>Hampsonwasptscorrect</f>
        <v>0</v>
      </c>
    </row>
    <row r="443" spans="1:6" ht="15" customHeight="1" thickBot="1" x14ac:dyDescent="0.3">
      <c r="A443" s="9" t="s">
        <v>608</v>
      </c>
      <c r="B443" s="9" t="s">
        <v>370</v>
      </c>
      <c r="C443" s="10">
        <f>Gilsenanlitries</f>
        <v>0</v>
      </c>
      <c r="D443" s="23" t="s">
        <v>593</v>
      </c>
      <c r="E443" s="23" t="s">
        <v>307</v>
      </c>
      <c r="F443" s="21">
        <f>Hansonglopts</f>
        <v>0</v>
      </c>
    </row>
    <row r="444" spans="1:6" ht="15" customHeight="1" thickBot="1" x14ac:dyDescent="0.3">
      <c r="A444" s="10" t="s">
        <v>611</v>
      </c>
      <c r="B444" s="10" t="s">
        <v>352</v>
      </c>
      <c r="C444" s="10">
        <f>Ibuanokpehartries</f>
        <v>0</v>
      </c>
      <c r="D444" s="23" t="s">
        <v>357</v>
      </c>
      <c r="E444" s="23" t="s">
        <v>354</v>
      </c>
      <c r="F444" s="21">
        <f>Halaiwaspts</f>
        <v>0</v>
      </c>
    </row>
    <row r="445" spans="1:6" ht="15" customHeight="1" thickBot="1" x14ac:dyDescent="0.3">
      <c r="A445" s="9" t="s">
        <v>612</v>
      </c>
      <c r="B445" s="9" t="s">
        <v>353</v>
      </c>
      <c r="C445" s="10">
        <f>jamestries</f>
        <v>0</v>
      </c>
      <c r="D445" s="23" t="s">
        <v>359</v>
      </c>
      <c r="E445" s="23" t="s">
        <v>309</v>
      </c>
      <c r="F445" s="21">
        <f>Harrisonsalpts</f>
        <v>0</v>
      </c>
    </row>
    <row r="446" spans="1:6" ht="15" customHeight="1" thickBot="1" x14ac:dyDescent="0.3">
      <c r="A446" s="9" t="s">
        <v>931</v>
      </c>
      <c r="B446" s="9" t="s">
        <v>918</v>
      </c>
      <c r="C446" s="10">
        <f>Graham__Guynewtries</f>
        <v>0</v>
      </c>
      <c r="D446" s="23" t="s">
        <v>596</v>
      </c>
      <c r="E446" s="23" t="s">
        <v>308</v>
      </c>
      <c r="F446" s="21">
        <f>Heaneyworpts</f>
        <v>0</v>
      </c>
    </row>
    <row r="447" spans="1:6" ht="15" customHeight="1" thickBot="1" x14ac:dyDescent="0.3">
      <c r="A447" s="9" t="s">
        <v>932</v>
      </c>
      <c r="B447" s="9" t="s">
        <v>918</v>
      </c>
      <c r="C447" s="10">
        <f>Jacksonlirtries</f>
        <v>0</v>
      </c>
      <c r="D447" s="23" t="s">
        <v>972</v>
      </c>
      <c r="E447" s="23" t="s">
        <v>308</v>
      </c>
      <c r="F447" s="21">
        <f>Hearleworpts</f>
        <v>0</v>
      </c>
    </row>
    <row r="448" spans="1:6" ht="15" customHeight="1" thickBot="1" x14ac:dyDescent="0.3">
      <c r="A448" s="9" t="s">
        <v>337</v>
      </c>
      <c r="B448" s="9" t="s">
        <v>354</v>
      </c>
      <c r="C448" s="10">
        <f>Jameswastries</f>
        <v>0</v>
      </c>
      <c r="D448" s="23" t="s">
        <v>598</v>
      </c>
      <c r="E448" s="23" t="s">
        <v>307</v>
      </c>
      <c r="F448" s="21">
        <f>Heinzglopts</f>
        <v>0</v>
      </c>
    </row>
    <row r="449" spans="1:6" ht="15" customHeight="1" thickBot="1" x14ac:dyDescent="0.3">
      <c r="A449" s="9" t="s">
        <v>846</v>
      </c>
      <c r="B449" s="9" t="s">
        <v>354</v>
      </c>
      <c r="C449" s="10">
        <f>Jardinewastries</f>
        <v>0</v>
      </c>
      <c r="D449" s="23" t="s">
        <v>929</v>
      </c>
      <c r="E449" s="23" t="s">
        <v>918</v>
      </c>
      <c r="F449" s="21">
        <f>Floodnewpts</f>
        <v>0</v>
      </c>
    </row>
    <row r="450" spans="1:6" ht="15" customHeight="1" thickBot="1" x14ac:dyDescent="0.3">
      <c r="A450" s="9" t="s">
        <v>614</v>
      </c>
      <c r="B450" s="9" t="s">
        <v>370</v>
      </c>
      <c r="C450" s="10">
        <f>Cowantries</f>
        <v>0</v>
      </c>
      <c r="D450" s="23" t="s">
        <v>975</v>
      </c>
      <c r="E450" s="23" t="s">
        <v>307</v>
      </c>
      <c r="F450" s="21">
        <f>Hinkleyglopts</f>
        <v>0</v>
      </c>
    </row>
    <row r="451" spans="1:6" ht="15" customHeight="1" thickBot="1" x14ac:dyDescent="0.3">
      <c r="A451" s="9" t="s">
        <v>615</v>
      </c>
      <c r="B451" s="9" t="s">
        <v>309</v>
      </c>
      <c r="C451" s="10">
        <f>Jenningssaltries</f>
        <v>0</v>
      </c>
      <c r="D451" s="23" t="s">
        <v>601</v>
      </c>
      <c r="E451" s="23" t="s">
        <v>307</v>
      </c>
      <c r="F451" s="21">
        <f>Hicksgloptscorrect</f>
        <v>0</v>
      </c>
    </row>
    <row r="452" spans="1:6" ht="15" customHeight="1" thickBot="1" x14ac:dyDescent="0.3">
      <c r="A452" s="9" t="s">
        <v>616</v>
      </c>
      <c r="B452" s="9" t="s">
        <v>309</v>
      </c>
      <c r="C452" s="10">
        <f>Johnsaltries</f>
        <v>0</v>
      </c>
      <c r="D452" s="23" t="s">
        <v>347</v>
      </c>
      <c r="E452" s="23" t="s">
        <v>353</v>
      </c>
      <c r="F452" s="21">
        <f>Holmesexepts</f>
        <v>0</v>
      </c>
    </row>
    <row r="453" spans="1:6" ht="15" customHeight="1" thickBot="1" x14ac:dyDescent="0.3">
      <c r="A453" s="9" t="s">
        <v>617</v>
      </c>
      <c r="B453" s="9" t="s">
        <v>354</v>
      </c>
      <c r="C453" s="7">
        <f>Johnsonwastries</f>
        <v>0</v>
      </c>
      <c r="D453" s="23" t="s">
        <v>602</v>
      </c>
      <c r="E453" s="23" t="s">
        <v>352</v>
      </c>
      <c r="F453" s="21">
        <f>Horwillharpts</f>
        <v>0</v>
      </c>
    </row>
    <row r="454" spans="1:6" ht="15" customHeight="1" thickBot="1" x14ac:dyDescent="0.3">
      <c r="A454" s="9" t="s">
        <v>433</v>
      </c>
      <c r="B454" s="9" t="s">
        <v>309</v>
      </c>
      <c r="C454" s="10">
        <f>Jones_Jsaltries</f>
        <v>0</v>
      </c>
      <c r="D454" s="23" t="s">
        <v>605</v>
      </c>
      <c r="E454" s="23" t="s">
        <v>307</v>
      </c>
      <c r="F454" s="21">
        <f>Hudsonglopts</f>
        <v>0</v>
      </c>
    </row>
    <row r="455" spans="1:6" ht="15" customHeight="1" thickBot="1" x14ac:dyDescent="0.3">
      <c r="A455" s="9" t="s">
        <v>333</v>
      </c>
      <c r="B455" s="9" t="s">
        <v>309</v>
      </c>
      <c r="C455" s="10">
        <f>Jonessaltries</f>
        <v>0</v>
      </c>
      <c r="D455" s="23" t="s">
        <v>606</v>
      </c>
      <c r="E455" s="23" t="s">
        <v>354</v>
      </c>
      <c r="F455" s="21">
        <f>Hugheswaspts</f>
        <v>0</v>
      </c>
    </row>
    <row r="456" spans="1:6" ht="15" customHeight="1" thickBot="1" x14ac:dyDescent="0.3">
      <c r="A456" s="9" t="s">
        <v>619</v>
      </c>
      <c r="B456" s="9" t="s">
        <v>370</v>
      </c>
      <c r="C456" s="10">
        <f>Jeffriesbritries</f>
        <v>0</v>
      </c>
      <c r="D456" s="23" t="s">
        <v>608</v>
      </c>
      <c r="E456" s="23" t="s">
        <v>370</v>
      </c>
      <c r="F456" s="21">
        <f>Gilsenanlipts</f>
        <v>0</v>
      </c>
    </row>
    <row r="457" spans="1:6" ht="15" customHeight="1" thickBot="1" x14ac:dyDescent="0.3">
      <c r="A457" s="9" t="s">
        <v>873</v>
      </c>
      <c r="B457" s="9" t="s">
        <v>355</v>
      </c>
      <c r="C457" s="10">
        <f>Judgesartries</f>
        <v>0</v>
      </c>
      <c r="D457" s="21" t="s">
        <v>611</v>
      </c>
      <c r="E457" s="21" t="s">
        <v>352</v>
      </c>
      <c r="F457" s="21">
        <f>Ibuanokpeharpts</f>
        <v>0</v>
      </c>
    </row>
    <row r="458" spans="1:6" ht="15" customHeight="1" thickBot="1" x14ac:dyDescent="0.3">
      <c r="A458" s="9" t="s">
        <v>620</v>
      </c>
      <c r="B458" s="9" t="s">
        <v>356</v>
      </c>
      <c r="C458" s="10">
        <f>Kalamafonileitries</f>
        <v>0</v>
      </c>
      <c r="D458" s="23" t="s">
        <v>612</v>
      </c>
      <c r="E458" s="23" t="s">
        <v>353</v>
      </c>
      <c r="F458" s="21">
        <f>Jamespts</f>
        <v>0</v>
      </c>
    </row>
    <row r="459" spans="1:6" ht="15" customHeight="1" thickBot="1" x14ac:dyDescent="0.3">
      <c r="A459" s="9" t="s">
        <v>978</v>
      </c>
      <c r="B459" s="9" t="s">
        <v>353</v>
      </c>
      <c r="C459" s="10">
        <f>Kareaexetries</f>
        <v>0</v>
      </c>
      <c r="D459" s="23" t="s">
        <v>931</v>
      </c>
      <c r="E459" s="23" t="s">
        <v>918</v>
      </c>
      <c r="F459" s="21">
        <f>Graham__Guynewpts</f>
        <v>0</v>
      </c>
    </row>
    <row r="460" spans="1:6" ht="15" customHeight="1" thickBot="1" x14ac:dyDescent="0.3">
      <c r="A460" s="9" t="s">
        <v>621</v>
      </c>
      <c r="B460" s="9" t="s">
        <v>311</v>
      </c>
      <c r="C460" s="10">
        <f>Kellawaynortries</f>
        <v>0</v>
      </c>
      <c r="D460" s="23" t="s">
        <v>337</v>
      </c>
      <c r="E460" s="23" t="s">
        <v>354</v>
      </c>
      <c r="F460" s="21">
        <f>Jameswaspts</f>
        <v>0</v>
      </c>
    </row>
    <row r="461" spans="1:6" ht="15" customHeight="1" thickBot="1" x14ac:dyDescent="0.3">
      <c r="A461" s="9" t="s">
        <v>622</v>
      </c>
      <c r="B461" s="9" t="s">
        <v>308</v>
      </c>
      <c r="C461" s="10">
        <f>Kerrodwortries</f>
        <v>0</v>
      </c>
      <c r="D461" s="23" t="s">
        <v>846</v>
      </c>
      <c r="E461" s="23" t="s">
        <v>354</v>
      </c>
      <c r="F461" s="21">
        <f>Jardinewaspts</f>
        <v>0</v>
      </c>
    </row>
    <row r="462" spans="1:6" ht="15" customHeight="1" thickBot="1" x14ac:dyDescent="0.3">
      <c r="A462" s="10" t="s">
        <v>1072</v>
      </c>
      <c r="B462" s="9" t="s">
        <v>308</v>
      </c>
      <c r="C462" s="10">
        <f>Lewisrobtries</f>
        <v>0</v>
      </c>
      <c r="D462" s="23" t="s">
        <v>614</v>
      </c>
      <c r="E462" s="23" t="s">
        <v>370</v>
      </c>
      <c r="F462" s="21">
        <f>Jeffriesbripts</f>
        <v>0</v>
      </c>
    </row>
    <row r="463" spans="1:6" ht="15" customHeight="1" thickBot="1" x14ac:dyDescent="0.3">
      <c r="A463" s="9" t="s">
        <v>623</v>
      </c>
      <c r="B463" s="9" t="s">
        <v>355</v>
      </c>
      <c r="C463" s="10">
        <f>Jouberternsttries</f>
        <v>0</v>
      </c>
      <c r="D463" s="23" t="s">
        <v>615</v>
      </c>
      <c r="E463" s="23" t="s">
        <v>309</v>
      </c>
      <c r="F463" s="20">
        <f>Jenningssalpts</f>
        <v>0</v>
      </c>
    </row>
    <row r="464" spans="1:6" ht="15" customHeight="1" thickBot="1" x14ac:dyDescent="0.3">
      <c r="A464" s="9" t="s">
        <v>868</v>
      </c>
      <c r="B464" s="9" t="s">
        <v>355</v>
      </c>
      <c r="C464" s="10">
        <f>Kpokusartries</f>
        <v>0</v>
      </c>
      <c r="D464" s="23" t="s">
        <v>616</v>
      </c>
      <c r="E464" s="23" t="s">
        <v>309</v>
      </c>
      <c r="F464" s="21">
        <f>Johnsalpts</f>
        <v>0</v>
      </c>
    </row>
    <row r="465" spans="1:6" ht="15" customHeight="1" thickBot="1" x14ac:dyDescent="0.3">
      <c r="A465" s="9" t="s">
        <v>869</v>
      </c>
      <c r="B465" s="9" t="s">
        <v>355</v>
      </c>
      <c r="C465" s="10">
        <f>Kpoku__Jonathansartries</f>
        <v>0</v>
      </c>
      <c r="D465" s="23" t="s">
        <v>617</v>
      </c>
      <c r="E465" s="23" t="s">
        <v>354</v>
      </c>
      <c r="F465" s="21">
        <f>Johnsonwaspts</f>
        <v>0</v>
      </c>
    </row>
    <row r="466" spans="1:6" ht="15" customHeight="1" thickBot="1" x14ac:dyDescent="0.3">
      <c r="A466" s="9" t="s">
        <v>624</v>
      </c>
      <c r="B466" s="9" t="s">
        <v>307</v>
      </c>
      <c r="C466" s="10">
        <f>Krielglotries</f>
        <v>0</v>
      </c>
      <c r="D466" s="23" t="s">
        <v>433</v>
      </c>
      <c r="E466" s="23" t="s">
        <v>309</v>
      </c>
      <c r="F466" s="21">
        <f>Jones_Jsalpts</f>
        <v>0</v>
      </c>
    </row>
    <row r="467" spans="1:6" ht="15" customHeight="1" thickBot="1" x14ac:dyDescent="0.3">
      <c r="A467" s="9" t="s">
        <v>625</v>
      </c>
      <c r="B467" s="9" t="s">
        <v>355</v>
      </c>
      <c r="C467" s="10">
        <f>Kruisgeorgetries</f>
        <v>0</v>
      </c>
      <c r="D467" s="23" t="s">
        <v>333</v>
      </c>
      <c r="E467" s="23" t="s">
        <v>309</v>
      </c>
      <c r="F467" s="21">
        <f>Jonessalpts</f>
        <v>0</v>
      </c>
    </row>
    <row r="468" spans="1:6" ht="15" customHeight="1" thickBot="1" x14ac:dyDescent="0.3">
      <c r="A468" s="9" t="s">
        <v>853</v>
      </c>
      <c r="B468" s="9" t="s">
        <v>352</v>
      </c>
      <c r="C468" s="10">
        <f>Kunatanihartries</f>
        <v>0</v>
      </c>
      <c r="D468" s="23" t="s">
        <v>619</v>
      </c>
      <c r="E468" s="23" t="s">
        <v>370</v>
      </c>
      <c r="F468" s="21">
        <f>Hearnlirpts</f>
        <v>0</v>
      </c>
    </row>
    <row r="469" spans="1:6" ht="15" customHeight="1" thickBot="1" x14ac:dyDescent="0.3">
      <c r="A469" s="9" t="s">
        <v>627</v>
      </c>
      <c r="B469" s="9" t="s">
        <v>370</v>
      </c>
      <c r="C469" s="10">
        <f>Lambritries</f>
        <v>0</v>
      </c>
      <c r="D469" s="23" t="s">
        <v>873</v>
      </c>
      <c r="E469" s="23" t="s">
        <v>355</v>
      </c>
      <c r="F469" s="21">
        <f>Judgesarpts</f>
        <v>0</v>
      </c>
    </row>
    <row r="470" spans="1:6" ht="15" customHeight="1" thickBot="1" x14ac:dyDescent="0.3">
      <c r="A470" s="9" t="s">
        <v>628</v>
      </c>
      <c r="B470" s="9" t="s">
        <v>352</v>
      </c>
      <c r="C470" s="10">
        <f>Jonesadamhartries</f>
        <v>0</v>
      </c>
      <c r="D470" s="23" t="s">
        <v>620</v>
      </c>
      <c r="E470" s="23" t="s">
        <v>356</v>
      </c>
      <c r="F470" s="21">
        <f>Kalamafonileipts</f>
        <v>0</v>
      </c>
    </row>
    <row r="471" spans="1:6" ht="15" customHeight="1" thickBot="1" x14ac:dyDescent="0.3">
      <c r="A471" s="9" t="s">
        <v>629</v>
      </c>
      <c r="B471" s="9" t="s">
        <v>352</v>
      </c>
      <c r="C471" s="10">
        <f>Lamberthartries</f>
        <v>0</v>
      </c>
      <c r="D471" s="23" t="s">
        <v>978</v>
      </c>
      <c r="E471" s="23" t="s">
        <v>979</v>
      </c>
      <c r="F471" s="21">
        <f>Kareaexepts</f>
        <v>0</v>
      </c>
    </row>
    <row r="472" spans="1:6" ht="15" customHeight="1" thickBot="1" x14ac:dyDescent="0.3">
      <c r="A472" s="9" t="s">
        <v>633</v>
      </c>
      <c r="B472" s="9" t="s">
        <v>309</v>
      </c>
      <c r="C472" s="10">
        <f>Langdonsaltries</f>
        <v>0</v>
      </c>
      <c r="D472" s="23" t="s">
        <v>621</v>
      </c>
      <c r="E472" s="23" t="s">
        <v>311</v>
      </c>
      <c r="F472" s="21">
        <f>Kellawaynorpts</f>
        <v>0</v>
      </c>
    </row>
    <row r="473" spans="1:6" ht="15" customHeight="1" thickBot="1" x14ac:dyDescent="0.3">
      <c r="A473" s="9" t="s">
        <v>634</v>
      </c>
      <c r="B473" s="9" t="s">
        <v>354</v>
      </c>
      <c r="C473" s="10">
        <f>Langleywastries</f>
        <v>0</v>
      </c>
      <c r="D473" s="23" t="s">
        <v>622</v>
      </c>
      <c r="E473" s="23" t="s">
        <v>308</v>
      </c>
      <c r="F473" s="21">
        <f>Kerrodworpts</f>
        <v>0</v>
      </c>
    </row>
    <row r="474" spans="1:6" ht="15" customHeight="1" thickBot="1" x14ac:dyDescent="0.3">
      <c r="A474" s="9" t="s">
        <v>636</v>
      </c>
      <c r="B474" s="9" t="s">
        <v>370</v>
      </c>
      <c r="C474" s="10">
        <f>Laybritries</f>
        <v>0</v>
      </c>
      <c r="D474" s="21" t="s">
        <v>1072</v>
      </c>
      <c r="E474" s="23" t="s">
        <v>308</v>
      </c>
      <c r="F474" s="21">
        <f>Lewisrobpts</f>
        <v>0</v>
      </c>
    </row>
    <row r="475" spans="1:6" ht="15" customHeight="1" thickBot="1" x14ac:dyDescent="0.3">
      <c r="A475" s="9" t="s">
        <v>637</v>
      </c>
      <c r="B475" s="9" t="s">
        <v>354</v>
      </c>
      <c r="C475" s="10">
        <f>Launchburywastries</f>
        <v>0</v>
      </c>
      <c r="D475" s="23" t="s">
        <v>623</v>
      </c>
      <c r="E475" s="23" t="s">
        <v>355</v>
      </c>
      <c r="F475" s="21">
        <f>Jouberternstpts</f>
        <v>0</v>
      </c>
    </row>
    <row r="476" spans="1:6" ht="15" customHeight="1" thickBot="1" x14ac:dyDescent="0.3">
      <c r="A476" s="9" t="s">
        <v>638</v>
      </c>
      <c r="B476" s="9" t="s">
        <v>352</v>
      </c>
      <c r="C476" s="10">
        <f>Lewisdavehartries</f>
        <v>0</v>
      </c>
      <c r="D476" s="23" t="s">
        <v>868</v>
      </c>
      <c r="E476" s="23" t="s">
        <v>355</v>
      </c>
      <c r="F476" s="21">
        <f>Kpokusarpts</f>
        <v>0</v>
      </c>
    </row>
    <row r="477" spans="1:6" ht="15" customHeight="1" thickBot="1" x14ac:dyDescent="0.3">
      <c r="A477" s="10" t="s">
        <v>639</v>
      </c>
      <c r="B477" s="9" t="s">
        <v>311</v>
      </c>
      <c r="C477" s="10">
        <f>Lawesnortries</f>
        <v>0</v>
      </c>
      <c r="D477" s="23" t="s">
        <v>869</v>
      </c>
      <c r="E477" s="23" t="s">
        <v>355</v>
      </c>
      <c r="F477" s="21">
        <f>Kpoku__Jonathansarpts</f>
        <v>0</v>
      </c>
    </row>
    <row r="478" spans="1:6" ht="15" customHeight="1" thickBot="1" x14ac:dyDescent="0.3">
      <c r="A478" s="9" t="s">
        <v>381</v>
      </c>
      <c r="B478" s="9" t="s">
        <v>370</v>
      </c>
      <c r="C478" s="10">
        <f>Lloydlirtries</f>
        <v>0</v>
      </c>
      <c r="D478" s="23" t="s">
        <v>624</v>
      </c>
      <c r="E478" s="23" t="s">
        <v>307</v>
      </c>
      <c r="F478" s="21">
        <f>Krielglopts</f>
        <v>0</v>
      </c>
    </row>
    <row r="479" spans="1:6" ht="15" customHeight="1" thickBot="1" x14ac:dyDescent="0.3">
      <c r="A479" s="9" t="s">
        <v>382</v>
      </c>
      <c r="B479" s="9" t="s">
        <v>370</v>
      </c>
      <c r="C479" s="10">
        <f>Lloydlirtries</f>
        <v>0</v>
      </c>
      <c r="D479" s="23" t="s">
        <v>625</v>
      </c>
      <c r="E479" s="23" t="s">
        <v>355</v>
      </c>
      <c r="F479" s="21">
        <f>Kruisgeorgepts</f>
        <v>0</v>
      </c>
    </row>
    <row r="480" spans="1:6" ht="15" customHeight="1" thickBot="1" x14ac:dyDescent="0.3">
      <c r="A480" s="9" t="s">
        <v>641</v>
      </c>
      <c r="B480" s="9" t="s">
        <v>354</v>
      </c>
      <c r="C480" s="10">
        <f>Le_Bourgeoiswastries</f>
        <v>0</v>
      </c>
      <c r="D480" s="23" t="s">
        <v>853</v>
      </c>
      <c r="E480" s="23" t="s">
        <v>352</v>
      </c>
      <c r="F480" s="21">
        <f>Kunataniharpts</f>
        <v>0</v>
      </c>
    </row>
    <row r="481" spans="1:6" ht="15" customHeight="1" thickBot="1" x14ac:dyDescent="0.3">
      <c r="A481" s="9" t="s">
        <v>642</v>
      </c>
      <c r="B481" s="9" t="s">
        <v>354</v>
      </c>
      <c r="C481" s="10">
        <f>Le_Rouxwastries</f>
        <v>0</v>
      </c>
      <c r="D481" s="23" t="s">
        <v>627</v>
      </c>
      <c r="E481" s="23" t="s">
        <v>370</v>
      </c>
      <c r="F481" s="21">
        <f>Lambripts</f>
        <v>0</v>
      </c>
    </row>
    <row r="482" spans="1:6" ht="15" customHeight="1" thickBot="1" x14ac:dyDescent="0.3">
      <c r="A482" s="9" t="s">
        <v>1082</v>
      </c>
      <c r="B482" s="9" t="s">
        <v>356</v>
      </c>
      <c r="C482" s="10">
        <f>Kitchenergrahamtriescorrect</f>
        <v>0</v>
      </c>
      <c r="D482" s="23" t="s">
        <v>628</v>
      </c>
      <c r="E482" s="23" t="s">
        <v>352</v>
      </c>
      <c r="F482" s="21">
        <f>Jonesadamharpts</f>
        <v>0</v>
      </c>
    </row>
    <row r="483" spans="1:6" ht="15" customHeight="1" thickBot="1" x14ac:dyDescent="0.3">
      <c r="A483" s="9" t="s">
        <v>644</v>
      </c>
      <c r="B483" s="9" t="s">
        <v>309</v>
      </c>
      <c r="C483" s="7">
        <f>Leotajohnnytries</f>
        <v>0</v>
      </c>
      <c r="D483" s="23" t="s">
        <v>629</v>
      </c>
      <c r="E483" s="23" t="s">
        <v>352</v>
      </c>
      <c r="F483" s="21">
        <f>Lambertharpts</f>
        <v>0</v>
      </c>
    </row>
    <row r="484" spans="1:6" ht="15" customHeight="1" thickBot="1" x14ac:dyDescent="0.3">
      <c r="A484" s="10" t="s">
        <v>340</v>
      </c>
      <c r="B484" s="10" t="s">
        <v>356</v>
      </c>
      <c r="C484" s="10">
        <f>Lewisleictries</f>
        <v>0</v>
      </c>
      <c r="D484" s="23" t="s">
        <v>633</v>
      </c>
      <c r="E484" s="23" t="s">
        <v>309</v>
      </c>
      <c r="F484" s="21">
        <f>Langdonsalpts</f>
        <v>0</v>
      </c>
    </row>
    <row r="485" spans="1:6" ht="15" customHeight="1" thickBot="1" x14ac:dyDescent="0.3">
      <c r="A485" s="9" t="s">
        <v>340</v>
      </c>
      <c r="B485" s="9" t="s">
        <v>308</v>
      </c>
      <c r="C485" s="62">
        <f>Maytomtries</f>
        <v>0</v>
      </c>
      <c r="D485" s="23" t="s">
        <v>634</v>
      </c>
      <c r="E485" s="23" t="s">
        <v>354</v>
      </c>
      <c r="F485" s="21">
        <f>Langleywaspts</f>
        <v>0</v>
      </c>
    </row>
    <row r="486" spans="1:6" ht="15" customHeight="1" thickBot="1" x14ac:dyDescent="0.3">
      <c r="A486" s="9" t="s">
        <v>646</v>
      </c>
      <c r="B486" s="9" t="s">
        <v>370</v>
      </c>
      <c r="C486" s="10">
        <f>Lomidzelirtries</f>
        <v>0</v>
      </c>
      <c r="D486" s="23" t="s">
        <v>636</v>
      </c>
      <c r="E486" s="23" t="s">
        <v>370</v>
      </c>
      <c r="F486" s="21">
        <f>Hoskinslirpts</f>
        <v>0</v>
      </c>
    </row>
    <row r="487" spans="1:6" ht="15" customHeight="1" thickBot="1" x14ac:dyDescent="0.3">
      <c r="A487" s="9" t="s">
        <v>648</v>
      </c>
      <c r="B487" s="9" t="s">
        <v>354</v>
      </c>
      <c r="C487" s="10">
        <f>Leiuawastries</f>
        <v>0</v>
      </c>
      <c r="D487" s="23" t="s">
        <v>637</v>
      </c>
      <c r="E487" s="23" t="s">
        <v>354</v>
      </c>
      <c r="F487" s="21">
        <f>Launchburywaspts</f>
        <v>0</v>
      </c>
    </row>
    <row r="488" spans="1:6" ht="15" customHeight="1" thickBot="1" x14ac:dyDescent="0.3">
      <c r="A488" s="10" t="s">
        <v>649</v>
      </c>
      <c r="B488" s="10" t="s">
        <v>353</v>
      </c>
      <c r="C488" s="10">
        <f>Lowmoraytries</f>
        <v>0</v>
      </c>
      <c r="D488" s="23" t="s">
        <v>638</v>
      </c>
      <c r="E488" s="23" t="s">
        <v>352</v>
      </c>
      <c r="F488" s="22">
        <f>Lewisdaveharpts</f>
        <v>0</v>
      </c>
    </row>
    <row r="489" spans="1:6" ht="15" customHeight="1" thickBot="1" x14ac:dyDescent="0.3">
      <c r="A489" s="9" t="s">
        <v>651</v>
      </c>
      <c r="B489" s="9" t="s">
        <v>370</v>
      </c>
      <c r="C489" s="10">
        <f>Marshalllirtries</f>
        <v>0</v>
      </c>
      <c r="D489" s="21" t="s">
        <v>639</v>
      </c>
      <c r="E489" s="23" t="s">
        <v>311</v>
      </c>
      <c r="F489" s="21">
        <f>Lawesnorpts</f>
        <v>0</v>
      </c>
    </row>
    <row r="490" spans="1:6" ht="15" customHeight="1" thickBot="1" x14ac:dyDescent="0.3">
      <c r="A490" s="9" t="s">
        <v>934</v>
      </c>
      <c r="B490" s="9" t="s">
        <v>918</v>
      </c>
      <c r="C490" s="10">
        <f>Harrisnewtries</f>
        <v>0</v>
      </c>
      <c r="D490" s="23" t="s">
        <v>381</v>
      </c>
      <c r="E490" s="23" t="s">
        <v>370</v>
      </c>
      <c r="F490" s="21">
        <f>Laybripts</f>
        <v>0</v>
      </c>
    </row>
    <row r="491" spans="1:6" ht="15" customHeight="1" thickBot="1" x14ac:dyDescent="0.3">
      <c r="A491" s="9" t="s">
        <v>935</v>
      </c>
      <c r="B491" s="9" t="s">
        <v>918</v>
      </c>
      <c r="C491" s="10">
        <f>Hawkinsnewtries</f>
        <v>0</v>
      </c>
      <c r="D491" s="23" t="s">
        <v>382</v>
      </c>
      <c r="E491" s="23" t="s">
        <v>370</v>
      </c>
      <c r="F491" s="20">
        <f>Lloydlirpts</f>
        <v>0</v>
      </c>
    </row>
    <row r="492" spans="1:6" ht="15" customHeight="1" thickBot="1" x14ac:dyDescent="0.3">
      <c r="A492" s="9" t="s">
        <v>655</v>
      </c>
      <c r="B492" s="9" t="s">
        <v>370</v>
      </c>
      <c r="C492" s="10">
        <f>McKibbinlirtries</f>
        <v>0</v>
      </c>
      <c r="D492" s="23" t="s">
        <v>641</v>
      </c>
      <c r="E492" s="23" t="s">
        <v>354</v>
      </c>
      <c r="F492" s="21">
        <f>Le_Bourgeoiswaspts</f>
        <v>0</v>
      </c>
    </row>
    <row r="493" spans="1:6" ht="15" customHeight="1" thickBot="1" x14ac:dyDescent="0.3">
      <c r="A493" s="9" t="s">
        <v>660</v>
      </c>
      <c r="B493" s="9" t="s">
        <v>307</v>
      </c>
      <c r="C493" s="10">
        <f>Maraisglotries</f>
        <v>0</v>
      </c>
      <c r="D493" s="23" t="s">
        <v>642</v>
      </c>
      <c r="E493" s="23" t="s">
        <v>354</v>
      </c>
      <c r="F493" s="21">
        <f>Le_Rouxwaspts</f>
        <v>0</v>
      </c>
    </row>
    <row r="494" spans="1:6" ht="15" customHeight="1" thickBot="1" x14ac:dyDescent="0.3">
      <c r="A494" s="9" t="s">
        <v>662</v>
      </c>
      <c r="B494" s="9" t="s">
        <v>352</v>
      </c>
      <c r="C494" s="10">
        <f>marlertries</f>
        <v>0</v>
      </c>
      <c r="D494" s="23" t="s">
        <v>1082</v>
      </c>
      <c r="E494" s="23" t="s">
        <v>356</v>
      </c>
      <c r="F494" s="21">
        <f>Kitchenergrahamptscorrect</f>
        <v>0</v>
      </c>
    </row>
    <row r="495" spans="1:6" ht="15" customHeight="1" thickBot="1" x14ac:dyDescent="0.3">
      <c r="A495" s="9" t="s">
        <v>466</v>
      </c>
      <c r="B495" s="9" t="s">
        <v>311</v>
      </c>
      <c r="C495" s="10">
        <f>Marshallnortries</f>
        <v>0</v>
      </c>
      <c r="D495" s="23" t="s">
        <v>644</v>
      </c>
      <c r="E495" s="23" t="s">
        <v>309</v>
      </c>
      <c r="F495" s="21">
        <f>Leotajohnnypts</f>
        <v>0</v>
      </c>
    </row>
    <row r="496" spans="1:6" ht="15" customHeight="1" thickBot="1" x14ac:dyDescent="0.3">
      <c r="A496" s="9" t="s">
        <v>663</v>
      </c>
      <c r="B496" s="9" t="s">
        <v>354</v>
      </c>
      <c r="C496" s="10">
        <f>Matthewswastries</f>
        <v>0</v>
      </c>
      <c r="D496" s="23" t="s">
        <v>340</v>
      </c>
      <c r="E496" s="23" t="s">
        <v>356</v>
      </c>
      <c r="F496" s="21">
        <f>Lewisleicpts</f>
        <v>0</v>
      </c>
    </row>
    <row r="497" spans="1:6" ht="15" customHeight="1" thickBot="1" x14ac:dyDescent="0.3">
      <c r="A497" s="9" t="s">
        <v>986</v>
      </c>
      <c r="B497" s="9" t="s">
        <v>311</v>
      </c>
      <c r="C497" s="10">
        <f>Matthewsnortries</f>
        <v>0</v>
      </c>
      <c r="D497" s="23" t="s">
        <v>340</v>
      </c>
      <c r="E497" s="23" t="s">
        <v>308</v>
      </c>
      <c r="F497" s="21">
        <f>Maytompts</f>
        <v>0</v>
      </c>
    </row>
    <row r="498" spans="1:6" ht="15" customHeight="1" thickBot="1" x14ac:dyDescent="0.3">
      <c r="A498" s="9" t="s">
        <v>666</v>
      </c>
      <c r="B498" s="9" t="s">
        <v>307</v>
      </c>
      <c r="C498" s="10">
        <f>McAllisterglotries</f>
        <v>0</v>
      </c>
      <c r="D498" s="23" t="s">
        <v>646</v>
      </c>
      <c r="E498" s="23" t="s">
        <v>370</v>
      </c>
      <c r="F498" s="22">
        <f>Lomidzelirpts</f>
        <v>0</v>
      </c>
    </row>
    <row r="499" spans="1:6" ht="15" customHeight="1" thickBot="1" x14ac:dyDescent="0.3">
      <c r="A499" s="9" t="s">
        <v>668</v>
      </c>
      <c r="B499" s="9" t="s">
        <v>354</v>
      </c>
      <c r="C499" s="10">
        <f>McIntyrewastries</f>
        <v>0</v>
      </c>
      <c r="D499" s="23" t="s">
        <v>648</v>
      </c>
      <c r="E499" s="23" t="s">
        <v>354</v>
      </c>
      <c r="F499" s="20">
        <f>Leiuaalapatiwaspts</f>
        <v>0</v>
      </c>
    </row>
    <row r="500" spans="1:6" ht="15" customHeight="1" thickBot="1" x14ac:dyDescent="0.3">
      <c r="A500" s="9" t="s">
        <v>984</v>
      </c>
      <c r="B500" s="9" t="s">
        <v>918</v>
      </c>
      <c r="C500" s="10">
        <f>Mcmillanlirtries</f>
        <v>0</v>
      </c>
      <c r="D500" s="21" t="s">
        <v>649</v>
      </c>
      <c r="E500" s="21" t="s">
        <v>353</v>
      </c>
      <c r="F500" s="21">
        <f>Lowmoraypts</f>
        <v>0</v>
      </c>
    </row>
    <row r="501" spans="1:6" ht="15" customHeight="1" thickBot="1" x14ac:dyDescent="0.3">
      <c r="A501" s="9" t="s">
        <v>669</v>
      </c>
      <c r="B501" s="9" t="s">
        <v>352</v>
      </c>
      <c r="C501" s="10">
        <f>McNultyhartries</f>
        <v>0</v>
      </c>
      <c r="D501" s="23" t="s">
        <v>651</v>
      </c>
      <c r="E501" s="23" t="s">
        <v>370</v>
      </c>
      <c r="F501" s="21">
        <f>Marshalllirpts</f>
        <v>0</v>
      </c>
    </row>
    <row r="502" spans="1:6" ht="15" customHeight="1" thickBot="1" x14ac:dyDescent="0.3">
      <c r="A502" s="9" t="s">
        <v>983</v>
      </c>
      <c r="B502" s="9" t="s">
        <v>356</v>
      </c>
      <c r="C502" s="10">
        <f>Mcphilipsleitries</f>
        <v>0</v>
      </c>
      <c r="D502" s="23" t="s">
        <v>934</v>
      </c>
      <c r="E502" s="23" t="s">
        <v>918</v>
      </c>
      <c r="F502" s="21">
        <f>Harrisnewpts</f>
        <v>0</v>
      </c>
    </row>
    <row r="503" spans="1:6" ht="15" customHeight="1" thickBot="1" x14ac:dyDescent="0.3">
      <c r="A503" s="9" t="s">
        <v>670</v>
      </c>
      <c r="B503" s="9" t="s">
        <v>352</v>
      </c>
      <c r="C503" s="10">
        <f>Merrickhartries</f>
        <v>0</v>
      </c>
      <c r="D503" s="23" t="s">
        <v>935</v>
      </c>
      <c r="E503" s="23" t="s">
        <v>918</v>
      </c>
      <c r="F503" s="21">
        <f>Hawkinsnewpts</f>
        <v>0</v>
      </c>
    </row>
    <row r="504" spans="1:6" ht="15" customHeight="1" thickBot="1" x14ac:dyDescent="0.3">
      <c r="A504" s="9" t="s">
        <v>816</v>
      </c>
      <c r="B504" s="9" t="s">
        <v>308</v>
      </c>
      <c r="C504" s="10">
        <f>Milasinovichwortries</f>
        <v>0</v>
      </c>
      <c r="D504" s="23" t="s">
        <v>660</v>
      </c>
      <c r="E504" s="23" t="s">
        <v>307</v>
      </c>
      <c r="F504" s="21">
        <f>Maraisglopts</f>
        <v>0</v>
      </c>
    </row>
    <row r="505" spans="1:6" ht="15" customHeight="1" thickBot="1" x14ac:dyDescent="0.3">
      <c r="A505" s="10" t="s">
        <v>453</v>
      </c>
      <c r="B505" s="9" t="s">
        <v>308</v>
      </c>
      <c r="C505" s="10">
        <f>Millerwortries</f>
        <v>0</v>
      </c>
      <c r="D505" s="23" t="s">
        <v>662</v>
      </c>
      <c r="E505" s="23" t="s">
        <v>352</v>
      </c>
      <c r="F505" s="22">
        <f>Marlerharpts</f>
        <v>0</v>
      </c>
    </row>
    <row r="506" spans="1:6" ht="15" customHeight="1" thickBot="1" x14ac:dyDescent="0.3">
      <c r="A506" s="9" t="s">
        <v>468</v>
      </c>
      <c r="B506" s="9" t="s">
        <v>354</v>
      </c>
      <c r="C506" s="10">
        <f>Millerwastries</f>
        <v>0</v>
      </c>
      <c r="D506" s="23" t="s">
        <v>466</v>
      </c>
      <c r="E506" s="23" t="s">
        <v>311</v>
      </c>
      <c r="F506" s="21">
        <f>Marshallnorpts</f>
        <v>0</v>
      </c>
    </row>
    <row r="507" spans="1:6" ht="15" customHeight="1" thickBot="1" x14ac:dyDescent="0.3">
      <c r="A507" s="9" t="s">
        <v>671</v>
      </c>
      <c r="B507" s="9" t="s">
        <v>308</v>
      </c>
      <c r="C507" s="62">
        <f>McNallyjoshtries</f>
        <v>0</v>
      </c>
      <c r="D507" s="23" t="s">
        <v>663</v>
      </c>
      <c r="E507" s="23" t="s">
        <v>354</v>
      </c>
      <c r="F507" s="20">
        <f>Matthewswaspts</f>
        <v>0</v>
      </c>
    </row>
    <row r="508" spans="1:6" ht="15" customHeight="1" thickBot="1" x14ac:dyDescent="0.3">
      <c r="A508" s="9" t="s">
        <v>971</v>
      </c>
      <c r="B508" s="9" t="s">
        <v>308</v>
      </c>
      <c r="C508" s="62">
        <f>Montgomerywortries</f>
        <v>0</v>
      </c>
      <c r="D508" s="23" t="s">
        <v>986</v>
      </c>
      <c r="E508" s="23" t="s">
        <v>311</v>
      </c>
      <c r="F508" s="21">
        <f>Matthewsnorpts</f>
        <v>0</v>
      </c>
    </row>
    <row r="509" spans="1:6" ht="15" customHeight="1" thickBot="1" x14ac:dyDescent="0.3">
      <c r="A509" s="9" t="s">
        <v>896</v>
      </c>
      <c r="B509" s="9" t="s">
        <v>311</v>
      </c>
      <c r="C509" s="10">
        <f>Moon_Anortries</f>
        <v>0</v>
      </c>
      <c r="D509" s="23" t="s">
        <v>666</v>
      </c>
      <c r="E509" s="23" t="s">
        <v>307</v>
      </c>
      <c r="F509" s="21">
        <f>McAllisterglopts</f>
        <v>0</v>
      </c>
    </row>
    <row r="510" spans="1:6" ht="15" customHeight="1" thickBot="1" x14ac:dyDescent="0.3">
      <c r="A510" s="9" t="s">
        <v>1011</v>
      </c>
      <c r="B510" s="9" t="s">
        <v>307</v>
      </c>
      <c r="C510" s="10">
        <f>Morrisglotries</f>
        <v>0</v>
      </c>
      <c r="D510" s="23" t="s">
        <v>668</v>
      </c>
      <c r="E510" s="23" t="s">
        <v>354</v>
      </c>
      <c r="F510" s="21">
        <f>McIntyresimonpts</f>
        <v>0</v>
      </c>
    </row>
    <row r="511" spans="1:6" ht="15" customHeight="1" thickBot="1" x14ac:dyDescent="0.3">
      <c r="A511" s="9" t="s">
        <v>1073</v>
      </c>
      <c r="B511" s="9" t="s">
        <v>308</v>
      </c>
      <c r="C511" s="10">
        <f>Morriswortries</f>
        <v>0</v>
      </c>
      <c r="D511" s="23" t="s">
        <v>985</v>
      </c>
      <c r="E511" s="23" t="s">
        <v>918</v>
      </c>
      <c r="F511" s="20">
        <f>Mcmillanlirpts</f>
        <v>0</v>
      </c>
    </row>
    <row r="512" spans="1:6" ht="15" customHeight="1" thickBot="1" x14ac:dyDescent="0.3">
      <c r="A512" s="9" t="s">
        <v>676</v>
      </c>
      <c r="B512" s="9" t="s">
        <v>307</v>
      </c>
      <c r="C512" s="10">
        <f>Moriartyglotries</f>
        <v>0</v>
      </c>
      <c r="D512" s="23" t="s">
        <v>669</v>
      </c>
      <c r="E512" s="23" t="s">
        <v>352</v>
      </c>
      <c r="F512" s="21">
        <f>McNultyharpts</f>
        <v>0</v>
      </c>
    </row>
    <row r="513" spans="1:6" ht="15" customHeight="1" thickBot="1" x14ac:dyDescent="0.3">
      <c r="A513" s="9" t="s">
        <v>818</v>
      </c>
      <c r="B513" s="9" t="s">
        <v>308</v>
      </c>
      <c r="C513" s="10">
        <f>Mudarikiwortries</f>
        <v>0</v>
      </c>
      <c r="D513" s="23" t="s">
        <v>670</v>
      </c>
      <c r="E513" s="23" t="s">
        <v>352</v>
      </c>
      <c r="F513" s="21">
        <f>Merrickharpts</f>
        <v>0</v>
      </c>
    </row>
    <row r="514" spans="1:6" ht="15" customHeight="1" thickBot="1" x14ac:dyDescent="0.3">
      <c r="A514" s="9" t="s">
        <v>677</v>
      </c>
      <c r="B514" s="9" t="s">
        <v>352</v>
      </c>
      <c r="C514" s="10">
        <f>Mulchronehartries</f>
        <v>0</v>
      </c>
      <c r="D514" s="23" t="s">
        <v>816</v>
      </c>
      <c r="E514" s="23" t="s">
        <v>308</v>
      </c>
      <c r="F514" s="21">
        <f>Milasinovichworpts</f>
        <v>0</v>
      </c>
    </row>
    <row r="515" spans="1:6" ht="15" customHeight="1" thickBot="1" x14ac:dyDescent="0.3">
      <c r="A515" s="9" t="s">
        <v>678</v>
      </c>
      <c r="B515" s="9" t="s">
        <v>370</v>
      </c>
      <c r="C515" s="10">
        <f>Muldowneybritries</f>
        <v>0</v>
      </c>
      <c r="D515" s="21" t="s">
        <v>453</v>
      </c>
      <c r="E515" s="23" t="s">
        <v>308</v>
      </c>
      <c r="F515" s="21">
        <f>Millerworpts</f>
        <v>0</v>
      </c>
    </row>
    <row r="516" spans="1:6" ht="15" customHeight="1" thickBot="1" x14ac:dyDescent="0.3">
      <c r="A516" s="9" t="s">
        <v>679</v>
      </c>
      <c r="B516" s="9" t="s">
        <v>354</v>
      </c>
      <c r="C516" s="10">
        <f>Mullanwastries</f>
        <v>0</v>
      </c>
      <c r="D516" s="23" t="s">
        <v>671</v>
      </c>
      <c r="E516" s="23" t="s">
        <v>308</v>
      </c>
      <c r="F516" s="21">
        <f>McNallyjoshpts</f>
        <v>0</v>
      </c>
    </row>
    <row r="517" spans="1:6" ht="15" customHeight="1" thickBot="1" x14ac:dyDescent="0.3">
      <c r="A517" s="9" t="s">
        <v>680</v>
      </c>
      <c r="B517" s="9" t="s">
        <v>354</v>
      </c>
      <c r="C517" s="10">
        <f>Myalltries</f>
        <v>0</v>
      </c>
      <c r="D517" s="23" t="s">
        <v>971</v>
      </c>
      <c r="E517" s="23" t="s">
        <v>308</v>
      </c>
      <c r="F517" s="21">
        <f>Montgomeryworpts</f>
        <v>0</v>
      </c>
    </row>
    <row r="518" spans="1:6" ht="15" customHeight="1" thickBot="1" x14ac:dyDescent="0.3">
      <c r="A518" s="9" t="s">
        <v>949</v>
      </c>
      <c r="B518" s="9" t="s">
        <v>918</v>
      </c>
      <c r="C518" s="10">
        <f>Mylerlirtries</f>
        <v>0</v>
      </c>
      <c r="D518" s="21" t="s">
        <v>896</v>
      </c>
      <c r="E518" s="23" t="s">
        <v>311</v>
      </c>
      <c r="F518" s="21">
        <f>Moonnorpts</f>
        <v>0</v>
      </c>
    </row>
    <row r="519" spans="1:6" ht="15" customHeight="1" thickBot="1" x14ac:dyDescent="0.3">
      <c r="A519" s="9" t="s">
        <v>683</v>
      </c>
      <c r="B519" s="9" t="s">
        <v>310</v>
      </c>
      <c r="C519" s="10">
        <f>Noguerabthtries</f>
        <v>0</v>
      </c>
      <c r="D519" s="23" t="s">
        <v>1011</v>
      </c>
      <c r="E519" s="23" t="s">
        <v>307</v>
      </c>
      <c r="F519" s="21">
        <f>Morrisglopts</f>
        <v>0</v>
      </c>
    </row>
    <row r="520" spans="1:6" ht="15" customHeight="1" thickBot="1" x14ac:dyDescent="0.3">
      <c r="A520" s="81" t="s">
        <v>1114</v>
      </c>
      <c r="B520" s="9" t="s">
        <v>352</v>
      </c>
      <c r="C520" s="10">
        <f>Northmorehartries</f>
        <v>0</v>
      </c>
      <c r="D520" s="3" t="s">
        <v>1073</v>
      </c>
      <c r="E520" s="23" t="s">
        <v>308</v>
      </c>
      <c r="F520" s="21">
        <f>Morrisworpts</f>
        <v>0</v>
      </c>
    </row>
    <row r="521" spans="1:6" ht="15" customHeight="1" thickBot="1" x14ac:dyDescent="0.3">
      <c r="A521" s="81" t="s">
        <v>684</v>
      </c>
      <c r="B521" s="9" t="s">
        <v>918</v>
      </c>
      <c r="C521" s="10">
        <f>Nottlirtries</f>
        <v>0</v>
      </c>
      <c r="D521" s="3" t="s">
        <v>676</v>
      </c>
      <c r="E521" s="23" t="s">
        <v>307</v>
      </c>
      <c r="F521" s="21">
        <f>Moriartyglopts</f>
        <v>0</v>
      </c>
    </row>
    <row r="522" spans="1:6" ht="15" customHeight="1" thickBot="1" x14ac:dyDescent="0.3">
      <c r="A522" s="81" t="s">
        <v>434</v>
      </c>
      <c r="B522" s="9" t="s">
        <v>309</v>
      </c>
      <c r="C522" s="10">
        <f>O_Connortriessal</f>
        <v>0</v>
      </c>
      <c r="D522" s="3" t="s">
        <v>818</v>
      </c>
      <c r="E522" s="23" t="s">
        <v>308</v>
      </c>
      <c r="F522" s="21">
        <f>Mudarikiworpts</f>
        <v>0</v>
      </c>
    </row>
    <row r="523" spans="1:6" ht="15" customHeight="1" thickBot="1" x14ac:dyDescent="0.3">
      <c r="A523" s="81" t="s">
        <v>688</v>
      </c>
      <c r="B523" s="9" t="s">
        <v>309</v>
      </c>
      <c r="C523" s="10">
        <f>Odogwusaltries</f>
        <v>0</v>
      </c>
      <c r="D523" s="3" t="s">
        <v>677</v>
      </c>
      <c r="E523" s="23" t="s">
        <v>352</v>
      </c>
      <c r="F523" s="21">
        <f>Mulchroneharpts</f>
        <v>0</v>
      </c>
    </row>
    <row r="524" spans="1:6" ht="15" customHeight="1" thickBot="1" x14ac:dyDescent="0.3">
      <c r="A524" s="81" t="s">
        <v>690</v>
      </c>
      <c r="B524" s="9" t="s">
        <v>308</v>
      </c>
      <c r="C524" s="62">
        <f>Reevesrickytries</f>
        <v>0</v>
      </c>
      <c r="D524" s="3" t="s">
        <v>678</v>
      </c>
      <c r="E524" s="23" t="s">
        <v>370</v>
      </c>
      <c r="F524" s="21">
        <f>Muldowneybripts</f>
        <v>0</v>
      </c>
    </row>
    <row r="525" spans="1:6" ht="15" customHeight="1" thickBot="1" x14ac:dyDescent="0.3">
      <c r="A525" s="11" t="s">
        <v>691</v>
      </c>
      <c r="B525" s="9" t="s">
        <v>354</v>
      </c>
      <c r="C525" s="10">
        <f>O_Sullivanwastries</f>
        <v>0</v>
      </c>
      <c r="D525" s="3" t="s">
        <v>679</v>
      </c>
      <c r="E525" s="23" t="s">
        <v>354</v>
      </c>
      <c r="F525" s="21">
        <f>Mullanwaspts</f>
        <v>0</v>
      </c>
    </row>
    <row r="526" spans="1:6" ht="15" customHeight="1" thickBot="1" x14ac:dyDescent="0.3">
      <c r="A526" s="81" t="s">
        <v>826</v>
      </c>
      <c r="B526" s="9" t="s">
        <v>311</v>
      </c>
      <c r="C526" s="7">
        <f>Painternortries</f>
        <v>0</v>
      </c>
      <c r="D526" s="3" t="s">
        <v>680</v>
      </c>
      <c r="E526" s="23" t="s">
        <v>354</v>
      </c>
      <c r="F526" s="21">
        <f>Myallpts</f>
        <v>0</v>
      </c>
    </row>
    <row r="527" spans="1:6" ht="15" customHeight="1" thickBot="1" x14ac:dyDescent="0.3">
      <c r="A527" s="11" t="s">
        <v>1075</v>
      </c>
      <c r="B527" s="10" t="s">
        <v>308</v>
      </c>
      <c r="C527" s="10">
        <f>Palframanwortries</f>
        <v>0</v>
      </c>
      <c r="D527" s="3" t="s">
        <v>683</v>
      </c>
      <c r="E527" s="23" t="s">
        <v>310</v>
      </c>
      <c r="F527" s="21">
        <f>Noguerabthpts</f>
        <v>0</v>
      </c>
    </row>
    <row r="528" spans="1:6" ht="15" customHeight="1" thickBot="1" x14ac:dyDescent="0.3">
      <c r="A528" s="81" t="s">
        <v>692</v>
      </c>
      <c r="B528" s="9" t="s">
        <v>309</v>
      </c>
      <c r="C528" s="10">
        <f>Pearcesaltries</f>
        <v>0</v>
      </c>
      <c r="D528" s="3" t="s">
        <v>1114</v>
      </c>
      <c r="E528" s="23" t="s">
        <v>352</v>
      </c>
      <c r="F528" s="21">
        <f>Northmoreharpts</f>
        <v>0</v>
      </c>
    </row>
    <row r="529" spans="1:6" ht="15" customHeight="1" thickBot="1" x14ac:dyDescent="0.3">
      <c r="A529" s="81" t="s">
        <v>314</v>
      </c>
      <c r="B529" s="9" t="s">
        <v>307</v>
      </c>
      <c r="C529" s="10">
        <f>Penalty_Triesglotries</f>
        <v>0</v>
      </c>
      <c r="D529" s="3" t="s">
        <v>684</v>
      </c>
      <c r="E529" s="23" t="s">
        <v>918</v>
      </c>
      <c r="F529" s="21">
        <f>Nottlirpts</f>
        <v>0</v>
      </c>
    </row>
    <row r="530" spans="1:6" ht="15" customHeight="1" thickBot="1" x14ac:dyDescent="0.3">
      <c r="A530" s="81" t="s">
        <v>314</v>
      </c>
      <c r="B530" s="9" t="s">
        <v>918</v>
      </c>
      <c r="C530" s="10">
        <f>Penalty_Triesnewtries</f>
        <v>0</v>
      </c>
      <c r="D530" s="3" t="s">
        <v>434</v>
      </c>
      <c r="E530" s="23" t="s">
        <v>309</v>
      </c>
      <c r="F530" s="21">
        <f>O_Connorptssal</f>
        <v>0</v>
      </c>
    </row>
    <row r="531" spans="1:6" ht="15" customHeight="1" thickBot="1" x14ac:dyDescent="0.3">
      <c r="A531" s="81" t="s">
        <v>693</v>
      </c>
      <c r="B531" s="9" t="s">
        <v>308</v>
      </c>
      <c r="C531" s="62">
        <f>Reynoldsnictries</f>
        <v>0</v>
      </c>
      <c r="D531" s="3" t="s">
        <v>688</v>
      </c>
      <c r="E531" s="23" t="s">
        <v>309</v>
      </c>
      <c r="F531" s="21">
        <f>Odogwusalpts</f>
        <v>0</v>
      </c>
    </row>
    <row r="532" spans="1:6" ht="15" customHeight="1" thickBot="1" x14ac:dyDescent="0.3">
      <c r="A532" s="81" t="s">
        <v>694</v>
      </c>
      <c r="B532" s="9" t="s">
        <v>310</v>
      </c>
      <c r="C532" s="10">
        <f>Perenisebthtries</f>
        <v>0</v>
      </c>
      <c r="D532" s="3" t="s">
        <v>690</v>
      </c>
      <c r="E532" s="23" t="s">
        <v>308</v>
      </c>
      <c r="F532" s="20">
        <f>Reevesrickypts</f>
        <v>0</v>
      </c>
    </row>
    <row r="533" spans="1:6" ht="15" customHeight="1" thickBot="1" x14ac:dyDescent="0.3">
      <c r="A533" s="81" t="s">
        <v>695</v>
      </c>
      <c r="B533" s="9" t="s">
        <v>311</v>
      </c>
      <c r="C533" s="10">
        <f>Picamolesnortries</f>
        <v>0</v>
      </c>
      <c r="D533" s="19" t="s">
        <v>691</v>
      </c>
      <c r="E533" s="23" t="s">
        <v>354</v>
      </c>
      <c r="F533" s="21">
        <f>O_Sullivanwaspts</f>
        <v>0</v>
      </c>
    </row>
    <row r="534" spans="1:6" ht="15" customHeight="1" thickBot="1" x14ac:dyDescent="0.3">
      <c r="A534" s="81" t="s">
        <v>470</v>
      </c>
      <c r="B534" s="9" t="s">
        <v>309</v>
      </c>
      <c r="C534" s="10">
        <f>Phillipsjamessaltries</f>
        <v>0</v>
      </c>
      <c r="D534" s="3" t="s">
        <v>826</v>
      </c>
      <c r="E534" s="23" t="s">
        <v>311</v>
      </c>
      <c r="F534" s="21">
        <f>Painternorpts</f>
        <v>0</v>
      </c>
    </row>
    <row r="535" spans="1:6" ht="15" customHeight="1" thickBot="1" x14ac:dyDescent="0.3">
      <c r="A535" s="81" t="s">
        <v>341</v>
      </c>
      <c r="B535" s="9" t="s">
        <v>308</v>
      </c>
      <c r="C535" s="10">
        <f>Phillipswortries</f>
        <v>0</v>
      </c>
      <c r="D535" s="3" t="s">
        <v>1075</v>
      </c>
      <c r="E535" s="23" t="s">
        <v>308</v>
      </c>
      <c r="F535" s="21">
        <f>Palframanworpts</f>
        <v>0</v>
      </c>
    </row>
    <row r="536" spans="1:6" ht="15" customHeight="1" thickBot="1" x14ac:dyDescent="0.3">
      <c r="A536" s="81" t="s">
        <v>1053</v>
      </c>
      <c r="B536" s="9" t="s">
        <v>918</v>
      </c>
      <c r="C536" s="10">
        <f>Mulipolanewtries</f>
        <v>0</v>
      </c>
      <c r="D536" s="3" t="s">
        <v>692</v>
      </c>
      <c r="E536" s="23" t="s">
        <v>309</v>
      </c>
      <c r="F536" s="21">
        <f>Pearcesalpts</f>
        <v>0</v>
      </c>
    </row>
    <row r="537" spans="1:6" ht="15" customHeight="1" thickBot="1" x14ac:dyDescent="0.3">
      <c r="A537" s="81" t="s">
        <v>696</v>
      </c>
      <c r="B537" s="9" t="s">
        <v>370</v>
      </c>
      <c r="C537" s="10">
        <f>Pincusbritries</f>
        <v>0</v>
      </c>
      <c r="D537" s="3" t="s">
        <v>314</v>
      </c>
      <c r="E537" s="23" t="s">
        <v>307</v>
      </c>
      <c r="F537" s="21">
        <f>Penalty_Triesglopts</f>
        <v>0</v>
      </c>
    </row>
    <row r="538" spans="1:6" ht="15" customHeight="1" thickBot="1" x14ac:dyDescent="0.3">
      <c r="A538" s="81" t="s">
        <v>390</v>
      </c>
      <c r="B538" s="9" t="s">
        <v>370</v>
      </c>
      <c r="C538" s="10">
        <f>Pisibritries</f>
        <v>0</v>
      </c>
      <c r="D538" s="3" t="s">
        <v>314</v>
      </c>
      <c r="E538" s="23" t="s">
        <v>918</v>
      </c>
      <c r="F538" s="21">
        <f>Penalty_Triesnewpts</f>
        <v>0</v>
      </c>
    </row>
    <row r="539" spans="1:6" ht="15" customHeight="1" thickBot="1" x14ac:dyDescent="0.3">
      <c r="A539" s="81" t="s">
        <v>698</v>
      </c>
      <c r="B539" s="9" t="s">
        <v>308</v>
      </c>
      <c r="C539" s="7">
        <f>Potgieterwortries</f>
        <v>0</v>
      </c>
      <c r="D539" s="3" t="s">
        <v>693</v>
      </c>
      <c r="E539" s="23" t="s">
        <v>308</v>
      </c>
      <c r="F539" s="21">
        <f>Reynoldsnicpts</f>
        <v>0</v>
      </c>
    </row>
    <row r="540" spans="1:6" ht="15" customHeight="1" thickBot="1" x14ac:dyDescent="0.3">
      <c r="A540" s="81" t="s">
        <v>877</v>
      </c>
      <c r="B540" s="9" t="s">
        <v>370</v>
      </c>
      <c r="C540" s="10">
        <f>Powellbritries</f>
        <v>0</v>
      </c>
      <c r="D540" s="3" t="s">
        <v>694</v>
      </c>
      <c r="E540" s="23" t="s">
        <v>310</v>
      </c>
      <c r="F540" s="21">
        <f>Perenisebthpts</f>
        <v>0</v>
      </c>
    </row>
    <row r="541" spans="1:6" ht="15.75" thickBot="1" x14ac:dyDescent="0.3">
      <c r="A541" s="81" t="s">
        <v>1122</v>
      </c>
      <c r="B541" s="9" t="s">
        <v>353</v>
      </c>
      <c r="C541" s="10">
        <f>Salmonexetries</f>
        <v>0</v>
      </c>
      <c r="D541" s="3" t="s">
        <v>695</v>
      </c>
      <c r="E541" s="23" t="s">
        <v>311</v>
      </c>
      <c r="F541" s="21">
        <f>Picamolesnorpts</f>
        <v>0</v>
      </c>
    </row>
    <row r="542" spans="1:6" ht="15.75" thickBot="1" x14ac:dyDescent="0.3">
      <c r="A542" s="81" t="s">
        <v>699</v>
      </c>
      <c r="B542" s="9" t="s">
        <v>310</v>
      </c>
      <c r="C542" s="10">
        <f>Priestlandbthtries</f>
        <v>0</v>
      </c>
      <c r="D542" s="3" t="s">
        <v>470</v>
      </c>
      <c r="E542" s="23" t="s">
        <v>309</v>
      </c>
      <c r="F542" s="21">
        <f>Phillipsjamessalpts</f>
        <v>0</v>
      </c>
    </row>
    <row r="543" spans="1:6" ht="15.75" thickBot="1" x14ac:dyDescent="0.3">
      <c r="A543" s="81" t="s">
        <v>701</v>
      </c>
      <c r="B543" s="9" t="s">
        <v>307</v>
      </c>
      <c r="C543" s="10">
        <f>Purdyglotries</f>
        <v>0</v>
      </c>
      <c r="D543" s="3" t="s">
        <v>341</v>
      </c>
      <c r="E543" s="23" t="s">
        <v>308</v>
      </c>
      <c r="F543" s="21">
        <f>Phillipsworpts</f>
        <v>0</v>
      </c>
    </row>
    <row r="544" spans="1:6" ht="15.75" thickBot="1" x14ac:dyDescent="0.3">
      <c r="A544" s="81" t="s">
        <v>703</v>
      </c>
      <c r="B544" s="9" t="s">
        <v>307</v>
      </c>
      <c r="C544" s="10">
        <f>Rapava_Ruskinglotries</f>
        <v>0</v>
      </c>
      <c r="D544" s="3" t="s">
        <v>696</v>
      </c>
      <c r="E544" s="23" t="s">
        <v>370</v>
      </c>
      <c r="F544" s="21">
        <f>Pincusbripts</f>
        <v>0</v>
      </c>
    </row>
    <row r="545" spans="1:6" ht="15.75" thickBot="1" x14ac:dyDescent="0.3">
      <c r="A545" s="81" t="s">
        <v>705</v>
      </c>
      <c r="B545" s="9" t="s">
        <v>309</v>
      </c>
      <c r="C545" s="10">
        <f>Redpathsaltries</f>
        <v>0</v>
      </c>
      <c r="D545" s="3" t="s">
        <v>390</v>
      </c>
      <c r="E545" s="23" t="s">
        <v>370</v>
      </c>
      <c r="F545" s="21">
        <f>Pisibritries</f>
        <v>0</v>
      </c>
    </row>
    <row r="546" spans="1:6" ht="15.75" thickBot="1" x14ac:dyDescent="0.3">
      <c r="A546" s="81" t="s">
        <v>706</v>
      </c>
      <c r="B546" s="9" t="s">
        <v>309</v>
      </c>
      <c r="C546" s="10">
        <f>Readsaltries</f>
        <v>0</v>
      </c>
      <c r="D546" s="3" t="s">
        <v>698</v>
      </c>
      <c r="E546" s="23" t="s">
        <v>308</v>
      </c>
      <c r="F546" s="21">
        <f>Potgieterworpts</f>
        <v>0</v>
      </c>
    </row>
    <row r="547" spans="1:6" ht="15.75" thickBot="1" x14ac:dyDescent="0.3">
      <c r="A547" s="81" t="s">
        <v>707</v>
      </c>
      <c r="B547" s="9" t="s">
        <v>355</v>
      </c>
      <c r="C547" s="10">
        <f>Reffellsartries</f>
        <v>0</v>
      </c>
      <c r="D547" s="3" t="s">
        <v>877</v>
      </c>
      <c r="E547" s="23" t="s">
        <v>370</v>
      </c>
      <c r="F547" s="21">
        <f>Powellbripts</f>
        <v>0</v>
      </c>
    </row>
    <row r="548" spans="1:6" ht="15.75" thickBot="1" x14ac:dyDescent="0.3">
      <c r="A548" s="81" t="s">
        <v>857</v>
      </c>
      <c r="B548" s="9" t="s">
        <v>356</v>
      </c>
      <c r="C548" s="10">
        <f>Salvijuliantries</f>
        <v>0</v>
      </c>
      <c r="D548" s="3" t="s">
        <v>1122</v>
      </c>
      <c r="E548" s="23" t="s">
        <v>353</v>
      </c>
      <c r="F548" s="21">
        <f>Salmonexepts</f>
        <v>0</v>
      </c>
    </row>
    <row r="549" spans="1:6" ht="15.75" thickBot="1" x14ac:dyDescent="0.3">
      <c r="A549" s="81" t="s">
        <v>709</v>
      </c>
      <c r="B549" s="9" t="s">
        <v>355</v>
      </c>
      <c r="C549" s="62">
        <f>Rhodessartries</f>
        <v>0</v>
      </c>
      <c r="D549" s="3" t="s">
        <v>701</v>
      </c>
      <c r="E549" s="23" t="s">
        <v>307</v>
      </c>
      <c r="F549" s="21">
        <f>Purdyglospts</f>
        <v>0</v>
      </c>
    </row>
    <row r="550" spans="1:6" ht="15.75" thickBot="1" x14ac:dyDescent="0.3">
      <c r="A550" s="81" t="s">
        <v>711</v>
      </c>
      <c r="B550" s="9" t="s">
        <v>354</v>
      </c>
      <c r="C550" s="10">
        <f>Riederwastries</f>
        <v>0</v>
      </c>
      <c r="D550" s="3" t="s">
        <v>703</v>
      </c>
      <c r="E550" s="23" t="s">
        <v>307</v>
      </c>
      <c r="F550" s="21">
        <f>Rapava_Ruskinglopts</f>
        <v>0</v>
      </c>
    </row>
    <row r="551" spans="1:6" ht="15.75" thickBot="1" x14ac:dyDescent="0.3">
      <c r="A551" s="81" t="s">
        <v>712</v>
      </c>
      <c r="B551" s="9" t="s">
        <v>310</v>
      </c>
      <c r="C551" s="10">
        <f>Robertsbthtries</f>
        <v>0</v>
      </c>
      <c r="D551" s="3" t="s">
        <v>705</v>
      </c>
      <c r="E551" s="23" t="s">
        <v>309</v>
      </c>
      <c r="F551" s="21">
        <f>Redpathsalpts</f>
        <v>0</v>
      </c>
    </row>
    <row r="552" spans="1:6" ht="15" customHeight="1" thickBot="1" x14ac:dyDescent="0.3">
      <c r="A552" s="11" t="s">
        <v>998</v>
      </c>
      <c r="B552" s="10" t="s">
        <v>309</v>
      </c>
      <c r="C552" s="10">
        <f>Roebucksaltries</f>
        <v>0</v>
      </c>
      <c r="D552" s="3" t="s">
        <v>706</v>
      </c>
      <c r="E552" s="23" t="s">
        <v>309</v>
      </c>
      <c r="F552" s="21">
        <f>Readsalpts</f>
        <v>0</v>
      </c>
    </row>
    <row r="553" spans="1:6" ht="15.75" thickBot="1" x14ac:dyDescent="0.3">
      <c r="A553" s="81" t="s">
        <v>718</v>
      </c>
      <c r="B553" s="9" t="s">
        <v>307</v>
      </c>
      <c r="C553" s="62">
        <f>Safeglotries</f>
        <v>0</v>
      </c>
      <c r="D553" s="3" t="s">
        <v>707</v>
      </c>
      <c r="E553" s="23" t="s">
        <v>355</v>
      </c>
      <c r="F553" s="21">
        <f>Reffellsarpts</f>
        <v>0</v>
      </c>
    </row>
    <row r="554" spans="1:6" ht="15.75" thickBot="1" x14ac:dyDescent="0.3">
      <c r="A554" s="11" t="s">
        <v>719</v>
      </c>
      <c r="B554" s="10" t="s">
        <v>352</v>
      </c>
      <c r="C554" s="10">
        <f>Robsonhartries</f>
        <v>0</v>
      </c>
      <c r="D554" s="3" t="s">
        <v>857</v>
      </c>
      <c r="E554" s="23" t="s">
        <v>356</v>
      </c>
      <c r="F554" s="21">
        <f>Salvijulianpts</f>
        <v>0</v>
      </c>
    </row>
    <row r="555" spans="1:6" ht="15.75" thickBot="1" x14ac:dyDescent="0.3">
      <c r="A555" s="81" t="s">
        <v>720</v>
      </c>
      <c r="B555" s="9" t="s">
        <v>307</v>
      </c>
      <c r="C555" s="10">
        <f>Savageglotries</f>
        <v>0</v>
      </c>
      <c r="D555" s="3" t="s">
        <v>709</v>
      </c>
      <c r="E555" s="23" t="s">
        <v>355</v>
      </c>
      <c r="F555" s="21">
        <f>Rhodessarpts</f>
        <v>0</v>
      </c>
    </row>
    <row r="556" spans="1:6" ht="15.75" thickBot="1" x14ac:dyDescent="0.3">
      <c r="A556" s="81" t="s">
        <v>721</v>
      </c>
      <c r="B556" s="9" t="s">
        <v>308</v>
      </c>
      <c r="C556" s="62">
        <f>Rowleypaultries</f>
        <v>0</v>
      </c>
      <c r="D556" s="3" t="s">
        <v>711</v>
      </c>
      <c r="E556" s="23" t="s">
        <v>354</v>
      </c>
      <c r="F556" s="21">
        <f>Riederwaspts</f>
        <v>0</v>
      </c>
    </row>
    <row r="557" spans="1:6" ht="15" customHeight="1" thickBot="1" x14ac:dyDescent="0.3">
      <c r="A557" s="81" t="s">
        <v>722</v>
      </c>
      <c r="B557" s="9" t="s">
        <v>307</v>
      </c>
      <c r="C557" s="10">
        <f>Seabrookglotries</f>
        <v>0</v>
      </c>
      <c r="D557" s="3" t="s">
        <v>712</v>
      </c>
      <c r="E557" s="23" t="s">
        <v>310</v>
      </c>
      <c r="F557" s="21">
        <f>Robertsbthpts</f>
        <v>0</v>
      </c>
    </row>
    <row r="558" spans="1:6" ht="15.75" thickBot="1" x14ac:dyDescent="0.3">
      <c r="A558" s="11" t="s">
        <v>723</v>
      </c>
      <c r="B558" s="9" t="s">
        <v>354</v>
      </c>
      <c r="C558" s="10">
        <f>Searlswastries</f>
        <v>0</v>
      </c>
      <c r="D558" s="19" t="s">
        <v>998</v>
      </c>
      <c r="E558" s="21" t="s">
        <v>309</v>
      </c>
      <c r="F558" s="22">
        <f>Roebucksalpts</f>
        <v>0</v>
      </c>
    </row>
    <row r="559" spans="1:6" ht="15" customHeight="1" thickBot="1" x14ac:dyDescent="0.3">
      <c r="A559" s="81" t="s">
        <v>726</v>
      </c>
      <c r="B559" s="9" t="s">
        <v>307</v>
      </c>
      <c r="C559" s="10">
        <f>Sharplesglotries</f>
        <v>0</v>
      </c>
      <c r="D559" s="3" t="s">
        <v>718</v>
      </c>
      <c r="E559" s="23" t="s">
        <v>307</v>
      </c>
      <c r="F559" s="21">
        <f>Safeglopts</f>
        <v>0</v>
      </c>
    </row>
    <row r="560" spans="1:6" ht="15.75" thickBot="1" x14ac:dyDescent="0.3">
      <c r="A560" s="81" t="s">
        <v>727</v>
      </c>
      <c r="B560" s="9" t="s">
        <v>370</v>
      </c>
      <c r="C560" s="10">
        <f>paulolirtries</f>
        <v>0</v>
      </c>
      <c r="D560" s="19" t="s">
        <v>719</v>
      </c>
      <c r="E560" s="21" t="s">
        <v>352</v>
      </c>
      <c r="F560" s="21">
        <f>Robsonharpts</f>
        <v>0</v>
      </c>
    </row>
    <row r="561" spans="1:6" ht="15.75" thickBot="1" x14ac:dyDescent="0.3">
      <c r="A561" s="11" t="s">
        <v>730</v>
      </c>
      <c r="B561" s="10" t="s">
        <v>353</v>
      </c>
      <c r="C561" s="7">
        <f>Shortexetries</f>
        <v>0</v>
      </c>
      <c r="D561" s="3" t="s">
        <v>720</v>
      </c>
      <c r="E561" s="23" t="s">
        <v>307</v>
      </c>
      <c r="F561" s="21">
        <f>Savageglopts</f>
        <v>0</v>
      </c>
    </row>
    <row r="562" spans="1:6" ht="15.75" thickBot="1" x14ac:dyDescent="0.3">
      <c r="A562" s="81" t="s">
        <v>731</v>
      </c>
      <c r="B562" s="9" t="s">
        <v>356</v>
      </c>
      <c r="C562" s="10">
        <f>Simmonsleictries</f>
        <v>0</v>
      </c>
      <c r="D562" s="3" t="s">
        <v>721</v>
      </c>
      <c r="E562" s="23" t="s">
        <v>308</v>
      </c>
      <c r="F562" s="21">
        <f>Rowleypaulpts</f>
        <v>0</v>
      </c>
    </row>
    <row r="563" spans="1:6" ht="15.75" thickBot="1" x14ac:dyDescent="0.3">
      <c r="A563" s="81" t="s">
        <v>1076</v>
      </c>
      <c r="B563" s="9" t="s">
        <v>308</v>
      </c>
      <c r="C563" s="10">
        <f>Singletonwortries</f>
        <v>0</v>
      </c>
      <c r="D563" s="3" t="s">
        <v>722</v>
      </c>
      <c r="E563" s="23" t="s">
        <v>307</v>
      </c>
      <c r="F563" s="21">
        <f>Seabrookglopts</f>
        <v>0</v>
      </c>
    </row>
    <row r="564" spans="1:6" ht="15.75" thickBot="1" x14ac:dyDescent="0.3">
      <c r="A564" s="81" t="s">
        <v>732</v>
      </c>
      <c r="B564" s="9" t="s">
        <v>354</v>
      </c>
      <c r="C564" s="10">
        <f>Simpsonwastries</f>
        <v>0</v>
      </c>
      <c r="D564" s="19" t="s">
        <v>723</v>
      </c>
      <c r="E564" s="23" t="s">
        <v>354</v>
      </c>
      <c r="F564" s="22">
        <f>Searlswaspts</f>
        <v>0</v>
      </c>
    </row>
    <row r="565" spans="1:6" ht="15.75" thickBot="1" x14ac:dyDescent="0.3">
      <c r="A565" s="81" t="s">
        <v>969</v>
      </c>
      <c r="B565" s="9" t="s">
        <v>354</v>
      </c>
      <c r="C565" s="10">
        <f>Sirkerwastries</f>
        <v>0</v>
      </c>
      <c r="D565" s="3" t="s">
        <v>726</v>
      </c>
      <c r="E565" s="23" t="s">
        <v>307</v>
      </c>
      <c r="F565" s="21">
        <f>Sharplesglopts</f>
        <v>0</v>
      </c>
    </row>
    <row r="566" spans="1:6" ht="15.75" thickBot="1" x14ac:dyDescent="0.3">
      <c r="A566" s="81" t="s">
        <v>735</v>
      </c>
      <c r="B566" s="9" t="s">
        <v>355</v>
      </c>
      <c r="C566" s="10">
        <f>Skeltonsartries</f>
        <v>0</v>
      </c>
      <c r="D566" s="19" t="s">
        <v>730</v>
      </c>
      <c r="E566" s="21" t="s">
        <v>353</v>
      </c>
      <c r="F566" s="21">
        <f>Shortexepts</f>
        <v>0</v>
      </c>
    </row>
    <row r="567" spans="1:6" ht="15.75" thickBot="1" x14ac:dyDescent="0.3">
      <c r="A567" s="81" t="s">
        <v>849</v>
      </c>
      <c r="B567" s="9" t="s">
        <v>353</v>
      </c>
      <c r="C567" s="10">
        <f>Skinner_Hexetries</f>
        <v>0</v>
      </c>
      <c r="D567" s="3" t="s">
        <v>731</v>
      </c>
      <c r="E567" s="23" t="s">
        <v>356</v>
      </c>
      <c r="F567" s="21">
        <f>Simmonsleicpts</f>
        <v>0</v>
      </c>
    </row>
    <row r="568" spans="1:6" ht="15.75" thickBot="1" x14ac:dyDescent="0.3">
      <c r="A568" s="81" t="s">
        <v>736</v>
      </c>
      <c r="B568" s="9" t="s">
        <v>353</v>
      </c>
      <c r="C568" s="10">
        <f>Skinnerexetries</f>
        <v>0</v>
      </c>
      <c r="D568" s="3" t="s">
        <v>1076</v>
      </c>
      <c r="E568" s="23" t="s">
        <v>308</v>
      </c>
      <c r="F568" s="21">
        <f>Singletonworpts</f>
        <v>0</v>
      </c>
    </row>
    <row r="569" spans="1:6" ht="15.75" thickBot="1" x14ac:dyDescent="0.3">
      <c r="A569" s="81" t="s">
        <v>738</v>
      </c>
      <c r="B569" s="9" t="s">
        <v>307</v>
      </c>
      <c r="C569" s="10">
        <f>Slaterglotries</f>
        <v>0</v>
      </c>
      <c r="D569" s="3" t="s">
        <v>732</v>
      </c>
      <c r="E569" s="23" t="s">
        <v>354</v>
      </c>
      <c r="F569" s="21">
        <f>Simpsonwaspts</f>
        <v>0</v>
      </c>
    </row>
    <row r="570" spans="1:6" ht="15.75" thickBot="1" x14ac:dyDescent="0.3">
      <c r="A570" s="81" t="s">
        <v>406</v>
      </c>
      <c r="B570" s="9" t="s">
        <v>370</v>
      </c>
      <c r="C570" s="10">
        <f>Smithbritries</f>
        <v>0</v>
      </c>
      <c r="D570" s="3" t="s">
        <v>969</v>
      </c>
      <c r="E570" s="23" t="s">
        <v>354</v>
      </c>
      <c r="F570" s="21">
        <f>Sirkerwaspts</f>
        <v>0</v>
      </c>
    </row>
    <row r="571" spans="1:6" ht="15.75" thickBot="1" x14ac:dyDescent="0.3">
      <c r="A571" s="81" t="s">
        <v>820</v>
      </c>
      <c r="B571" s="9" t="s">
        <v>356</v>
      </c>
      <c r="C571" s="7">
        <f>Smithleitries</f>
        <v>0</v>
      </c>
      <c r="D571" s="3" t="s">
        <v>735</v>
      </c>
      <c r="E571" s="23" t="s">
        <v>355</v>
      </c>
      <c r="F571" s="21">
        <f>Skeltonsarpts</f>
        <v>0</v>
      </c>
    </row>
    <row r="572" spans="1:6" ht="15.75" thickBot="1" x14ac:dyDescent="0.3">
      <c r="A572" s="81" t="s">
        <v>740</v>
      </c>
      <c r="B572" s="9" t="s">
        <v>354</v>
      </c>
      <c r="C572" s="10">
        <f>Sopoagawastries</f>
        <v>0</v>
      </c>
      <c r="D572" s="3" t="s">
        <v>736</v>
      </c>
      <c r="E572" s="23" t="s">
        <v>353</v>
      </c>
      <c r="F572" s="21">
        <f>Skinnerexepts</f>
        <v>0</v>
      </c>
    </row>
    <row r="573" spans="1:6" ht="15.75" thickBot="1" x14ac:dyDescent="0.3">
      <c r="A573" s="81" t="s">
        <v>427</v>
      </c>
      <c r="B573" s="9" t="s">
        <v>356</v>
      </c>
      <c r="C573" s="7">
        <f>Spencerleictries</f>
        <v>0</v>
      </c>
      <c r="D573" s="3" t="s">
        <v>738</v>
      </c>
      <c r="E573" s="23" t="s">
        <v>307</v>
      </c>
      <c r="F573" s="21">
        <f>Slaterglopts</f>
        <v>0</v>
      </c>
    </row>
    <row r="574" spans="1:6" ht="15.75" thickBot="1" x14ac:dyDescent="0.3">
      <c r="A574" s="11" t="s">
        <v>741</v>
      </c>
      <c r="B574" s="10" t="s">
        <v>355</v>
      </c>
      <c r="C574" s="10">
        <f>Spurlingsartries</f>
        <v>0</v>
      </c>
      <c r="D574" s="3" t="s">
        <v>406</v>
      </c>
      <c r="E574" s="23" t="s">
        <v>370</v>
      </c>
      <c r="F574" s="21">
        <f>Smithbripts</f>
        <v>0</v>
      </c>
    </row>
    <row r="575" spans="1:6" ht="15.75" thickBot="1" x14ac:dyDescent="0.3">
      <c r="A575" s="81" t="s">
        <v>742</v>
      </c>
      <c r="B575" s="9" t="s">
        <v>353</v>
      </c>
      <c r="C575" s="10">
        <f>Steensonexetries</f>
        <v>0</v>
      </c>
      <c r="D575" s="3" t="s">
        <v>820</v>
      </c>
      <c r="E575" s="23" t="s">
        <v>356</v>
      </c>
      <c r="F575" s="21">
        <f>Smithleipts</f>
        <v>0</v>
      </c>
    </row>
    <row r="576" spans="1:6" ht="15.75" thickBot="1" x14ac:dyDescent="0.3">
      <c r="A576" s="11" t="s">
        <v>943</v>
      </c>
      <c r="B576" s="11" t="s">
        <v>918</v>
      </c>
      <c r="C576" s="10">
        <f>Radwannewtries</f>
        <v>0</v>
      </c>
      <c r="D576" s="3" t="s">
        <v>427</v>
      </c>
      <c r="E576" s="3" t="s">
        <v>356</v>
      </c>
      <c r="F576" s="21">
        <f>Spencerleicpts</f>
        <v>0</v>
      </c>
    </row>
    <row r="577" spans="1:6" ht="15.75" thickBot="1" x14ac:dyDescent="0.3">
      <c r="A577" s="81" t="s">
        <v>743</v>
      </c>
      <c r="B577" s="81" t="s">
        <v>370</v>
      </c>
      <c r="C577" s="10">
        <f>Stirzakerbritries</f>
        <v>0</v>
      </c>
      <c r="D577" s="19" t="s">
        <v>741</v>
      </c>
      <c r="E577" s="19" t="s">
        <v>355</v>
      </c>
      <c r="F577" s="21">
        <f>Spurlingsarpts</f>
        <v>0</v>
      </c>
    </row>
    <row r="578" spans="1:6" ht="15.75" thickBot="1" x14ac:dyDescent="0.3">
      <c r="A578" s="81" t="s">
        <v>745</v>
      </c>
      <c r="B578" s="81" t="s">
        <v>309</v>
      </c>
      <c r="C578" s="10">
        <f>Stringersaltries</f>
        <v>0</v>
      </c>
      <c r="D578" s="19" t="s">
        <v>943</v>
      </c>
      <c r="E578" s="19" t="s">
        <v>918</v>
      </c>
      <c r="F578" s="21">
        <f>Radwannewpts</f>
        <v>0</v>
      </c>
    </row>
    <row r="579" spans="1:6" ht="15.75" thickBot="1" x14ac:dyDescent="0.3">
      <c r="A579" s="81" t="s">
        <v>1013</v>
      </c>
      <c r="B579" s="81" t="s">
        <v>353</v>
      </c>
      <c r="C579" s="10">
        <f>Streetexetries</f>
        <v>0</v>
      </c>
      <c r="D579" s="3" t="s">
        <v>743</v>
      </c>
      <c r="E579" s="3" t="s">
        <v>370</v>
      </c>
      <c r="F579" s="21">
        <f>Stirzakerbripts</f>
        <v>0</v>
      </c>
    </row>
    <row r="580" spans="1:6" ht="15.75" thickBot="1" x14ac:dyDescent="0.3">
      <c r="A580" s="81" t="s">
        <v>746</v>
      </c>
      <c r="B580" s="81" t="s">
        <v>353</v>
      </c>
      <c r="C580" s="10">
        <f>Strongexetries</f>
        <v>0</v>
      </c>
      <c r="D580" s="3" t="s">
        <v>745</v>
      </c>
      <c r="E580" s="3" t="s">
        <v>309</v>
      </c>
      <c r="F580" s="21">
        <f>Stringersalpts</f>
        <v>0</v>
      </c>
    </row>
    <row r="581" spans="1:6" ht="15.75" thickBot="1" x14ac:dyDescent="0.3">
      <c r="A581" s="81" t="s">
        <v>431</v>
      </c>
      <c r="B581" s="81" t="s">
        <v>311</v>
      </c>
      <c r="C581" s="62">
        <f>Symonsnortries</f>
        <v>0</v>
      </c>
      <c r="D581" s="3" t="s">
        <v>1013</v>
      </c>
      <c r="E581" s="3" t="s">
        <v>353</v>
      </c>
      <c r="F581" s="21">
        <f>Streetexepts</f>
        <v>0</v>
      </c>
    </row>
    <row r="582" spans="1:6" ht="15.75" thickBot="1" x14ac:dyDescent="0.3">
      <c r="A582" s="81" t="s">
        <v>424</v>
      </c>
      <c r="B582" s="81" t="s">
        <v>352</v>
      </c>
      <c r="C582" s="10">
        <f>Symonshartries</f>
        <v>0</v>
      </c>
      <c r="D582" s="3" t="s">
        <v>746</v>
      </c>
      <c r="E582" s="3" t="s">
        <v>353</v>
      </c>
      <c r="F582" s="21">
        <f>Strongexepts</f>
        <v>0</v>
      </c>
    </row>
    <row r="583" spans="1:6" ht="15.75" thickBot="1" x14ac:dyDescent="0.3">
      <c r="A583" s="81" t="s">
        <v>748</v>
      </c>
      <c r="B583" s="81" t="s">
        <v>352</v>
      </c>
      <c r="C583" s="10">
        <f>Tapuaihartries</f>
        <v>0</v>
      </c>
      <c r="D583" s="3" t="s">
        <v>431</v>
      </c>
      <c r="E583" s="3" t="s">
        <v>311</v>
      </c>
      <c r="F583" s="21">
        <f>Symonsnorpts</f>
        <v>0</v>
      </c>
    </row>
    <row r="584" spans="1:6" ht="15.75" thickBot="1" x14ac:dyDescent="0.3">
      <c r="A584" s="81" t="s">
        <v>749</v>
      </c>
      <c r="B584" s="81" t="s">
        <v>308</v>
      </c>
      <c r="C584" s="10">
        <f>Taufete_ewortries</f>
        <v>0</v>
      </c>
      <c r="D584" s="3" t="s">
        <v>424</v>
      </c>
      <c r="E584" s="3" t="s">
        <v>352</v>
      </c>
      <c r="F584" s="21">
        <f>Symonsharpts</f>
        <v>0</v>
      </c>
    </row>
    <row r="585" spans="1:6" ht="15.75" thickBot="1" x14ac:dyDescent="0.3">
      <c r="A585" s="81" t="s">
        <v>473</v>
      </c>
      <c r="B585" s="81" t="s">
        <v>355</v>
      </c>
      <c r="C585" s="62">
        <f>Thielsartries</f>
        <v>0</v>
      </c>
      <c r="D585" s="3" t="s">
        <v>748</v>
      </c>
      <c r="E585" s="3" t="s">
        <v>352</v>
      </c>
      <c r="F585" s="21">
        <f>Tapuaiharpts</f>
        <v>0</v>
      </c>
    </row>
    <row r="586" spans="1:6" ht="15.75" thickBot="1" x14ac:dyDescent="0.3">
      <c r="A586" s="81" t="s">
        <v>474</v>
      </c>
      <c r="B586" s="81" t="s">
        <v>354</v>
      </c>
      <c r="C586" s="10">
        <f>Taylortommywastries</f>
        <v>0</v>
      </c>
      <c r="D586" s="3" t="s">
        <v>749</v>
      </c>
      <c r="E586" s="3" t="s">
        <v>308</v>
      </c>
      <c r="F586" s="21">
        <f>Taufete_eworpts</f>
        <v>0</v>
      </c>
    </row>
    <row r="587" spans="1:6" ht="15.75" thickBot="1" x14ac:dyDescent="0.3">
      <c r="A587" s="81" t="s">
        <v>750</v>
      </c>
      <c r="B587" s="81" t="s">
        <v>308</v>
      </c>
      <c r="C587" s="62">
        <f>Thorperichardtries</f>
        <v>0</v>
      </c>
      <c r="D587" s="3" t="s">
        <v>473</v>
      </c>
      <c r="E587" s="3" t="s">
        <v>355</v>
      </c>
      <c r="F587" s="21">
        <f>Thielsarpts</f>
        <v>0</v>
      </c>
    </row>
    <row r="588" spans="1:6" ht="15.75" thickBot="1" x14ac:dyDescent="0.3">
      <c r="A588" s="81" t="s">
        <v>400</v>
      </c>
      <c r="B588" s="81" t="s">
        <v>310</v>
      </c>
      <c r="C588" s="62">
        <f>Thomashenrybattries</f>
        <v>0</v>
      </c>
      <c r="D588" s="3" t="s">
        <v>474</v>
      </c>
      <c r="E588" s="3" t="s">
        <v>354</v>
      </c>
      <c r="F588" s="21">
        <f>Taylortommywaspts</f>
        <v>0</v>
      </c>
    </row>
    <row r="589" spans="1:6" ht="15.75" thickBot="1" x14ac:dyDescent="0.3">
      <c r="A589" s="81" t="s">
        <v>401</v>
      </c>
      <c r="B589" s="81" t="s">
        <v>370</v>
      </c>
      <c r="C589" s="10">
        <f>Saulolirtries</f>
        <v>0</v>
      </c>
      <c r="D589" s="3" t="s">
        <v>750</v>
      </c>
      <c r="E589" s="3" t="s">
        <v>308</v>
      </c>
      <c r="F589" s="21">
        <f>Thorperichardpts</f>
        <v>0</v>
      </c>
    </row>
    <row r="590" spans="1:6" ht="15.75" thickBot="1" x14ac:dyDescent="0.3">
      <c r="A590" s="81" t="s">
        <v>810</v>
      </c>
      <c r="B590" s="81" t="s">
        <v>355</v>
      </c>
      <c r="C590" s="10">
        <f>Thompson_Stringersartries</f>
        <v>0</v>
      </c>
      <c r="D590" s="3" t="s">
        <v>400</v>
      </c>
      <c r="E590" s="3" t="s">
        <v>310</v>
      </c>
      <c r="F590" s="21">
        <f>Thomashenrybatpts</f>
        <v>0</v>
      </c>
    </row>
    <row r="591" spans="1:6" ht="15.75" thickBot="1" x14ac:dyDescent="0.3">
      <c r="A591" s="81" t="s">
        <v>755</v>
      </c>
      <c r="B591" s="81" t="s">
        <v>355</v>
      </c>
      <c r="C591" s="7">
        <f>Tolofuasartries</f>
        <v>0</v>
      </c>
      <c r="D591" s="3" t="s">
        <v>401</v>
      </c>
      <c r="E591" s="3" t="s">
        <v>370</v>
      </c>
      <c r="F591" s="21">
        <f>Saulolirpts</f>
        <v>0</v>
      </c>
    </row>
    <row r="592" spans="1:6" ht="15.75" thickBot="1" x14ac:dyDescent="0.3">
      <c r="A592" s="81" t="s">
        <v>757</v>
      </c>
      <c r="B592" s="81" t="s">
        <v>356</v>
      </c>
      <c r="C592" s="10">
        <f>Toomualeitries</f>
        <v>0</v>
      </c>
      <c r="D592" s="3" t="s">
        <v>810</v>
      </c>
      <c r="E592" s="3" t="s">
        <v>355</v>
      </c>
      <c r="F592" s="21">
        <f>Thompson_Stringersarpts</f>
        <v>0</v>
      </c>
    </row>
    <row r="593" spans="1:6" ht="15.75" thickBot="1" x14ac:dyDescent="0.3">
      <c r="A593" s="81" t="s">
        <v>758</v>
      </c>
      <c r="B593" s="81" t="s">
        <v>370</v>
      </c>
      <c r="C593" s="10">
        <f>Schatzlirtries</f>
        <v>0</v>
      </c>
      <c r="D593" s="3" t="s">
        <v>755</v>
      </c>
      <c r="E593" s="3" t="s">
        <v>355</v>
      </c>
      <c r="F593" s="21">
        <f>Tolofuasarpts</f>
        <v>0</v>
      </c>
    </row>
    <row r="594" spans="1:6" ht="15.75" thickBot="1" x14ac:dyDescent="0.3">
      <c r="A594" s="81" t="s">
        <v>760</v>
      </c>
      <c r="B594" s="81" t="s">
        <v>307</v>
      </c>
      <c r="C594" s="10">
        <f>Cowanjimmytries</f>
        <v>0</v>
      </c>
      <c r="D594" s="3" t="s">
        <v>757</v>
      </c>
      <c r="E594" s="3" t="s">
        <v>356</v>
      </c>
      <c r="F594" s="21">
        <f>Toomualeipts</f>
        <v>0</v>
      </c>
    </row>
    <row r="595" spans="1:6" ht="15.75" thickBot="1" x14ac:dyDescent="0.3">
      <c r="A595" s="81" t="s">
        <v>882</v>
      </c>
      <c r="B595" s="81" t="s">
        <v>356</v>
      </c>
      <c r="C595" s="7">
        <f>Tuilagi_Fleictries</f>
        <v>0</v>
      </c>
      <c r="D595" s="3" t="s">
        <v>758</v>
      </c>
      <c r="E595" s="3" t="s">
        <v>370</v>
      </c>
      <c r="F595" s="21">
        <f>Schatzlirpts</f>
        <v>0</v>
      </c>
    </row>
    <row r="596" spans="1:6" ht="15.75" thickBot="1" x14ac:dyDescent="0.3">
      <c r="A596" s="81" t="s">
        <v>763</v>
      </c>
      <c r="B596" s="81" t="s">
        <v>311</v>
      </c>
      <c r="C596" s="10">
        <f>Tuitavakenortries</f>
        <v>0</v>
      </c>
      <c r="D596" s="3" t="s">
        <v>760</v>
      </c>
      <c r="E596" s="3" t="s">
        <v>307</v>
      </c>
      <c r="F596" s="21">
        <f>Cowanjimmypts</f>
        <v>0</v>
      </c>
    </row>
    <row r="597" spans="1:6" ht="15.75" thickBot="1" x14ac:dyDescent="0.3">
      <c r="A597" s="11" t="s">
        <v>765</v>
      </c>
      <c r="B597" s="11" t="s">
        <v>352</v>
      </c>
      <c r="C597" s="10">
        <f>Twomeyhartries</f>
        <v>0</v>
      </c>
      <c r="D597" s="3" t="s">
        <v>882</v>
      </c>
      <c r="E597" s="3" t="s">
        <v>356</v>
      </c>
      <c r="F597" s="20">
        <f>Tuilagi_Fleicpts</f>
        <v>0</v>
      </c>
    </row>
    <row r="598" spans="1:6" ht="15.75" thickBot="1" x14ac:dyDescent="0.3">
      <c r="A598" s="81" t="s">
        <v>767</v>
      </c>
      <c r="B598" s="81" t="s">
        <v>310</v>
      </c>
      <c r="C598" s="10">
        <f>Underhillbthtries</f>
        <v>0</v>
      </c>
      <c r="D598" s="3" t="s">
        <v>763</v>
      </c>
      <c r="E598" s="3" t="s">
        <v>311</v>
      </c>
      <c r="F598" s="21">
        <f>Tuitavakenorpts</f>
        <v>0</v>
      </c>
    </row>
    <row r="599" spans="1:6" ht="15.75" thickBot="1" x14ac:dyDescent="0.3">
      <c r="A599" s="81" t="s">
        <v>771</v>
      </c>
      <c r="B599" s="81" t="s">
        <v>353</v>
      </c>
      <c r="C599" s="10">
        <f>van_der_Sluysexetries</f>
        <v>0</v>
      </c>
      <c r="D599" s="19" t="s">
        <v>765</v>
      </c>
      <c r="E599" s="19" t="s">
        <v>352</v>
      </c>
      <c r="F599" s="21">
        <f>Twomeyharpts</f>
        <v>0</v>
      </c>
    </row>
    <row r="600" spans="1:6" ht="15.75" thickBot="1" x14ac:dyDescent="0.3">
      <c r="A600" s="81" t="s">
        <v>772</v>
      </c>
      <c r="B600" s="81" t="s">
        <v>310</v>
      </c>
      <c r="C600" s="62">
        <f>van_Rooyenbthtries</f>
        <v>0</v>
      </c>
      <c r="D600" s="3" t="s">
        <v>767</v>
      </c>
      <c r="E600" s="3" t="s">
        <v>310</v>
      </c>
      <c r="F600" s="21">
        <f>Underhillbthpts</f>
        <v>0</v>
      </c>
    </row>
    <row r="601" spans="1:6" ht="15.75" thickBot="1" x14ac:dyDescent="0.3">
      <c r="A601" s="81" t="s">
        <v>773</v>
      </c>
      <c r="B601" s="81" t="s">
        <v>308</v>
      </c>
      <c r="C601" s="62">
        <f>Tincknelljamestries</f>
        <v>0</v>
      </c>
      <c r="D601" s="3" t="s">
        <v>771</v>
      </c>
      <c r="E601" s="3" t="s">
        <v>353</v>
      </c>
      <c r="F601" s="21">
        <f>van_der_Sluysexepts</f>
        <v>0</v>
      </c>
    </row>
    <row r="602" spans="1:6" ht="15.75" thickBot="1" x14ac:dyDescent="0.3">
      <c r="A602" s="81" t="s">
        <v>774</v>
      </c>
      <c r="B602" s="81" t="s">
        <v>311</v>
      </c>
      <c r="C602" s="62">
        <f>van_Wyknortries</f>
        <v>0</v>
      </c>
      <c r="D602" s="3" t="s">
        <v>772</v>
      </c>
      <c r="E602" s="3" t="s">
        <v>310</v>
      </c>
      <c r="F602" s="21">
        <f>van_Rooyenbthpts</f>
        <v>0</v>
      </c>
    </row>
    <row r="603" spans="1:6" ht="15.75" thickBot="1" x14ac:dyDescent="0.3">
      <c r="A603" s="81" t="s">
        <v>775</v>
      </c>
      <c r="B603" s="81" t="s">
        <v>310</v>
      </c>
      <c r="C603" s="10">
        <f>van_Vuurenbthtries</f>
        <v>0</v>
      </c>
      <c r="D603" s="3" t="s">
        <v>773</v>
      </c>
      <c r="E603" s="3" t="s">
        <v>308</v>
      </c>
      <c r="F603" s="22">
        <f>Tincknelljamespts</f>
        <v>0</v>
      </c>
    </row>
    <row r="604" spans="1:6" ht="15.75" thickBot="1" x14ac:dyDescent="0.3">
      <c r="A604" s="81" t="s">
        <v>945</v>
      </c>
      <c r="B604" s="81" t="s">
        <v>918</v>
      </c>
      <c r="C604" s="10">
        <f>Socino_Snewtries</f>
        <v>0</v>
      </c>
      <c r="D604" s="3" t="s">
        <v>774</v>
      </c>
      <c r="E604" s="3" t="s">
        <v>311</v>
      </c>
      <c r="F604" s="22">
        <f>van_Wyknorpts</f>
        <v>0</v>
      </c>
    </row>
    <row r="605" spans="1:6" ht="15.75" thickBot="1" x14ac:dyDescent="0.3">
      <c r="A605" s="81" t="s">
        <v>779</v>
      </c>
      <c r="B605" s="81" t="s">
        <v>352</v>
      </c>
      <c r="C605" s="10">
        <f>Williamstomtriescorrect</f>
        <v>0</v>
      </c>
      <c r="D605" s="3" t="s">
        <v>775</v>
      </c>
      <c r="E605" s="3" t="s">
        <v>310</v>
      </c>
      <c r="F605" s="21">
        <f>van_Vuurenbthpts</f>
        <v>0</v>
      </c>
    </row>
    <row r="606" spans="1:6" ht="15.75" thickBot="1" x14ac:dyDescent="0.3">
      <c r="A606" s="81" t="s">
        <v>781</v>
      </c>
      <c r="B606" s="81" t="s">
        <v>310</v>
      </c>
      <c r="C606" s="10">
        <f>Vunabthtries</f>
        <v>0</v>
      </c>
      <c r="D606" s="3" t="s">
        <v>945</v>
      </c>
      <c r="E606" s="3" t="s">
        <v>918</v>
      </c>
      <c r="F606" s="21">
        <f>Socino_Snewpts</f>
        <v>0</v>
      </c>
    </row>
    <row r="607" spans="1:6" ht="15.75" thickBot="1" x14ac:dyDescent="0.3">
      <c r="A607" s="81" t="s">
        <v>1026</v>
      </c>
      <c r="B607" s="81" t="s">
        <v>355</v>
      </c>
      <c r="C607" s="10">
        <f>Vunipola_Msartries</f>
        <v>0</v>
      </c>
      <c r="D607" s="3" t="s">
        <v>779</v>
      </c>
      <c r="E607" s="3" t="s">
        <v>352</v>
      </c>
      <c r="F607" s="21">
        <f>Williamstompts</f>
        <v>0</v>
      </c>
    </row>
    <row r="608" spans="1:6" ht="15.75" thickBot="1" x14ac:dyDescent="0.3">
      <c r="A608" s="11" t="s">
        <v>782</v>
      </c>
      <c r="B608" s="11" t="s">
        <v>352</v>
      </c>
      <c r="C608" s="10">
        <f>Walkercharliehqtries</f>
        <v>0</v>
      </c>
      <c r="D608" s="3" t="s">
        <v>781</v>
      </c>
      <c r="E608" s="3" t="s">
        <v>310</v>
      </c>
      <c r="F608" s="20">
        <f>Vunabthpts</f>
        <v>0</v>
      </c>
    </row>
    <row r="609" spans="1:6" ht="15.75" thickBot="1" x14ac:dyDescent="0.3">
      <c r="A609" s="81" t="s">
        <v>329</v>
      </c>
      <c r="B609" s="81" t="s">
        <v>311</v>
      </c>
      <c r="C609" s="10">
        <f>A_Wallertries</f>
        <v>0</v>
      </c>
      <c r="D609" s="19" t="s">
        <v>782</v>
      </c>
      <c r="E609" s="19" t="s">
        <v>352</v>
      </c>
      <c r="F609" s="21">
        <f>Walkercharliepts</f>
        <v>0</v>
      </c>
    </row>
    <row r="610" spans="1:6" ht="15.75" thickBot="1" x14ac:dyDescent="0.3">
      <c r="A610" s="11" t="s">
        <v>342</v>
      </c>
      <c r="B610" s="81" t="s">
        <v>308</v>
      </c>
      <c r="C610" s="10">
        <f>Wallerwortries</f>
        <v>0</v>
      </c>
      <c r="D610" s="3" t="s">
        <v>329</v>
      </c>
      <c r="E610" s="3" t="s">
        <v>311</v>
      </c>
      <c r="F610" s="20">
        <f>A_Wallerpts</f>
        <v>0</v>
      </c>
    </row>
    <row r="611" spans="1:6" ht="15.75" thickBot="1" x14ac:dyDescent="0.3">
      <c r="A611" s="81" t="s">
        <v>784</v>
      </c>
      <c r="B611" s="81" t="s">
        <v>352</v>
      </c>
      <c r="C611" s="10">
        <f>warddavetries</f>
        <v>0</v>
      </c>
      <c r="D611" s="19" t="s">
        <v>342</v>
      </c>
      <c r="E611" s="3" t="s">
        <v>308</v>
      </c>
      <c r="F611" s="21">
        <f>Wallerworpts</f>
        <v>0</v>
      </c>
    </row>
    <row r="612" spans="1:6" ht="15.75" thickBot="1" x14ac:dyDescent="0.3">
      <c r="A612" s="81" t="s">
        <v>785</v>
      </c>
      <c r="B612" s="81" t="s">
        <v>352</v>
      </c>
      <c r="C612" s="10">
        <f>Watershartries</f>
        <v>0</v>
      </c>
      <c r="D612" s="3" t="s">
        <v>784</v>
      </c>
      <c r="E612" s="3" t="s">
        <v>352</v>
      </c>
      <c r="F612" s="21">
        <f>Warddavepts</f>
        <v>0</v>
      </c>
    </row>
    <row r="613" spans="1:6" ht="15.75" thickBot="1" x14ac:dyDescent="0.3">
      <c r="A613" s="81" t="s">
        <v>835</v>
      </c>
      <c r="B613" s="81" t="s">
        <v>356</v>
      </c>
      <c r="C613" s="10">
        <f>Wellsleictries</f>
        <v>0</v>
      </c>
      <c r="D613" s="3" t="s">
        <v>785</v>
      </c>
      <c r="E613" s="3" t="s">
        <v>352</v>
      </c>
      <c r="F613" s="21">
        <f>Watersharpts</f>
        <v>0</v>
      </c>
    </row>
    <row r="614" spans="1:6" ht="15.75" thickBot="1" x14ac:dyDescent="0.3">
      <c r="A614" s="81" t="s">
        <v>791</v>
      </c>
      <c r="B614" s="81" t="s">
        <v>355</v>
      </c>
      <c r="C614" s="10">
        <f>Wigglesworthrichardtries</f>
        <v>0</v>
      </c>
      <c r="D614" s="3" t="s">
        <v>835</v>
      </c>
      <c r="E614" s="3" t="s">
        <v>356</v>
      </c>
      <c r="F614" s="22">
        <f>Wellsleicpts</f>
        <v>0</v>
      </c>
    </row>
    <row r="615" spans="1:6" ht="15.75" thickBot="1" x14ac:dyDescent="0.3">
      <c r="A615" s="81" t="s">
        <v>837</v>
      </c>
      <c r="B615" s="81" t="s">
        <v>309</v>
      </c>
      <c r="C615" s="10">
        <f>Wilkinsonsaltries</f>
        <v>0</v>
      </c>
      <c r="D615" s="3" t="s">
        <v>791</v>
      </c>
      <c r="E615" s="3" t="s">
        <v>355</v>
      </c>
      <c r="F615" s="21">
        <f>Wigglesworthrichardpts</f>
        <v>0</v>
      </c>
    </row>
    <row r="616" spans="1:6" ht="15.75" thickBot="1" x14ac:dyDescent="0.3">
      <c r="A616" s="81" t="s">
        <v>968</v>
      </c>
      <c r="B616" s="81" t="s">
        <v>355</v>
      </c>
      <c r="C616" s="10">
        <f>Willemsesartries</f>
        <v>0</v>
      </c>
      <c r="D616" s="3" t="s">
        <v>837</v>
      </c>
      <c r="E616" s="3" t="s">
        <v>309</v>
      </c>
      <c r="F616" s="21">
        <f>Wilkinsonsalpts</f>
        <v>0</v>
      </c>
    </row>
    <row r="617" spans="1:6" ht="15.75" thickBot="1" x14ac:dyDescent="0.3">
      <c r="A617" s="81" t="s">
        <v>1001</v>
      </c>
      <c r="B617" s="81" t="s">
        <v>309</v>
      </c>
      <c r="C617" s="10">
        <f>Williamssaltries</f>
        <v>0</v>
      </c>
      <c r="D617" s="3" t="s">
        <v>968</v>
      </c>
      <c r="E617" s="3" t="s">
        <v>355</v>
      </c>
      <c r="F617" s="21">
        <f>Willemsesarpts</f>
        <v>0</v>
      </c>
    </row>
    <row r="618" spans="1:6" ht="15.75" thickBot="1" x14ac:dyDescent="0.3">
      <c r="A618" s="11" t="s">
        <v>336</v>
      </c>
      <c r="B618" s="11" t="s">
        <v>355</v>
      </c>
      <c r="C618" s="10">
        <f>Williamssartries</f>
        <v>0</v>
      </c>
      <c r="D618" s="3" t="s">
        <v>1001</v>
      </c>
      <c r="E618" s="3" t="s">
        <v>309</v>
      </c>
      <c r="F618" s="20">
        <f>Williamssalpts</f>
        <v>0</v>
      </c>
    </row>
    <row r="619" spans="1:6" ht="15.75" thickBot="1" x14ac:dyDescent="0.3">
      <c r="A619" s="81" t="s">
        <v>319</v>
      </c>
      <c r="B619" s="81" t="s">
        <v>307</v>
      </c>
      <c r="C619" s="10">
        <f>williamsglotries</f>
        <v>0</v>
      </c>
      <c r="D619" s="19" t="s">
        <v>336</v>
      </c>
      <c r="E619" s="19" t="s">
        <v>355</v>
      </c>
      <c r="F619" s="20">
        <f>Williamssarpts</f>
        <v>0</v>
      </c>
    </row>
    <row r="620" spans="1:6" ht="15.75" thickBot="1" x14ac:dyDescent="0.3">
      <c r="A620" s="11" t="s">
        <v>475</v>
      </c>
      <c r="B620" s="11" t="s">
        <v>308</v>
      </c>
      <c r="C620" s="10">
        <f>Williamswortries</f>
        <v>0</v>
      </c>
      <c r="D620" s="19" t="s">
        <v>475</v>
      </c>
      <c r="E620" s="19" t="s">
        <v>308</v>
      </c>
      <c r="F620" s="21">
        <f>Williamsworpts</f>
        <v>0</v>
      </c>
    </row>
    <row r="621" spans="1:6" ht="15.75" thickBot="1" x14ac:dyDescent="0.3">
      <c r="A621" s="81" t="s">
        <v>792</v>
      </c>
      <c r="B621" s="81" t="s">
        <v>310</v>
      </c>
      <c r="C621" s="10">
        <f>Willisonbthtries</f>
        <v>0</v>
      </c>
      <c r="D621" s="3" t="s">
        <v>792</v>
      </c>
      <c r="E621" s="3" t="s">
        <v>310</v>
      </c>
      <c r="F621" s="21">
        <f>Willisonbthpts</f>
        <v>0</v>
      </c>
    </row>
    <row r="622" spans="1:6" ht="15.75" thickBot="1" x14ac:dyDescent="0.3">
      <c r="A622" s="81" t="s">
        <v>793</v>
      </c>
      <c r="B622" s="81" t="s">
        <v>310</v>
      </c>
      <c r="C622" s="10">
        <f>Wilsonbattries</f>
        <v>0</v>
      </c>
      <c r="D622" s="3" t="s">
        <v>793</v>
      </c>
      <c r="E622" s="3" t="s">
        <v>310</v>
      </c>
      <c r="F622" s="20">
        <f>Wilsonbatpts</f>
        <v>0</v>
      </c>
    </row>
    <row r="623" spans="1:6" ht="15.75" thickBot="1" x14ac:dyDescent="0.3">
      <c r="A623" s="81" t="s">
        <v>870</v>
      </c>
      <c r="B623" s="81" t="s">
        <v>310</v>
      </c>
      <c r="C623" s="10">
        <f>Wilson__Jamesbthtriescorrect</f>
        <v>0</v>
      </c>
      <c r="D623" s="3" t="s">
        <v>870</v>
      </c>
      <c r="E623" s="3" t="s">
        <v>310</v>
      </c>
      <c r="F623" s="21">
        <f>Wilson__Jamesbthptscorrect</f>
        <v>0</v>
      </c>
    </row>
    <row r="624" spans="1:6" ht="15.75" thickBot="1" x14ac:dyDescent="0.3">
      <c r="A624" s="81" t="s">
        <v>1007</v>
      </c>
      <c r="B624" s="81" t="s">
        <v>354</v>
      </c>
      <c r="C624" s="62">
        <f>Wolstenholmewastries</f>
        <v>0</v>
      </c>
      <c r="D624" s="3" t="s">
        <v>1008</v>
      </c>
      <c r="E624" s="3" t="s">
        <v>354</v>
      </c>
      <c r="F624" s="22">
        <f>Wolstenholmewaspts</f>
        <v>0</v>
      </c>
    </row>
    <row r="625" spans="1:9" ht="15.75" thickBot="1" x14ac:dyDescent="0.3">
      <c r="A625" s="81" t="s">
        <v>798</v>
      </c>
      <c r="B625" s="81" t="s">
        <v>370</v>
      </c>
      <c r="C625" s="10">
        <f>Steelelitries</f>
        <v>0</v>
      </c>
      <c r="D625" s="3" t="s">
        <v>798</v>
      </c>
      <c r="E625" s="3" t="s">
        <v>370</v>
      </c>
      <c r="F625" s="21">
        <f>Steelelipts</f>
        <v>0</v>
      </c>
    </row>
    <row r="626" spans="1:9" ht="15.75" thickBot="1" x14ac:dyDescent="0.3">
      <c r="A626" s="81" t="s">
        <v>800</v>
      </c>
      <c r="B626" s="81" t="s">
        <v>356</v>
      </c>
      <c r="C626" s="10">
        <f>Worthleitries</f>
        <v>0</v>
      </c>
      <c r="D626" s="3" t="s">
        <v>800</v>
      </c>
      <c r="E626" s="3" t="s">
        <v>356</v>
      </c>
      <c r="F626" s="21">
        <f>Worthleipts</f>
        <v>0</v>
      </c>
    </row>
    <row r="627" spans="1:9" ht="15.75" thickBot="1" x14ac:dyDescent="0.3">
      <c r="A627" s="81" t="s">
        <v>980</v>
      </c>
      <c r="B627" s="81" t="s">
        <v>353</v>
      </c>
      <c r="C627" s="10">
        <f>Wyattexetries</f>
        <v>0</v>
      </c>
      <c r="D627" s="3" t="s">
        <v>980</v>
      </c>
      <c r="E627" s="3" t="s">
        <v>353</v>
      </c>
      <c r="F627" s="21">
        <f>Wyattexepts</f>
        <v>0</v>
      </c>
    </row>
    <row r="628" spans="1:9" ht="15.75" thickBot="1" x14ac:dyDescent="0.3">
      <c r="A628" s="81" t="s">
        <v>803</v>
      </c>
      <c r="B628" s="81" t="s">
        <v>353</v>
      </c>
      <c r="C628" s="10">
        <f>Yeandlejacktries</f>
        <v>0</v>
      </c>
      <c r="D628" s="3" t="s">
        <v>803</v>
      </c>
      <c r="E628" s="3" t="s">
        <v>353</v>
      </c>
      <c r="F628" s="21">
        <f>Yeandlejackpts</f>
        <v>0</v>
      </c>
    </row>
    <row r="629" spans="1:9" ht="15.75" thickBot="1" x14ac:dyDescent="0.3">
      <c r="A629" s="81" t="s">
        <v>1129</v>
      </c>
      <c r="B629" s="81" t="s">
        <v>352</v>
      </c>
      <c r="C629" s="10">
        <f>Whitehartries</f>
        <v>0</v>
      </c>
      <c r="D629" s="3" t="s">
        <v>1129</v>
      </c>
      <c r="E629" s="3" t="s">
        <v>352</v>
      </c>
      <c r="F629" s="21">
        <f>Whiteharpts</f>
        <v>0</v>
      </c>
    </row>
    <row r="630" spans="1:9" ht="15.75" thickBot="1" x14ac:dyDescent="0.3">
      <c r="A630" s="81" t="s">
        <v>804</v>
      </c>
      <c r="B630" s="81" t="s">
        <v>354</v>
      </c>
      <c r="C630" s="10">
        <f>Zhvaniawastries</f>
        <v>0</v>
      </c>
      <c r="D630" s="3" t="s">
        <v>804</v>
      </c>
      <c r="E630" s="3" t="s">
        <v>354</v>
      </c>
      <c r="F630" s="21">
        <f>Zhvaniawaspts</f>
        <v>0</v>
      </c>
    </row>
    <row r="631" spans="1:9" ht="15.75" thickBot="1" x14ac:dyDescent="0.3">
      <c r="A631" s="10" t="s">
        <v>41</v>
      </c>
      <c r="B631" s="10"/>
      <c r="C631" s="10">
        <f>SUM(C2:C630)</f>
        <v>768</v>
      </c>
      <c r="D631" s="21" t="s">
        <v>41</v>
      </c>
      <c r="E631" s="21"/>
      <c r="F631" s="21">
        <f>SUM(F2:F630)</f>
        <v>6274</v>
      </c>
    </row>
    <row r="632" spans="1:9" x14ac:dyDescent="0.25">
      <c r="A632" s="596" t="s">
        <v>1234</v>
      </c>
      <c r="B632" s="533"/>
      <c r="C632" s="533"/>
      <c r="D632" s="533"/>
      <c r="E632" s="533"/>
      <c r="F632" s="533"/>
      <c r="G632" s="533"/>
      <c r="H632" s="533"/>
      <c r="I632" s="533"/>
    </row>
    <row r="633" spans="1:9" x14ac:dyDescent="0.25">
      <c r="A633" s="596" t="s">
        <v>1244</v>
      </c>
      <c r="B633" s="533"/>
      <c r="C633" s="533"/>
      <c r="D633" s="533"/>
      <c r="E633" s="533"/>
      <c r="F633" s="533"/>
      <c r="G633" s="533"/>
      <c r="H633" s="533"/>
      <c r="I633" s="533"/>
    </row>
    <row r="634" spans="1:9" x14ac:dyDescent="0.25">
      <c r="A634" s="475" t="s">
        <v>130</v>
      </c>
    </row>
    <row r="642" spans="1:7" ht="15.75" customHeight="1" x14ac:dyDescent="0.25">
      <c r="G642" s="473"/>
    </row>
    <row r="644" spans="1:7" ht="15.75" customHeight="1" x14ac:dyDescent="0.25">
      <c r="G644" s="472"/>
    </row>
    <row r="645" spans="1:7" ht="15" customHeight="1" x14ac:dyDescent="0.25">
      <c r="G645" s="472"/>
    </row>
    <row r="646" spans="1:7" s="471" customFormat="1" ht="15" customHeight="1" x14ac:dyDescent="0.25">
      <c r="A646"/>
      <c r="B646"/>
      <c r="C646"/>
      <c r="D646"/>
      <c r="E646"/>
      <c r="F646"/>
    </row>
  </sheetData>
  <sortState xmlns:xlrd2="http://schemas.microsoft.com/office/spreadsheetml/2017/richdata2" ref="G2:K77">
    <sortCondition sortBy="fontColor" ref="J2:J77" dxfId="0"/>
    <sortCondition descending="1" ref="K2:K77"/>
    <sortCondition descending="1" ref="J2:J77"/>
    <sortCondition ref="G2:G77"/>
  </sortState>
  <mergeCells count="5">
    <mergeCell ref="A632:I632"/>
    <mergeCell ref="A633:I633"/>
    <mergeCell ref="O1:Q1"/>
    <mergeCell ref="L1:N1"/>
    <mergeCell ref="O10:Q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26"/>
  <sheetViews>
    <sheetView workbookViewId="0">
      <selection activeCell="T8" sqref="T8"/>
    </sheetView>
  </sheetViews>
  <sheetFormatPr defaultColWidth="8.85546875" defaultRowHeight="15" x14ac:dyDescent="0.25"/>
  <cols>
    <col min="1" max="1" width="16.42578125" customWidth="1"/>
    <col min="2" max="3" width="3.7109375" customWidth="1"/>
    <col min="4" max="5" width="4.7109375" customWidth="1"/>
    <col min="6" max="6" width="16.42578125" customWidth="1"/>
    <col min="7" max="10" width="5.28515625" customWidth="1"/>
    <col min="11" max="11" width="16.7109375" customWidth="1"/>
    <col min="12" max="14" width="5.42578125" customWidth="1"/>
    <col min="15" max="23" width="5.7109375" customWidth="1"/>
    <col min="24" max="34" width="4.7109375" customWidth="1"/>
    <col min="35" max="40" width="5.7109375" customWidth="1"/>
  </cols>
  <sheetData>
    <row r="1" spans="1:49" ht="15" customHeight="1" thickBot="1" x14ac:dyDescent="0.3">
      <c r="A1" s="527" t="s">
        <v>904</v>
      </c>
      <c r="B1" s="528"/>
      <c r="C1" s="528"/>
      <c r="D1" s="528"/>
      <c r="E1" s="528"/>
      <c r="F1" s="528"/>
      <c r="G1" s="528"/>
      <c r="H1" s="528"/>
      <c r="I1" s="528"/>
      <c r="J1" s="529"/>
      <c r="K1" s="513" t="s">
        <v>1028</v>
      </c>
      <c r="L1" s="500" t="s">
        <v>42</v>
      </c>
      <c r="M1" s="501"/>
      <c r="N1" s="502"/>
      <c r="O1" s="500" t="s">
        <v>405</v>
      </c>
      <c r="P1" s="501"/>
      <c r="Q1" s="502"/>
      <c r="R1" s="500" t="s">
        <v>1027</v>
      </c>
      <c r="S1" s="502"/>
      <c r="T1" s="494" t="s">
        <v>100</v>
      </c>
      <c r="U1" s="495"/>
      <c r="V1" s="496"/>
      <c r="W1" s="494" t="s">
        <v>915</v>
      </c>
      <c r="X1" s="495"/>
      <c r="Y1" s="496"/>
      <c r="Z1" s="355"/>
      <c r="AA1" s="344"/>
      <c r="AB1" s="344"/>
      <c r="AC1" s="127"/>
      <c r="AD1" s="127"/>
      <c r="AE1" s="341"/>
      <c r="AF1" s="494" t="s">
        <v>303</v>
      </c>
      <c r="AG1" s="495"/>
      <c r="AH1" s="496"/>
      <c r="AI1" s="494" t="s">
        <v>205</v>
      </c>
      <c r="AJ1" s="495"/>
      <c r="AK1" s="496"/>
      <c r="AL1" s="494" t="s">
        <v>186</v>
      </c>
      <c r="AM1" s="495"/>
      <c r="AN1" s="496"/>
      <c r="AO1" s="5"/>
      <c r="AP1" s="5"/>
      <c r="AQ1" s="5"/>
      <c r="AT1" s="5"/>
    </row>
    <row r="2" spans="1:49" ht="15" customHeight="1" thickBot="1" x14ac:dyDescent="0.3">
      <c r="A2" s="447" t="s">
        <v>0</v>
      </c>
      <c r="B2" s="448" t="s">
        <v>305</v>
      </c>
      <c r="C2" s="449" t="s">
        <v>101</v>
      </c>
      <c r="D2" s="450" t="s">
        <v>306</v>
      </c>
      <c r="E2" s="451" t="s">
        <v>1</v>
      </c>
      <c r="F2" s="211" t="s">
        <v>2</v>
      </c>
      <c r="G2" s="212" t="s">
        <v>305</v>
      </c>
      <c r="H2" s="213" t="s">
        <v>101</v>
      </c>
      <c r="I2" s="246" t="s">
        <v>306</v>
      </c>
      <c r="J2" s="214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497"/>
      <c r="U2" s="498"/>
      <c r="V2" s="499"/>
      <c r="W2" s="497"/>
      <c r="X2" s="498"/>
      <c r="Y2" s="499"/>
      <c r="Z2" s="355"/>
      <c r="AA2" s="344"/>
      <c r="AB2" s="344"/>
      <c r="AC2" s="127"/>
      <c r="AD2" s="127"/>
      <c r="AE2" s="341"/>
      <c r="AF2" s="497"/>
      <c r="AG2" s="498"/>
      <c r="AH2" s="499"/>
      <c r="AI2" s="497"/>
      <c r="AJ2" s="498"/>
      <c r="AK2" s="499"/>
      <c r="AL2" s="497"/>
      <c r="AM2" s="498"/>
      <c r="AN2" s="499"/>
      <c r="AR2" s="5"/>
      <c r="AS2" s="5"/>
      <c r="AT2" s="5"/>
      <c r="AU2" s="5"/>
      <c r="AV2" s="5"/>
      <c r="AW2" s="5"/>
    </row>
    <row r="3" spans="1:49" ht="15" customHeight="1" thickBot="1" x14ac:dyDescent="0.3">
      <c r="A3" s="452" t="s">
        <v>113</v>
      </c>
      <c r="B3" s="453">
        <v>1</v>
      </c>
      <c r="C3" s="454">
        <v>0</v>
      </c>
      <c r="D3" s="455">
        <v>0</v>
      </c>
      <c r="E3" s="456">
        <f t="shared" ref="E3:E61" si="0">SUM(B3:D3)</f>
        <v>1</v>
      </c>
      <c r="F3" s="207" t="s">
        <v>113</v>
      </c>
      <c r="G3" s="208">
        <v>5</v>
      </c>
      <c r="H3" s="209">
        <v>0</v>
      </c>
      <c r="I3" s="247">
        <v>0</v>
      </c>
      <c r="J3" s="210">
        <f t="shared" ref="J3:J61" si="1">SUM(G3:I3)</f>
        <v>5</v>
      </c>
      <c r="K3" s="35" t="s">
        <v>72</v>
      </c>
      <c r="L3" s="4" t="s">
        <v>176</v>
      </c>
      <c r="M3" s="4" t="s">
        <v>36</v>
      </c>
      <c r="N3" s="4" t="s">
        <v>37</v>
      </c>
      <c r="O3" s="305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106" t="s">
        <v>176</v>
      </c>
      <c r="U3" s="106" t="s">
        <v>36</v>
      </c>
      <c r="V3" s="106" t="s">
        <v>37</v>
      </c>
      <c r="W3" s="111" t="s">
        <v>176</v>
      </c>
      <c r="X3" s="106" t="s">
        <v>36</v>
      </c>
      <c r="Y3" s="106" t="s">
        <v>37</v>
      </c>
      <c r="Z3" s="126"/>
      <c r="AA3" s="127"/>
      <c r="AB3" s="127"/>
      <c r="AC3" s="127"/>
      <c r="AD3" s="127"/>
      <c r="AE3" s="341"/>
      <c r="AF3" s="111" t="s">
        <v>176</v>
      </c>
      <c r="AG3" s="106" t="s">
        <v>36</v>
      </c>
      <c r="AH3" s="132" t="s">
        <v>37</v>
      </c>
      <c r="AI3" s="132" t="s">
        <v>176</v>
      </c>
      <c r="AJ3" s="106" t="s">
        <v>36</v>
      </c>
      <c r="AK3" s="106" t="s">
        <v>37</v>
      </c>
      <c r="AL3" s="106" t="s">
        <v>176</v>
      </c>
      <c r="AM3" s="106" t="s">
        <v>36</v>
      </c>
      <c r="AN3" s="106" t="s">
        <v>37</v>
      </c>
    </row>
    <row r="4" spans="1:49" ht="15" customHeight="1" thickBot="1" x14ac:dyDescent="0.3">
      <c r="A4" s="452" t="s">
        <v>1110</v>
      </c>
      <c r="B4" s="453">
        <v>0</v>
      </c>
      <c r="C4" s="454">
        <v>1</v>
      </c>
      <c r="D4" s="455">
        <v>0</v>
      </c>
      <c r="E4" s="456">
        <f t="shared" si="0"/>
        <v>1</v>
      </c>
      <c r="F4" s="207" t="s">
        <v>1110</v>
      </c>
      <c r="G4" s="208">
        <v>0</v>
      </c>
      <c r="H4" s="209">
        <v>5</v>
      </c>
      <c r="I4" s="247">
        <v>0</v>
      </c>
      <c r="J4" s="210">
        <f t="shared" si="1"/>
        <v>5</v>
      </c>
      <c r="K4" s="447" t="s">
        <v>390</v>
      </c>
      <c r="L4" s="457" t="s">
        <v>43</v>
      </c>
      <c r="M4" s="457" t="s">
        <v>43</v>
      </c>
      <c r="N4" s="458" t="s">
        <v>43</v>
      </c>
      <c r="O4" s="459" t="s">
        <v>43</v>
      </c>
      <c r="P4" s="459" t="s">
        <v>43</v>
      </c>
      <c r="Q4" s="460" t="s">
        <v>43</v>
      </c>
      <c r="R4" s="461">
        <v>-2</v>
      </c>
      <c r="S4" s="461">
        <v>-2</v>
      </c>
      <c r="T4" s="300">
        <v>0</v>
      </c>
      <c r="U4" s="300">
        <v>2</v>
      </c>
      <c r="V4" s="294">
        <f>SUM(T4/U4)*100</f>
        <v>0</v>
      </c>
      <c r="W4" s="299" t="s">
        <v>43</v>
      </c>
      <c r="X4" s="300" t="s">
        <v>43</v>
      </c>
      <c r="Y4" s="300" t="s">
        <v>43</v>
      </c>
      <c r="Z4" s="126"/>
      <c r="AA4" s="127"/>
      <c r="AB4" s="127"/>
      <c r="AC4" s="127"/>
      <c r="AD4" s="127"/>
      <c r="AE4" s="341"/>
      <c r="AF4" s="299">
        <v>4</v>
      </c>
      <c r="AG4" s="300">
        <v>8</v>
      </c>
      <c r="AH4" s="303">
        <f t="shared" ref="AH4" si="2">SUM(AF4/AG4)*100</f>
        <v>50</v>
      </c>
      <c r="AI4" s="7" t="s">
        <v>43</v>
      </c>
      <c r="AJ4" s="293" t="s">
        <v>43</v>
      </c>
      <c r="AK4" s="293" t="s">
        <v>43</v>
      </c>
      <c r="AL4" s="7" t="s">
        <v>43</v>
      </c>
      <c r="AM4" s="293" t="s">
        <v>43</v>
      </c>
      <c r="AN4" s="293" t="s">
        <v>43</v>
      </c>
    </row>
    <row r="5" spans="1:49" ht="15" customHeight="1" thickBot="1" x14ac:dyDescent="0.3">
      <c r="A5" s="452" t="s">
        <v>1014</v>
      </c>
      <c r="B5" s="453">
        <v>0</v>
      </c>
      <c r="C5" s="454">
        <v>0</v>
      </c>
      <c r="D5" s="455">
        <v>1</v>
      </c>
      <c r="E5" s="456">
        <f t="shared" ref="E5" si="3">SUM(B5:D5)</f>
        <v>1</v>
      </c>
      <c r="F5" s="207" t="s">
        <v>1014</v>
      </c>
      <c r="G5" s="208">
        <v>0</v>
      </c>
      <c r="H5" s="209">
        <v>0</v>
      </c>
      <c r="I5" s="247">
        <v>5</v>
      </c>
      <c r="J5" s="210">
        <f t="shared" ref="J5" si="4">SUM(G5:I5)</f>
        <v>5</v>
      </c>
      <c r="K5" s="447" t="s">
        <v>850</v>
      </c>
      <c r="L5" s="459" t="s">
        <v>43</v>
      </c>
      <c r="M5" s="459" t="s">
        <v>43</v>
      </c>
      <c r="N5" s="459" t="s">
        <v>43</v>
      </c>
      <c r="O5" s="459" t="s">
        <v>43</v>
      </c>
      <c r="P5" s="459" t="s">
        <v>43</v>
      </c>
      <c r="Q5" s="460" t="s">
        <v>43</v>
      </c>
      <c r="R5" s="461">
        <v>-1</v>
      </c>
      <c r="S5" s="461">
        <v>-2</v>
      </c>
      <c r="T5" s="7" t="s">
        <v>43</v>
      </c>
      <c r="U5" s="7" t="s">
        <v>43</v>
      </c>
      <c r="V5" s="7" t="s">
        <v>43</v>
      </c>
      <c r="W5" s="299" t="s">
        <v>43</v>
      </c>
      <c r="X5" s="300" t="s">
        <v>43</v>
      </c>
      <c r="Y5" s="300" t="s">
        <v>43</v>
      </c>
      <c r="Z5" s="126"/>
      <c r="AA5" s="127"/>
      <c r="AB5" s="127"/>
      <c r="AC5" s="127"/>
      <c r="AD5" s="127"/>
      <c r="AE5" s="341"/>
      <c r="AF5" s="299" t="s">
        <v>43</v>
      </c>
      <c r="AG5" s="300" t="s">
        <v>43</v>
      </c>
      <c r="AH5" s="300" t="s">
        <v>43</v>
      </c>
      <c r="AI5" s="299" t="s">
        <v>43</v>
      </c>
      <c r="AJ5" s="300" t="s">
        <v>43</v>
      </c>
      <c r="AK5" s="300" t="s">
        <v>43</v>
      </c>
      <c r="AL5" s="300" t="s">
        <v>43</v>
      </c>
      <c r="AM5" s="300" t="s">
        <v>43</v>
      </c>
      <c r="AN5" s="300" t="s">
        <v>43</v>
      </c>
    </row>
    <row r="6" spans="1:49" ht="15" customHeight="1" thickBot="1" x14ac:dyDescent="0.3">
      <c r="A6" s="452" t="s">
        <v>371</v>
      </c>
      <c r="B6" s="453">
        <v>0</v>
      </c>
      <c r="C6" s="454">
        <v>0</v>
      </c>
      <c r="D6" s="455">
        <v>0</v>
      </c>
      <c r="E6" s="456">
        <f t="shared" si="0"/>
        <v>0</v>
      </c>
      <c r="F6" s="207" t="s">
        <v>371</v>
      </c>
      <c r="G6" s="208">
        <v>0</v>
      </c>
      <c r="H6" s="209">
        <v>0</v>
      </c>
      <c r="I6" s="247">
        <v>0</v>
      </c>
      <c r="J6" s="210">
        <f t="shared" si="1"/>
        <v>0</v>
      </c>
      <c r="K6" s="447" t="s">
        <v>893</v>
      </c>
      <c r="L6" s="459" t="s">
        <v>43</v>
      </c>
      <c r="M6" s="459" t="s">
        <v>43</v>
      </c>
      <c r="N6" s="458" t="s">
        <v>43</v>
      </c>
      <c r="O6" s="459" t="s">
        <v>43</v>
      </c>
      <c r="P6" s="459" t="s">
        <v>43</v>
      </c>
      <c r="Q6" s="460" t="s">
        <v>43</v>
      </c>
      <c r="R6" s="457">
        <v>-1</v>
      </c>
      <c r="S6" s="457">
        <v>-1</v>
      </c>
      <c r="T6" s="7">
        <v>2</v>
      </c>
      <c r="U6" s="7">
        <v>5</v>
      </c>
      <c r="V6" s="294">
        <f>SUM(T6/U6)*100</f>
        <v>40</v>
      </c>
      <c r="W6" s="7" t="s">
        <v>43</v>
      </c>
      <c r="X6" s="7" t="s">
        <v>43</v>
      </c>
      <c r="Y6" s="7" t="s">
        <v>43</v>
      </c>
      <c r="Z6" s="126"/>
      <c r="AA6" s="127"/>
      <c r="AB6" s="127"/>
      <c r="AC6" s="127"/>
      <c r="AD6" s="127"/>
      <c r="AE6" s="341"/>
      <c r="AF6" s="7" t="s">
        <v>43</v>
      </c>
      <c r="AG6" s="7" t="s">
        <v>43</v>
      </c>
      <c r="AH6" s="7" t="s">
        <v>43</v>
      </c>
      <c r="AI6" s="7" t="s">
        <v>43</v>
      </c>
      <c r="AJ6" s="7" t="s">
        <v>43</v>
      </c>
      <c r="AK6" s="7" t="s">
        <v>43</v>
      </c>
      <c r="AL6" s="7" t="s">
        <v>43</v>
      </c>
      <c r="AM6" s="7" t="s">
        <v>43</v>
      </c>
      <c r="AN6" s="7" t="s">
        <v>43</v>
      </c>
    </row>
    <row r="7" spans="1:49" ht="15" customHeight="1" thickBot="1" x14ac:dyDescent="0.3">
      <c r="A7" s="452" t="s">
        <v>850</v>
      </c>
      <c r="B7" s="453">
        <v>0</v>
      </c>
      <c r="C7" s="454">
        <v>1</v>
      </c>
      <c r="D7" s="455">
        <v>0</v>
      </c>
      <c r="E7" s="456">
        <f t="shared" si="0"/>
        <v>1</v>
      </c>
      <c r="F7" s="207" t="s">
        <v>850</v>
      </c>
      <c r="G7" s="208">
        <v>0</v>
      </c>
      <c r="H7" s="209">
        <v>5</v>
      </c>
      <c r="I7" s="247">
        <v>0</v>
      </c>
      <c r="J7" s="210">
        <f t="shared" si="1"/>
        <v>5</v>
      </c>
      <c r="K7" s="447" t="s">
        <v>1018</v>
      </c>
      <c r="L7" s="459">
        <v>2</v>
      </c>
      <c r="M7" s="459">
        <v>3</v>
      </c>
      <c r="N7" s="460">
        <f>(L7/M7)*100</f>
        <v>66.666666666666657</v>
      </c>
      <c r="O7" s="459" t="s">
        <v>43</v>
      </c>
      <c r="P7" s="459" t="s">
        <v>43</v>
      </c>
      <c r="Q7" s="460" t="s">
        <v>43</v>
      </c>
      <c r="R7" s="461">
        <v>1</v>
      </c>
      <c r="S7" s="461">
        <v>3</v>
      </c>
      <c r="T7" s="7" t="s">
        <v>43</v>
      </c>
      <c r="U7" s="7" t="s">
        <v>43</v>
      </c>
      <c r="V7" s="7" t="s">
        <v>43</v>
      </c>
      <c r="W7" s="7" t="s">
        <v>43</v>
      </c>
      <c r="X7" s="7" t="s">
        <v>43</v>
      </c>
      <c r="Y7" s="7" t="s">
        <v>43</v>
      </c>
      <c r="Z7" s="126"/>
      <c r="AA7" s="127"/>
      <c r="AB7" s="127"/>
      <c r="AC7" s="127"/>
      <c r="AD7" s="127"/>
      <c r="AE7" s="341"/>
      <c r="AF7" s="7" t="s">
        <v>43</v>
      </c>
      <c r="AG7" s="7" t="s">
        <v>43</v>
      </c>
      <c r="AH7" s="7" t="s">
        <v>43</v>
      </c>
      <c r="AI7" s="7" t="s">
        <v>43</v>
      </c>
      <c r="AJ7" s="7" t="s">
        <v>43</v>
      </c>
      <c r="AK7" s="7" t="s">
        <v>43</v>
      </c>
      <c r="AL7" s="7" t="s">
        <v>43</v>
      </c>
      <c r="AM7" s="7" t="s">
        <v>43</v>
      </c>
      <c r="AN7" s="7" t="s">
        <v>43</v>
      </c>
    </row>
    <row r="8" spans="1:49" ht="15" customHeight="1" thickBot="1" x14ac:dyDescent="0.3">
      <c r="A8" s="452" t="s">
        <v>1230</v>
      </c>
      <c r="B8" s="453">
        <v>1</v>
      </c>
      <c r="C8" s="454">
        <v>0</v>
      </c>
      <c r="D8" s="455">
        <v>0</v>
      </c>
      <c r="E8" s="456">
        <f t="shared" si="0"/>
        <v>1</v>
      </c>
      <c r="F8" s="207" t="s">
        <v>1230</v>
      </c>
      <c r="G8" s="208">
        <v>5</v>
      </c>
      <c r="H8" s="209">
        <v>0</v>
      </c>
      <c r="I8" s="247">
        <v>0</v>
      </c>
      <c r="J8" s="210">
        <f t="shared" si="1"/>
        <v>5</v>
      </c>
      <c r="K8" s="447" t="s">
        <v>854</v>
      </c>
      <c r="L8" s="459">
        <v>1</v>
      </c>
      <c r="M8" s="459">
        <v>1</v>
      </c>
      <c r="N8" s="459">
        <f>(L8/M8)*100</f>
        <v>100</v>
      </c>
      <c r="O8" s="459" t="s">
        <v>43</v>
      </c>
      <c r="P8" s="459" t="s">
        <v>43</v>
      </c>
      <c r="Q8" s="460" t="s">
        <v>43</v>
      </c>
      <c r="R8" s="461">
        <v>1</v>
      </c>
      <c r="S8" s="461">
        <v>2</v>
      </c>
      <c r="T8" s="7" t="s">
        <v>43</v>
      </c>
      <c r="U8" s="7" t="s">
        <v>43</v>
      </c>
      <c r="V8" s="7" t="s">
        <v>43</v>
      </c>
      <c r="W8" s="7" t="s">
        <v>43</v>
      </c>
      <c r="X8" s="7" t="s">
        <v>43</v>
      </c>
      <c r="Y8" s="7" t="s">
        <v>43</v>
      </c>
      <c r="Z8" s="126"/>
      <c r="AA8" s="127"/>
      <c r="AB8" s="127"/>
      <c r="AC8" s="127"/>
      <c r="AD8" s="127"/>
      <c r="AE8" s="341"/>
      <c r="AF8" s="7" t="s">
        <v>43</v>
      </c>
      <c r="AG8" s="7" t="s">
        <v>43</v>
      </c>
      <c r="AH8" s="7" t="s">
        <v>43</v>
      </c>
      <c r="AI8" s="7">
        <v>24</v>
      </c>
      <c r="AJ8" s="7">
        <v>29</v>
      </c>
      <c r="AK8" s="303">
        <f>SUM(AI8/AJ8)*100</f>
        <v>82.758620689655174</v>
      </c>
      <c r="AL8" s="7">
        <v>47</v>
      </c>
      <c r="AM8" s="7">
        <v>54</v>
      </c>
      <c r="AN8" s="294">
        <f>SUM(AL8/AM8)*100</f>
        <v>87.037037037037038</v>
      </c>
      <c r="AO8" s="5"/>
    </row>
    <row r="9" spans="1:49" ht="15" customHeight="1" thickBot="1" x14ac:dyDescent="0.3">
      <c r="A9" s="452" t="s">
        <v>1016</v>
      </c>
      <c r="B9" s="453">
        <v>1</v>
      </c>
      <c r="C9" s="454">
        <v>4</v>
      </c>
      <c r="D9" s="455">
        <v>1</v>
      </c>
      <c r="E9" s="456">
        <f t="shared" ref="E9" si="5">SUM(B9:D9)</f>
        <v>6</v>
      </c>
      <c r="F9" s="207" t="s">
        <v>1016</v>
      </c>
      <c r="G9" s="208">
        <v>5</v>
      </c>
      <c r="H9" s="209">
        <v>20</v>
      </c>
      <c r="I9" s="247">
        <v>5</v>
      </c>
      <c r="J9" s="210">
        <f t="shared" ref="J9" si="6">SUM(G9:I9)</f>
        <v>30</v>
      </c>
      <c r="K9" s="447" t="s">
        <v>831</v>
      </c>
      <c r="L9" s="459">
        <v>1</v>
      </c>
      <c r="M9" s="461">
        <v>1</v>
      </c>
      <c r="N9" s="458">
        <f>(L9/M9)*100</f>
        <v>100</v>
      </c>
      <c r="O9" s="459" t="s">
        <v>43</v>
      </c>
      <c r="P9" s="459" t="s">
        <v>43</v>
      </c>
      <c r="Q9" s="460" t="s">
        <v>43</v>
      </c>
      <c r="R9" s="461">
        <v>1</v>
      </c>
      <c r="S9" s="461">
        <v>6</v>
      </c>
      <c r="T9" s="7">
        <v>40</v>
      </c>
      <c r="U9" s="293">
        <v>50</v>
      </c>
      <c r="V9" s="294">
        <f>SUM(T9/U9)*100</f>
        <v>80</v>
      </c>
      <c r="W9" s="299" t="s">
        <v>43</v>
      </c>
      <c r="X9" s="300" t="s">
        <v>43</v>
      </c>
      <c r="Y9" s="300" t="s">
        <v>43</v>
      </c>
      <c r="Z9" s="126"/>
      <c r="AA9" s="127"/>
      <c r="AB9" s="127"/>
      <c r="AC9" s="127"/>
      <c r="AD9" s="127"/>
      <c r="AE9" s="341"/>
      <c r="AF9" s="283">
        <v>39</v>
      </c>
      <c r="AG9" s="8">
        <v>52</v>
      </c>
      <c r="AH9" s="303">
        <f>SUM(AF9/AG9)*100</f>
        <v>75</v>
      </c>
      <c r="AI9" s="7" t="s">
        <v>43</v>
      </c>
      <c r="AJ9" s="293" t="s">
        <v>43</v>
      </c>
      <c r="AK9" s="293" t="s">
        <v>43</v>
      </c>
      <c r="AL9" s="7" t="s">
        <v>43</v>
      </c>
      <c r="AM9" s="293" t="s">
        <v>43</v>
      </c>
      <c r="AN9" s="293" t="s">
        <v>43</v>
      </c>
    </row>
    <row r="10" spans="1:49" ht="15" customHeight="1" thickBot="1" x14ac:dyDescent="0.3">
      <c r="A10" s="452" t="s">
        <v>372</v>
      </c>
      <c r="B10" s="453">
        <v>0</v>
      </c>
      <c r="C10" s="454">
        <v>0</v>
      </c>
      <c r="D10" s="455">
        <v>0</v>
      </c>
      <c r="E10" s="456">
        <f t="shared" si="0"/>
        <v>0</v>
      </c>
      <c r="F10" s="207" t="s">
        <v>372</v>
      </c>
      <c r="G10" s="208">
        <v>0</v>
      </c>
      <c r="H10" s="209">
        <v>0</v>
      </c>
      <c r="I10" s="247">
        <v>0</v>
      </c>
      <c r="J10" s="210">
        <f t="shared" si="1"/>
        <v>0</v>
      </c>
      <c r="K10" s="447" t="s">
        <v>1213</v>
      </c>
      <c r="L10" s="459">
        <v>8</v>
      </c>
      <c r="M10" s="461">
        <v>9</v>
      </c>
      <c r="N10" s="458">
        <f>(L10/M10)*100</f>
        <v>88.888888888888886</v>
      </c>
      <c r="O10" s="459" t="s">
        <v>43</v>
      </c>
      <c r="P10" s="459" t="s">
        <v>43</v>
      </c>
      <c r="Q10" s="460" t="s">
        <v>43</v>
      </c>
      <c r="R10" s="461">
        <v>-1</v>
      </c>
      <c r="S10" s="461">
        <v>-1</v>
      </c>
      <c r="T10" s="8">
        <v>1</v>
      </c>
      <c r="U10" s="8">
        <v>1</v>
      </c>
      <c r="V10" s="8">
        <v>100</v>
      </c>
      <c r="W10" s="283">
        <v>0</v>
      </c>
      <c r="X10" s="8">
        <v>1</v>
      </c>
      <c r="Y10" s="294">
        <f>SUM(W10/X10)*100</f>
        <v>0</v>
      </c>
      <c r="Z10" s="126"/>
      <c r="AA10" s="127"/>
      <c r="AB10" s="127"/>
      <c r="AC10" s="127"/>
      <c r="AD10" s="127"/>
      <c r="AE10" s="341"/>
      <c r="AF10" s="283"/>
      <c r="AG10" s="8"/>
      <c r="AH10" s="303"/>
      <c r="AI10" s="7"/>
      <c r="AJ10" s="293"/>
      <c r="AK10" s="293"/>
      <c r="AL10" s="7"/>
      <c r="AM10" s="293"/>
      <c r="AN10" s="293"/>
    </row>
    <row r="11" spans="1:49" ht="15" customHeight="1" thickBot="1" x14ac:dyDescent="0.3">
      <c r="A11" s="452" t="s">
        <v>373</v>
      </c>
      <c r="B11" s="453">
        <v>0</v>
      </c>
      <c r="C11" s="454">
        <v>0</v>
      </c>
      <c r="D11" s="455">
        <v>0</v>
      </c>
      <c r="E11" s="456">
        <f t="shared" si="0"/>
        <v>0</v>
      </c>
      <c r="F11" s="207" t="s">
        <v>373</v>
      </c>
      <c r="G11" s="208">
        <v>0</v>
      </c>
      <c r="H11" s="209">
        <v>0</v>
      </c>
      <c r="I11" s="247">
        <v>0</v>
      </c>
      <c r="J11" s="210">
        <f t="shared" si="1"/>
        <v>0</v>
      </c>
      <c r="K11" s="447" t="s">
        <v>395</v>
      </c>
      <c r="L11" s="459">
        <v>74</v>
      </c>
      <c r="M11" s="461">
        <v>99</v>
      </c>
      <c r="N11" s="460">
        <f>(L11/M11)*100</f>
        <v>74.747474747474755</v>
      </c>
      <c r="O11" s="459">
        <v>8</v>
      </c>
      <c r="P11" s="459">
        <v>8</v>
      </c>
      <c r="Q11" s="460">
        <f>(O11/P11)*100</f>
        <v>100</v>
      </c>
      <c r="R11" s="461">
        <v>-1</v>
      </c>
      <c r="S11" s="461">
        <v>9</v>
      </c>
      <c r="T11" s="7">
        <v>45</v>
      </c>
      <c r="U11" s="293">
        <v>55</v>
      </c>
      <c r="V11" s="294">
        <f>SUM(T11/U11)*100</f>
        <v>81.818181818181827</v>
      </c>
      <c r="W11" s="7" t="s">
        <v>43</v>
      </c>
      <c r="X11" s="293" t="s">
        <v>43</v>
      </c>
      <c r="Y11" s="293" t="s">
        <v>43</v>
      </c>
      <c r="Z11" s="126"/>
      <c r="AA11" s="127"/>
      <c r="AB11" s="127"/>
      <c r="AC11" s="127"/>
      <c r="AD11" s="127"/>
      <c r="AE11" s="341"/>
      <c r="AF11" s="7" t="s">
        <v>43</v>
      </c>
      <c r="AG11" s="293" t="s">
        <v>43</v>
      </c>
      <c r="AH11" s="7" t="s">
        <v>43</v>
      </c>
      <c r="AI11" s="7" t="s">
        <v>43</v>
      </c>
      <c r="AJ11" s="293" t="s">
        <v>43</v>
      </c>
      <c r="AK11" s="293" t="s">
        <v>43</v>
      </c>
      <c r="AL11" s="7" t="s">
        <v>43</v>
      </c>
      <c r="AM11" s="293" t="s">
        <v>43</v>
      </c>
      <c r="AN11" s="293" t="s">
        <v>43</v>
      </c>
      <c r="AQ11" s="5"/>
      <c r="AR11" s="5"/>
      <c r="AS11" s="5"/>
      <c r="AT11" s="5"/>
    </row>
    <row r="12" spans="1:49" ht="15" customHeight="1" thickBot="1" x14ac:dyDescent="0.3">
      <c r="A12" s="452" t="s">
        <v>72</v>
      </c>
      <c r="B12" s="453">
        <v>0</v>
      </c>
      <c r="C12" s="454">
        <v>0</v>
      </c>
      <c r="D12" s="455">
        <v>0</v>
      </c>
      <c r="E12" s="456">
        <f t="shared" si="0"/>
        <v>0</v>
      </c>
      <c r="F12" s="207" t="s">
        <v>72</v>
      </c>
      <c r="G12" s="208">
        <v>0</v>
      </c>
      <c r="H12" s="209">
        <v>0</v>
      </c>
      <c r="I12" s="247">
        <v>0</v>
      </c>
      <c r="J12" s="210">
        <f t="shared" si="1"/>
        <v>0</v>
      </c>
      <c r="K12" s="138"/>
      <c r="L12" s="75"/>
      <c r="M12" s="137"/>
      <c r="N12" s="137"/>
      <c r="O12" s="137"/>
      <c r="P12" s="137"/>
      <c r="Q12" s="137"/>
      <c r="R12" s="308"/>
      <c r="S12" s="308"/>
      <c r="T12" s="286"/>
      <c r="U12" s="286"/>
      <c r="V12" s="286"/>
      <c r="W12" s="286"/>
      <c r="X12" s="287"/>
      <c r="Y12" s="287"/>
      <c r="Z12" s="114"/>
      <c r="AA12" s="114"/>
      <c r="AB12" s="114"/>
      <c r="AC12" s="114"/>
      <c r="AD12" s="114"/>
      <c r="AE12" s="114"/>
      <c r="AF12" s="114"/>
      <c r="AG12" s="114"/>
      <c r="AH12" s="114"/>
      <c r="AI12" s="431"/>
      <c r="AJ12" s="432"/>
      <c r="AK12" s="433"/>
      <c r="AL12" s="431"/>
      <c r="AM12" s="432"/>
      <c r="AN12" s="433"/>
      <c r="AO12" s="5"/>
      <c r="AP12" s="5"/>
      <c r="AQ12" s="5"/>
    </row>
    <row r="13" spans="1:49" ht="15" customHeight="1" thickBot="1" x14ac:dyDescent="0.3">
      <c r="A13" s="452" t="s">
        <v>893</v>
      </c>
      <c r="B13" s="453">
        <v>0</v>
      </c>
      <c r="C13" s="454">
        <v>0</v>
      </c>
      <c r="D13" s="455">
        <v>0</v>
      </c>
      <c r="E13" s="456">
        <f t="shared" si="0"/>
        <v>0</v>
      </c>
      <c r="F13" s="207" t="s">
        <v>893</v>
      </c>
      <c r="G13" s="208">
        <v>0</v>
      </c>
      <c r="H13" s="209">
        <v>0</v>
      </c>
      <c r="I13" s="247">
        <v>0</v>
      </c>
      <c r="J13" s="210">
        <f t="shared" si="1"/>
        <v>0</v>
      </c>
      <c r="K13" s="530" t="s">
        <v>1041</v>
      </c>
      <c r="L13" s="500" t="s">
        <v>42</v>
      </c>
      <c r="M13" s="501"/>
      <c r="N13" s="502"/>
      <c r="O13" s="494" t="s">
        <v>100</v>
      </c>
      <c r="P13" s="495"/>
      <c r="Q13" s="496"/>
      <c r="R13" s="515" t="s">
        <v>915</v>
      </c>
      <c r="S13" s="516"/>
      <c r="T13" s="517"/>
      <c r="U13" s="515" t="s">
        <v>303</v>
      </c>
      <c r="V13" s="516"/>
      <c r="W13" s="517"/>
      <c r="X13" s="323"/>
      <c r="Y13" s="429"/>
      <c r="Z13" s="429"/>
      <c r="AA13" s="429"/>
      <c r="AB13" s="429"/>
      <c r="AC13" s="515" t="s">
        <v>205</v>
      </c>
      <c r="AD13" s="521"/>
      <c r="AE13" s="522"/>
      <c r="AF13" s="431"/>
      <c r="AG13" s="432"/>
      <c r="AH13" s="433"/>
      <c r="AI13" s="431"/>
      <c r="AJ13" s="432"/>
      <c r="AK13" s="433"/>
      <c r="AN13" s="5"/>
    </row>
    <row r="14" spans="1:49" ht="15" customHeight="1" thickBot="1" x14ac:dyDescent="0.3">
      <c r="A14" s="452" t="s">
        <v>1227</v>
      </c>
      <c r="B14" s="453">
        <v>4</v>
      </c>
      <c r="C14" s="454">
        <v>2</v>
      </c>
      <c r="D14" s="455">
        <v>0</v>
      </c>
      <c r="E14" s="456">
        <f t="shared" si="0"/>
        <v>6</v>
      </c>
      <c r="F14" s="207" t="s">
        <v>1227</v>
      </c>
      <c r="G14" s="208">
        <v>20</v>
      </c>
      <c r="H14" s="209">
        <v>10</v>
      </c>
      <c r="I14" s="247">
        <v>0</v>
      </c>
      <c r="J14" s="210">
        <f t="shared" si="1"/>
        <v>30</v>
      </c>
      <c r="K14" s="531"/>
      <c r="L14" s="503"/>
      <c r="M14" s="504"/>
      <c r="N14" s="505"/>
      <c r="O14" s="497"/>
      <c r="P14" s="498"/>
      <c r="Q14" s="499"/>
      <c r="R14" s="518"/>
      <c r="S14" s="519"/>
      <c r="T14" s="520"/>
      <c r="U14" s="518"/>
      <c r="V14" s="519"/>
      <c r="W14" s="520"/>
      <c r="X14" s="429"/>
      <c r="Y14" s="429"/>
      <c r="Z14" s="429"/>
      <c r="AA14" s="429"/>
      <c r="AB14" s="429"/>
      <c r="AC14" s="523"/>
      <c r="AD14" s="524"/>
      <c r="AE14" s="525"/>
      <c r="AF14" s="515" t="s">
        <v>186</v>
      </c>
      <c r="AG14" s="521"/>
      <c r="AH14" s="522"/>
      <c r="AI14" s="515" t="s">
        <v>140</v>
      </c>
      <c r="AJ14" s="521"/>
      <c r="AK14" s="522"/>
    </row>
    <row r="15" spans="1:49" ht="15" customHeight="1" thickBot="1" x14ac:dyDescent="0.3">
      <c r="A15" s="452" t="s">
        <v>854</v>
      </c>
      <c r="B15" s="453">
        <v>0</v>
      </c>
      <c r="C15" s="454">
        <v>0</v>
      </c>
      <c r="D15" s="455">
        <v>0</v>
      </c>
      <c r="E15" s="456">
        <f t="shared" si="0"/>
        <v>0</v>
      </c>
      <c r="F15" s="207" t="s">
        <v>854</v>
      </c>
      <c r="G15" s="208">
        <v>2</v>
      </c>
      <c r="H15" s="209">
        <v>0</v>
      </c>
      <c r="I15" s="247">
        <v>21</v>
      </c>
      <c r="J15" s="210">
        <f t="shared" si="1"/>
        <v>23</v>
      </c>
      <c r="K15" s="135" t="s">
        <v>72</v>
      </c>
      <c r="L15" s="4" t="s">
        <v>176</v>
      </c>
      <c r="M15" s="4" t="s">
        <v>36</v>
      </c>
      <c r="N15" s="4" t="s">
        <v>37</v>
      </c>
      <c r="O15" s="106" t="s">
        <v>176</v>
      </c>
      <c r="P15" s="106" t="s">
        <v>36</v>
      </c>
      <c r="Q15" s="106" t="s">
        <v>37</v>
      </c>
      <c r="R15" s="8" t="s">
        <v>176</v>
      </c>
      <c r="S15" s="8" t="s">
        <v>36</v>
      </c>
      <c r="T15" s="8" t="s">
        <v>37</v>
      </c>
      <c r="U15" s="8" t="s">
        <v>176</v>
      </c>
      <c r="V15" s="8" t="s">
        <v>36</v>
      </c>
      <c r="W15" s="8" t="s">
        <v>37</v>
      </c>
      <c r="X15" s="429"/>
      <c r="Y15" s="429"/>
      <c r="Z15" s="429"/>
      <c r="AA15" s="429"/>
      <c r="AB15" s="429"/>
      <c r="AC15" s="7" t="s">
        <v>176</v>
      </c>
      <c r="AD15" s="7" t="s">
        <v>36</v>
      </c>
      <c r="AE15" s="7" t="s">
        <v>37</v>
      </c>
      <c r="AF15" s="523"/>
      <c r="AG15" s="524"/>
      <c r="AH15" s="525"/>
      <c r="AI15" s="523"/>
      <c r="AJ15" s="524"/>
      <c r="AK15" s="525"/>
      <c r="AL15" s="67"/>
      <c r="AM15" s="67"/>
      <c r="AN15" s="67"/>
    </row>
    <row r="16" spans="1:49" ht="15" customHeight="1" thickBot="1" x14ac:dyDescent="0.3">
      <c r="A16" s="452" t="s">
        <v>374</v>
      </c>
      <c r="B16" s="453">
        <v>0</v>
      </c>
      <c r="C16" s="454">
        <v>0</v>
      </c>
      <c r="D16" s="455">
        <v>0</v>
      </c>
      <c r="E16" s="456">
        <f t="shared" si="0"/>
        <v>0</v>
      </c>
      <c r="F16" s="207" t="s">
        <v>374</v>
      </c>
      <c r="G16" s="208">
        <v>0</v>
      </c>
      <c r="H16" s="209">
        <v>0</v>
      </c>
      <c r="I16" s="247">
        <v>0</v>
      </c>
      <c r="J16" s="210">
        <f t="shared" si="1"/>
        <v>0</v>
      </c>
      <c r="K16" s="447" t="s">
        <v>831</v>
      </c>
      <c r="L16" s="457">
        <v>5</v>
      </c>
      <c r="M16" s="457">
        <v>5</v>
      </c>
      <c r="N16" s="458">
        <v>100</v>
      </c>
      <c r="O16" s="300">
        <v>2</v>
      </c>
      <c r="P16" s="300">
        <v>2</v>
      </c>
      <c r="Q16" s="294">
        <f t="shared" ref="Q16:Q17" si="7">SUM(O16/P16)*100</f>
        <v>100</v>
      </c>
      <c r="R16" s="7" t="s">
        <v>43</v>
      </c>
      <c r="S16" s="7" t="s">
        <v>43</v>
      </c>
      <c r="T16" s="7" t="s">
        <v>43</v>
      </c>
      <c r="U16" s="8">
        <v>11</v>
      </c>
      <c r="V16" s="8">
        <v>11</v>
      </c>
      <c r="W16" s="294">
        <f>SUM(U16/V16)*100</f>
        <v>100</v>
      </c>
      <c r="X16" s="429"/>
      <c r="Y16" s="429"/>
      <c r="Z16" s="429"/>
      <c r="AA16" s="429"/>
      <c r="AB16" s="429"/>
      <c r="AC16" s="7">
        <v>7</v>
      </c>
      <c r="AD16" s="8">
        <v>8</v>
      </c>
      <c r="AE16" s="303">
        <f>SUM(AC16/AD16)*100</f>
        <v>87.5</v>
      </c>
      <c r="AF16" s="283">
        <v>41</v>
      </c>
      <c r="AG16" s="8">
        <v>52</v>
      </c>
      <c r="AH16" s="294">
        <f>SUM(AF16/AG16)*100</f>
        <v>78.84615384615384</v>
      </c>
      <c r="AI16" s="8">
        <v>8</v>
      </c>
      <c r="AJ16" s="8">
        <v>11</v>
      </c>
      <c r="AK16" s="294">
        <f t="shared" ref="AK16" si="8">SUM(AI16/AJ16)*100</f>
        <v>72.727272727272734</v>
      </c>
      <c r="AL16" s="67"/>
      <c r="AM16" s="67"/>
      <c r="AN16" s="67"/>
    </row>
    <row r="17" spans="1:43" ht="15" customHeight="1" thickBot="1" x14ac:dyDescent="0.3">
      <c r="A17" s="452" t="s">
        <v>72</v>
      </c>
      <c r="B17" s="453">
        <v>0</v>
      </c>
      <c r="C17" s="454">
        <v>0</v>
      </c>
      <c r="D17" s="455">
        <v>0</v>
      </c>
      <c r="E17" s="456">
        <f t="shared" si="0"/>
        <v>0</v>
      </c>
      <c r="F17" s="207" t="s">
        <v>72</v>
      </c>
      <c r="G17" s="208">
        <v>0</v>
      </c>
      <c r="H17" s="209">
        <v>0</v>
      </c>
      <c r="I17" s="247">
        <v>0</v>
      </c>
      <c r="J17" s="210">
        <f t="shared" si="1"/>
        <v>0</v>
      </c>
      <c r="K17" s="447" t="s">
        <v>850</v>
      </c>
      <c r="L17" s="457" t="s">
        <v>43</v>
      </c>
      <c r="M17" s="457" t="s">
        <v>43</v>
      </c>
      <c r="N17" s="458" t="s">
        <v>43</v>
      </c>
      <c r="O17" s="300">
        <v>1</v>
      </c>
      <c r="P17" s="300">
        <v>1</v>
      </c>
      <c r="Q17" s="294">
        <f t="shared" si="7"/>
        <v>100</v>
      </c>
      <c r="R17" s="7" t="s">
        <v>43</v>
      </c>
      <c r="S17" s="7" t="s">
        <v>43</v>
      </c>
      <c r="T17" s="7" t="s">
        <v>43</v>
      </c>
      <c r="U17" s="7" t="s">
        <v>43</v>
      </c>
      <c r="V17" s="7" t="s">
        <v>43</v>
      </c>
      <c r="W17" s="7" t="s">
        <v>43</v>
      </c>
      <c r="X17" s="429"/>
      <c r="Y17" s="429"/>
      <c r="Z17" s="429"/>
      <c r="AA17" s="429"/>
      <c r="AB17" s="429"/>
      <c r="AC17" s="7" t="s">
        <v>43</v>
      </c>
      <c r="AD17" s="7" t="s">
        <v>43</v>
      </c>
      <c r="AE17" s="7" t="s">
        <v>43</v>
      </c>
      <c r="AF17" s="7" t="s">
        <v>43</v>
      </c>
      <c r="AG17" s="7" t="s">
        <v>43</v>
      </c>
      <c r="AH17" s="7" t="s">
        <v>43</v>
      </c>
      <c r="AI17" s="7" t="s">
        <v>43</v>
      </c>
      <c r="AJ17" s="7" t="s">
        <v>43</v>
      </c>
      <c r="AK17" s="7" t="s">
        <v>43</v>
      </c>
      <c r="AL17" s="41"/>
      <c r="AM17" s="41"/>
      <c r="AN17" s="41"/>
    </row>
    <row r="18" spans="1:43" ht="15" customHeight="1" thickBot="1" x14ac:dyDescent="0.3">
      <c r="A18" s="452" t="s">
        <v>1066</v>
      </c>
      <c r="B18" s="453">
        <v>0</v>
      </c>
      <c r="C18" s="454">
        <v>3</v>
      </c>
      <c r="D18" s="455">
        <v>0</v>
      </c>
      <c r="E18" s="456">
        <f t="shared" si="0"/>
        <v>3</v>
      </c>
      <c r="F18" s="207" t="s">
        <v>1066</v>
      </c>
      <c r="G18" s="208">
        <v>0</v>
      </c>
      <c r="H18" s="209">
        <v>15</v>
      </c>
      <c r="I18" s="247">
        <v>0</v>
      </c>
      <c r="J18" s="210">
        <f t="shared" si="1"/>
        <v>15</v>
      </c>
      <c r="K18" s="447" t="s">
        <v>1018</v>
      </c>
      <c r="L18" s="457">
        <v>10</v>
      </c>
      <c r="M18" s="457">
        <v>10</v>
      </c>
      <c r="N18" s="459">
        <v>100</v>
      </c>
      <c r="O18" s="300" t="s">
        <v>43</v>
      </c>
      <c r="P18" s="300" t="s">
        <v>43</v>
      </c>
      <c r="Q18" s="7" t="s">
        <v>43</v>
      </c>
      <c r="R18" s="7" t="s">
        <v>43</v>
      </c>
      <c r="S18" s="7" t="s">
        <v>43</v>
      </c>
      <c r="T18" s="7" t="s">
        <v>43</v>
      </c>
      <c r="U18" s="7" t="s">
        <v>43</v>
      </c>
      <c r="V18" s="7" t="s">
        <v>43</v>
      </c>
      <c r="W18" s="7" t="s">
        <v>43</v>
      </c>
      <c r="X18" s="429"/>
      <c r="Y18" s="429"/>
      <c r="Z18" s="429"/>
      <c r="AA18" s="429"/>
      <c r="AB18" s="429"/>
      <c r="AC18" s="7" t="s">
        <v>43</v>
      </c>
      <c r="AD18" s="300" t="s">
        <v>43</v>
      </c>
      <c r="AE18" s="7" t="s">
        <v>43</v>
      </c>
      <c r="AF18" s="299" t="s">
        <v>43</v>
      </c>
      <c r="AG18" s="300" t="s">
        <v>43</v>
      </c>
      <c r="AH18" s="7" t="s">
        <v>43</v>
      </c>
      <c r="AI18" s="300" t="s">
        <v>43</v>
      </c>
      <c r="AJ18" s="300" t="s">
        <v>43</v>
      </c>
      <c r="AK18" s="7" t="s">
        <v>43</v>
      </c>
      <c r="AL18" s="284"/>
      <c r="AM18" s="284"/>
      <c r="AN18" s="284"/>
    </row>
    <row r="19" spans="1:43" ht="15" customHeight="1" thickBot="1" x14ac:dyDescent="0.3">
      <c r="A19" s="452" t="s">
        <v>880</v>
      </c>
      <c r="B19" s="453">
        <v>0</v>
      </c>
      <c r="C19" s="454">
        <v>0</v>
      </c>
      <c r="D19" s="455">
        <v>0</v>
      </c>
      <c r="E19" s="456">
        <f t="shared" si="0"/>
        <v>0</v>
      </c>
      <c r="F19" s="207" t="s">
        <v>880</v>
      </c>
      <c r="G19" s="208">
        <v>0</v>
      </c>
      <c r="H19" s="209">
        <v>0</v>
      </c>
      <c r="I19" s="247">
        <v>0</v>
      </c>
      <c r="J19" s="210">
        <f t="shared" si="1"/>
        <v>0</v>
      </c>
      <c r="K19" s="447" t="s">
        <v>395</v>
      </c>
      <c r="L19" s="457">
        <v>42</v>
      </c>
      <c r="M19" s="457">
        <v>47</v>
      </c>
      <c r="N19" s="458">
        <f>(L19/M19)*100</f>
        <v>89.361702127659569</v>
      </c>
      <c r="O19" s="300">
        <v>26</v>
      </c>
      <c r="P19" s="300">
        <v>45</v>
      </c>
      <c r="Q19" s="294">
        <f t="shared" ref="Q19" si="9">SUM(O19/P19)*100</f>
        <v>57.777777777777771</v>
      </c>
      <c r="R19" s="7" t="s">
        <v>43</v>
      </c>
      <c r="S19" s="7" t="s">
        <v>43</v>
      </c>
      <c r="T19" s="7" t="s">
        <v>43</v>
      </c>
      <c r="U19" s="7" t="s">
        <v>43</v>
      </c>
      <c r="V19" s="7" t="s">
        <v>43</v>
      </c>
      <c r="W19" s="7" t="s">
        <v>43</v>
      </c>
      <c r="X19" s="429"/>
      <c r="Y19" s="429"/>
      <c r="Z19" s="429"/>
      <c r="AA19" s="429"/>
      <c r="AB19" s="429"/>
      <c r="AC19" s="7" t="s">
        <v>43</v>
      </c>
      <c r="AD19" s="293" t="s">
        <v>43</v>
      </c>
      <c r="AE19" s="7" t="s">
        <v>43</v>
      </c>
      <c r="AF19" s="7" t="s">
        <v>43</v>
      </c>
      <c r="AG19" s="293" t="s">
        <v>43</v>
      </c>
      <c r="AH19" s="7" t="s">
        <v>43</v>
      </c>
      <c r="AI19" s="293" t="s">
        <v>43</v>
      </c>
      <c r="AJ19" s="293" t="s">
        <v>43</v>
      </c>
      <c r="AK19" s="7" t="s">
        <v>43</v>
      </c>
      <c r="AO19" s="5"/>
    </row>
    <row r="20" spans="1:43" ht="15" customHeight="1" thickBot="1" x14ac:dyDescent="0.3">
      <c r="A20" s="452" t="s">
        <v>1111</v>
      </c>
      <c r="B20" s="453">
        <v>0</v>
      </c>
      <c r="C20" s="454">
        <v>1</v>
      </c>
      <c r="D20" s="455">
        <v>0</v>
      </c>
      <c r="E20" s="456">
        <f t="shared" si="0"/>
        <v>1</v>
      </c>
      <c r="F20" s="207" t="s">
        <v>1111</v>
      </c>
      <c r="G20" s="208">
        <v>0</v>
      </c>
      <c r="H20" s="209">
        <v>5</v>
      </c>
      <c r="I20" s="247">
        <v>0</v>
      </c>
      <c r="J20" s="210">
        <f t="shared" si="1"/>
        <v>5</v>
      </c>
      <c r="K20" t="s">
        <v>72</v>
      </c>
      <c r="O20" s="41"/>
      <c r="P20" s="41"/>
      <c r="Q20" s="41"/>
      <c r="R20" s="288"/>
      <c r="S20" s="288"/>
      <c r="T20" s="288"/>
      <c r="U20" s="288"/>
      <c r="V20" s="288"/>
      <c r="W20" s="288"/>
      <c r="X20" s="429"/>
      <c r="Y20" s="429"/>
      <c r="Z20" s="429"/>
      <c r="AA20" s="429"/>
      <c r="AB20" s="429"/>
      <c r="AC20" s="310"/>
      <c r="AD20" s="430"/>
      <c r="AE20" s="430"/>
      <c r="AF20" s="288"/>
      <c r="AG20" s="288"/>
      <c r="AH20" s="288"/>
      <c r="AI20" s="288"/>
      <c r="AJ20" s="288"/>
      <c r="AK20" s="288"/>
      <c r="AL20" s="114"/>
      <c r="AM20" s="114"/>
      <c r="AN20" s="114"/>
    </row>
    <row r="21" spans="1:43" ht="15" customHeight="1" thickBot="1" x14ac:dyDescent="0.3">
      <c r="A21" s="452" t="s">
        <v>377</v>
      </c>
      <c r="B21" s="453">
        <v>1</v>
      </c>
      <c r="C21" s="454">
        <v>0</v>
      </c>
      <c r="D21" s="455">
        <v>0</v>
      </c>
      <c r="E21" s="456">
        <f t="shared" si="0"/>
        <v>1</v>
      </c>
      <c r="F21" s="207" t="s">
        <v>377</v>
      </c>
      <c r="G21" s="208">
        <v>5</v>
      </c>
      <c r="H21" s="209">
        <v>0</v>
      </c>
      <c r="I21" s="247">
        <v>0</v>
      </c>
      <c r="J21" s="210">
        <f t="shared" si="1"/>
        <v>5</v>
      </c>
      <c r="K21" s="509" t="s">
        <v>404</v>
      </c>
      <c r="L21" s="500" t="s">
        <v>42</v>
      </c>
      <c r="M21" s="501"/>
      <c r="N21" s="502"/>
      <c r="O21" s="515" t="s">
        <v>100</v>
      </c>
      <c r="P21" s="516"/>
      <c r="Q21" s="517"/>
      <c r="R21" s="494" t="s">
        <v>915</v>
      </c>
      <c r="S21" s="495"/>
      <c r="T21" s="496"/>
      <c r="U21" s="515" t="s">
        <v>303</v>
      </c>
      <c r="V21" s="516"/>
      <c r="W21" s="517"/>
      <c r="X21" s="429"/>
      <c r="Y21" s="429"/>
      <c r="Z21" s="429"/>
      <c r="AA21" s="429"/>
      <c r="AB21" s="429"/>
      <c r="AC21" s="515" t="s">
        <v>186</v>
      </c>
      <c r="AD21" s="516"/>
      <c r="AE21" s="517"/>
      <c r="AF21" s="288"/>
      <c r="AG21" s="288"/>
      <c r="AH21" s="288"/>
      <c r="AI21" s="288"/>
      <c r="AJ21" s="288"/>
      <c r="AK21" s="288"/>
      <c r="AL21" s="114"/>
      <c r="AM21" s="114"/>
      <c r="AN21" s="114"/>
    </row>
    <row r="22" spans="1:43" ht="15" customHeight="1" thickBot="1" x14ac:dyDescent="0.3">
      <c r="A22" s="452" t="s">
        <v>73</v>
      </c>
      <c r="B22" s="453">
        <v>2</v>
      </c>
      <c r="C22" s="454">
        <v>1</v>
      </c>
      <c r="D22" s="455">
        <v>0</v>
      </c>
      <c r="E22" s="456">
        <f t="shared" si="0"/>
        <v>3</v>
      </c>
      <c r="F22" s="207" t="s">
        <v>73</v>
      </c>
      <c r="G22" s="208">
        <v>10</v>
      </c>
      <c r="H22" s="209">
        <v>5</v>
      </c>
      <c r="I22" s="247">
        <v>0</v>
      </c>
      <c r="J22" s="210">
        <f t="shared" si="1"/>
        <v>15</v>
      </c>
      <c r="K22" s="510"/>
      <c r="L22" s="503"/>
      <c r="M22" s="504"/>
      <c r="N22" s="505"/>
      <c r="O22" s="518"/>
      <c r="P22" s="519"/>
      <c r="Q22" s="520"/>
      <c r="R22" s="497"/>
      <c r="S22" s="498"/>
      <c r="T22" s="499"/>
      <c r="U22" s="518"/>
      <c r="V22" s="519"/>
      <c r="W22" s="520"/>
      <c r="X22" s="429"/>
      <c r="Y22" s="429"/>
      <c r="Z22" s="429"/>
      <c r="AA22" s="429"/>
      <c r="AB22" s="429"/>
      <c r="AC22" s="518"/>
      <c r="AD22" s="519"/>
      <c r="AE22" s="520"/>
      <c r="AF22" s="288"/>
      <c r="AG22" s="288"/>
      <c r="AH22" s="288"/>
      <c r="AI22" s="288"/>
      <c r="AJ22" s="288"/>
      <c r="AK22" s="288"/>
      <c r="AL22" s="114"/>
      <c r="AM22" s="114"/>
      <c r="AN22" s="114"/>
    </row>
    <row r="23" spans="1:43" ht="15" customHeight="1" thickBot="1" x14ac:dyDescent="0.3">
      <c r="A23" s="452" t="s">
        <v>61</v>
      </c>
      <c r="B23" s="453">
        <v>3</v>
      </c>
      <c r="C23" s="454">
        <v>1</v>
      </c>
      <c r="D23" s="455">
        <v>1</v>
      </c>
      <c r="E23" s="456">
        <f t="shared" ref="E23" si="10">SUM(B23:D23)</f>
        <v>5</v>
      </c>
      <c r="F23" s="207" t="s">
        <v>61</v>
      </c>
      <c r="G23" s="208">
        <v>15</v>
      </c>
      <c r="H23" s="209">
        <v>5</v>
      </c>
      <c r="I23" s="247">
        <v>5</v>
      </c>
      <c r="J23" s="210">
        <f t="shared" ref="J23" si="11">SUM(G23:I23)</f>
        <v>25</v>
      </c>
      <c r="K23" s="135" t="s">
        <v>72</v>
      </c>
      <c r="L23" s="306" t="s">
        <v>176</v>
      </c>
      <c r="M23" s="306" t="s">
        <v>36</v>
      </c>
      <c r="N23" s="306" t="s">
        <v>37</v>
      </c>
      <c r="O23" s="302" t="s">
        <v>176</v>
      </c>
      <c r="P23" s="302" t="s">
        <v>36</v>
      </c>
      <c r="Q23" s="7" t="s">
        <v>37</v>
      </c>
      <c r="R23" s="132" t="s">
        <v>176</v>
      </c>
      <c r="S23" s="132" t="s">
        <v>36</v>
      </c>
      <c r="T23" s="132" t="s">
        <v>37</v>
      </c>
      <c r="U23" s="8" t="s">
        <v>176</v>
      </c>
      <c r="V23" s="8" t="s">
        <v>36</v>
      </c>
      <c r="W23" s="8" t="s">
        <v>37</v>
      </c>
      <c r="X23" s="429"/>
      <c r="Y23" s="429"/>
      <c r="Z23" s="429"/>
      <c r="AA23" s="429"/>
      <c r="AB23" s="429"/>
      <c r="AC23" s="7" t="s">
        <v>176</v>
      </c>
      <c r="AD23" s="8" t="s">
        <v>36</v>
      </c>
      <c r="AE23" s="8" t="s">
        <v>37</v>
      </c>
      <c r="AF23" s="288"/>
      <c r="AG23" s="288"/>
      <c r="AH23" s="288"/>
      <c r="AI23" s="288"/>
      <c r="AJ23" s="288"/>
      <c r="AK23" s="288"/>
      <c r="AL23" s="114"/>
      <c r="AM23" s="114"/>
      <c r="AN23" s="114"/>
      <c r="AO23" s="5"/>
    </row>
    <row r="24" spans="1:43" ht="15" customHeight="1" thickBot="1" x14ac:dyDescent="0.3">
      <c r="A24" s="452" t="s">
        <v>378</v>
      </c>
      <c r="B24" s="453">
        <v>0</v>
      </c>
      <c r="C24" s="454">
        <v>0</v>
      </c>
      <c r="D24" s="455">
        <v>0</v>
      </c>
      <c r="E24" s="456">
        <f t="shared" si="0"/>
        <v>0</v>
      </c>
      <c r="F24" s="207" t="s">
        <v>378</v>
      </c>
      <c r="G24" s="208">
        <v>0</v>
      </c>
      <c r="H24" s="209">
        <v>0</v>
      </c>
      <c r="I24" s="247">
        <v>0</v>
      </c>
      <c r="J24" s="210">
        <f t="shared" si="1"/>
        <v>0</v>
      </c>
      <c r="K24" s="462" t="s">
        <v>854</v>
      </c>
      <c r="L24" s="457">
        <v>9</v>
      </c>
      <c r="M24" s="457">
        <v>9</v>
      </c>
      <c r="N24" s="459">
        <f>SUM(L24/M24)*100</f>
        <v>100</v>
      </c>
      <c r="O24" s="7">
        <v>1</v>
      </c>
      <c r="P24" s="7">
        <v>1</v>
      </c>
      <c r="Q24" s="294">
        <f t="shared" ref="Q24:Q27" si="12">SUM(O24/P24)*100</f>
        <v>100</v>
      </c>
      <c r="R24" s="307" t="s">
        <v>43</v>
      </c>
      <c r="S24" s="307" t="s">
        <v>43</v>
      </c>
      <c r="T24" s="307" t="s">
        <v>43</v>
      </c>
      <c r="U24" s="7" t="s">
        <v>43</v>
      </c>
      <c r="V24" s="7" t="s">
        <v>43</v>
      </c>
      <c r="W24" s="7" t="s">
        <v>43</v>
      </c>
      <c r="X24" s="429"/>
      <c r="Y24" s="429"/>
      <c r="Z24" s="429"/>
      <c r="AA24" s="429"/>
      <c r="AB24" s="429"/>
      <c r="AC24" s="7" t="s">
        <v>43</v>
      </c>
      <c r="AD24" s="7" t="s">
        <v>43</v>
      </c>
      <c r="AE24" s="7" t="s">
        <v>43</v>
      </c>
      <c r="AF24" s="288"/>
      <c r="AG24" s="288"/>
      <c r="AH24" s="288"/>
      <c r="AI24" s="288"/>
      <c r="AJ24" s="288"/>
      <c r="AK24" s="288"/>
      <c r="AL24" s="114"/>
      <c r="AM24" s="114"/>
      <c r="AN24" s="114"/>
      <c r="AO24" s="5"/>
    </row>
    <row r="25" spans="1:43" ht="15" customHeight="1" thickBot="1" x14ac:dyDescent="0.3">
      <c r="A25" s="452" t="s">
        <v>379</v>
      </c>
      <c r="B25" s="453">
        <v>0</v>
      </c>
      <c r="C25" s="454">
        <v>0</v>
      </c>
      <c r="D25" s="455">
        <v>0</v>
      </c>
      <c r="E25" s="456">
        <f t="shared" si="0"/>
        <v>0</v>
      </c>
      <c r="F25" s="207" t="s">
        <v>379</v>
      </c>
      <c r="G25" s="208">
        <v>0</v>
      </c>
      <c r="H25" s="209">
        <v>0</v>
      </c>
      <c r="I25" s="247">
        <v>0</v>
      </c>
      <c r="J25" s="210">
        <f t="shared" si="1"/>
        <v>0</v>
      </c>
      <c r="K25" s="462" t="s">
        <v>850</v>
      </c>
      <c r="L25" s="457">
        <v>0</v>
      </c>
      <c r="M25" s="457">
        <v>1</v>
      </c>
      <c r="N25" s="459">
        <f t="shared" ref="N25" si="13">SUM(L25/M25)*100</f>
        <v>0</v>
      </c>
      <c r="O25" s="7">
        <v>0</v>
      </c>
      <c r="P25" s="7">
        <v>1</v>
      </c>
      <c r="Q25" s="7">
        <v>0</v>
      </c>
      <c r="R25" s="307" t="s">
        <v>43</v>
      </c>
      <c r="S25" s="307" t="s">
        <v>43</v>
      </c>
      <c r="T25" s="307" t="s">
        <v>43</v>
      </c>
      <c r="U25" s="7" t="s">
        <v>43</v>
      </c>
      <c r="V25" s="7" t="s">
        <v>43</v>
      </c>
      <c r="W25" s="7" t="s">
        <v>43</v>
      </c>
      <c r="X25" s="429"/>
      <c r="Y25" s="429"/>
      <c r="Z25" s="429"/>
      <c r="AA25" s="429"/>
      <c r="AB25" s="429"/>
      <c r="AC25" s="7" t="s">
        <v>43</v>
      </c>
      <c r="AD25" s="7" t="s">
        <v>43</v>
      </c>
      <c r="AE25" s="7" t="s">
        <v>43</v>
      </c>
      <c r="AF25" s="41"/>
      <c r="AG25" s="41"/>
      <c r="AH25" s="41"/>
      <c r="AI25" s="67"/>
      <c r="AJ25" s="67"/>
      <c r="AK25" s="67"/>
      <c r="AL25" s="114"/>
      <c r="AM25" s="114"/>
      <c r="AN25" s="114"/>
    </row>
    <row r="26" spans="1:43" ht="15" customHeight="1" thickBot="1" x14ac:dyDescent="0.3">
      <c r="A26" s="452" t="s">
        <v>380</v>
      </c>
      <c r="B26" s="453">
        <v>0</v>
      </c>
      <c r="C26" s="454">
        <v>0</v>
      </c>
      <c r="D26" s="455">
        <v>0</v>
      </c>
      <c r="E26" s="456">
        <f t="shared" si="0"/>
        <v>0</v>
      </c>
      <c r="F26" s="207" t="s">
        <v>380</v>
      </c>
      <c r="G26" s="208">
        <v>0</v>
      </c>
      <c r="H26" s="209">
        <v>0</v>
      </c>
      <c r="I26" s="247">
        <v>0</v>
      </c>
      <c r="J26" s="210">
        <f t="shared" si="1"/>
        <v>0</v>
      </c>
      <c r="K26" s="462" t="s">
        <v>385</v>
      </c>
      <c r="L26" s="457">
        <v>2</v>
      </c>
      <c r="M26" s="457">
        <v>4</v>
      </c>
      <c r="N26" s="459">
        <f t="shared" ref="N26:N27" si="14">SUM(L26/M26)*100</f>
        <v>50</v>
      </c>
      <c r="O26" s="302">
        <v>4</v>
      </c>
      <c r="P26" s="302">
        <v>7</v>
      </c>
      <c r="Q26" s="294">
        <f t="shared" si="12"/>
        <v>57.142857142857139</v>
      </c>
      <c r="R26" s="307" t="s">
        <v>43</v>
      </c>
      <c r="S26" s="307" t="s">
        <v>43</v>
      </c>
      <c r="T26" s="307" t="s">
        <v>43</v>
      </c>
      <c r="U26" s="7" t="s">
        <v>43</v>
      </c>
      <c r="V26" s="7" t="s">
        <v>43</v>
      </c>
      <c r="W26" s="7" t="s">
        <v>43</v>
      </c>
      <c r="X26" s="429"/>
      <c r="Y26" s="429"/>
      <c r="Z26" s="429"/>
      <c r="AA26" s="429"/>
      <c r="AB26" s="429"/>
      <c r="AC26" s="7" t="s">
        <v>43</v>
      </c>
      <c r="AD26" s="7" t="s">
        <v>43</v>
      </c>
      <c r="AE26" s="7" t="s">
        <v>43</v>
      </c>
      <c r="AF26" s="41"/>
      <c r="AG26" s="41"/>
      <c r="AH26" s="41"/>
      <c r="AK26" s="5"/>
    </row>
    <row r="27" spans="1:43" ht="15" customHeight="1" thickBot="1" x14ac:dyDescent="0.3">
      <c r="A27" s="452" t="s">
        <v>72</v>
      </c>
      <c r="B27" s="453">
        <v>0</v>
      </c>
      <c r="C27" s="454">
        <v>0</v>
      </c>
      <c r="D27" s="455">
        <v>0</v>
      </c>
      <c r="E27" s="456">
        <f t="shared" si="0"/>
        <v>0</v>
      </c>
      <c r="F27" s="207" t="s">
        <v>72</v>
      </c>
      <c r="G27" s="208">
        <v>0</v>
      </c>
      <c r="H27" s="209">
        <v>0</v>
      </c>
      <c r="I27" s="247">
        <v>0</v>
      </c>
      <c r="J27" s="215">
        <f t="shared" si="1"/>
        <v>0</v>
      </c>
      <c r="K27" s="462" t="s">
        <v>395</v>
      </c>
      <c r="L27" s="457">
        <v>4</v>
      </c>
      <c r="M27" s="457">
        <v>4</v>
      </c>
      <c r="N27" s="459">
        <f t="shared" si="14"/>
        <v>100</v>
      </c>
      <c r="O27" s="7">
        <v>8</v>
      </c>
      <c r="P27" s="7">
        <v>9</v>
      </c>
      <c r="Q27" s="294">
        <f t="shared" si="12"/>
        <v>88.888888888888886</v>
      </c>
      <c r="R27" s="307" t="s">
        <v>43</v>
      </c>
      <c r="S27" s="307" t="s">
        <v>43</v>
      </c>
      <c r="T27" s="307" t="s">
        <v>43</v>
      </c>
      <c r="U27" s="7">
        <v>1</v>
      </c>
      <c r="V27" s="293">
        <v>1</v>
      </c>
      <c r="W27" s="294">
        <f t="shared" ref="W27" si="15">SUM(U27/V27)*100</f>
        <v>100</v>
      </c>
      <c r="X27" s="429"/>
      <c r="Y27" s="429"/>
      <c r="Z27" s="429"/>
      <c r="AA27" s="429"/>
      <c r="AB27" s="429"/>
      <c r="AC27" s="7" t="s">
        <v>43</v>
      </c>
      <c r="AD27" s="7" t="s">
        <v>43</v>
      </c>
      <c r="AE27" s="7" t="s">
        <v>43</v>
      </c>
      <c r="AF27" s="41"/>
      <c r="AG27" s="41"/>
      <c r="AH27" s="41"/>
      <c r="AP27" s="5"/>
      <c r="AQ27" s="5"/>
    </row>
    <row r="28" spans="1:43" ht="15" customHeight="1" thickBot="1" x14ac:dyDescent="0.3">
      <c r="A28" s="452" t="s">
        <v>72</v>
      </c>
      <c r="B28" s="453">
        <v>0</v>
      </c>
      <c r="C28" s="454">
        <v>0</v>
      </c>
      <c r="D28" s="455">
        <v>0</v>
      </c>
      <c r="E28" s="456">
        <f t="shared" si="0"/>
        <v>0</v>
      </c>
      <c r="F28" s="207" t="s">
        <v>72</v>
      </c>
      <c r="G28" s="208">
        <v>0</v>
      </c>
      <c r="H28" s="209">
        <v>0</v>
      </c>
      <c r="I28" s="247">
        <v>0</v>
      </c>
      <c r="J28" s="215">
        <f t="shared" si="1"/>
        <v>0</v>
      </c>
      <c r="K28" s="526" t="s">
        <v>888</v>
      </c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113"/>
      <c r="AI28" s="41"/>
      <c r="AJ28" s="41"/>
      <c r="AK28" s="41"/>
    </row>
    <row r="29" spans="1:43" ht="15" customHeight="1" thickBot="1" x14ac:dyDescent="0.3">
      <c r="A29" s="452" t="s">
        <v>381</v>
      </c>
      <c r="B29" s="453">
        <v>0</v>
      </c>
      <c r="C29" s="454">
        <v>0</v>
      </c>
      <c r="D29" s="455">
        <v>0</v>
      </c>
      <c r="E29" s="456">
        <f t="shared" si="0"/>
        <v>0</v>
      </c>
      <c r="F29" s="207" t="s">
        <v>381</v>
      </c>
      <c r="G29" s="208">
        <v>0</v>
      </c>
      <c r="H29" s="209">
        <v>0</v>
      </c>
      <c r="I29" s="247">
        <v>0</v>
      </c>
      <c r="J29" s="215">
        <f t="shared" si="1"/>
        <v>0</v>
      </c>
      <c r="X29" s="127"/>
      <c r="Y29" s="127"/>
      <c r="Z29" s="113"/>
      <c r="AI29" s="41"/>
      <c r="AJ29" s="41"/>
      <c r="AK29" s="41"/>
    </row>
    <row r="30" spans="1:43" ht="15" customHeight="1" thickBot="1" x14ac:dyDescent="0.3">
      <c r="A30" s="452" t="s">
        <v>382</v>
      </c>
      <c r="B30" s="453">
        <v>0</v>
      </c>
      <c r="C30" s="454">
        <v>0</v>
      </c>
      <c r="D30" s="455">
        <v>0</v>
      </c>
      <c r="E30" s="456">
        <f t="shared" si="0"/>
        <v>0</v>
      </c>
      <c r="F30" s="207" t="s">
        <v>382</v>
      </c>
      <c r="G30" s="208">
        <v>0</v>
      </c>
      <c r="H30" s="209">
        <v>0</v>
      </c>
      <c r="I30" s="247">
        <v>0</v>
      </c>
      <c r="J30" s="215">
        <f t="shared" si="1"/>
        <v>0</v>
      </c>
      <c r="X30" s="127"/>
      <c r="Y30" s="127"/>
      <c r="Z30" s="127"/>
    </row>
    <row r="31" spans="1:43" ht="15" customHeight="1" thickBot="1" x14ac:dyDescent="0.3">
      <c r="A31" s="452" t="s">
        <v>383</v>
      </c>
      <c r="B31" s="453">
        <v>3</v>
      </c>
      <c r="C31" s="454">
        <v>1</v>
      </c>
      <c r="D31" s="455">
        <v>0</v>
      </c>
      <c r="E31" s="456">
        <f t="shared" si="0"/>
        <v>4</v>
      </c>
      <c r="F31" s="207" t="s">
        <v>383</v>
      </c>
      <c r="G31" s="208">
        <v>15</v>
      </c>
      <c r="H31" s="209">
        <v>5</v>
      </c>
      <c r="I31" s="247">
        <v>0</v>
      </c>
      <c r="J31" s="215">
        <f t="shared" si="1"/>
        <v>20</v>
      </c>
      <c r="X31" s="127"/>
      <c r="Y31" s="127"/>
      <c r="Z31" s="127"/>
    </row>
    <row r="32" spans="1:43" ht="15" customHeight="1" thickBot="1" x14ac:dyDescent="0.3">
      <c r="A32" s="452" t="s">
        <v>1018</v>
      </c>
      <c r="B32" s="453">
        <v>4</v>
      </c>
      <c r="C32" s="454">
        <v>1</v>
      </c>
      <c r="D32" s="455">
        <v>0</v>
      </c>
      <c r="E32" s="456">
        <f t="shared" ref="E32" si="16">SUM(B32:D32)</f>
        <v>5</v>
      </c>
      <c r="F32" s="207" t="s">
        <v>1018</v>
      </c>
      <c r="G32" s="208">
        <v>24</v>
      </c>
      <c r="H32" s="209">
        <v>26</v>
      </c>
      <c r="I32" s="247">
        <v>0</v>
      </c>
      <c r="J32" s="215">
        <f t="shared" ref="J32" si="17">SUM(G32:I32)</f>
        <v>50</v>
      </c>
      <c r="X32" s="127"/>
      <c r="Y32" s="127"/>
      <c r="Z32" s="127"/>
    </row>
    <row r="33" spans="1:38" ht="15" customHeight="1" thickBot="1" x14ac:dyDescent="0.3">
      <c r="A33" s="452" t="s">
        <v>297</v>
      </c>
      <c r="B33" s="453">
        <v>0</v>
      </c>
      <c r="C33" s="454">
        <v>0</v>
      </c>
      <c r="D33" s="455">
        <v>0</v>
      </c>
      <c r="E33" s="456">
        <f t="shared" si="0"/>
        <v>0</v>
      </c>
      <c r="F33" s="207" t="s">
        <v>297</v>
      </c>
      <c r="G33" s="208">
        <v>0</v>
      </c>
      <c r="H33" s="209">
        <v>0</v>
      </c>
      <c r="I33" s="247">
        <v>0</v>
      </c>
      <c r="J33" s="215">
        <f t="shared" si="1"/>
        <v>0</v>
      </c>
      <c r="Z33" s="127"/>
    </row>
    <row r="34" spans="1:38" ht="15" customHeight="1" thickBot="1" x14ac:dyDescent="0.3">
      <c r="A34" s="452" t="s">
        <v>384</v>
      </c>
      <c r="B34" s="453">
        <v>0</v>
      </c>
      <c r="C34" s="454">
        <v>1</v>
      </c>
      <c r="D34" s="455">
        <v>0</v>
      </c>
      <c r="E34" s="456">
        <f t="shared" si="0"/>
        <v>1</v>
      </c>
      <c r="F34" s="207" t="s">
        <v>384</v>
      </c>
      <c r="G34" s="208">
        <v>0</v>
      </c>
      <c r="H34" s="209">
        <v>5</v>
      </c>
      <c r="I34" s="247">
        <v>0</v>
      </c>
      <c r="J34" s="215">
        <f t="shared" si="1"/>
        <v>5</v>
      </c>
      <c r="Z34" s="127"/>
    </row>
    <row r="35" spans="1:38" ht="15" customHeight="1" thickBot="1" x14ac:dyDescent="0.3">
      <c r="A35" s="452" t="s">
        <v>385</v>
      </c>
      <c r="B35" s="453">
        <v>0</v>
      </c>
      <c r="C35" s="454">
        <v>0</v>
      </c>
      <c r="D35" s="455">
        <v>0</v>
      </c>
      <c r="E35" s="456">
        <f t="shared" si="0"/>
        <v>0</v>
      </c>
      <c r="F35" s="207" t="s">
        <v>385</v>
      </c>
      <c r="G35" s="208">
        <v>3</v>
      </c>
      <c r="H35" s="209">
        <v>13</v>
      </c>
      <c r="I35" s="247">
        <v>4</v>
      </c>
      <c r="J35" s="215">
        <f t="shared" si="1"/>
        <v>20</v>
      </c>
      <c r="Z35" s="127"/>
    </row>
    <row r="36" spans="1:38" ht="15" customHeight="1" thickBot="1" x14ac:dyDescent="0.3">
      <c r="A36" s="452" t="s">
        <v>1213</v>
      </c>
      <c r="B36" s="453">
        <v>4</v>
      </c>
      <c r="C36" s="454">
        <v>4</v>
      </c>
      <c r="D36" s="455">
        <v>0</v>
      </c>
      <c r="E36" s="456">
        <f t="shared" si="0"/>
        <v>8</v>
      </c>
      <c r="F36" s="207" t="s">
        <v>1213</v>
      </c>
      <c r="G36" s="208">
        <v>37</v>
      </c>
      <c r="H36" s="209">
        <v>20</v>
      </c>
      <c r="I36" s="247">
        <v>0</v>
      </c>
      <c r="J36" s="210">
        <f t="shared" si="1"/>
        <v>57</v>
      </c>
    </row>
    <row r="37" spans="1:38" ht="15" customHeight="1" thickBot="1" x14ac:dyDescent="0.3">
      <c r="A37" s="452" t="s">
        <v>1211</v>
      </c>
      <c r="B37" s="453">
        <v>1</v>
      </c>
      <c r="C37" s="454">
        <v>0</v>
      </c>
      <c r="D37" s="455">
        <v>0</v>
      </c>
      <c r="E37" s="456">
        <f t="shared" si="0"/>
        <v>1</v>
      </c>
      <c r="F37" s="207" t="s">
        <v>1211</v>
      </c>
      <c r="G37" s="208">
        <v>5</v>
      </c>
      <c r="H37" s="209">
        <v>0</v>
      </c>
      <c r="I37" s="247">
        <v>0</v>
      </c>
      <c r="J37" s="210">
        <f t="shared" si="1"/>
        <v>5</v>
      </c>
    </row>
    <row r="38" spans="1:38" ht="15" customHeight="1" thickBot="1" x14ac:dyDescent="0.3">
      <c r="A38" s="452" t="s">
        <v>386</v>
      </c>
      <c r="B38" s="453">
        <v>10</v>
      </c>
      <c r="C38" s="454">
        <v>1</v>
      </c>
      <c r="D38" s="455">
        <v>0</v>
      </c>
      <c r="E38" s="456">
        <f t="shared" si="0"/>
        <v>11</v>
      </c>
      <c r="F38" s="207" t="s">
        <v>386</v>
      </c>
      <c r="G38" s="208">
        <v>50</v>
      </c>
      <c r="H38" s="209">
        <v>5</v>
      </c>
      <c r="I38" s="247">
        <v>0</v>
      </c>
      <c r="J38" s="210">
        <f t="shared" si="1"/>
        <v>55</v>
      </c>
    </row>
    <row r="39" spans="1:38" ht="15" customHeight="1" thickBot="1" x14ac:dyDescent="0.3">
      <c r="A39" s="452" t="s">
        <v>387</v>
      </c>
      <c r="B39" s="453">
        <v>0</v>
      </c>
      <c r="C39" s="454">
        <v>0</v>
      </c>
      <c r="D39" s="455">
        <v>0</v>
      </c>
      <c r="E39" s="456">
        <f t="shared" si="0"/>
        <v>0</v>
      </c>
      <c r="F39" s="207" t="s">
        <v>387</v>
      </c>
      <c r="G39" s="208">
        <v>0</v>
      </c>
      <c r="H39" s="209">
        <v>0</v>
      </c>
      <c r="I39" s="247">
        <v>0</v>
      </c>
      <c r="J39" s="210">
        <f t="shared" si="1"/>
        <v>0</v>
      </c>
      <c r="AL39" s="5"/>
    </row>
    <row r="40" spans="1:38" ht="15" customHeight="1" thickBot="1" x14ac:dyDescent="0.3">
      <c r="A40" s="452" t="s">
        <v>388</v>
      </c>
      <c r="B40" s="453">
        <v>6</v>
      </c>
      <c r="C40" s="454">
        <v>4</v>
      </c>
      <c r="D40" s="455">
        <v>0</v>
      </c>
      <c r="E40" s="456">
        <f t="shared" si="0"/>
        <v>10</v>
      </c>
      <c r="F40" s="207" t="s">
        <v>388</v>
      </c>
      <c r="G40" s="208">
        <v>30</v>
      </c>
      <c r="H40" s="209">
        <v>20</v>
      </c>
      <c r="I40" s="247">
        <v>0</v>
      </c>
      <c r="J40" s="210">
        <f t="shared" si="1"/>
        <v>50</v>
      </c>
    </row>
    <row r="41" spans="1:38" ht="15.75" thickBot="1" x14ac:dyDescent="0.3">
      <c r="A41" s="452" t="s">
        <v>6</v>
      </c>
      <c r="B41" s="453">
        <v>4</v>
      </c>
      <c r="C41" s="454">
        <v>0</v>
      </c>
      <c r="D41" s="455">
        <v>0</v>
      </c>
      <c r="E41" s="456">
        <f t="shared" si="0"/>
        <v>4</v>
      </c>
      <c r="F41" s="207" t="s">
        <v>6</v>
      </c>
      <c r="G41" s="208">
        <v>28</v>
      </c>
      <c r="H41" s="209">
        <v>0</v>
      </c>
      <c r="I41" s="247">
        <v>0</v>
      </c>
      <c r="J41" s="210">
        <f t="shared" si="1"/>
        <v>28</v>
      </c>
    </row>
    <row r="42" spans="1:38" ht="15.75" thickBot="1" x14ac:dyDescent="0.3">
      <c r="A42" s="452" t="s">
        <v>389</v>
      </c>
      <c r="B42" s="453">
        <v>0</v>
      </c>
      <c r="C42" s="454">
        <v>0</v>
      </c>
      <c r="D42" s="455">
        <v>2</v>
      </c>
      <c r="E42" s="456">
        <f t="shared" si="0"/>
        <v>2</v>
      </c>
      <c r="F42" s="207" t="s">
        <v>389</v>
      </c>
      <c r="G42" s="208">
        <v>0</v>
      </c>
      <c r="H42" s="209">
        <v>0</v>
      </c>
      <c r="I42" s="247">
        <v>10</v>
      </c>
      <c r="J42" s="210">
        <f t="shared" si="1"/>
        <v>10</v>
      </c>
    </row>
    <row r="43" spans="1:38" ht="15.75" thickBot="1" x14ac:dyDescent="0.3">
      <c r="A43" s="452" t="s">
        <v>72</v>
      </c>
      <c r="B43" s="453">
        <v>0</v>
      </c>
      <c r="C43" s="454">
        <v>0</v>
      </c>
      <c r="D43" s="455">
        <v>0</v>
      </c>
      <c r="E43" s="456">
        <f t="shared" si="0"/>
        <v>0</v>
      </c>
      <c r="F43" s="207" t="s">
        <v>72</v>
      </c>
      <c r="G43" s="208">
        <v>0</v>
      </c>
      <c r="H43" s="209">
        <v>0</v>
      </c>
      <c r="I43" s="247">
        <v>0</v>
      </c>
      <c r="J43" s="210">
        <f t="shared" si="1"/>
        <v>0</v>
      </c>
      <c r="AI43" s="5"/>
      <c r="AJ43" s="5"/>
      <c r="AK43" s="5"/>
    </row>
    <row r="44" spans="1:38" ht="15.75" thickBot="1" x14ac:dyDescent="0.3">
      <c r="A44" s="452" t="s">
        <v>391</v>
      </c>
      <c r="B44" s="453">
        <v>2</v>
      </c>
      <c r="C44" s="454">
        <v>1</v>
      </c>
      <c r="D44" s="455">
        <v>0</v>
      </c>
      <c r="E44" s="456">
        <f t="shared" si="0"/>
        <v>3</v>
      </c>
      <c r="F44" s="207" t="s">
        <v>391</v>
      </c>
      <c r="G44" s="208">
        <v>10</v>
      </c>
      <c r="H44" s="209">
        <v>5</v>
      </c>
      <c r="I44" s="247">
        <v>0</v>
      </c>
      <c r="J44" s="210">
        <f t="shared" si="1"/>
        <v>15</v>
      </c>
    </row>
    <row r="45" spans="1:38" ht="15.75" thickBot="1" x14ac:dyDescent="0.3">
      <c r="A45" s="452" t="s">
        <v>392</v>
      </c>
      <c r="B45" s="453">
        <v>1</v>
      </c>
      <c r="C45" s="454">
        <v>0</v>
      </c>
      <c r="D45" s="455">
        <v>0</v>
      </c>
      <c r="E45" s="456">
        <f t="shared" si="0"/>
        <v>1</v>
      </c>
      <c r="F45" s="207" t="s">
        <v>392</v>
      </c>
      <c r="G45" s="208">
        <v>5</v>
      </c>
      <c r="H45" s="209">
        <v>0</v>
      </c>
      <c r="I45" s="247">
        <v>0</v>
      </c>
      <c r="J45" s="210">
        <f t="shared" si="1"/>
        <v>5</v>
      </c>
      <c r="AL45" s="5"/>
    </row>
    <row r="46" spans="1:38" ht="15.75" thickBot="1" x14ac:dyDescent="0.3">
      <c r="A46" s="452" t="s">
        <v>876</v>
      </c>
      <c r="B46" s="453">
        <v>0</v>
      </c>
      <c r="C46" s="454">
        <v>1</v>
      </c>
      <c r="D46" s="455">
        <v>1</v>
      </c>
      <c r="E46" s="456">
        <f t="shared" si="0"/>
        <v>2</v>
      </c>
      <c r="F46" s="207" t="s">
        <v>876</v>
      </c>
      <c r="G46" s="208">
        <v>0</v>
      </c>
      <c r="H46" s="209">
        <v>5</v>
      </c>
      <c r="I46" s="247">
        <v>5</v>
      </c>
      <c r="J46" s="210">
        <f t="shared" si="1"/>
        <v>10</v>
      </c>
    </row>
    <row r="47" spans="1:38" ht="15.75" thickBot="1" x14ac:dyDescent="0.3">
      <c r="A47" s="452" t="s">
        <v>393</v>
      </c>
      <c r="B47" s="453">
        <v>2</v>
      </c>
      <c r="C47" s="454">
        <v>1</v>
      </c>
      <c r="D47" s="455">
        <v>3</v>
      </c>
      <c r="E47" s="456">
        <f t="shared" si="0"/>
        <v>6</v>
      </c>
      <c r="F47" s="207" t="s">
        <v>393</v>
      </c>
      <c r="G47" s="208">
        <v>10</v>
      </c>
      <c r="H47" s="209">
        <v>5</v>
      </c>
      <c r="I47" s="247">
        <v>15</v>
      </c>
      <c r="J47" s="210">
        <f t="shared" si="1"/>
        <v>30</v>
      </c>
    </row>
    <row r="48" spans="1:38" ht="15.75" thickBot="1" x14ac:dyDescent="0.3">
      <c r="A48" s="452" t="s">
        <v>1119</v>
      </c>
      <c r="B48" s="453">
        <v>3</v>
      </c>
      <c r="C48" s="454">
        <v>0</v>
      </c>
      <c r="D48" s="455">
        <v>0</v>
      </c>
      <c r="E48" s="456">
        <f t="shared" si="0"/>
        <v>3</v>
      </c>
      <c r="F48" s="207" t="s">
        <v>1119</v>
      </c>
      <c r="G48" s="208">
        <v>15</v>
      </c>
      <c r="H48" s="209">
        <v>0</v>
      </c>
      <c r="I48" s="247">
        <v>0</v>
      </c>
      <c r="J48" s="210">
        <f t="shared" si="1"/>
        <v>15</v>
      </c>
    </row>
    <row r="49" spans="1:37" ht="15.75" thickBot="1" x14ac:dyDescent="0.3">
      <c r="A49" s="452" t="s">
        <v>1158</v>
      </c>
      <c r="B49" s="453">
        <v>2</v>
      </c>
      <c r="C49" s="454">
        <v>1</v>
      </c>
      <c r="D49" s="455">
        <v>0</v>
      </c>
      <c r="E49" s="456">
        <f t="shared" si="0"/>
        <v>3</v>
      </c>
      <c r="F49" s="207" t="s">
        <v>1158</v>
      </c>
      <c r="G49" s="208">
        <v>10</v>
      </c>
      <c r="H49" s="209">
        <v>5</v>
      </c>
      <c r="I49" s="247">
        <v>0</v>
      </c>
      <c r="J49" s="210">
        <f t="shared" si="1"/>
        <v>15</v>
      </c>
      <c r="AI49" s="5"/>
      <c r="AJ49" s="5"/>
      <c r="AK49" s="5"/>
    </row>
    <row r="50" spans="1:37" ht="15.75" thickBot="1" x14ac:dyDescent="0.3">
      <c r="A50" s="452" t="s">
        <v>394</v>
      </c>
      <c r="B50" s="453">
        <v>2</v>
      </c>
      <c r="C50" s="454">
        <v>3</v>
      </c>
      <c r="D50" s="455">
        <v>0</v>
      </c>
      <c r="E50" s="456">
        <f t="shared" si="0"/>
        <v>5</v>
      </c>
      <c r="F50" s="207" t="s">
        <v>394</v>
      </c>
      <c r="G50" s="208">
        <v>10</v>
      </c>
      <c r="H50" s="209">
        <v>15</v>
      </c>
      <c r="I50" s="247">
        <v>0</v>
      </c>
      <c r="J50" s="210">
        <f t="shared" si="1"/>
        <v>25</v>
      </c>
    </row>
    <row r="51" spans="1:37" ht="15.75" thickBot="1" x14ac:dyDescent="0.3">
      <c r="A51" s="452" t="s">
        <v>395</v>
      </c>
      <c r="B51" s="453">
        <v>0</v>
      </c>
      <c r="C51" s="454">
        <v>0</v>
      </c>
      <c r="D51" s="455">
        <v>0</v>
      </c>
      <c r="E51" s="456">
        <f t="shared" si="0"/>
        <v>0</v>
      </c>
      <c r="F51" s="207" t="s">
        <v>395</v>
      </c>
      <c r="G51" s="208">
        <v>181</v>
      </c>
      <c r="H51" s="209">
        <v>100</v>
      </c>
      <c r="I51" s="247">
        <v>10</v>
      </c>
      <c r="J51" s="210">
        <f t="shared" si="1"/>
        <v>291</v>
      </c>
    </row>
    <row r="52" spans="1:37" ht="15.75" thickBot="1" x14ac:dyDescent="0.3">
      <c r="A52" s="452" t="s">
        <v>72</v>
      </c>
      <c r="B52" s="453">
        <v>0</v>
      </c>
      <c r="C52" s="454">
        <v>0</v>
      </c>
      <c r="D52" s="455">
        <v>0</v>
      </c>
      <c r="E52" s="456">
        <f t="shared" si="0"/>
        <v>0</v>
      </c>
      <c r="F52" s="207" t="s">
        <v>72</v>
      </c>
      <c r="G52" s="208">
        <v>0</v>
      </c>
      <c r="H52" s="209">
        <v>0</v>
      </c>
      <c r="I52" s="247">
        <v>0</v>
      </c>
      <c r="J52" s="210">
        <f t="shared" si="1"/>
        <v>0</v>
      </c>
    </row>
    <row r="53" spans="1:37" ht="15.75" thickBot="1" x14ac:dyDescent="0.3">
      <c r="A53" s="452" t="s">
        <v>396</v>
      </c>
      <c r="B53" s="453">
        <v>0</v>
      </c>
      <c r="C53" s="454">
        <v>0</v>
      </c>
      <c r="D53" s="455">
        <v>0</v>
      </c>
      <c r="E53" s="456">
        <f t="shared" si="0"/>
        <v>0</v>
      </c>
      <c r="F53" s="207" t="s">
        <v>396</v>
      </c>
      <c r="G53" s="208">
        <v>0</v>
      </c>
      <c r="H53" s="209">
        <v>0</v>
      </c>
      <c r="I53" s="247">
        <v>0</v>
      </c>
      <c r="J53" s="210">
        <f t="shared" si="1"/>
        <v>0</v>
      </c>
    </row>
    <row r="54" spans="1:37" ht="15.75" thickBot="1" x14ac:dyDescent="0.3">
      <c r="A54" s="452" t="s">
        <v>397</v>
      </c>
      <c r="B54" s="453">
        <v>7</v>
      </c>
      <c r="C54" s="454">
        <v>2</v>
      </c>
      <c r="D54" s="455">
        <v>2</v>
      </c>
      <c r="E54" s="456">
        <f t="shared" si="0"/>
        <v>11</v>
      </c>
      <c r="F54" s="207" t="s">
        <v>397</v>
      </c>
      <c r="G54" s="208">
        <v>35</v>
      </c>
      <c r="H54" s="209">
        <v>10</v>
      </c>
      <c r="I54" s="247">
        <v>10</v>
      </c>
      <c r="J54" s="210">
        <f t="shared" si="1"/>
        <v>55</v>
      </c>
    </row>
    <row r="55" spans="1:37" ht="15.75" thickBot="1" x14ac:dyDescent="0.3">
      <c r="A55" s="452" t="s">
        <v>398</v>
      </c>
      <c r="B55" s="453">
        <v>1</v>
      </c>
      <c r="C55" s="454">
        <v>0</v>
      </c>
      <c r="D55" s="455">
        <v>0</v>
      </c>
      <c r="E55" s="456">
        <f t="shared" si="0"/>
        <v>1</v>
      </c>
      <c r="F55" s="207" t="s">
        <v>398</v>
      </c>
      <c r="G55" s="208">
        <v>5</v>
      </c>
      <c r="H55" s="209">
        <v>0</v>
      </c>
      <c r="I55" s="247">
        <v>0</v>
      </c>
      <c r="J55" s="210">
        <f t="shared" si="1"/>
        <v>5</v>
      </c>
    </row>
    <row r="56" spans="1:37" ht="15.75" thickBot="1" x14ac:dyDescent="0.3">
      <c r="A56" s="452" t="s">
        <v>399</v>
      </c>
      <c r="B56" s="453">
        <v>4</v>
      </c>
      <c r="C56" s="454">
        <v>2</v>
      </c>
      <c r="D56" s="455">
        <v>0</v>
      </c>
      <c r="E56" s="456">
        <f t="shared" si="0"/>
        <v>6</v>
      </c>
      <c r="F56" s="207" t="s">
        <v>399</v>
      </c>
      <c r="G56" s="208">
        <v>20</v>
      </c>
      <c r="H56" s="209">
        <v>10</v>
      </c>
      <c r="I56" s="247">
        <v>0</v>
      </c>
      <c r="J56" s="210">
        <f t="shared" si="1"/>
        <v>30</v>
      </c>
    </row>
    <row r="57" spans="1:37" ht="15.75" thickBot="1" x14ac:dyDescent="0.3">
      <c r="A57" s="452" t="s">
        <v>401</v>
      </c>
      <c r="B57" s="453">
        <v>0</v>
      </c>
      <c r="C57" s="454">
        <v>1</v>
      </c>
      <c r="D57" s="455">
        <v>0</v>
      </c>
      <c r="E57" s="456">
        <f t="shared" si="0"/>
        <v>1</v>
      </c>
      <c r="F57" s="207" t="s">
        <v>401</v>
      </c>
      <c r="G57" s="208">
        <v>0</v>
      </c>
      <c r="H57" s="209">
        <v>5</v>
      </c>
      <c r="I57" s="247">
        <v>0</v>
      </c>
      <c r="J57" s="210">
        <f t="shared" si="1"/>
        <v>5</v>
      </c>
    </row>
    <row r="58" spans="1:37" ht="15.75" thickBot="1" x14ac:dyDescent="0.3">
      <c r="A58" s="452" t="s">
        <v>72</v>
      </c>
      <c r="B58" s="453">
        <v>0</v>
      </c>
      <c r="C58" s="454">
        <v>0</v>
      </c>
      <c r="D58" s="455">
        <v>0</v>
      </c>
      <c r="E58" s="456">
        <f t="shared" si="0"/>
        <v>0</v>
      </c>
      <c r="F58" s="207" t="s">
        <v>72</v>
      </c>
      <c r="G58" s="208">
        <v>0</v>
      </c>
      <c r="H58" s="209">
        <v>0</v>
      </c>
      <c r="I58" s="247">
        <v>0</v>
      </c>
      <c r="J58" s="210">
        <f t="shared" si="1"/>
        <v>0</v>
      </c>
    </row>
    <row r="59" spans="1:37" ht="15.75" thickBot="1" x14ac:dyDescent="0.3">
      <c r="A59" s="452" t="s">
        <v>402</v>
      </c>
      <c r="B59" s="453">
        <v>2</v>
      </c>
      <c r="C59" s="454">
        <v>1</v>
      </c>
      <c r="D59" s="455">
        <v>1</v>
      </c>
      <c r="E59" s="456">
        <f t="shared" si="0"/>
        <v>4</v>
      </c>
      <c r="F59" s="207" t="s">
        <v>402</v>
      </c>
      <c r="G59" s="208">
        <v>10</v>
      </c>
      <c r="H59" s="209">
        <v>5</v>
      </c>
      <c r="I59" s="247">
        <v>5</v>
      </c>
      <c r="J59" s="210">
        <f t="shared" si="1"/>
        <v>20</v>
      </c>
    </row>
    <row r="60" spans="1:37" ht="15.75" thickBot="1" x14ac:dyDescent="0.3">
      <c r="A60" s="452" t="s">
        <v>403</v>
      </c>
      <c r="B60" s="453">
        <v>3</v>
      </c>
      <c r="C60" s="454">
        <v>1</v>
      </c>
      <c r="D60" s="455">
        <v>0</v>
      </c>
      <c r="E60" s="456">
        <f t="shared" si="0"/>
        <v>4</v>
      </c>
      <c r="F60" s="207" t="s">
        <v>403</v>
      </c>
      <c r="G60" s="208">
        <v>15</v>
      </c>
      <c r="H60" s="209">
        <v>5</v>
      </c>
      <c r="I60" s="247">
        <v>0</v>
      </c>
      <c r="J60" s="210">
        <f t="shared" si="1"/>
        <v>20</v>
      </c>
    </row>
    <row r="61" spans="1:37" ht="15.75" thickBot="1" x14ac:dyDescent="0.3">
      <c r="A61" s="452" t="s">
        <v>148</v>
      </c>
      <c r="B61" s="453">
        <v>0</v>
      </c>
      <c r="C61" s="454">
        <v>0</v>
      </c>
      <c r="D61" s="455">
        <v>0</v>
      </c>
      <c r="E61" s="456">
        <f t="shared" si="0"/>
        <v>0</v>
      </c>
      <c r="F61" s="207" t="s">
        <v>148</v>
      </c>
      <c r="G61" s="208">
        <v>0</v>
      </c>
      <c r="H61" s="209">
        <v>0</v>
      </c>
      <c r="I61" s="247">
        <v>0</v>
      </c>
      <c r="J61" s="210">
        <f t="shared" si="1"/>
        <v>0</v>
      </c>
    </row>
    <row r="62" spans="1:37" ht="15.75" thickBot="1" x14ac:dyDescent="0.3">
      <c r="A62" s="452" t="s">
        <v>3</v>
      </c>
      <c r="B62" s="453">
        <f>SUM(B3:B61)</f>
        <v>74</v>
      </c>
      <c r="C62" s="454">
        <f>SUM(C3:C61)</f>
        <v>40</v>
      </c>
      <c r="D62" s="455">
        <f>SUM(D3:D61)</f>
        <v>12</v>
      </c>
      <c r="E62" s="456">
        <f t="shared" ref="E62" si="18">SUM(B62:D62)</f>
        <v>126</v>
      </c>
      <c r="F62" s="207" t="s">
        <v>3</v>
      </c>
      <c r="G62" s="208">
        <f>SUM(G3:G61)</f>
        <v>585</v>
      </c>
      <c r="H62" s="209">
        <f>SUM(H3:H61)</f>
        <v>334</v>
      </c>
      <c r="I62" s="247">
        <f>SUM(I3:I61)</f>
        <v>95</v>
      </c>
      <c r="J62" s="210">
        <f t="shared" ref="J62" si="19">SUM(G62:I62)</f>
        <v>1014</v>
      </c>
    </row>
    <row r="63" spans="1:37" x14ac:dyDescent="0.25">
      <c r="B63" s="199"/>
      <c r="F63" s="42"/>
      <c r="G63" s="206"/>
      <c r="H63" s="39"/>
      <c r="I63" s="39"/>
      <c r="J63" s="39"/>
    </row>
    <row r="64" spans="1:37" ht="15.75" thickBot="1" x14ac:dyDescent="0.3">
      <c r="A64" t="s">
        <v>39</v>
      </c>
      <c r="B64" s="199"/>
      <c r="F64" s="38"/>
      <c r="G64" s="203"/>
      <c r="H64" s="41"/>
      <c r="I64" s="41"/>
      <c r="J64" s="41"/>
    </row>
    <row r="65" spans="1:10" ht="15.75" thickBot="1" x14ac:dyDescent="0.3">
      <c r="A65" s="447" t="s">
        <v>0</v>
      </c>
      <c r="B65" s="448" t="s">
        <v>305</v>
      </c>
      <c r="C65" s="449" t="s">
        <v>101</v>
      </c>
      <c r="D65" s="450" t="s">
        <v>306</v>
      </c>
      <c r="E65" s="451" t="s">
        <v>1</v>
      </c>
      <c r="F65" s="211" t="s">
        <v>2</v>
      </c>
      <c r="G65" s="212" t="s">
        <v>305</v>
      </c>
      <c r="H65" s="213" t="s">
        <v>101</v>
      </c>
      <c r="I65" s="246" t="s">
        <v>306</v>
      </c>
      <c r="J65" s="214" t="s">
        <v>1</v>
      </c>
    </row>
    <row r="66" spans="1:10" ht="15.75" thickBot="1" x14ac:dyDescent="0.3">
      <c r="A66" s="452" t="s">
        <v>386</v>
      </c>
      <c r="B66" s="453">
        <v>10</v>
      </c>
      <c r="C66" s="454">
        <v>1</v>
      </c>
      <c r="D66" s="455">
        <v>0</v>
      </c>
      <c r="E66" s="456">
        <f t="shared" ref="E66:E97" si="20">SUM(B66:D66)</f>
        <v>11</v>
      </c>
      <c r="F66" s="207" t="s">
        <v>395</v>
      </c>
      <c r="G66" s="208">
        <v>181</v>
      </c>
      <c r="H66" s="209">
        <v>100</v>
      </c>
      <c r="I66" s="247">
        <v>10</v>
      </c>
      <c r="J66" s="210">
        <f t="shared" ref="J66:J97" si="21">SUM(G66:I66)</f>
        <v>291</v>
      </c>
    </row>
    <row r="67" spans="1:10" ht="15.75" thickBot="1" x14ac:dyDescent="0.3">
      <c r="A67" s="452" t="s">
        <v>397</v>
      </c>
      <c r="B67" s="453">
        <v>7</v>
      </c>
      <c r="C67" s="454">
        <v>2</v>
      </c>
      <c r="D67" s="455">
        <v>2</v>
      </c>
      <c r="E67" s="456">
        <f t="shared" si="20"/>
        <v>11</v>
      </c>
      <c r="F67" s="207" t="s">
        <v>1213</v>
      </c>
      <c r="G67" s="208">
        <v>37</v>
      </c>
      <c r="H67" s="209">
        <v>20</v>
      </c>
      <c r="I67" s="247">
        <v>0</v>
      </c>
      <c r="J67" s="210">
        <f t="shared" si="21"/>
        <v>57</v>
      </c>
    </row>
    <row r="68" spans="1:10" ht="15.75" thickBot="1" x14ac:dyDescent="0.3">
      <c r="A68" s="452" t="s">
        <v>388</v>
      </c>
      <c r="B68" s="453">
        <v>6</v>
      </c>
      <c r="C68" s="454">
        <v>4</v>
      </c>
      <c r="D68" s="455">
        <v>0</v>
      </c>
      <c r="E68" s="456">
        <f t="shared" si="20"/>
        <v>10</v>
      </c>
      <c r="F68" s="207" t="s">
        <v>386</v>
      </c>
      <c r="G68" s="208">
        <v>50</v>
      </c>
      <c r="H68" s="209">
        <v>5</v>
      </c>
      <c r="I68" s="247">
        <v>0</v>
      </c>
      <c r="J68" s="210">
        <f t="shared" si="21"/>
        <v>55</v>
      </c>
    </row>
    <row r="69" spans="1:10" ht="15.75" thickBot="1" x14ac:dyDescent="0.3">
      <c r="A69" s="452" t="s">
        <v>1213</v>
      </c>
      <c r="B69" s="453">
        <v>4</v>
      </c>
      <c r="C69" s="454">
        <v>4</v>
      </c>
      <c r="D69" s="455">
        <v>0</v>
      </c>
      <c r="E69" s="456">
        <f t="shared" si="20"/>
        <v>8</v>
      </c>
      <c r="F69" s="207" t="s">
        <v>397</v>
      </c>
      <c r="G69" s="208">
        <v>35</v>
      </c>
      <c r="H69" s="209">
        <v>10</v>
      </c>
      <c r="I69" s="247">
        <v>10</v>
      </c>
      <c r="J69" s="210">
        <f t="shared" si="21"/>
        <v>55</v>
      </c>
    </row>
    <row r="70" spans="1:10" ht="15.75" thickBot="1" x14ac:dyDescent="0.3">
      <c r="A70" s="452" t="s">
        <v>1016</v>
      </c>
      <c r="B70" s="453">
        <v>1</v>
      </c>
      <c r="C70" s="454">
        <v>4</v>
      </c>
      <c r="D70" s="455">
        <v>1</v>
      </c>
      <c r="E70" s="456">
        <f t="shared" si="20"/>
        <v>6</v>
      </c>
      <c r="F70" s="207" t="s">
        <v>1018</v>
      </c>
      <c r="G70" s="208">
        <v>24</v>
      </c>
      <c r="H70" s="209">
        <v>26</v>
      </c>
      <c r="I70" s="247">
        <v>0</v>
      </c>
      <c r="J70" s="210">
        <f t="shared" si="21"/>
        <v>50</v>
      </c>
    </row>
    <row r="71" spans="1:10" ht="15.75" thickBot="1" x14ac:dyDescent="0.3">
      <c r="A71" s="452" t="s">
        <v>1227</v>
      </c>
      <c r="B71" s="453">
        <v>4</v>
      </c>
      <c r="C71" s="454">
        <v>2</v>
      </c>
      <c r="D71" s="455">
        <v>0</v>
      </c>
      <c r="E71" s="456">
        <f t="shared" si="20"/>
        <v>6</v>
      </c>
      <c r="F71" s="207" t="s">
        <v>388</v>
      </c>
      <c r="G71" s="208">
        <v>30</v>
      </c>
      <c r="H71" s="209">
        <v>20</v>
      </c>
      <c r="I71" s="247">
        <v>0</v>
      </c>
      <c r="J71" s="210">
        <f t="shared" si="21"/>
        <v>50</v>
      </c>
    </row>
    <row r="72" spans="1:10" ht="15.75" thickBot="1" x14ac:dyDescent="0.3">
      <c r="A72" s="452" t="s">
        <v>393</v>
      </c>
      <c r="B72" s="453">
        <v>2</v>
      </c>
      <c r="C72" s="454">
        <v>1</v>
      </c>
      <c r="D72" s="455">
        <v>3</v>
      </c>
      <c r="E72" s="456">
        <f t="shared" si="20"/>
        <v>6</v>
      </c>
      <c r="F72" s="207" t="s">
        <v>1016</v>
      </c>
      <c r="G72" s="208">
        <v>5</v>
      </c>
      <c r="H72" s="209">
        <v>20</v>
      </c>
      <c r="I72" s="247">
        <v>5</v>
      </c>
      <c r="J72" s="210">
        <f t="shared" si="21"/>
        <v>30</v>
      </c>
    </row>
    <row r="73" spans="1:10" ht="15.75" thickBot="1" x14ac:dyDescent="0.3">
      <c r="A73" s="452" t="s">
        <v>399</v>
      </c>
      <c r="B73" s="453">
        <v>4</v>
      </c>
      <c r="C73" s="454">
        <v>2</v>
      </c>
      <c r="D73" s="455">
        <v>0</v>
      </c>
      <c r="E73" s="456">
        <f t="shared" si="20"/>
        <v>6</v>
      </c>
      <c r="F73" s="207" t="s">
        <v>1227</v>
      </c>
      <c r="G73" s="208">
        <v>20</v>
      </c>
      <c r="H73" s="209">
        <v>10</v>
      </c>
      <c r="I73" s="247">
        <v>0</v>
      </c>
      <c r="J73" s="210">
        <f t="shared" si="21"/>
        <v>30</v>
      </c>
    </row>
    <row r="74" spans="1:10" ht="15.75" thickBot="1" x14ac:dyDescent="0.3">
      <c r="A74" s="452" t="s">
        <v>61</v>
      </c>
      <c r="B74" s="453">
        <v>3</v>
      </c>
      <c r="C74" s="454">
        <v>1</v>
      </c>
      <c r="D74" s="455">
        <v>1</v>
      </c>
      <c r="E74" s="456">
        <f t="shared" si="20"/>
        <v>5</v>
      </c>
      <c r="F74" s="207" t="s">
        <v>393</v>
      </c>
      <c r="G74" s="208">
        <v>10</v>
      </c>
      <c r="H74" s="209">
        <v>5</v>
      </c>
      <c r="I74" s="247">
        <v>15</v>
      </c>
      <c r="J74" s="210">
        <f t="shared" si="21"/>
        <v>30</v>
      </c>
    </row>
    <row r="75" spans="1:10" ht="15.75" thickBot="1" x14ac:dyDescent="0.3">
      <c r="A75" s="452" t="s">
        <v>1018</v>
      </c>
      <c r="B75" s="453">
        <v>4</v>
      </c>
      <c r="C75" s="454">
        <v>1</v>
      </c>
      <c r="D75" s="455">
        <v>0</v>
      </c>
      <c r="E75" s="456">
        <f t="shared" si="20"/>
        <v>5</v>
      </c>
      <c r="F75" s="207" t="s">
        <v>399</v>
      </c>
      <c r="G75" s="208">
        <v>20</v>
      </c>
      <c r="H75" s="209">
        <v>10</v>
      </c>
      <c r="I75" s="247">
        <v>0</v>
      </c>
      <c r="J75" s="210">
        <f t="shared" si="21"/>
        <v>30</v>
      </c>
    </row>
    <row r="76" spans="1:10" ht="15.75" thickBot="1" x14ac:dyDescent="0.3">
      <c r="A76" s="452" t="s">
        <v>394</v>
      </c>
      <c r="B76" s="453">
        <v>2</v>
      </c>
      <c r="C76" s="454">
        <v>3</v>
      </c>
      <c r="D76" s="455">
        <v>0</v>
      </c>
      <c r="E76" s="456">
        <f t="shared" si="20"/>
        <v>5</v>
      </c>
      <c r="F76" s="207" t="s">
        <v>6</v>
      </c>
      <c r="G76" s="208">
        <v>28</v>
      </c>
      <c r="H76" s="209">
        <v>0</v>
      </c>
      <c r="I76" s="247">
        <v>0</v>
      </c>
      <c r="J76" s="210">
        <f t="shared" si="21"/>
        <v>28</v>
      </c>
    </row>
    <row r="77" spans="1:10" ht="15.75" thickBot="1" x14ac:dyDescent="0.3">
      <c r="A77" s="452" t="s">
        <v>383</v>
      </c>
      <c r="B77" s="453">
        <v>3</v>
      </c>
      <c r="C77" s="454">
        <v>1</v>
      </c>
      <c r="D77" s="455">
        <v>0</v>
      </c>
      <c r="E77" s="456">
        <f t="shared" si="20"/>
        <v>4</v>
      </c>
      <c r="F77" s="207" t="s">
        <v>61</v>
      </c>
      <c r="G77" s="208">
        <v>15</v>
      </c>
      <c r="H77" s="209">
        <v>5</v>
      </c>
      <c r="I77" s="247">
        <v>5</v>
      </c>
      <c r="J77" s="210">
        <f t="shared" si="21"/>
        <v>25</v>
      </c>
    </row>
    <row r="78" spans="1:10" ht="15.75" thickBot="1" x14ac:dyDescent="0.3">
      <c r="A78" s="452" t="s">
        <v>6</v>
      </c>
      <c r="B78" s="453">
        <v>4</v>
      </c>
      <c r="C78" s="454">
        <v>0</v>
      </c>
      <c r="D78" s="455">
        <v>0</v>
      </c>
      <c r="E78" s="456">
        <f t="shared" si="20"/>
        <v>4</v>
      </c>
      <c r="F78" s="207" t="s">
        <v>394</v>
      </c>
      <c r="G78" s="208">
        <v>10</v>
      </c>
      <c r="H78" s="209">
        <v>15</v>
      </c>
      <c r="I78" s="247">
        <v>0</v>
      </c>
      <c r="J78" s="210">
        <f t="shared" si="21"/>
        <v>25</v>
      </c>
    </row>
    <row r="79" spans="1:10" ht="15.75" thickBot="1" x14ac:dyDescent="0.3">
      <c r="A79" s="452" t="s">
        <v>402</v>
      </c>
      <c r="B79" s="453">
        <v>2</v>
      </c>
      <c r="C79" s="454">
        <v>1</v>
      </c>
      <c r="D79" s="455">
        <v>1</v>
      </c>
      <c r="E79" s="456">
        <f t="shared" si="20"/>
        <v>4</v>
      </c>
      <c r="F79" s="207" t="s">
        <v>854</v>
      </c>
      <c r="G79" s="208">
        <v>2</v>
      </c>
      <c r="H79" s="209">
        <v>0</v>
      </c>
      <c r="I79" s="247">
        <v>21</v>
      </c>
      <c r="J79" s="210">
        <f t="shared" si="21"/>
        <v>23</v>
      </c>
    </row>
    <row r="80" spans="1:10" ht="15.75" thickBot="1" x14ac:dyDescent="0.3">
      <c r="A80" s="452" t="s">
        <v>403</v>
      </c>
      <c r="B80" s="453">
        <v>3</v>
      </c>
      <c r="C80" s="454">
        <v>1</v>
      </c>
      <c r="D80" s="455">
        <v>0</v>
      </c>
      <c r="E80" s="456">
        <f t="shared" si="20"/>
        <v>4</v>
      </c>
      <c r="F80" s="207" t="s">
        <v>383</v>
      </c>
      <c r="G80" s="208">
        <v>15</v>
      </c>
      <c r="H80" s="209">
        <v>5</v>
      </c>
      <c r="I80" s="247">
        <v>0</v>
      </c>
      <c r="J80" s="210">
        <f t="shared" si="21"/>
        <v>20</v>
      </c>
    </row>
    <row r="81" spans="1:10" ht="15.75" thickBot="1" x14ac:dyDescent="0.3">
      <c r="A81" s="452" t="s">
        <v>1066</v>
      </c>
      <c r="B81" s="453">
        <v>0</v>
      </c>
      <c r="C81" s="454">
        <v>3</v>
      </c>
      <c r="D81" s="455">
        <v>0</v>
      </c>
      <c r="E81" s="456">
        <f t="shared" si="20"/>
        <v>3</v>
      </c>
      <c r="F81" s="207" t="s">
        <v>385</v>
      </c>
      <c r="G81" s="208">
        <v>3</v>
      </c>
      <c r="H81" s="209">
        <v>13</v>
      </c>
      <c r="I81" s="247">
        <v>4</v>
      </c>
      <c r="J81" s="210">
        <f t="shared" si="21"/>
        <v>20</v>
      </c>
    </row>
    <row r="82" spans="1:10" ht="15.75" thickBot="1" x14ac:dyDescent="0.3">
      <c r="A82" s="452" t="s">
        <v>73</v>
      </c>
      <c r="B82" s="453">
        <v>2</v>
      </c>
      <c r="C82" s="454">
        <v>1</v>
      </c>
      <c r="D82" s="455">
        <v>0</v>
      </c>
      <c r="E82" s="456">
        <f t="shared" si="20"/>
        <v>3</v>
      </c>
      <c r="F82" s="207" t="s">
        <v>402</v>
      </c>
      <c r="G82" s="208">
        <v>10</v>
      </c>
      <c r="H82" s="209">
        <v>5</v>
      </c>
      <c r="I82" s="247">
        <v>5</v>
      </c>
      <c r="J82" s="210">
        <f t="shared" si="21"/>
        <v>20</v>
      </c>
    </row>
    <row r="83" spans="1:10" ht="15.75" thickBot="1" x14ac:dyDescent="0.3">
      <c r="A83" s="452" t="s">
        <v>391</v>
      </c>
      <c r="B83" s="453">
        <v>2</v>
      </c>
      <c r="C83" s="454">
        <v>1</v>
      </c>
      <c r="D83" s="455">
        <v>0</v>
      </c>
      <c r="E83" s="456">
        <f t="shared" si="20"/>
        <v>3</v>
      </c>
      <c r="F83" s="207" t="s">
        <v>403</v>
      </c>
      <c r="G83" s="208">
        <v>15</v>
      </c>
      <c r="H83" s="209">
        <v>5</v>
      </c>
      <c r="I83" s="247">
        <v>0</v>
      </c>
      <c r="J83" s="210">
        <f t="shared" si="21"/>
        <v>20</v>
      </c>
    </row>
    <row r="84" spans="1:10" ht="15.75" thickBot="1" x14ac:dyDescent="0.3">
      <c r="A84" s="452" t="s">
        <v>1119</v>
      </c>
      <c r="B84" s="453">
        <v>3</v>
      </c>
      <c r="C84" s="454">
        <v>0</v>
      </c>
      <c r="D84" s="455">
        <v>0</v>
      </c>
      <c r="E84" s="456">
        <f t="shared" si="20"/>
        <v>3</v>
      </c>
      <c r="F84" s="207" t="s">
        <v>1066</v>
      </c>
      <c r="G84" s="208">
        <v>0</v>
      </c>
      <c r="H84" s="209">
        <v>15</v>
      </c>
      <c r="I84" s="247">
        <v>0</v>
      </c>
      <c r="J84" s="210">
        <f t="shared" si="21"/>
        <v>15</v>
      </c>
    </row>
    <row r="85" spans="1:10" ht="15.75" thickBot="1" x14ac:dyDescent="0.3">
      <c r="A85" s="452" t="s">
        <v>1158</v>
      </c>
      <c r="B85" s="453">
        <v>2</v>
      </c>
      <c r="C85" s="454">
        <v>1</v>
      </c>
      <c r="D85" s="455">
        <v>0</v>
      </c>
      <c r="E85" s="456">
        <f t="shared" si="20"/>
        <v>3</v>
      </c>
      <c r="F85" s="207" t="s">
        <v>73</v>
      </c>
      <c r="G85" s="208">
        <v>10</v>
      </c>
      <c r="H85" s="209">
        <v>5</v>
      </c>
      <c r="I85" s="247">
        <v>0</v>
      </c>
      <c r="J85" s="210">
        <f t="shared" si="21"/>
        <v>15</v>
      </c>
    </row>
    <row r="86" spans="1:10" ht="15.75" thickBot="1" x14ac:dyDescent="0.3">
      <c r="A86" s="452" t="s">
        <v>389</v>
      </c>
      <c r="B86" s="453">
        <v>0</v>
      </c>
      <c r="C86" s="454">
        <v>0</v>
      </c>
      <c r="D86" s="455">
        <v>2</v>
      </c>
      <c r="E86" s="456">
        <f t="shared" si="20"/>
        <v>2</v>
      </c>
      <c r="F86" s="207" t="s">
        <v>391</v>
      </c>
      <c r="G86" s="208">
        <v>10</v>
      </c>
      <c r="H86" s="209">
        <v>5</v>
      </c>
      <c r="I86" s="247">
        <v>0</v>
      </c>
      <c r="J86" s="210">
        <f t="shared" si="21"/>
        <v>15</v>
      </c>
    </row>
    <row r="87" spans="1:10" ht="15.75" thickBot="1" x14ac:dyDescent="0.3">
      <c r="A87" s="452" t="s">
        <v>876</v>
      </c>
      <c r="B87" s="453">
        <v>0</v>
      </c>
      <c r="C87" s="454">
        <v>1</v>
      </c>
      <c r="D87" s="455">
        <v>1</v>
      </c>
      <c r="E87" s="456">
        <f t="shared" si="20"/>
        <v>2</v>
      </c>
      <c r="F87" s="207" t="s">
        <v>1119</v>
      </c>
      <c r="G87" s="208">
        <v>15</v>
      </c>
      <c r="H87" s="209">
        <v>0</v>
      </c>
      <c r="I87" s="247">
        <v>0</v>
      </c>
      <c r="J87" s="210">
        <f t="shared" si="21"/>
        <v>15</v>
      </c>
    </row>
    <row r="88" spans="1:10" ht="15.75" thickBot="1" x14ac:dyDescent="0.3">
      <c r="A88" s="452" t="s">
        <v>113</v>
      </c>
      <c r="B88" s="453">
        <v>1</v>
      </c>
      <c r="C88" s="454">
        <v>0</v>
      </c>
      <c r="D88" s="455">
        <v>0</v>
      </c>
      <c r="E88" s="456">
        <f t="shared" si="20"/>
        <v>1</v>
      </c>
      <c r="F88" s="207" t="s">
        <v>1158</v>
      </c>
      <c r="G88" s="208">
        <v>10</v>
      </c>
      <c r="H88" s="209">
        <v>5</v>
      </c>
      <c r="I88" s="247">
        <v>0</v>
      </c>
      <c r="J88" s="210">
        <f t="shared" si="21"/>
        <v>15</v>
      </c>
    </row>
    <row r="89" spans="1:10" ht="15.75" thickBot="1" x14ac:dyDescent="0.3">
      <c r="A89" s="452" t="s">
        <v>1110</v>
      </c>
      <c r="B89" s="453">
        <v>0</v>
      </c>
      <c r="C89" s="454">
        <v>1</v>
      </c>
      <c r="D89" s="455">
        <v>0</v>
      </c>
      <c r="E89" s="456">
        <f t="shared" si="20"/>
        <v>1</v>
      </c>
      <c r="F89" s="207" t="s">
        <v>389</v>
      </c>
      <c r="G89" s="208">
        <v>0</v>
      </c>
      <c r="H89" s="209">
        <v>0</v>
      </c>
      <c r="I89" s="247">
        <v>10</v>
      </c>
      <c r="J89" s="210">
        <f t="shared" si="21"/>
        <v>10</v>
      </c>
    </row>
    <row r="90" spans="1:10" ht="15.75" thickBot="1" x14ac:dyDescent="0.3">
      <c r="A90" s="452" t="s">
        <v>1014</v>
      </c>
      <c r="B90" s="453">
        <v>0</v>
      </c>
      <c r="C90" s="454">
        <v>0</v>
      </c>
      <c r="D90" s="455">
        <v>1</v>
      </c>
      <c r="E90" s="456">
        <f t="shared" si="20"/>
        <v>1</v>
      </c>
      <c r="F90" s="207" t="s">
        <v>876</v>
      </c>
      <c r="G90" s="208">
        <v>0</v>
      </c>
      <c r="H90" s="209">
        <v>5</v>
      </c>
      <c r="I90" s="247">
        <v>5</v>
      </c>
      <c r="J90" s="215">
        <f t="shared" si="21"/>
        <v>10</v>
      </c>
    </row>
    <row r="91" spans="1:10" ht="15.75" thickBot="1" x14ac:dyDescent="0.3">
      <c r="A91" s="452" t="s">
        <v>850</v>
      </c>
      <c r="B91" s="453">
        <v>0</v>
      </c>
      <c r="C91" s="454">
        <v>1</v>
      </c>
      <c r="D91" s="455">
        <v>0</v>
      </c>
      <c r="E91" s="456">
        <f t="shared" si="20"/>
        <v>1</v>
      </c>
      <c r="F91" s="207" t="s">
        <v>113</v>
      </c>
      <c r="G91" s="208">
        <v>5</v>
      </c>
      <c r="H91" s="209">
        <v>0</v>
      </c>
      <c r="I91" s="247">
        <v>0</v>
      </c>
      <c r="J91" s="215">
        <f t="shared" si="21"/>
        <v>5</v>
      </c>
    </row>
    <row r="92" spans="1:10" ht="15.75" thickBot="1" x14ac:dyDescent="0.3">
      <c r="A92" s="452" t="s">
        <v>1230</v>
      </c>
      <c r="B92" s="453">
        <v>1</v>
      </c>
      <c r="C92" s="454">
        <v>0</v>
      </c>
      <c r="D92" s="455">
        <v>0</v>
      </c>
      <c r="E92" s="456">
        <f t="shared" si="20"/>
        <v>1</v>
      </c>
      <c r="F92" s="207" t="s">
        <v>1110</v>
      </c>
      <c r="G92" s="208">
        <v>0</v>
      </c>
      <c r="H92" s="209">
        <v>5</v>
      </c>
      <c r="I92" s="247">
        <v>0</v>
      </c>
      <c r="J92" s="215">
        <f t="shared" si="21"/>
        <v>5</v>
      </c>
    </row>
    <row r="93" spans="1:10" ht="15.75" thickBot="1" x14ac:dyDescent="0.3">
      <c r="A93" s="452" t="s">
        <v>1111</v>
      </c>
      <c r="B93" s="453">
        <v>0</v>
      </c>
      <c r="C93" s="454">
        <v>1</v>
      </c>
      <c r="D93" s="455">
        <v>0</v>
      </c>
      <c r="E93" s="456">
        <f t="shared" si="20"/>
        <v>1</v>
      </c>
      <c r="F93" s="207" t="s">
        <v>1014</v>
      </c>
      <c r="G93" s="208">
        <v>0</v>
      </c>
      <c r="H93" s="209">
        <v>0</v>
      </c>
      <c r="I93" s="247">
        <v>5</v>
      </c>
      <c r="J93" s="215">
        <f t="shared" si="21"/>
        <v>5</v>
      </c>
    </row>
    <row r="94" spans="1:10" ht="15.75" thickBot="1" x14ac:dyDescent="0.3">
      <c r="A94" s="452" t="s">
        <v>377</v>
      </c>
      <c r="B94" s="453">
        <v>1</v>
      </c>
      <c r="C94" s="454">
        <v>0</v>
      </c>
      <c r="D94" s="455">
        <v>0</v>
      </c>
      <c r="E94" s="456">
        <f t="shared" si="20"/>
        <v>1</v>
      </c>
      <c r="F94" s="207" t="s">
        <v>850</v>
      </c>
      <c r="G94" s="208">
        <v>0</v>
      </c>
      <c r="H94" s="209">
        <v>5</v>
      </c>
      <c r="I94" s="247">
        <v>0</v>
      </c>
      <c r="J94" s="215">
        <f t="shared" si="21"/>
        <v>5</v>
      </c>
    </row>
    <row r="95" spans="1:10" ht="15.75" thickBot="1" x14ac:dyDescent="0.3">
      <c r="A95" s="452" t="s">
        <v>384</v>
      </c>
      <c r="B95" s="453">
        <v>0</v>
      </c>
      <c r="C95" s="454">
        <v>1</v>
      </c>
      <c r="D95" s="455">
        <v>0</v>
      </c>
      <c r="E95" s="456">
        <f t="shared" si="20"/>
        <v>1</v>
      </c>
      <c r="F95" s="207" t="s">
        <v>1230</v>
      </c>
      <c r="G95" s="208">
        <v>5</v>
      </c>
      <c r="H95" s="209">
        <v>0</v>
      </c>
      <c r="I95" s="247">
        <v>0</v>
      </c>
      <c r="J95" s="215">
        <f t="shared" si="21"/>
        <v>5</v>
      </c>
    </row>
    <row r="96" spans="1:10" ht="15.75" thickBot="1" x14ac:dyDescent="0.3">
      <c r="A96" s="452" t="s">
        <v>1211</v>
      </c>
      <c r="B96" s="453">
        <v>1</v>
      </c>
      <c r="C96" s="454">
        <v>0</v>
      </c>
      <c r="D96" s="455">
        <v>0</v>
      </c>
      <c r="E96" s="456">
        <f t="shared" si="20"/>
        <v>1</v>
      </c>
      <c r="F96" s="207" t="s">
        <v>1111</v>
      </c>
      <c r="G96" s="208">
        <v>0</v>
      </c>
      <c r="H96" s="209">
        <v>5</v>
      </c>
      <c r="I96" s="247">
        <v>0</v>
      </c>
      <c r="J96" s="215">
        <f t="shared" si="21"/>
        <v>5</v>
      </c>
    </row>
    <row r="97" spans="1:10" ht="15.75" thickBot="1" x14ac:dyDescent="0.3">
      <c r="A97" s="452" t="s">
        <v>392</v>
      </c>
      <c r="B97" s="453">
        <v>1</v>
      </c>
      <c r="C97" s="454">
        <v>0</v>
      </c>
      <c r="D97" s="455">
        <v>0</v>
      </c>
      <c r="E97" s="456">
        <f t="shared" si="20"/>
        <v>1</v>
      </c>
      <c r="F97" s="207" t="s">
        <v>377</v>
      </c>
      <c r="G97" s="208">
        <v>5</v>
      </c>
      <c r="H97" s="209">
        <v>0</v>
      </c>
      <c r="I97" s="247">
        <v>0</v>
      </c>
      <c r="J97" s="215">
        <f t="shared" si="21"/>
        <v>5</v>
      </c>
    </row>
    <row r="98" spans="1:10" ht="15.75" thickBot="1" x14ac:dyDescent="0.3">
      <c r="A98" s="452" t="s">
        <v>398</v>
      </c>
      <c r="B98" s="453">
        <v>1</v>
      </c>
      <c r="C98" s="454">
        <v>0</v>
      </c>
      <c r="D98" s="455">
        <v>0</v>
      </c>
      <c r="E98" s="456">
        <f t="shared" ref="E98:E124" si="22">SUM(B98:D98)</f>
        <v>1</v>
      </c>
      <c r="F98" s="207" t="s">
        <v>384</v>
      </c>
      <c r="G98" s="208">
        <v>0</v>
      </c>
      <c r="H98" s="209">
        <v>5</v>
      </c>
      <c r="I98" s="247">
        <v>0</v>
      </c>
      <c r="J98" s="215">
        <f t="shared" ref="J98:J124" si="23">SUM(G98:I98)</f>
        <v>5</v>
      </c>
    </row>
    <row r="99" spans="1:10" ht="15.75" thickBot="1" x14ac:dyDescent="0.3">
      <c r="A99" s="452" t="s">
        <v>401</v>
      </c>
      <c r="B99" s="453">
        <v>0</v>
      </c>
      <c r="C99" s="454">
        <v>1</v>
      </c>
      <c r="D99" s="455">
        <v>0</v>
      </c>
      <c r="E99" s="456">
        <f t="shared" si="22"/>
        <v>1</v>
      </c>
      <c r="F99" s="207" t="s">
        <v>1211</v>
      </c>
      <c r="G99" s="208">
        <v>5</v>
      </c>
      <c r="H99" s="209">
        <v>0</v>
      </c>
      <c r="I99" s="247">
        <v>0</v>
      </c>
      <c r="J99" s="210">
        <f t="shared" si="23"/>
        <v>5</v>
      </c>
    </row>
    <row r="100" spans="1:10" ht="15.75" thickBot="1" x14ac:dyDescent="0.3">
      <c r="A100" s="452" t="s">
        <v>371</v>
      </c>
      <c r="B100" s="453">
        <v>0</v>
      </c>
      <c r="C100" s="454">
        <v>0</v>
      </c>
      <c r="D100" s="455">
        <v>0</v>
      </c>
      <c r="E100" s="456">
        <f t="shared" si="22"/>
        <v>0</v>
      </c>
      <c r="F100" s="207" t="s">
        <v>392</v>
      </c>
      <c r="G100" s="208">
        <v>5</v>
      </c>
      <c r="H100" s="209">
        <v>0</v>
      </c>
      <c r="I100" s="247">
        <v>0</v>
      </c>
      <c r="J100" s="210">
        <f t="shared" si="23"/>
        <v>5</v>
      </c>
    </row>
    <row r="101" spans="1:10" ht="15.75" thickBot="1" x14ac:dyDescent="0.3">
      <c r="A101" s="452" t="s">
        <v>372</v>
      </c>
      <c r="B101" s="453">
        <v>0</v>
      </c>
      <c r="C101" s="454">
        <v>0</v>
      </c>
      <c r="D101" s="455">
        <v>0</v>
      </c>
      <c r="E101" s="456">
        <f t="shared" si="22"/>
        <v>0</v>
      </c>
      <c r="F101" s="207" t="s">
        <v>398</v>
      </c>
      <c r="G101" s="208">
        <v>5</v>
      </c>
      <c r="H101" s="209">
        <v>0</v>
      </c>
      <c r="I101" s="247">
        <v>0</v>
      </c>
      <c r="J101" s="210">
        <f t="shared" si="23"/>
        <v>5</v>
      </c>
    </row>
    <row r="102" spans="1:10" ht="15.75" thickBot="1" x14ac:dyDescent="0.3">
      <c r="A102" s="452" t="s">
        <v>373</v>
      </c>
      <c r="B102" s="453">
        <v>0</v>
      </c>
      <c r="C102" s="454">
        <v>0</v>
      </c>
      <c r="D102" s="455">
        <v>0</v>
      </c>
      <c r="E102" s="456">
        <f t="shared" si="22"/>
        <v>0</v>
      </c>
      <c r="F102" s="207" t="s">
        <v>401</v>
      </c>
      <c r="G102" s="208">
        <v>0</v>
      </c>
      <c r="H102" s="209">
        <v>5</v>
      </c>
      <c r="I102" s="247">
        <v>0</v>
      </c>
      <c r="J102" s="210">
        <f t="shared" si="23"/>
        <v>5</v>
      </c>
    </row>
    <row r="103" spans="1:10" ht="15.75" thickBot="1" x14ac:dyDescent="0.3">
      <c r="A103" s="452" t="s">
        <v>72</v>
      </c>
      <c r="B103" s="453">
        <v>0</v>
      </c>
      <c r="C103" s="454">
        <v>0</v>
      </c>
      <c r="D103" s="455">
        <v>0</v>
      </c>
      <c r="E103" s="456">
        <f t="shared" si="22"/>
        <v>0</v>
      </c>
      <c r="F103" s="207" t="s">
        <v>371</v>
      </c>
      <c r="G103" s="208">
        <v>0</v>
      </c>
      <c r="H103" s="209">
        <v>0</v>
      </c>
      <c r="I103" s="247">
        <v>0</v>
      </c>
      <c r="J103" s="210">
        <f t="shared" si="23"/>
        <v>0</v>
      </c>
    </row>
    <row r="104" spans="1:10" ht="15.75" thickBot="1" x14ac:dyDescent="0.3">
      <c r="A104" s="452" t="s">
        <v>893</v>
      </c>
      <c r="B104" s="453">
        <v>0</v>
      </c>
      <c r="C104" s="454">
        <v>0</v>
      </c>
      <c r="D104" s="455">
        <v>0</v>
      </c>
      <c r="E104" s="456">
        <f t="shared" si="22"/>
        <v>0</v>
      </c>
      <c r="F104" s="207" t="s">
        <v>372</v>
      </c>
      <c r="G104" s="208">
        <v>0</v>
      </c>
      <c r="H104" s="209">
        <v>0</v>
      </c>
      <c r="I104" s="247">
        <v>0</v>
      </c>
      <c r="J104" s="210">
        <f t="shared" si="23"/>
        <v>0</v>
      </c>
    </row>
    <row r="105" spans="1:10" ht="15.75" thickBot="1" x14ac:dyDescent="0.3">
      <c r="A105" s="452" t="s">
        <v>854</v>
      </c>
      <c r="B105" s="453">
        <v>0</v>
      </c>
      <c r="C105" s="454">
        <v>0</v>
      </c>
      <c r="D105" s="455">
        <v>0</v>
      </c>
      <c r="E105" s="456">
        <f t="shared" si="22"/>
        <v>0</v>
      </c>
      <c r="F105" s="207" t="s">
        <v>373</v>
      </c>
      <c r="G105" s="208">
        <v>0</v>
      </c>
      <c r="H105" s="209">
        <v>0</v>
      </c>
      <c r="I105" s="247">
        <v>0</v>
      </c>
      <c r="J105" s="210">
        <f t="shared" si="23"/>
        <v>0</v>
      </c>
    </row>
    <row r="106" spans="1:10" ht="15.75" thickBot="1" x14ac:dyDescent="0.3">
      <c r="A106" s="452" t="s">
        <v>374</v>
      </c>
      <c r="B106" s="453">
        <v>0</v>
      </c>
      <c r="C106" s="454">
        <v>0</v>
      </c>
      <c r="D106" s="455">
        <v>0</v>
      </c>
      <c r="E106" s="456">
        <f t="shared" si="22"/>
        <v>0</v>
      </c>
      <c r="F106" s="207" t="s">
        <v>72</v>
      </c>
      <c r="G106" s="208">
        <v>0</v>
      </c>
      <c r="H106" s="209">
        <v>0</v>
      </c>
      <c r="I106" s="247">
        <v>0</v>
      </c>
      <c r="J106" s="210">
        <f t="shared" si="23"/>
        <v>0</v>
      </c>
    </row>
    <row r="107" spans="1:10" ht="15.75" thickBot="1" x14ac:dyDescent="0.3">
      <c r="A107" s="452" t="s">
        <v>72</v>
      </c>
      <c r="B107" s="453">
        <v>0</v>
      </c>
      <c r="C107" s="454">
        <v>0</v>
      </c>
      <c r="D107" s="455">
        <v>0</v>
      </c>
      <c r="E107" s="456">
        <f t="shared" si="22"/>
        <v>0</v>
      </c>
      <c r="F107" s="207" t="s">
        <v>893</v>
      </c>
      <c r="G107" s="208">
        <v>0</v>
      </c>
      <c r="H107" s="209">
        <v>0</v>
      </c>
      <c r="I107" s="247">
        <v>0</v>
      </c>
      <c r="J107" s="210">
        <f t="shared" si="23"/>
        <v>0</v>
      </c>
    </row>
    <row r="108" spans="1:10" ht="15.75" thickBot="1" x14ac:dyDescent="0.3">
      <c r="A108" s="452" t="s">
        <v>880</v>
      </c>
      <c r="B108" s="453">
        <v>0</v>
      </c>
      <c r="C108" s="454">
        <v>0</v>
      </c>
      <c r="D108" s="455">
        <v>0</v>
      </c>
      <c r="E108" s="456">
        <f t="shared" si="22"/>
        <v>0</v>
      </c>
      <c r="F108" s="207" t="s">
        <v>374</v>
      </c>
      <c r="G108" s="208">
        <v>0</v>
      </c>
      <c r="H108" s="209">
        <v>0</v>
      </c>
      <c r="I108" s="247">
        <v>0</v>
      </c>
      <c r="J108" s="210">
        <f t="shared" si="23"/>
        <v>0</v>
      </c>
    </row>
    <row r="109" spans="1:10" ht="15.75" thickBot="1" x14ac:dyDescent="0.3">
      <c r="A109" s="452" t="s">
        <v>378</v>
      </c>
      <c r="B109" s="453">
        <v>0</v>
      </c>
      <c r="C109" s="454">
        <v>0</v>
      </c>
      <c r="D109" s="455">
        <v>0</v>
      </c>
      <c r="E109" s="456">
        <f t="shared" si="22"/>
        <v>0</v>
      </c>
      <c r="F109" s="207" t="s">
        <v>72</v>
      </c>
      <c r="G109" s="208">
        <v>0</v>
      </c>
      <c r="H109" s="209">
        <v>0</v>
      </c>
      <c r="I109" s="247">
        <v>0</v>
      </c>
      <c r="J109" s="210">
        <f t="shared" si="23"/>
        <v>0</v>
      </c>
    </row>
    <row r="110" spans="1:10" ht="15.75" thickBot="1" x14ac:dyDescent="0.3">
      <c r="A110" s="452" t="s">
        <v>379</v>
      </c>
      <c r="B110" s="453">
        <v>0</v>
      </c>
      <c r="C110" s="454">
        <v>0</v>
      </c>
      <c r="D110" s="455">
        <v>0</v>
      </c>
      <c r="E110" s="456">
        <f t="shared" si="22"/>
        <v>0</v>
      </c>
      <c r="F110" s="207" t="s">
        <v>880</v>
      </c>
      <c r="G110" s="208">
        <v>0</v>
      </c>
      <c r="H110" s="209">
        <v>0</v>
      </c>
      <c r="I110" s="247">
        <v>0</v>
      </c>
      <c r="J110" s="210">
        <f t="shared" si="23"/>
        <v>0</v>
      </c>
    </row>
    <row r="111" spans="1:10" ht="15.75" thickBot="1" x14ac:dyDescent="0.3">
      <c r="A111" s="452" t="s">
        <v>380</v>
      </c>
      <c r="B111" s="453">
        <v>0</v>
      </c>
      <c r="C111" s="454">
        <v>0</v>
      </c>
      <c r="D111" s="455">
        <v>0</v>
      </c>
      <c r="E111" s="456">
        <f t="shared" si="22"/>
        <v>0</v>
      </c>
      <c r="F111" s="207" t="s">
        <v>378</v>
      </c>
      <c r="G111" s="208">
        <v>0</v>
      </c>
      <c r="H111" s="209">
        <v>0</v>
      </c>
      <c r="I111" s="247">
        <v>0</v>
      </c>
      <c r="J111" s="210">
        <f t="shared" si="23"/>
        <v>0</v>
      </c>
    </row>
    <row r="112" spans="1:10" ht="15.75" thickBot="1" x14ac:dyDescent="0.3">
      <c r="A112" s="452" t="s">
        <v>72</v>
      </c>
      <c r="B112" s="453">
        <v>0</v>
      </c>
      <c r="C112" s="454">
        <v>0</v>
      </c>
      <c r="D112" s="455">
        <v>0</v>
      </c>
      <c r="E112" s="456">
        <f t="shared" si="22"/>
        <v>0</v>
      </c>
      <c r="F112" s="207" t="s">
        <v>379</v>
      </c>
      <c r="G112" s="208">
        <v>0</v>
      </c>
      <c r="H112" s="209">
        <v>0</v>
      </c>
      <c r="I112" s="247">
        <v>0</v>
      </c>
      <c r="J112" s="210">
        <f t="shared" si="23"/>
        <v>0</v>
      </c>
    </row>
    <row r="113" spans="1:10" ht="15.75" thickBot="1" x14ac:dyDescent="0.3">
      <c r="A113" s="452" t="s">
        <v>72</v>
      </c>
      <c r="B113" s="453">
        <v>0</v>
      </c>
      <c r="C113" s="454">
        <v>0</v>
      </c>
      <c r="D113" s="455">
        <v>0</v>
      </c>
      <c r="E113" s="456">
        <f t="shared" si="22"/>
        <v>0</v>
      </c>
      <c r="F113" s="207" t="s">
        <v>380</v>
      </c>
      <c r="G113" s="208">
        <v>0</v>
      </c>
      <c r="H113" s="209">
        <v>0</v>
      </c>
      <c r="I113" s="247">
        <v>0</v>
      </c>
      <c r="J113" s="210">
        <f t="shared" si="23"/>
        <v>0</v>
      </c>
    </row>
    <row r="114" spans="1:10" ht="15.75" thickBot="1" x14ac:dyDescent="0.3">
      <c r="A114" s="452" t="s">
        <v>381</v>
      </c>
      <c r="B114" s="453">
        <v>0</v>
      </c>
      <c r="C114" s="454">
        <v>0</v>
      </c>
      <c r="D114" s="455">
        <v>0</v>
      </c>
      <c r="E114" s="456">
        <f t="shared" si="22"/>
        <v>0</v>
      </c>
      <c r="F114" s="207" t="s">
        <v>72</v>
      </c>
      <c r="G114" s="208">
        <v>0</v>
      </c>
      <c r="H114" s="209">
        <v>0</v>
      </c>
      <c r="I114" s="247">
        <v>0</v>
      </c>
      <c r="J114" s="210">
        <f t="shared" si="23"/>
        <v>0</v>
      </c>
    </row>
    <row r="115" spans="1:10" ht="15.75" thickBot="1" x14ac:dyDescent="0.3">
      <c r="A115" s="452" t="s">
        <v>382</v>
      </c>
      <c r="B115" s="453">
        <v>0</v>
      </c>
      <c r="C115" s="454">
        <v>0</v>
      </c>
      <c r="D115" s="455">
        <v>0</v>
      </c>
      <c r="E115" s="456">
        <f t="shared" si="22"/>
        <v>0</v>
      </c>
      <c r="F115" s="207" t="s">
        <v>72</v>
      </c>
      <c r="G115" s="208">
        <v>0</v>
      </c>
      <c r="H115" s="209">
        <v>0</v>
      </c>
      <c r="I115" s="247">
        <v>0</v>
      </c>
      <c r="J115" s="210">
        <f t="shared" si="23"/>
        <v>0</v>
      </c>
    </row>
    <row r="116" spans="1:10" ht="15.75" thickBot="1" x14ac:dyDescent="0.3">
      <c r="A116" s="452" t="s">
        <v>297</v>
      </c>
      <c r="B116" s="453">
        <v>0</v>
      </c>
      <c r="C116" s="454">
        <v>0</v>
      </c>
      <c r="D116" s="455">
        <v>0</v>
      </c>
      <c r="E116" s="456">
        <f t="shared" si="22"/>
        <v>0</v>
      </c>
      <c r="F116" s="207" t="s">
        <v>381</v>
      </c>
      <c r="G116" s="208">
        <v>0</v>
      </c>
      <c r="H116" s="209">
        <v>0</v>
      </c>
      <c r="I116" s="247">
        <v>0</v>
      </c>
      <c r="J116" s="210">
        <f t="shared" si="23"/>
        <v>0</v>
      </c>
    </row>
    <row r="117" spans="1:10" ht="15.75" thickBot="1" x14ac:dyDescent="0.3">
      <c r="A117" s="452" t="s">
        <v>385</v>
      </c>
      <c r="B117" s="453">
        <v>0</v>
      </c>
      <c r="C117" s="454">
        <v>0</v>
      </c>
      <c r="D117" s="455">
        <v>0</v>
      </c>
      <c r="E117" s="456">
        <f t="shared" si="22"/>
        <v>0</v>
      </c>
      <c r="F117" s="207" t="s">
        <v>382</v>
      </c>
      <c r="G117" s="208">
        <v>0</v>
      </c>
      <c r="H117" s="209">
        <v>0</v>
      </c>
      <c r="I117" s="247">
        <v>0</v>
      </c>
      <c r="J117" s="210">
        <f t="shared" si="23"/>
        <v>0</v>
      </c>
    </row>
    <row r="118" spans="1:10" ht="15.75" thickBot="1" x14ac:dyDescent="0.3">
      <c r="A118" s="452" t="s">
        <v>387</v>
      </c>
      <c r="B118" s="453">
        <v>0</v>
      </c>
      <c r="C118" s="454">
        <v>0</v>
      </c>
      <c r="D118" s="455">
        <v>0</v>
      </c>
      <c r="E118" s="456">
        <f t="shared" si="22"/>
        <v>0</v>
      </c>
      <c r="F118" s="207" t="s">
        <v>297</v>
      </c>
      <c r="G118" s="208">
        <v>0</v>
      </c>
      <c r="H118" s="209">
        <v>0</v>
      </c>
      <c r="I118" s="247">
        <v>0</v>
      </c>
      <c r="J118" s="210">
        <f t="shared" si="23"/>
        <v>0</v>
      </c>
    </row>
    <row r="119" spans="1:10" ht="15.75" thickBot="1" x14ac:dyDescent="0.3">
      <c r="A119" s="452" t="s">
        <v>72</v>
      </c>
      <c r="B119" s="453">
        <v>0</v>
      </c>
      <c r="C119" s="454">
        <v>0</v>
      </c>
      <c r="D119" s="455">
        <v>0</v>
      </c>
      <c r="E119" s="456">
        <f t="shared" si="22"/>
        <v>0</v>
      </c>
      <c r="F119" s="207" t="s">
        <v>387</v>
      </c>
      <c r="G119" s="208">
        <v>0</v>
      </c>
      <c r="H119" s="209">
        <v>0</v>
      </c>
      <c r="I119" s="247">
        <v>0</v>
      </c>
      <c r="J119" s="210">
        <f t="shared" si="23"/>
        <v>0</v>
      </c>
    </row>
    <row r="120" spans="1:10" ht="15.75" thickBot="1" x14ac:dyDescent="0.3">
      <c r="A120" s="452" t="s">
        <v>395</v>
      </c>
      <c r="B120" s="453">
        <v>0</v>
      </c>
      <c r="C120" s="454">
        <v>0</v>
      </c>
      <c r="D120" s="455">
        <v>0</v>
      </c>
      <c r="E120" s="456">
        <f t="shared" si="22"/>
        <v>0</v>
      </c>
      <c r="F120" s="207" t="s">
        <v>72</v>
      </c>
      <c r="G120" s="208">
        <v>0</v>
      </c>
      <c r="H120" s="209">
        <v>0</v>
      </c>
      <c r="I120" s="247">
        <v>0</v>
      </c>
      <c r="J120" s="210">
        <f t="shared" si="23"/>
        <v>0</v>
      </c>
    </row>
    <row r="121" spans="1:10" ht="15.75" thickBot="1" x14ac:dyDescent="0.3">
      <c r="A121" s="452" t="s">
        <v>72</v>
      </c>
      <c r="B121" s="453">
        <v>0</v>
      </c>
      <c r="C121" s="454">
        <v>0</v>
      </c>
      <c r="D121" s="455">
        <v>0</v>
      </c>
      <c r="E121" s="456">
        <f t="shared" si="22"/>
        <v>0</v>
      </c>
      <c r="F121" s="207" t="s">
        <v>72</v>
      </c>
      <c r="G121" s="208">
        <v>0</v>
      </c>
      <c r="H121" s="209">
        <v>0</v>
      </c>
      <c r="I121" s="247">
        <v>0</v>
      </c>
      <c r="J121" s="210">
        <f t="shared" si="23"/>
        <v>0</v>
      </c>
    </row>
    <row r="122" spans="1:10" ht="15.75" thickBot="1" x14ac:dyDescent="0.3">
      <c r="A122" s="452" t="s">
        <v>396</v>
      </c>
      <c r="B122" s="453">
        <v>0</v>
      </c>
      <c r="C122" s="454">
        <v>0</v>
      </c>
      <c r="D122" s="455">
        <v>0</v>
      </c>
      <c r="E122" s="456">
        <f t="shared" si="22"/>
        <v>0</v>
      </c>
      <c r="F122" s="207" t="s">
        <v>396</v>
      </c>
      <c r="G122" s="208">
        <v>0</v>
      </c>
      <c r="H122" s="209">
        <v>0</v>
      </c>
      <c r="I122" s="247">
        <v>0</v>
      </c>
      <c r="J122" s="210">
        <f t="shared" si="23"/>
        <v>0</v>
      </c>
    </row>
    <row r="123" spans="1:10" ht="15.75" thickBot="1" x14ac:dyDescent="0.3">
      <c r="A123" s="452" t="s">
        <v>72</v>
      </c>
      <c r="B123" s="453">
        <v>0</v>
      </c>
      <c r="C123" s="454">
        <v>0</v>
      </c>
      <c r="D123" s="455">
        <v>0</v>
      </c>
      <c r="E123" s="456">
        <f t="shared" si="22"/>
        <v>0</v>
      </c>
      <c r="F123" s="207" t="s">
        <v>72</v>
      </c>
      <c r="G123" s="208">
        <v>0</v>
      </c>
      <c r="H123" s="209">
        <v>0</v>
      </c>
      <c r="I123" s="247">
        <v>0</v>
      </c>
      <c r="J123" s="210">
        <f t="shared" si="23"/>
        <v>0</v>
      </c>
    </row>
    <row r="124" spans="1:10" ht="15.75" thickBot="1" x14ac:dyDescent="0.3">
      <c r="A124" s="452" t="s">
        <v>148</v>
      </c>
      <c r="B124" s="453">
        <v>0</v>
      </c>
      <c r="C124" s="454">
        <v>0</v>
      </c>
      <c r="D124" s="455">
        <v>0</v>
      </c>
      <c r="E124" s="456">
        <f t="shared" si="22"/>
        <v>0</v>
      </c>
      <c r="F124" s="207" t="s">
        <v>148</v>
      </c>
      <c r="G124" s="208">
        <v>0</v>
      </c>
      <c r="H124" s="209">
        <v>0</v>
      </c>
      <c r="I124" s="247">
        <v>0</v>
      </c>
      <c r="J124" s="210">
        <f t="shared" si="23"/>
        <v>0</v>
      </c>
    </row>
    <row r="125" spans="1:10" ht="15.75" thickBot="1" x14ac:dyDescent="0.3">
      <c r="A125" s="452" t="s">
        <v>3</v>
      </c>
      <c r="B125" s="453">
        <f>SUM(B66:B124)</f>
        <v>74</v>
      </c>
      <c r="C125" s="454">
        <f>SUM(C66:C124)</f>
        <v>40</v>
      </c>
      <c r="D125" s="455">
        <f>SUM(D66:D124)</f>
        <v>12</v>
      </c>
      <c r="E125" s="456">
        <f t="shared" ref="E125" si="24">SUM(B125:D125)</f>
        <v>126</v>
      </c>
      <c r="F125" s="207" t="s">
        <v>3</v>
      </c>
      <c r="G125" s="208">
        <f>SUM(G66:G124)</f>
        <v>585</v>
      </c>
      <c r="H125" s="209">
        <f>SUM(H66:H124)</f>
        <v>334</v>
      </c>
      <c r="I125" s="247">
        <f>SUM(I66:I124)</f>
        <v>95</v>
      </c>
      <c r="J125" s="210">
        <f t="shared" ref="J125" si="25">SUM(G125:I125)</f>
        <v>1014</v>
      </c>
    </row>
    <row r="126" spans="1:10" x14ac:dyDescent="0.25">
      <c r="A126" s="58" t="s">
        <v>130</v>
      </c>
    </row>
  </sheetData>
  <sortState xmlns:xlrd2="http://schemas.microsoft.com/office/spreadsheetml/2017/richdata2" ref="F66:J124">
    <sortCondition descending="1" ref="J66:J124"/>
  </sortState>
  <mergeCells count="25">
    <mergeCell ref="K28:Y28"/>
    <mergeCell ref="R21:T22"/>
    <mergeCell ref="U13:W14"/>
    <mergeCell ref="AF1:AH2"/>
    <mergeCell ref="A1:J1"/>
    <mergeCell ref="U21:W22"/>
    <mergeCell ref="K21:K22"/>
    <mergeCell ref="L21:N22"/>
    <mergeCell ref="R1:S2"/>
    <mergeCell ref="K13:K14"/>
    <mergeCell ref="K1:K2"/>
    <mergeCell ref="L1:N2"/>
    <mergeCell ref="O1:Q2"/>
    <mergeCell ref="L13:N14"/>
    <mergeCell ref="R13:T14"/>
    <mergeCell ref="O13:Q14"/>
    <mergeCell ref="O21:Q22"/>
    <mergeCell ref="AI14:AK15"/>
    <mergeCell ref="AI1:AK2"/>
    <mergeCell ref="AL1:AN2"/>
    <mergeCell ref="W1:Y2"/>
    <mergeCell ref="AF14:AH15"/>
    <mergeCell ref="T1:V2"/>
    <mergeCell ref="AC13:AE14"/>
    <mergeCell ref="AC21:AE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16"/>
  <sheetViews>
    <sheetView workbookViewId="0">
      <selection activeCell="K12" sqref="K12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4" width="5.42578125" customWidth="1"/>
    <col min="5" max="5" width="4.7109375" customWidth="1"/>
    <col min="6" max="6" width="16.42578125" customWidth="1"/>
    <col min="7" max="10" width="5.28515625" customWidth="1"/>
    <col min="11" max="11" width="12" bestFit="1" customWidth="1"/>
    <col min="12" max="18" width="5.42578125" customWidth="1"/>
    <col min="19" max="19" width="5.7109375" customWidth="1"/>
    <col min="20" max="31" width="5.42578125" customWidth="1"/>
    <col min="32" max="43" width="5.7109375" customWidth="1"/>
    <col min="46" max="46" width="14.140625" bestFit="1" customWidth="1"/>
    <col min="48" max="48" width="9.28515625" bestFit="1" customWidth="1"/>
  </cols>
  <sheetData>
    <row r="1" spans="1:49" ht="15" customHeight="1" thickBot="1" x14ac:dyDescent="0.3">
      <c r="A1" s="120" t="s">
        <v>906</v>
      </c>
      <c r="B1" s="88"/>
      <c r="C1" s="88"/>
      <c r="D1" s="88"/>
      <c r="E1" s="88"/>
      <c r="F1" s="88"/>
      <c r="G1" s="88"/>
      <c r="H1" s="88"/>
      <c r="I1" s="88"/>
      <c r="J1" s="89"/>
      <c r="K1" s="513" t="s">
        <v>1028</v>
      </c>
      <c r="L1" s="500" t="s">
        <v>174</v>
      </c>
      <c r="M1" s="501"/>
      <c r="N1" s="502"/>
      <c r="O1" s="500" t="s">
        <v>151</v>
      </c>
      <c r="P1" s="501"/>
      <c r="Q1" s="502"/>
      <c r="R1" s="500" t="s">
        <v>1027</v>
      </c>
      <c r="S1" s="502"/>
      <c r="T1" s="515" t="s">
        <v>177</v>
      </c>
      <c r="U1" s="516"/>
      <c r="V1" s="517"/>
      <c r="W1" s="515" t="s">
        <v>915</v>
      </c>
      <c r="X1" s="516"/>
      <c r="Y1" s="517"/>
      <c r="Z1" s="309"/>
      <c r="AA1" s="323"/>
      <c r="AB1" s="340"/>
      <c r="AC1" s="515" t="s">
        <v>303</v>
      </c>
      <c r="AD1" s="516"/>
      <c r="AE1" s="517"/>
      <c r="AF1" s="515" t="s">
        <v>205</v>
      </c>
      <c r="AG1" s="516"/>
      <c r="AH1" s="517"/>
      <c r="AI1" s="515" t="s">
        <v>186</v>
      </c>
      <c r="AJ1" s="516"/>
      <c r="AK1" s="517"/>
      <c r="AL1" s="515" t="s">
        <v>140</v>
      </c>
      <c r="AM1" s="516"/>
      <c r="AN1" s="517"/>
      <c r="AO1" s="515" t="s">
        <v>156</v>
      </c>
      <c r="AP1" s="516"/>
      <c r="AQ1" s="517"/>
      <c r="AR1" s="5"/>
      <c r="AS1" s="5"/>
      <c r="AT1" s="5"/>
      <c r="AW1" s="5"/>
    </row>
    <row r="2" spans="1:49" ht="15" customHeight="1" thickBot="1" x14ac:dyDescent="0.3">
      <c r="A2" s="152" t="s">
        <v>0</v>
      </c>
      <c r="B2" s="169" t="s">
        <v>305</v>
      </c>
      <c r="C2" s="153" t="s">
        <v>99</v>
      </c>
      <c r="D2" s="244" t="s">
        <v>306</v>
      </c>
      <c r="E2" s="154" t="s">
        <v>1</v>
      </c>
      <c r="F2" s="271" t="s">
        <v>2</v>
      </c>
      <c r="G2" s="160" t="s">
        <v>305</v>
      </c>
      <c r="H2" s="259" t="s">
        <v>99</v>
      </c>
      <c r="I2" s="260" t="s">
        <v>306</v>
      </c>
      <c r="J2" s="161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518"/>
      <c r="U2" s="519"/>
      <c r="V2" s="520"/>
      <c r="W2" s="518"/>
      <c r="X2" s="519"/>
      <c r="Y2" s="520"/>
      <c r="Z2" s="309"/>
      <c r="AA2" s="323"/>
      <c r="AB2" s="340"/>
      <c r="AC2" s="518"/>
      <c r="AD2" s="519"/>
      <c r="AE2" s="520"/>
      <c r="AF2" s="518"/>
      <c r="AG2" s="519"/>
      <c r="AH2" s="520"/>
      <c r="AI2" s="518"/>
      <c r="AJ2" s="519"/>
      <c r="AK2" s="520"/>
      <c r="AL2" s="518"/>
      <c r="AM2" s="519"/>
      <c r="AN2" s="520"/>
      <c r="AO2" s="518"/>
      <c r="AP2" s="519"/>
      <c r="AQ2" s="520"/>
      <c r="AR2" s="5"/>
      <c r="AS2" s="5"/>
      <c r="AT2" s="5"/>
      <c r="AU2" s="5"/>
      <c r="AV2" s="5"/>
    </row>
    <row r="3" spans="1:49" ht="15" customHeight="1" thickBot="1" x14ac:dyDescent="0.3">
      <c r="A3" s="49" t="s">
        <v>79</v>
      </c>
      <c r="B3" s="104">
        <v>2</v>
      </c>
      <c r="C3" s="47">
        <v>0</v>
      </c>
      <c r="D3" s="245">
        <v>0</v>
      </c>
      <c r="E3" s="6">
        <f>SUM(B3:D3)</f>
        <v>2</v>
      </c>
      <c r="F3" s="272" t="s">
        <v>79</v>
      </c>
      <c r="G3" s="105">
        <v>10</v>
      </c>
      <c r="H3" s="255">
        <v>0</v>
      </c>
      <c r="I3" s="256">
        <v>0</v>
      </c>
      <c r="J3" s="86">
        <f>SUM(G3:I3)</f>
        <v>10</v>
      </c>
      <c r="K3" s="35" t="s">
        <v>72</v>
      </c>
      <c r="L3" s="4" t="s">
        <v>176</v>
      </c>
      <c r="M3" s="4" t="s">
        <v>36</v>
      </c>
      <c r="N3" s="4" t="s">
        <v>37</v>
      </c>
      <c r="O3" s="4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127"/>
      <c r="AB3" s="341"/>
      <c r="AC3" s="283" t="s">
        <v>176</v>
      </c>
      <c r="AD3" s="8" t="s">
        <v>36</v>
      </c>
      <c r="AE3" s="8" t="s">
        <v>37</v>
      </c>
      <c r="AF3" s="7" t="s">
        <v>176</v>
      </c>
      <c r="AG3" s="8" t="s">
        <v>36</v>
      </c>
      <c r="AH3" s="8" t="s">
        <v>37</v>
      </c>
      <c r="AI3" s="8" t="s">
        <v>176</v>
      </c>
      <c r="AJ3" s="8" t="s">
        <v>36</v>
      </c>
      <c r="AK3" s="8" t="s">
        <v>37</v>
      </c>
      <c r="AL3" s="8" t="s">
        <v>176</v>
      </c>
      <c r="AM3" s="8" t="s">
        <v>36</v>
      </c>
      <c r="AN3" s="8" t="s">
        <v>37</v>
      </c>
      <c r="AO3" s="8" t="s">
        <v>176</v>
      </c>
      <c r="AP3" s="8" t="s">
        <v>36</v>
      </c>
      <c r="AQ3" s="8" t="s">
        <v>37</v>
      </c>
    </row>
    <row r="4" spans="1:49" ht="15" customHeight="1" thickBot="1" x14ac:dyDescent="0.3">
      <c r="A4" s="49" t="s">
        <v>142</v>
      </c>
      <c r="B4" s="104">
        <v>0</v>
      </c>
      <c r="C4" s="47">
        <v>0</v>
      </c>
      <c r="D4" s="245">
        <v>0</v>
      </c>
      <c r="E4" s="6">
        <f t="shared" ref="E4:E56" si="0">SUM(B4:D4)</f>
        <v>0</v>
      </c>
      <c r="F4" s="272" t="s">
        <v>142</v>
      </c>
      <c r="G4" s="105">
        <v>0</v>
      </c>
      <c r="H4" s="255">
        <v>0</v>
      </c>
      <c r="I4" s="256">
        <v>0</v>
      </c>
      <c r="J4" s="86">
        <f>SUM(G4:I4)</f>
        <v>0</v>
      </c>
      <c r="K4" s="180" t="s">
        <v>1223</v>
      </c>
      <c r="L4" s="47">
        <v>0</v>
      </c>
      <c r="M4" s="47">
        <v>2</v>
      </c>
      <c r="N4" s="47">
        <f t="shared" ref="N4" si="1">SUM(L4/M4)*100</f>
        <v>0</v>
      </c>
      <c r="O4" s="121" t="s">
        <v>43</v>
      </c>
      <c r="P4" s="121" t="s">
        <v>43</v>
      </c>
      <c r="Q4" s="122" t="s">
        <v>43</v>
      </c>
      <c r="R4" s="47">
        <v>-2</v>
      </c>
      <c r="S4" s="47">
        <v>-2</v>
      </c>
      <c r="T4" s="8" t="s">
        <v>43</v>
      </c>
      <c r="U4" s="8" t="s">
        <v>43</v>
      </c>
      <c r="V4" s="8" t="s">
        <v>43</v>
      </c>
      <c r="W4" s="283" t="s">
        <v>43</v>
      </c>
      <c r="X4" s="8" t="s">
        <v>43</v>
      </c>
      <c r="Y4" s="8" t="s">
        <v>43</v>
      </c>
      <c r="Z4" s="126"/>
      <c r="AA4" s="127"/>
      <c r="AB4" s="341"/>
      <c r="AC4" s="283" t="s">
        <v>43</v>
      </c>
      <c r="AD4" s="8" t="s">
        <v>43</v>
      </c>
      <c r="AE4" s="8" t="s">
        <v>43</v>
      </c>
      <c r="AF4" s="283" t="s">
        <v>43</v>
      </c>
      <c r="AG4" s="8" t="s">
        <v>43</v>
      </c>
      <c r="AH4" s="8" t="s">
        <v>43</v>
      </c>
      <c r="AI4" s="8" t="s">
        <v>43</v>
      </c>
      <c r="AJ4" s="8" t="s">
        <v>43</v>
      </c>
      <c r="AK4" s="8" t="s">
        <v>43</v>
      </c>
      <c r="AL4" s="8" t="s">
        <v>43</v>
      </c>
      <c r="AM4" s="8" t="s">
        <v>43</v>
      </c>
      <c r="AN4" s="8" t="s">
        <v>43</v>
      </c>
      <c r="AO4" s="8" t="s">
        <v>43</v>
      </c>
      <c r="AP4" s="8" t="s">
        <v>43</v>
      </c>
      <c r="AQ4" s="8" t="s">
        <v>43</v>
      </c>
      <c r="AR4" s="5"/>
      <c r="AS4" s="5"/>
      <c r="AT4" s="5"/>
      <c r="AU4" s="5"/>
      <c r="AV4" s="5"/>
    </row>
    <row r="5" spans="1:49" ht="15" customHeight="1" thickBot="1" x14ac:dyDescent="0.3">
      <c r="A5" s="49" t="s">
        <v>137</v>
      </c>
      <c r="B5" s="104">
        <v>0</v>
      </c>
      <c r="C5" s="47">
        <v>0</v>
      </c>
      <c r="D5" s="245">
        <v>0</v>
      </c>
      <c r="E5" s="6">
        <f t="shared" si="0"/>
        <v>0</v>
      </c>
      <c r="F5" s="272" t="s">
        <v>137</v>
      </c>
      <c r="G5" s="105">
        <v>0</v>
      </c>
      <c r="H5" s="255">
        <v>0</v>
      </c>
      <c r="I5" s="256">
        <v>0</v>
      </c>
      <c r="J5" s="86">
        <f t="shared" ref="J5:J56" si="2">SUM(G5:I5)</f>
        <v>0</v>
      </c>
      <c r="K5" s="180" t="s">
        <v>1064</v>
      </c>
      <c r="L5" s="47" t="s">
        <v>43</v>
      </c>
      <c r="M5" s="47" t="s">
        <v>43</v>
      </c>
      <c r="N5" s="47" t="s">
        <v>43</v>
      </c>
      <c r="O5" s="121" t="s">
        <v>43</v>
      </c>
      <c r="P5" s="121" t="s">
        <v>43</v>
      </c>
      <c r="Q5" s="122" t="s">
        <v>43</v>
      </c>
      <c r="R5" s="47" t="s">
        <v>53</v>
      </c>
      <c r="S5" s="47">
        <v>-2</v>
      </c>
      <c r="T5" s="8">
        <v>4</v>
      </c>
      <c r="U5" s="8">
        <v>4</v>
      </c>
      <c r="V5" s="8">
        <v>100</v>
      </c>
      <c r="W5" s="283" t="s">
        <v>43</v>
      </c>
      <c r="X5" s="8" t="s">
        <v>43</v>
      </c>
      <c r="Y5" s="8" t="s">
        <v>43</v>
      </c>
      <c r="Z5" s="364"/>
      <c r="AA5" s="365"/>
      <c r="AB5" s="366"/>
      <c r="AC5" s="283">
        <v>5</v>
      </c>
      <c r="AD5" s="8">
        <v>7</v>
      </c>
      <c r="AE5" s="294">
        <v>71.428571428571431</v>
      </c>
      <c r="AF5" s="283">
        <v>1</v>
      </c>
      <c r="AG5" s="8">
        <v>1</v>
      </c>
      <c r="AH5" s="8">
        <v>100</v>
      </c>
      <c r="AI5" s="8">
        <v>3</v>
      </c>
      <c r="AJ5" s="8">
        <v>5</v>
      </c>
      <c r="AK5" s="8">
        <v>60</v>
      </c>
      <c r="AL5" s="8" t="s">
        <v>43</v>
      </c>
      <c r="AM5" s="8" t="s">
        <v>43</v>
      </c>
      <c r="AN5" s="8" t="s">
        <v>43</v>
      </c>
      <c r="AO5" s="8" t="s">
        <v>43</v>
      </c>
      <c r="AP5" s="8" t="s">
        <v>43</v>
      </c>
      <c r="AQ5" s="8" t="s">
        <v>43</v>
      </c>
      <c r="AR5" s="5"/>
      <c r="AS5" s="5"/>
      <c r="AT5" s="5"/>
      <c r="AU5" s="5"/>
      <c r="AV5" s="5"/>
    </row>
    <row r="6" spans="1:49" ht="15" customHeight="1" thickBot="1" x14ac:dyDescent="0.3">
      <c r="A6" s="49" t="s">
        <v>859</v>
      </c>
      <c r="B6" s="104">
        <v>0</v>
      </c>
      <c r="C6" s="47">
        <v>0</v>
      </c>
      <c r="D6" s="245">
        <v>0</v>
      </c>
      <c r="E6" s="6">
        <f t="shared" si="0"/>
        <v>0</v>
      </c>
      <c r="F6" s="272" t="s">
        <v>859</v>
      </c>
      <c r="G6" s="105">
        <v>0</v>
      </c>
      <c r="H6" s="255">
        <v>0</v>
      </c>
      <c r="I6" s="256">
        <v>0</v>
      </c>
      <c r="J6" s="86">
        <f t="shared" si="2"/>
        <v>0</v>
      </c>
      <c r="K6" s="180" t="s">
        <v>1123</v>
      </c>
      <c r="L6" s="47" t="s">
        <v>43</v>
      </c>
      <c r="M6" s="47" t="s">
        <v>43</v>
      </c>
      <c r="N6" s="47" t="s">
        <v>43</v>
      </c>
      <c r="O6" s="121" t="s">
        <v>43</v>
      </c>
      <c r="P6" s="121" t="s">
        <v>43</v>
      </c>
      <c r="Q6" s="122" t="s">
        <v>43</v>
      </c>
      <c r="R6" s="47" t="s">
        <v>53</v>
      </c>
      <c r="S6" s="47">
        <v>-2</v>
      </c>
      <c r="T6" s="8" t="s">
        <v>43</v>
      </c>
      <c r="U6" s="8" t="s">
        <v>43</v>
      </c>
      <c r="V6" s="8" t="s">
        <v>43</v>
      </c>
      <c r="W6" s="283" t="s">
        <v>43</v>
      </c>
      <c r="X6" s="8" t="s">
        <v>43</v>
      </c>
      <c r="Y6" s="8" t="s">
        <v>43</v>
      </c>
      <c r="Z6" s="126"/>
      <c r="AA6" s="127"/>
      <c r="AB6" s="341"/>
      <c r="AC6" s="283" t="s">
        <v>43</v>
      </c>
      <c r="AD6" s="8" t="s">
        <v>43</v>
      </c>
      <c r="AE6" s="8" t="s">
        <v>43</v>
      </c>
      <c r="AF6" s="283" t="s">
        <v>43</v>
      </c>
      <c r="AG6" s="8" t="s">
        <v>43</v>
      </c>
      <c r="AH6" s="8" t="s">
        <v>43</v>
      </c>
      <c r="AI6" s="8" t="s">
        <v>43</v>
      </c>
      <c r="AJ6" s="8" t="s">
        <v>43</v>
      </c>
      <c r="AK6" s="8" t="s">
        <v>43</v>
      </c>
      <c r="AL6" s="8" t="s">
        <v>43</v>
      </c>
      <c r="AM6" s="8" t="s">
        <v>43</v>
      </c>
      <c r="AN6" s="8" t="s">
        <v>43</v>
      </c>
      <c r="AO6" s="8" t="s">
        <v>43</v>
      </c>
      <c r="AP6" s="8" t="s">
        <v>43</v>
      </c>
      <c r="AQ6" s="8" t="s">
        <v>43</v>
      </c>
      <c r="AR6" s="5"/>
      <c r="AS6" s="5"/>
      <c r="AT6" s="5"/>
      <c r="AU6" s="5"/>
      <c r="AV6" s="5"/>
    </row>
    <row r="7" spans="1:49" ht="15" customHeight="1" thickBot="1" x14ac:dyDescent="0.3">
      <c r="A7" s="49" t="s">
        <v>1220</v>
      </c>
      <c r="B7" s="104">
        <v>1</v>
      </c>
      <c r="C7" s="47">
        <v>0</v>
      </c>
      <c r="D7" s="245">
        <v>0</v>
      </c>
      <c r="E7" s="6">
        <f t="shared" si="0"/>
        <v>1</v>
      </c>
      <c r="F7" s="272" t="s">
        <v>1220</v>
      </c>
      <c r="G7" s="105">
        <v>5</v>
      </c>
      <c r="H7" s="255">
        <v>0</v>
      </c>
      <c r="I7" s="256">
        <v>0</v>
      </c>
      <c r="J7" s="86">
        <f t="shared" si="2"/>
        <v>5</v>
      </c>
      <c r="K7" s="17" t="s">
        <v>13</v>
      </c>
      <c r="L7" s="121">
        <v>36</v>
      </c>
      <c r="M7" s="121">
        <v>39</v>
      </c>
      <c r="N7" s="122">
        <f t="shared" ref="N7" si="3">SUM(L7/M7)*100</f>
        <v>92.307692307692307</v>
      </c>
      <c r="O7" s="121" t="s">
        <v>43</v>
      </c>
      <c r="P7" s="121" t="s">
        <v>43</v>
      </c>
      <c r="Q7" s="122" t="s">
        <v>43</v>
      </c>
      <c r="R7" s="121">
        <v>-1</v>
      </c>
      <c r="S7" s="121">
        <v>1</v>
      </c>
      <c r="T7" s="8">
        <v>53</v>
      </c>
      <c r="U7" s="8">
        <v>60</v>
      </c>
      <c r="V7" s="294">
        <f t="shared" ref="V7" si="4">SUM(T7/U7)*100</f>
        <v>88.333333333333329</v>
      </c>
      <c r="W7" s="283">
        <v>67</v>
      </c>
      <c r="X7" s="8">
        <v>77</v>
      </c>
      <c r="Y7" s="294">
        <f t="shared" ref="Y7:Y9" si="5">SUM(W7/X7)*100</f>
        <v>87.012987012987011</v>
      </c>
      <c r="Z7" s="126"/>
      <c r="AA7" s="127"/>
      <c r="AB7" s="341"/>
      <c r="AC7" s="283">
        <v>77</v>
      </c>
      <c r="AD7" s="8">
        <v>91</v>
      </c>
      <c r="AE7" s="294">
        <f>SUM(AC7/AD7)*100</f>
        <v>84.615384615384613</v>
      </c>
      <c r="AF7" s="283">
        <v>97</v>
      </c>
      <c r="AG7" s="8">
        <v>128</v>
      </c>
      <c r="AH7" s="294">
        <f>SUM(AF7/AG7)*100</f>
        <v>75.78125</v>
      </c>
      <c r="AI7" s="8">
        <v>78</v>
      </c>
      <c r="AJ7" s="8">
        <v>93</v>
      </c>
      <c r="AK7" s="294">
        <f>SUM(AI7/AJ7)*100</f>
        <v>83.870967741935488</v>
      </c>
      <c r="AL7" s="8">
        <v>70</v>
      </c>
      <c r="AM7" s="8">
        <v>87</v>
      </c>
      <c r="AN7" s="294">
        <f>SUM(AL7/AM7)*100</f>
        <v>80.459770114942529</v>
      </c>
      <c r="AO7" s="8">
        <v>89</v>
      </c>
      <c r="AP7" s="8">
        <v>111</v>
      </c>
      <c r="AQ7" s="8">
        <v>80</v>
      </c>
      <c r="AR7" s="5"/>
      <c r="AS7" s="5"/>
      <c r="AT7" s="5"/>
      <c r="AU7" s="5"/>
      <c r="AV7" s="5"/>
    </row>
    <row r="8" spans="1:49" ht="15" customHeight="1" thickBot="1" x14ac:dyDescent="0.3">
      <c r="A8" s="49" t="s">
        <v>104</v>
      </c>
      <c r="B8" s="104">
        <v>6</v>
      </c>
      <c r="C8" s="47">
        <v>3</v>
      </c>
      <c r="D8" s="245">
        <v>0</v>
      </c>
      <c r="E8" s="6">
        <f t="shared" si="0"/>
        <v>9</v>
      </c>
      <c r="F8" s="272" t="s">
        <v>104</v>
      </c>
      <c r="G8" s="105">
        <v>30</v>
      </c>
      <c r="H8" s="255">
        <v>15</v>
      </c>
      <c r="I8" s="256">
        <v>0</v>
      </c>
      <c r="J8" s="86">
        <f t="shared" si="2"/>
        <v>45</v>
      </c>
      <c r="K8" s="17" t="s">
        <v>47</v>
      </c>
      <c r="L8" s="121" t="s">
        <v>43</v>
      </c>
      <c r="M8" s="121" t="s">
        <v>43</v>
      </c>
      <c r="N8" s="121" t="s">
        <v>43</v>
      </c>
      <c r="O8" s="121" t="s">
        <v>43</v>
      </c>
      <c r="P8" s="121" t="s">
        <v>43</v>
      </c>
      <c r="Q8" s="122" t="s">
        <v>43</v>
      </c>
      <c r="R8" s="121">
        <v>-3</v>
      </c>
      <c r="S8" s="121">
        <v>-3</v>
      </c>
      <c r="T8" s="8" t="s">
        <v>43</v>
      </c>
      <c r="U8" s="8" t="s">
        <v>43</v>
      </c>
      <c r="V8" s="8" t="s">
        <v>43</v>
      </c>
      <c r="W8" s="283">
        <v>2</v>
      </c>
      <c r="X8" s="8">
        <v>7</v>
      </c>
      <c r="Y8" s="294">
        <f t="shared" si="5"/>
        <v>28.571428571428569</v>
      </c>
      <c r="Z8" s="126"/>
      <c r="AA8" s="127"/>
      <c r="AB8" s="341"/>
      <c r="AC8" s="283">
        <v>27</v>
      </c>
      <c r="AD8" s="8">
        <v>36</v>
      </c>
      <c r="AE8" s="294">
        <f>SUM(AC8/AD8)*100</f>
        <v>75</v>
      </c>
      <c r="AF8" s="283">
        <v>3</v>
      </c>
      <c r="AG8" s="8">
        <v>6</v>
      </c>
      <c r="AH8" s="294">
        <f>SUM(AF8/AG8)*100</f>
        <v>50</v>
      </c>
      <c r="AI8" s="8">
        <v>44</v>
      </c>
      <c r="AJ8" s="8">
        <v>56</v>
      </c>
      <c r="AK8" s="294">
        <f>SUM(AI8/AJ8)*100</f>
        <v>78.571428571428569</v>
      </c>
      <c r="AL8" s="8">
        <v>14</v>
      </c>
      <c r="AM8" s="8">
        <v>22</v>
      </c>
      <c r="AN8" s="294">
        <f>SUM(AL8/AM8)*100</f>
        <v>63.636363636363633</v>
      </c>
      <c r="AO8" s="8">
        <v>1</v>
      </c>
      <c r="AP8" s="8">
        <v>1</v>
      </c>
      <c r="AQ8" s="8">
        <v>100</v>
      </c>
      <c r="AR8" s="5"/>
      <c r="AS8" s="5"/>
      <c r="AT8" s="5"/>
      <c r="AU8" s="5"/>
      <c r="AV8" s="5"/>
    </row>
    <row r="9" spans="1:49" ht="15" customHeight="1" thickBot="1" x14ac:dyDescent="0.3">
      <c r="A9" s="49" t="s">
        <v>407</v>
      </c>
      <c r="B9" s="104">
        <v>0</v>
      </c>
      <c r="C9" s="47">
        <v>0</v>
      </c>
      <c r="D9" s="245">
        <v>0</v>
      </c>
      <c r="E9" s="6">
        <f t="shared" si="0"/>
        <v>0</v>
      </c>
      <c r="F9" s="272" t="s">
        <v>407</v>
      </c>
      <c r="G9" s="105">
        <v>0</v>
      </c>
      <c r="H9" s="255">
        <v>0</v>
      </c>
      <c r="I9" s="256">
        <v>0</v>
      </c>
      <c r="J9" s="86">
        <f t="shared" si="2"/>
        <v>0</v>
      </c>
      <c r="K9" s="123" t="s">
        <v>1150</v>
      </c>
      <c r="L9" s="121">
        <v>64</v>
      </c>
      <c r="M9" s="121">
        <v>71</v>
      </c>
      <c r="N9" s="122">
        <f>(simmondsexegoals/simmondsexeatt)*100</f>
        <v>90.140845070422543</v>
      </c>
      <c r="O9" s="121">
        <v>5</v>
      </c>
      <c r="P9" s="121">
        <v>5</v>
      </c>
      <c r="Q9" s="122">
        <f t="shared" ref="Q9" si="6">SUM(O9/P9)*100</f>
        <v>100</v>
      </c>
      <c r="R9" s="121">
        <v>19</v>
      </c>
      <c r="S9" s="121">
        <v>33</v>
      </c>
      <c r="T9" s="8">
        <v>40</v>
      </c>
      <c r="U9" s="8">
        <v>48</v>
      </c>
      <c r="V9" s="294">
        <f t="shared" ref="V9" si="7">SUM(T9/U9)*100</f>
        <v>83.333333333333343</v>
      </c>
      <c r="W9" s="283">
        <v>32</v>
      </c>
      <c r="X9" s="8">
        <v>38</v>
      </c>
      <c r="Y9" s="294">
        <f t="shared" si="5"/>
        <v>84.210526315789465</v>
      </c>
      <c r="Z9" s="126"/>
      <c r="AA9" s="127"/>
      <c r="AB9" s="341"/>
      <c r="AC9" s="7">
        <v>7</v>
      </c>
      <c r="AD9" s="7">
        <v>8</v>
      </c>
      <c r="AE9" s="294">
        <f>SUM(AC9/AD9)*100</f>
        <v>87.5</v>
      </c>
      <c r="AF9" s="283" t="s">
        <v>43</v>
      </c>
      <c r="AG9" s="8" t="s">
        <v>43</v>
      </c>
      <c r="AH9" s="8" t="s">
        <v>43</v>
      </c>
      <c r="AI9" s="8" t="s">
        <v>43</v>
      </c>
      <c r="AJ9" s="8" t="s">
        <v>43</v>
      </c>
      <c r="AK9" s="8" t="s">
        <v>43</v>
      </c>
      <c r="AL9" s="8" t="s">
        <v>43</v>
      </c>
      <c r="AM9" s="8" t="s">
        <v>43</v>
      </c>
      <c r="AN9" s="8" t="s">
        <v>43</v>
      </c>
      <c r="AO9" s="8" t="s">
        <v>43</v>
      </c>
      <c r="AP9" s="8" t="s">
        <v>43</v>
      </c>
      <c r="AQ9" s="8" t="s">
        <v>43</v>
      </c>
    </row>
    <row r="10" spans="1:49" ht="15" customHeight="1" thickBot="1" x14ac:dyDescent="0.3">
      <c r="A10" s="49" t="s">
        <v>72</v>
      </c>
      <c r="B10" s="104">
        <v>0</v>
      </c>
      <c r="C10" s="47">
        <v>0</v>
      </c>
      <c r="D10" s="245">
        <v>0</v>
      </c>
      <c r="E10" s="6">
        <f t="shared" si="0"/>
        <v>0</v>
      </c>
      <c r="F10" s="272" t="s">
        <v>72</v>
      </c>
      <c r="G10" s="105">
        <v>0</v>
      </c>
      <c r="H10" s="255">
        <v>0</v>
      </c>
      <c r="I10" s="256">
        <v>0</v>
      </c>
      <c r="J10" s="86">
        <f t="shared" si="2"/>
        <v>0</v>
      </c>
      <c r="K10" s="123" t="s">
        <v>849</v>
      </c>
      <c r="L10" s="121">
        <v>3</v>
      </c>
      <c r="M10" s="121">
        <v>5</v>
      </c>
      <c r="N10" s="121">
        <f t="shared" ref="N10" si="8">SUM(L10/M10)*100</f>
        <v>60</v>
      </c>
      <c r="O10" s="121" t="s">
        <v>43</v>
      </c>
      <c r="P10" s="121" t="s">
        <v>43</v>
      </c>
      <c r="Q10" s="122" t="s">
        <v>43</v>
      </c>
      <c r="R10" s="121">
        <v>-1</v>
      </c>
      <c r="S10" s="121">
        <v>-1</v>
      </c>
      <c r="T10" s="8" t="s">
        <v>43</v>
      </c>
      <c r="U10" s="8" t="s">
        <v>43</v>
      </c>
      <c r="V10" s="8" t="s">
        <v>43</v>
      </c>
      <c r="W10" s="283" t="s">
        <v>43</v>
      </c>
      <c r="X10" s="8" t="s">
        <v>43</v>
      </c>
      <c r="Y10" s="8" t="s">
        <v>43</v>
      </c>
      <c r="Z10" s="126"/>
      <c r="AA10" s="127"/>
      <c r="AB10" s="341"/>
      <c r="AC10" s="283" t="s">
        <v>43</v>
      </c>
      <c r="AD10" s="8" t="s">
        <v>43</v>
      </c>
      <c r="AE10" s="8" t="s">
        <v>43</v>
      </c>
      <c r="AF10" s="283" t="s">
        <v>43</v>
      </c>
      <c r="AG10" s="8" t="s">
        <v>43</v>
      </c>
      <c r="AH10" s="8" t="s">
        <v>43</v>
      </c>
      <c r="AI10" s="8" t="s">
        <v>43</v>
      </c>
      <c r="AJ10" s="8" t="s">
        <v>43</v>
      </c>
      <c r="AK10" s="8" t="s">
        <v>43</v>
      </c>
      <c r="AL10" s="8" t="s">
        <v>43</v>
      </c>
      <c r="AM10" s="8" t="s">
        <v>43</v>
      </c>
      <c r="AN10" s="8" t="s">
        <v>43</v>
      </c>
      <c r="AO10" s="8" t="s">
        <v>43</v>
      </c>
      <c r="AP10" s="8" t="s">
        <v>43</v>
      </c>
      <c r="AQ10" s="8" t="s">
        <v>43</v>
      </c>
      <c r="AR10" s="5"/>
      <c r="AS10" s="5"/>
      <c r="AT10" s="5"/>
      <c r="AU10" s="5"/>
      <c r="AV10" s="5"/>
    </row>
    <row r="11" spans="1:49" ht="15" customHeight="1" thickBot="1" x14ac:dyDescent="0.3">
      <c r="A11" s="49" t="s">
        <v>191</v>
      </c>
      <c r="B11" s="104">
        <v>2</v>
      </c>
      <c r="C11" s="47">
        <v>1</v>
      </c>
      <c r="D11" s="245">
        <v>1</v>
      </c>
      <c r="E11" s="6">
        <f t="shared" si="0"/>
        <v>4</v>
      </c>
      <c r="F11" s="272" t="s">
        <v>191</v>
      </c>
      <c r="G11" s="105">
        <v>10</v>
      </c>
      <c r="H11" s="255">
        <v>5</v>
      </c>
      <c r="I11" s="256">
        <v>5</v>
      </c>
      <c r="J11" s="86">
        <f t="shared" si="2"/>
        <v>20</v>
      </c>
      <c r="K11" s="124" t="s">
        <v>57</v>
      </c>
      <c r="L11" s="121" t="s">
        <v>43</v>
      </c>
      <c r="M11" s="121" t="s">
        <v>43</v>
      </c>
      <c r="N11" s="121" t="s">
        <v>43</v>
      </c>
      <c r="O11" s="121" t="s">
        <v>43</v>
      </c>
      <c r="P11" s="121" t="s">
        <v>43</v>
      </c>
      <c r="Q11" s="122" t="s">
        <v>43</v>
      </c>
      <c r="R11" s="121">
        <v>1</v>
      </c>
      <c r="S11" s="121" t="s">
        <v>43</v>
      </c>
      <c r="T11" s="8" t="s">
        <v>43</v>
      </c>
      <c r="U11" s="8" t="s">
        <v>43</v>
      </c>
      <c r="V11" s="8" t="s">
        <v>43</v>
      </c>
      <c r="W11" s="283" t="s">
        <v>43</v>
      </c>
      <c r="X11" s="8" t="s">
        <v>43</v>
      </c>
      <c r="Y11" s="8" t="s">
        <v>43</v>
      </c>
      <c r="Z11" s="126"/>
      <c r="AA11" s="127"/>
      <c r="AB11" s="341"/>
      <c r="AC11" s="283" t="s">
        <v>43</v>
      </c>
      <c r="AD11" s="8" t="s">
        <v>43</v>
      </c>
      <c r="AE11" s="8" t="s">
        <v>43</v>
      </c>
      <c r="AF11" s="283" t="s">
        <v>43</v>
      </c>
      <c r="AG11" s="8" t="s">
        <v>43</v>
      </c>
      <c r="AH11" s="8" t="s">
        <v>43</v>
      </c>
      <c r="AI11" s="8" t="s">
        <v>43</v>
      </c>
      <c r="AJ11" s="8" t="s">
        <v>43</v>
      </c>
      <c r="AK11" s="8" t="s">
        <v>43</v>
      </c>
      <c r="AL11" s="313">
        <v>1</v>
      </c>
      <c r="AM11" s="313">
        <v>1</v>
      </c>
      <c r="AN11" s="303">
        <f>SUM(AL11/AM11)*100</f>
        <v>100</v>
      </c>
      <c r="AO11" s="7" t="s">
        <v>43</v>
      </c>
      <c r="AP11" s="7" t="s">
        <v>43</v>
      </c>
      <c r="AQ11" s="7" t="s">
        <v>43</v>
      </c>
    </row>
    <row r="12" spans="1:49" ht="15" customHeight="1" thickBot="1" x14ac:dyDescent="0.3">
      <c r="A12" s="49" t="s">
        <v>192</v>
      </c>
      <c r="B12" s="104">
        <v>3</v>
      </c>
      <c r="C12" s="47">
        <v>0</v>
      </c>
      <c r="D12" s="245">
        <v>0</v>
      </c>
      <c r="E12" s="6">
        <f t="shared" si="0"/>
        <v>3</v>
      </c>
      <c r="F12" s="272" t="s">
        <v>192</v>
      </c>
      <c r="G12" s="105">
        <v>15</v>
      </c>
      <c r="H12" s="255">
        <v>0</v>
      </c>
      <c r="I12" s="256">
        <v>0</v>
      </c>
      <c r="J12" s="86">
        <f t="shared" si="2"/>
        <v>15</v>
      </c>
      <c r="K12" s="75" t="s">
        <v>1261</v>
      </c>
      <c r="AR12" s="5"/>
      <c r="AS12" s="5"/>
      <c r="AT12" s="5"/>
      <c r="AU12" s="5"/>
      <c r="AV12" s="5"/>
    </row>
    <row r="13" spans="1:49" ht="15" customHeight="1" thickBot="1" x14ac:dyDescent="0.3">
      <c r="A13" s="49" t="s">
        <v>57</v>
      </c>
      <c r="B13" s="104">
        <v>3</v>
      </c>
      <c r="C13" s="47">
        <v>0</v>
      </c>
      <c r="D13" s="245">
        <v>0</v>
      </c>
      <c r="E13" s="6">
        <f t="shared" si="0"/>
        <v>3</v>
      </c>
      <c r="F13" s="272" t="s">
        <v>57</v>
      </c>
      <c r="G13" s="105">
        <v>15</v>
      </c>
      <c r="H13" s="255">
        <v>0</v>
      </c>
      <c r="I13" s="256">
        <v>0</v>
      </c>
      <c r="J13" s="86">
        <f t="shared" si="2"/>
        <v>15</v>
      </c>
      <c r="K13" s="511" t="s">
        <v>1029</v>
      </c>
      <c r="L13" s="500" t="s">
        <v>42</v>
      </c>
      <c r="M13" s="501"/>
      <c r="N13" s="502"/>
      <c r="O13" s="515" t="s">
        <v>177</v>
      </c>
      <c r="P13" s="516"/>
      <c r="Q13" s="517"/>
      <c r="R13" s="515" t="s">
        <v>915</v>
      </c>
      <c r="S13" s="516"/>
      <c r="T13" s="517"/>
      <c r="U13" s="515" t="s">
        <v>303</v>
      </c>
      <c r="V13" s="516"/>
      <c r="W13" s="517"/>
      <c r="X13" s="323"/>
      <c r="Y13" s="323"/>
      <c r="Z13" s="323"/>
      <c r="AA13" s="311"/>
      <c r="AB13" s="515" t="s">
        <v>205</v>
      </c>
      <c r="AC13" s="516"/>
      <c r="AD13" s="517"/>
      <c r="AE13" s="515" t="s">
        <v>262</v>
      </c>
      <c r="AF13" s="516"/>
      <c r="AG13" s="517"/>
      <c r="AH13" s="515" t="s">
        <v>155</v>
      </c>
      <c r="AI13" s="516"/>
      <c r="AJ13" s="517"/>
      <c r="AK13" s="288"/>
      <c r="AL13" s="288"/>
      <c r="AR13" s="5"/>
      <c r="AS13" s="5"/>
      <c r="AT13" s="5"/>
      <c r="AU13" s="5"/>
      <c r="AV13" s="5"/>
    </row>
    <row r="14" spans="1:49" ht="15" customHeight="1" thickBot="1" x14ac:dyDescent="0.3">
      <c r="A14" s="49" t="s">
        <v>54</v>
      </c>
      <c r="B14" s="104">
        <v>1</v>
      </c>
      <c r="C14" s="47">
        <v>1</v>
      </c>
      <c r="D14" s="245">
        <v>0</v>
      </c>
      <c r="E14" s="6">
        <f t="shared" si="0"/>
        <v>2</v>
      </c>
      <c r="F14" s="272" t="s">
        <v>54</v>
      </c>
      <c r="G14" s="105">
        <v>5</v>
      </c>
      <c r="H14" s="255">
        <v>5</v>
      </c>
      <c r="I14" s="256">
        <v>0</v>
      </c>
      <c r="J14" s="86">
        <f t="shared" si="2"/>
        <v>10</v>
      </c>
      <c r="K14" s="512"/>
      <c r="L14" s="503"/>
      <c r="M14" s="504"/>
      <c r="N14" s="505"/>
      <c r="O14" s="518"/>
      <c r="P14" s="519"/>
      <c r="Q14" s="520"/>
      <c r="R14" s="518"/>
      <c r="S14" s="519"/>
      <c r="T14" s="520"/>
      <c r="U14" s="518"/>
      <c r="V14" s="519"/>
      <c r="W14" s="520"/>
      <c r="X14" s="323"/>
      <c r="Y14" s="323"/>
      <c r="Z14" s="323"/>
      <c r="AA14" s="402"/>
      <c r="AB14" s="518"/>
      <c r="AC14" s="519"/>
      <c r="AD14" s="520"/>
      <c r="AE14" s="518"/>
      <c r="AF14" s="519"/>
      <c r="AG14" s="520"/>
      <c r="AH14" s="518"/>
      <c r="AI14" s="519"/>
      <c r="AJ14" s="520"/>
      <c r="AK14" s="288"/>
      <c r="AL14" s="288"/>
      <c r="AR14" s="5"/>
      <c r="AS14" s="5"/>
      <c r="AT14" s="5"/>
      <c r="AU14" s="5"/>
      <c r="AV14" s="5"/>
    </row>
    <row r="15" spans="1:49" ht="15" customHeight="1" thickBot="1" x14ac:dyDescent="0.3">
      <c r="A15" s="49" t="s">
        <v>105</v>
      </c>
      <c r="B15" s="104">
        <v>0</v>
      </c>
      <c r="C15" s="47">
        <v>0</v>
      </c>
      <c r="D15" s="245">
        <v>0</v>
      </c>
      <c r="E15" s="6">
        <f t="shared" si="0"/>
        <v>0</v>
      </c>
      <c r="F15" s="272" t="s">
        <v>105</v>
      </c>
      <c r="G15" s="105">
        <v>0</v>
      </c>
      <c r="H15" s="255">
        <v>0</v>
      </c>
      <c r="I15" s="256">
        <v>0</v>
      </c>
      <c r="J15" s="86">
        <f t="shared" si="2"/>
        <v>0</v>
      </c>
      <c r="K15" s="35" t="s">
        <v>72</v>
      </c>
      <c r="L15" s="4" t="s">
        <v>176</v>
      </c>
      <c r="M15" s="4" t="s">
        <v>36</v>
      </c>
      <c r="N15" s="4" t="s">
        <v>37</v>
      </c>
      <c r="O15" s="8" t="s">
        <v>176</v>
      </c>
      <c r="P15" s="8" t="s">
        <v>36</v>
      </c>
      <c r="Q15" s="8" t="s">
        <v>37</v>
      </c>
      <c r="R15" s="8" t="s">
        <v>176</v>
      </c>
      <c r="S15" s="8" t="s">
        <v>36</v>
      </c>
      <c r="T15" s="8" t="s">
        <v>37</v>
      </c>
      <c r="U15" s="283" t="s">
        <v>176</v>
      </c>
      <c r="V15" s="8" t="s">
        <v>36</v>
      </c>
      <c r="W15" s="8" t="s">
        <v>37</v>
      </c>
      <c r="X15" s="402"/>
      <c r="Y15" s="402"/>
      <c r="Z15" s="402"/>
      <c r="AA15" s="402"/>
      <c r="AB15" s="283" t="s">
        <v>176</v>
      </c>
      <c r="AC15" s="8" t="s">
        <v>36</v>
      </c>
      <c r="AD15" s="8" t="s">
        <v>37</v>
      </c>
      <c r="AE15" s="283" t="s">
        <v>176</v>
      </c>
      <c r="AF15" s="8" t="s">
        <v>36</v>
      </c>
      <c r="AG15" s="8" t="s">
        <v>37</v>
      </c>
      <c r="AH15" s="283" t="s">
        <v>176</v>
      </c>
      <c r="AI15" s="8" t="s">
        <v>36</v>
      </c>
      <c r="AJ15" s="8" t="s">
        <v>37</v>
      </c>
      <c r="AK15" s="288"/>
      <c r="AL15" s="288"/>
      <c r="AR15" s="5"/>
      <c r="AS15" s="5"/>
      <c r="AT15" s="5"/>
      <c r="AU15" s="5"/>
      <c r="AV15" s="5"/>
    </row>
    <row r="16" spans="1:49" ht="15" customHeight="1" thickBot="1" x14ac:dyDescent="0.3">
      <c r="A16" s="49" t="s">
        <v>1175</v>
      </c>
      <c r="B16" s="104">
        <v>1</v>
      </c>
      <c r="C16" s="47">
        <v>0</v>
      </c>
      <c r="D16" s="245">
        <v>0</v>
      </c>
      <c r="E16" s="6">
        <f t="shared" si="0"/>
        <v>1</v>
      </c>
      <c r="F16" s="272" t="s">
        <v>1175</v>
      </c>
      <c r="G16" s="105">
        <v>5</v>
      </c>
      <c r="H16" s="255">
        <v>0</v>
      </c>
      <c r="I16" s="256">
        <v>0</v>
      </c>
      <c r="J16" s="86">
        <f t="shared" si="2"/>
        <v>5</v>
      </c>
      <c r="K16" s="180" t="s">
        <v>1064</v>
      </c>
      <c r="L16" s="47">
        <v>0</v>
      </c>
      <c r="M16" s="47">
        <v>1</v>
      </c>
      <c r="N16" s="47">
        <f t="shared" ref="N16:N17" si="9">SUM(L16/M16)*100</f>
        <v>0</v>
      </c>
      <c r="O16" s="8">
        <v>0</v>
      </c>
      <c r="P16" s="8">
        <v>1</v>
      </c>
      <c r="Q16" s="8">
        <v>0</v>
      </c>
      <c r="R16" s="8">
        <v>0</v>
      </c>
      <c r="S16" s="8">
        <v>2</v>
      </c>
      <c r="T16" s="8">
        <v>0</v>
      </c>
      <c r="U16" s="283">
        <v>4</v>
      </c>
      <c r="V16" s="8">
        <v>7</v>
      </c>
      <c r="W16" s="8">
        <v>57</v>
      </c>
      <c r="X16" s="402"/>
      <c r="Y16" s="402"/>
      <c r="Z16" s="402"/>
      <c r="AA16" s="402"/>
      <c r="AB16" s="283">
        <v>1</v>
      </c>
      <c r="AC16" s="8">
        <v>3</v>
      </c>
      <c r="AD16" s="8">
        <v>33</v>
      </c>
      <c r="AE16" s="283">
        <v>0</v>
      </c>
      <c r="AF16" s="8">
        <v>4</v>
      </c>
      <c r="AG16" s="8">
        <v>0</v>
      </c>
      <c r="AH16" s="283">
        <v>2</v>
      </c>
      <c r="AI16" s="8">
        <v>2</v>
      </c>
      <c r="AJ16" s="8">
        <v>100</v>
      </c>
      <c r="AK16" s="363"/>
      <c r="AL16" s="363"/>
      <c r="AM16" s="362"/>
      <c r="AN16" s="362"/>
      <c r="AO16" s="362"/>
      <c r="AP16" s="362"/>
      <c r="AQ16" s="362"/>
    </row>
    <row r="17" spans="1:48" ht="15" customHeight="1" thickBot="1" x14ac:dyDescent="0.3">
      <c r="A17" s="49" t="s">
        <v>143</v>
      </c>
      <c r="B17" s="104">
        <v>3</v>
      </c>
      <c r="C17" s="47">
        <v>0</v>
      </c>
      <c r="D17" s="245">
        <v>1</v>
      </c>
      <c r="E17" s="6">
        <f t="shared" si="0"/>
        <v>4</v>
      </c>
      <c r="F17" s="272" t="s">
        <v>143</v>
      </c>
      <c r="G17" s="105">
        <v>15</v>
      </c>
      <c r="H17" s="255">
        <v>0</v>
      </c>
      <c r="I17" s="256">
        <v>5</v>
      </c>
      <c r="J17" s="86">
        <f t="shared" si="2"/>
        <v>20</v>
      </c>
      <c r="K17" s="17" t="s">
        <v>13</v>
      </c>
      <c r="L17" s="121">
        <v>3</v>
      </c>
      <c r="M17" s="121">
        <v>3</v>
      </c>
      <c r="N17" s="122">
        <f t="shared" si="9"/>
        <v>100</v>
      </c>
      <c r="O17" s="8">
        <v>12</v>
      </c>
      <c r="P17" s="8">
        <v>15</v>
      </c>
      <c r="Q17" s="294">
        <f t="shared" ref="Q17" si="10">SUM(O17/P17)*100</f>
        <v>80</v>
      </c>
      <c r="R17" s="8">
        <v>19</v>
      </c>
      <c r="S17" s="8">
        <v>23</v>
      </c>
      <c r="T17" s="294">
        <f t="shared" ref="T17" si="11">SUM(R17/S17)*100</f>
        <v>82.608695652173907</v>
      </c>
      <c r="U17" s="283">
        <v>12</v>
      </c>
      <c r="V17" s="8">
        <v>15</v>
      </c>
      <c r="W17" s="294">
        <f>SUM(U17/V17)*100</f>
        <v>80</v>
      </c>
      <c r="X17" s="402"/>
      <c r="Y17" s="402"/>
      <c r="Z17" s="402"/>
      <c r="AA17" s="402"/>
      <c r="AB17" s="283">
        <v>16</v>
      </c>
      <c r="AC17" s="8">
        <v>19</v>
      </c>
      <c r="AD17" s="294">
        <f>SUM(AB17/AC17)*100</f>
        <v>84.210526315789465</v>
      </c>
      <c r="AE17" s="283">
        <v>16</v>
      </c>
      <c r="AF17" s="8">
        <v>19</v>
      </c>
      <c r="AG17" s="294">
        <f>SUM(AE17/AF17)*100</f>
        <v>84.210526315789465</v>
      </c>
      <c r="AH17" s="283">
        <v>15</v>
      </c>
      <c r="AI17" s="8">
        <v>17</v>
      </c>
      <c r="AJ17" s="294">
        <f>SUM(AH17/AI17)*100</f>
        <v>88.235294117647058</v>
      </c>
      <c r="AK17" s="288"/>
      <c r="AL17" s="288"/>
      <c r="AR17" s="5"/>
      <c r="AS17" s="5"/>
    </row>
    <row r="18" spans="1:48" ht="15" customHeight="1" thickBot="1" x14ac:dyDescent="0.3">
      <c r="A18" s="49" t="s">
        <v>123</v>
      </c>
      <c r="B18" s="104">
        <v>1</v>
      </c>
      <c r="C18" s="47">
        <v>0</v>
      </c>
      <c r="D18" s="245">
        <v>0</v>
      </c>
      <c r="E18" s="6">
        <f t="shared" si="0"/>
        <v>1</v>
      </c>
      <c r="F18" s="272" t="s">
        <v>123</v>
      </c>
      <c r="G18" s="105">
        <v>5</v>
      </c>
      <c r="H18" s="255">
        <v>0</v>
      </c>
      <c r="I18" s="256">
        <v>0</v>
      </c>
      <c r="J18" s="86">
        <f t="shared" si="2"/>
        <v>5</v>
      </c>
      <c r="K18" s="17" t="s">
        <v>47</v>
      </c>
      <c r="L18" s="121" t="s">
        <v>43</v>
      </c>
      <c r="M18" s="121" t="s">
        <v>43</v>
      </c>
      <c r="N18" s="121" t="s">
        <v>43</v>
      </c>
      <c r="O18" s="8" t="s">
        <v>43</v>
      </c>
      <c r="P18" s="8" t="s">
        <v>43</v>
      </c>
      <c r="Q18" s="8" t="s">
        <v>43</v>
      </c>
      <c r="R18" s="8" t="s">
        <v>43</v>
      </c>
      <c r="S18" s="8" t="s">
        <v>43</v>
      </c>
      <c r="T18" s="8" t="s">
        <v>43</v>
      </c>
      <c r="U18" s="283">
        <v>4</v>
      </c>
      <c r="V18" s="8">
        <v>5</v>
      </c>
      <c r="W18" s="294">
        <f>SUM(U18/V18)*100</f>
        <v>80</v>
      </c>
      <c r="X18" s="402"/>
      <c r="Y18" s="402"/>
      <c r="Z18" s="402"/>
      <c r="AA18" s="402"/>
      <c r="AB18" s="283">
        <v>5</v>
      </c>
      <c r="AC18" s="8">
        <v>8</v>
      </c>
      <c r="AD18" s="294">
        <f>SUM(AB18/AC18)*100</f>
        <v>62.5</v>
      </c>
      <c r="AE18" s="283">
        <v>20</v>
      </c>
      <c r="AF18" s="8">
        <v>25</v>
      </c>
      <c r="AG18" s="294">
        <f>SUM(AE18/AF18)*100</f>
        <v>80</v>
      </c>
      <c r="AH18" s="283">
        <v>8</v>
      </c>
      <c r="AI18" s="8">
        <v>9</v>
      </c>
      <c r="AJ18" s="294">
        <f>SUM(AH18/AI18)*100</f>
        <v>88.888888888888886</v>
      </c>
      <c r="AK18" s="288"/>
      <c r="AL18" s="288"/>
    </row>
    <row r="19" spans="1:48" ht="15" customHeight="1" thickBot="1" x14ac:dyDescent="0.3">
      <c r="A19" s="49" t="s">
        <v>144</v>
      </c>
      <c r="B19" s="104">
        <v>10</v>
      </c>
      <c r="C19" s="47">
        <v>2</v>
      </c>
      <c r="D19" s="245">
        <v>1</v>
      </c>
      <c r="E19" s="6">
        <f t="shared" si="0"/>
        <v>13</v>
      </c>
      <c r="F19" s="272" t="s">
        <v>144</v>
      </c>
      <c r="G19" s="105">
        <v>50</v>
      </c>
      <c r="H19" s="255">
        <v>10</v>
      </c>
      <c r="I19" s="256">
        <v>5</v>
      </c>
      <c r="J19" s="86">
        <f t="shared" si="2"/>
        <v>65</v>
      </c>
      <c r="K19" s="175" t="s">
        <v>369</v>
      </c>
      <c r="L19" s="121" t="s">
        <v>43</v>
      </c>
      <c r="M19" s="121" t="s">
        <v>43</v>
      </c>
      <c r="N19" s="121" t="s">
        <v>43</v>
      </c>
      <c r="O19" s="8" t="s">
        <v>43</v>
      </c>
      <c r="P19" s="8" t="s">
        <v>43</v>
      </c>
      <c r="Q19" s="8" t="s">
        <v>43</v>
      </c>
      <c r="R19" s="8" t="s">
        <v>43</v>
      </c>
      <c r="S19" s="8" t="s">
        <v>43</v>
      </c>
      <c r="T19" s="8" t="s">
        <v>43</v>
      </c>
      <c r="U19" s="283" t="s">
        <v>43</v>
      </c>
      <c r="V19" s="8" t="s">
        <v>43</v>
      </c>
      <c r="W19" s="8" t="s">
        <v>43</v>
      </c>
      <c r="X19" s="402"/>
      <c r="Y19" s="402"/>
      <c r="Z19" s="402"/>
      <c r="AA19" s="402"/>
      <c r="AB19" s="283" t="s">
        <v>43</v>
      </c>
      <c r="AC19" s="8" t="s">
        <v>43</v>
      </c>
      <c r="AD19" s="8" t="s">
        <v>43</v>
      </c>
      <c r="AE19" s="7">
        <v>1</v>
      </c>
      <c r="AF19" s="8">
        <v>1</v>
      </c>
      <c r="AG19" s="294">
        <f>SUM(AE19/AF19)*100</f>
        <v>100</v>
      </c>
      <c r="AH19" s="8" t="s">
        <v>43</v>
      </c>
      <c r="AI19" s="8" t="s">
        <v>43</v>
      </c>
      <c r="AJ19" s="8" t="s">
        <v>43</v>
      </c>
      <c r="AK19" s="312"/>
      <c r="AL19" s="114"/>
      <c r="AM19" s="115"/>
      <c r="AN19" s="115"/>
      <c r="AO19" s="115"/>
      <c r="AP19" s="115"/>
      <c r="AQ19" s="115"/>
    </row>
    <row r="20" spans="1:48" ht="15" customHeight="1" thickBot="1" x14ac:dyDescent="0.3">
      <c r="A20" s="49" t="s">
        <v>145</v>
      </c>
      <c r="B20" s="104">
        <v>2</v>
      </c>
      <c r="C20" s="47">
        <v>0</v>
      </c>
      <c r="D20" s="245">
        <v>0</v>
      </c>
      <c r="E20" s="6">
        <f t="shared" si="0"/>
        <v>2</v>
      </c>
      <c r="F20" s="272" t="s">
        <v>145</v>
      </c>
      <c r="G20" s="105">
        <v>10</v>
      </c>
      <c r="H20" s="255">
        <v>0</v>
      </c>
      <c r="I20" s="256">
        <v>0</v>
      </c>
      <c r="J20" s="86">
        <f t="shared" si="2"/>
        <v>10</v>
      </c>
      <c r="K20" s="17" t="s">
        <v>1150</v>
      </c>
      <c r="L20" s="121">
        <v>39</v>
      </c>
      <c r="M20" s="121">
        <v>41</v>
      </c>
      <c r="N20" s="122">
        <f t="shared" ref="N20" si="12">SUM(L20/M20)*100</f>
        <v>95.121951219512198</v>
      </c>
      <c r="O20" s="8">
        <v>3</v>
      </c>
      <c r="P20" s="8">
        <v>7</v>
      </c>
      <c r="Q20" s="294">
        <f t="shared" ref="Q20" si="13">SUM(O20/P20)*100</f>
        <v>42.857142857142854</v>
      </c>
      <c r="R20" s="8">
        <v>2</v>
      </c>
      <c r="S20" s="8">
        <v>2</v>
      </c>
      <c r="T20" s="294">
        <f t="shared" ref="T20" si="14">SUM(R20/S20)*100</f>
        <v>100</v>
      </c>
      <c r="U20" s="283">
        <v>1</v>
      </c>
      <c r="V20" s="8">
        <v>2</v>
      </c>
      <c r="W20" s="294">
        <f>SUM(U20/V20)*100</f>
        <v>50</v>
      </c>
      <c r="X20" s="402"/>
      <c r="Y20" s="402"/>
      <c r="Z20" s="402"/>
      <c r="AA20" s="402"/>
      <c r="AB20" s="283" t="s">
        <v>43</v>
      </c>
      <c r="AC20" s="8" t="s">
        <v>43</v>
      </c>
      <c r="AD20" s="8" t="s">
        <v>43</v>
      </c>
      <c r="AE20" s="7" t="s">
        <v>43</v>
      </c>
      <c r="AF20" s="8" t="s">
        <v>43</v>
      </c>
      <c r="AG20" s="8" t="s">
        <v>43</v>
      </c>
      <c r="AH20" s="283" t="s">
        <v>43</v>
      </c>
      <c r="AI20" s="8" t="s">
        <v>43</v>
      </c>
      <c r="AJ20" s="8" t="s">
        <v>43</v>
      </c>
      <c r="AK20" s="288"/>
      <c r="AL20" s="288"/>
      <c r="AR20" s="5"/>
      <c r="AS20" s="5"/>
      <c r="AT20" s="5"/>
      <c r="AU20" s="5"/>
      <c r="AV20" s="5"/>
    </row>
    <row r="21" spans="1:48" ht="15" customHeight="1" thickBot="1" x14ac:dyDescent="0.3">
      <c r="A21" s="49" t="s">
        <v>1064</v>
      </c>
      <c r="B21" s="104">
        <v>5</v>
      </c>
      <c r="C21" s="47">
        <v>1</v>
      </c>
      <c r="D21" s="245">
        <v>0</v>
      </c>
      <c r="E21" s="6">
        <f t="shared" si="0"/>
        <v>6</v>
      </c>
      <c r="F21" s="272" t="s">
        <v>1064</v>
      </c>
      <c r="G21" s="105">
        <v>25</v>
      </c>
      <c r="H21" s="255">
        <v>5</v>
      </c>
      <c r="I21" s="256">
        <v>0</v>
      </c>
      <c r="J21" s="86">
        <f t="shared" si="2"/>
        <v>30</v>
      </c>
      <c r="K21" s="76"/>
      <c r="L21" s="77"/>
      <c r="M21" s="77"/>
      <c r="N21" s="78"/>
      <c r="O21" s="314"/>
      <c r="P21" s="314"/>
      <c r="Q21" s="314"/>
      <c r="R21" s="288"/>
      <c r="S21" s="288"/>
      <c r="T21" s="288"/>
      <c r="U21" s="288"/>
      <c r="V21" s="288"/>
      <c r="W21" s="288"/>
      <c r="X21" s="402"/>
      <c r="Y21" s="402"/>
      <c r="Z21" s="402"/>
      <c r="AA21" s="402"/>
      <c r="AB21" s="403"/>
      <c r="AC21" s="403"/>
      <c r="AD21" s="403"/>
      <c r="AE21" s="288"/>
      <c r="AF21" s="288"/>
      <c r="AG21" s="288"/>
      <c r="AH21" s="288"/>
      <c r="AI21" s="288"/>
      <c r="AJ21" s="288"/>
      <c r="AK21" s="288"/>
      <c r="AL21" s="288"/>
      <c r="AO21" s="5"/>
      <c r="AP21" s="5"/>
      <c r="AQ21" s="5"/>
    </row>
    <row r="22" spans="1:48" ht="15" customHeight="1" thickBot="1" x14ac:dyDescent="0.3">
      <c r="A22" s="49" t="s">
        <v>73</v>
      </c>
      <c r="B22" s="104">
        <v>0</v>
      </c>
      <c r="C22" s="47">
        <v>0</v>
      </c>
      <c r="D22" s="245">
        <v>0</v>
      </c>
      <c r="E22" s="6">
        <f t="shared" si="0"/>
        <v>0</v>
      </c>
      <c r="F22" s="272" t="s">
        <v>73</v>
      </c>
      <c r="G22" s="105">
        <v>0</v>
      </c>
      <c r="H22" s="255">
        <v>0</v>
      </c>
      <c r="I22" s="256">
        <v>0</v>
      </c>
      <c r="J22" s="86">
        <f t="shared" si="2"/>
        <v>0</v>
      </c>
      <c r="K22" s="509" t="s">
        <v>304</v>
      </c>
      <c r="L22" s="500" t="s">
        <v>42</v>
      </c>
      <c r="M22" s="501"/>
      <c r="N22" s="502"/>
      <c r="O22" s="515" t="s">
        <v>177</v>
      </c>
      <c r="P22" s="516"/>
      <c r="Q22" s="517"/>
      <c r="R22" s="515" t="s">
        <v>915</v>
      </c>
      <c r="S22" s="516"/>
      <c r="T22" s="517"/>
      <c r="U22" s="515" t="s">
        <v>303</v>
      </c>
      <c r="V22" s="516"/>
      <c r="W22" s="517"/>
      <c r="X22" s="402"/>
      <c r="Y22" s="402"/>
      <c r="Z22" s="402"/>
      <c r="AA22" s="402"/>
      <c r="AB22" s="515" t="s">
        <v>186</v>
      </c>
      <c r="AC22" s="516"/>
      <c r="AD22" s="517"/>
      <c r="AE22" s="515" t="s">
        <v>140</v>
      </c>
      <c r="AF22" s="516"/>
      <c r="AG22" s="517"/>
      <c r="AH22" s="288"/>
      <c r="AI22" s="288"/>
      <c r="AJ22" s="288"/>
      <c r="AK22" s="288"/>
      <c r="AL22" s="288"/>
    </row>
    <row r="23" spans="1:48" ht="15" customHeight="1" thickBot="1" x14ac:dyDescent="0.3">
      <c r="A23" s="49" t="s">
        <v>72</v>
      </c>
      <c r="B23" s="104">
        <v>0</v>
      </c>
      <c r="C23" s="47">
        <v>0</v>
      </c>
      <c r="D23" s="245">
        <v>0</v>
      </c>
      <c r="E23" s="6">
        <f t="shared" si="0"/>
        <v>0</v>
      </c>
      <c r="F23" s="273" t="s">
        <v>72</v>
      </c>
      <c r="G23" s="105">
        <v>0</v>
      </c>
      <c r="H23" s="255">
        <v>0</v>
      </c>
      <c r="I23" s="256">
        <v>0</v>
      </c>
      <c r="J23" s="86">
        <f t="shared" si="2"/>
        <v>0</v>
      </c>
      <c r="K23" s="510"/>
      <c r="L23" s="503"/>
      <c r="M23" s="504"/>
      <c r="N23" s="505"/>
      <c r="O23" s="518"/>
      <c r="P23" s="519"/>
      <c r="Q23" s="520"/>
      <c r="R23" s="518"/>
      <c r="S23" s="519"/>
      <c r="T23" s="520"/>
      <c r="U23" s="518"/>
      <c r="V23" s="519"/>
      <c r="W23" s="520"/>
      <c r="X23" s="402"/>
      <c r="Y23" s="402"/>
      <c r="Z23" s="402"/>
      <c r="AA23" s="402"/>
      <c r="AB23" s="518"/>
      <c r="AC23" s="519"/>
      <c r="AD23" s="520"/>
      <c r="AE23" s="518"/>
      <c r="AF23" s="519"/>
      <c r="AG23" s="520"/>
      <c r="AH23" s="288"/>
      <c r="AI23" s="288"/>
      <c r="AJ23" s="288"/>
      <c r="AK23" s="288"/>
      <c r="AL23" s="288"/>
      <c r="AR23" s="5"/>
      <c r="AS23" s="5"/>
      <c r="AT23" s="5"/>
      <c r="AU23" s="5"/>
      <c r="AV23" s="5"/>
    </row>
    <row r="24" spans="1:48" ht="15" customHeight="1" thickBot="1" x14ac:dyDescent="0.3">
      <c r="A24" s="49" t="s">
        <v>960</v>
      </c>
      <c r="B24" s="104">
        <v>0</v>
      </c>
      <c r="C24" s="47">
        <v>0</v>
      </c>
      <c r="D24" s="245">
        <v>1</v>
      </c>
      <c r="E24" s="6">
        <f t="shared" si="0"/>
        <v>1</v>
      </c>
      <c r="F24" s="272" t="s">
        <v>960</v>
      </c>
      <c r="G24" s="105">
        <v>0</v>
      </c>
      <c r="H24" s="255">
        <v>0</v>
      </c>
      <c r="I24" s="256">
        <v>5</v>
      </c>
      <c r="J24" s="86">
        <f t="shared" si="2"/>
        <v>5</v>
      </c>
      <c r="K24" s="35" t="s">
        <v>72</v>
      </c>
      <c r="L24" s="4" t="s">
        <v>176</v>
      </c>
      <c r="M24" s="4" t="s">
        <v>36</v>
      </c>
      <c r="N24" s="4" t="s">
        <v>37</v>
      </c>
      <c r="O24" s="8" t="s">
        <v>176</v>
      </c>
      <c r="P24" s="8" t="s">
        <v>36</v>
      </c>
      <c r="Q24" s="8" t="s">
        <v>37</v>
      </c>
      <c r="R24" s="8" t="s">
        <v>176</v>
      </c>
      <c r="S24" s="8" t="s">
        <v>36</v>
      </c>
      <c r="T24" s="8" t="s">
        <v>37</v>
      </c>
      <c r="U24" s="283" t="s">
        <v>176</v>
      </c>
      <c r="V24" s="8" t="s">
        <v>36</v>
      </c>
      <c r="W24" s="8" t="s">
        <v>37</v>
      </c>
      <c r="X24" s="402"/>
      <c r="Y24" s="402"/>
      <c r="Z24" s="402"/>
      <c r="AA24" s="402"/>
      <c r="AB24" s="283" t="s">
        <v>176</v>
      </c>
      <c r="AC24" s="8" t="s">
        <v>36</v>
      </c>
      <c r="AD24" s="8" t="s">
        <v>37</v>
      </c>
      <c r="AE24" s="7" t="s">
        <v>176</v>
      </c>
      <c r="AF24" s="8" t="s">
        <v>36</v>
      </c>
      <c r="AG24" s="8" t="s">
        <v>37</v>
      </c>
      <c r="AH24" s="288"/>
      <c r="AI24" s="288"/>
      <c r="AJ24" s="288"/>
      <c r="AK24" s="288"/>
      <c r="AL24" s="288"/>
      <c r="AR24" s="5"/>
      <c r="AS24" s="5"/>
      <c r="AT24" s="5"/>
      <c r="AU24" s="5"/>
      <c r="AV24" s="5"/>
    </row>
    <row r="25" spans="1:48" ht="15" customHeight="1" thickBot="1" x14ac:dyDescent="0.3">
      <c r="A25" s="49" t="s">
        <v>861</v>
      </c>
      <c r="B25" s="104">
        <v>1</v>
      </c>
      <c r="C25" s="47">
        <v>0</v>
      </c>
      <c r="D25" s="245">
        <v>0</v>
      </c>
      <c r="E25" s="6">
        <f t="shared" si="0"/>
        <v>1</v>
      </c>
      <c r="F25" s="272" t="s">
        <v>861</v>
      </c>
      <c r="G25" s="105">
        <v>5</v>
      </c>
      <c r="H25" s="255">
        <v>0</v>
      </c>
      <c r="I25" s="256">
        <v>0</v>
      </c>
      <c r="J25" s="86">
        <f t="shared" si="2"/>
        <v>5</v>
      </c>
      <c r="K25" s="180" t="s">
        <v>1123</v>
      </c>
      <c r="L25" s="47">
        <v>0</v>
      </c>
      <c r="M25" s="47">
        <v>2</v>
      </c>
      <c r="N25" s="47">
        <f>(L25/M25)*100</f>
        <v>0</v>
      </c>
      <c r="O25" s="8" t="s">
        <v>43</v>
      </c>
      <c r="P25" s="8" t="s">
        <v>43</v>
      </c>
      <c r="Q25" s="8" t="s">
        <v>43</v>
      </c>
      <c r="R25" s="8" t="s">
        <v>43</v>
      </c>
      <c r="S25" s="8" t="s">
        <v>43</v>
      </c>
      <c r="T25" s="8" t="s">
        <v>43</v>
      </c>
      <c r="U25" s="283" t="s">
        <v>43</v>
      </c>
      <c r="V25" s="8" t="s">
        <v>43</v>
      </c>
      <c r="W25" s="8" t="s">
        <v>43</v>
      </c>
      <c r="X25" s="402"/>
      <c r="Y25" s="402"/>
      <c r="Z25" s="402"/>
      <c r="AA25" s="402"/>
      <c r="AB25" s="283" t="s">
        <v>43</v>
      </c>
      <c r="AC25" s="8" t="s">
        <v>43</v>
      </c>
      <c r="AD25" s="8" t="s">
        <v>43</v>
      </c>
      <c r="AE25" s="7" t="s">
        <v>43</v>
      </c>
      <c r="AF25" s="8" t="s">
        <v>43</v>
      </c>
      <c r="AG25" s="8" t="s">
        <v>43</v>
      </c>
      <c r="AH25" s="376"/>
      <c r="AI25" s="376"/>
      <c r="AJ25" s="376"/>
      <c r="AK25" s="376"/>
      <c r="AL25" s="376"/>
      <c r="AM25" s="375"/>
      <c r="AN25" s="375"/>
      <c r="AO25" s="375"/>
      <c r="AP25" s="375"/>
      <c r="AQ25" s="375"/>
      <c r="AR25" s="5"/>
      <c r="AS25" s="5"/>
    </row>
    <row r="26" spans="1:48" ht="15" customHeight="1" thickBot="1" x14ac:dyDescent="0.3">
      <c r="A26" s="49" t="s">
        <v>1094</v>
      </c>
      <c r="B26" s="104">
        <v>4</v>
      </c>
      <c r="C26" s="47">
        <v>0</v>
      </c>
      <c r="D26" s="245">
        <v>0</v>
      </c>
      <c r="E26" s="6">
        <f t="shared" si="0"/>
        <v>4</v>
      </c>
      <c r="F26" s="272" t="s">
        <v>1094</v>
      </c>
      <c r="G26" s="105">
        <v>20</v>
      </c>
      <c r="H26" s="255">
        <v>0</v>
      </c>
      <c r="I26" s="256">
        <v>0</v>
      </c>
      <c r="J26" s="86">
        <f t="shared" si="2"/>
        <v>20</v>
      </c>
      <c r="K26" s="17" t="s">
        <v>13</v>
      </c>
      <c r="L26" s="121">
        <v>5</v>
      </c>
      <c r="M26" s="121">
        <v>5</v>
      </c>
      <c r="N26" s="121">
        <f>(L26/M26)*100</f>
        <v>100</v>
      </c>
      <c r="O26" s="8" t="s">
        <v>43</v>
      </c>
      <c r="P26" s="8" t="s">
        <v>43</v>
      </c>
      <c r="Q26" s="8" t="s">
        <v>43</v>
      </c>
      <c r="R26" s="8" t="s">
        <v>43</v>
      </c>
      <c r="S26" s="8" t="s">
        <v>43</v>
      </c>
      <c r="T26" s="8" t="s">
        <v>43</v>
      </c>
      <c r="U26" s="283" t="s">
        <v>43</v>
      </c>
      <c r="V26" s="8" t="s">
        <v>43</v>
      </c>
      <c r="W26" s="8" t="s">
        <v>43</v>
      </c>
      <c r="X26" s="402"/>
      <c r="Y26" s="402"/>
      <c r="Z26" s="402"/>
      <c r="AA26" s="402"/>
      <c r="AB26" s="283">
        <v>5</v>
      </c>
      <c r="AC26" s="8">
        <v>6</v>
      </c>
      <c r="AD26" s="294">
        <f>SUM(AB26/AC26)*100</f>
        <v>83.333333333333343</v>
      </c>
      <c r="AE26" s="7">
        <v>7</v>
      </c>
      <c r="AF26" s="8">
        <v>9</v>
      </c>
      <c r="AG26" s="294">
        <f>SUM(AE26/AF26)*100</f>
        <v>77.777777777777786</v>
      </c>
      <c r="AH26" s="288"/>
      <c r="AI26" s="288"/>
      <c r="AJ26" s="288"/>
      <c r="AK26" s="288"/>
      <c r="AL26" s="288"/>
      <c r="AR26" s="5"/>
      <c r="AS26" s="5"/>
    </row>
    <row r="27" spans="1:48" ht="15" customHeight="1" thickBot="1" x14ac:dyDescent="0.3">
      <c r="A27" s="49" t="s">
        <v>90</v>
      </c>
      <c r="B27" s="104">
        <v>1</v>
      </c>
      <c r="C27" s="47">
        <v>2</v>
      </c>
      <c r="D27" s="245">
        <v>1</v>
      </c>
      <c r="E27" s="6">
        <f t="shared" si="0"/>
        <v>4</v>
      </c>
      <c r="F27" s="272" t="s">
        <v>90</v>
      </c>
      <c r="G27" s="105">
        <v>5</v>
      </c>
      <c r="H27" s="255">
        <v>10</v>
      </c>
      <c r="I27" s="256">
        <v>5</v>
      </c>
      <c r="J27" s="86">
        <f t="shared" si="2"/>
        <v>20</v>
      </c>
      <c r="K27" s="17" t="s">
        <v>1150</v>
      </c>
      <c r="L27" s="121">
        <v>11</v>
      </c>
      <c r="M27" s="121">
        <v>11</v>
      </c>
      <c r="N27" s="121">
        <f>(L27/M27)*100</f>
        <v>100</v>
      </c>
      <c r="O27" s="8">
        <v>5</v>
      </c>
      <c r="P27" s="8">
        <v>9</v>
      </c>
      <c r="Q27" s="294">
        <f>SUM(O27/P27)*100</f>
        <v>55.555555555555557</v>
      </c>
      <c r="R27" s="8">
        <v>22</v>
      </c>
      <c r="S27" s="8">
        <v>30</v>
      </c>
      <c r="T27" s="294">
        <f t="shared" ref="T27" si="15">SUM(R27/S27)*100</f>
        <v>73.333333333333329</v>
      </c>
      <c r="U27" s="7">
        <v>21</v>
      </c>
      <c r="V27" s="7">
        <v>32</v>
      </c>
      <c r="W27" s="294">
        <f>SUM(U27/V27)*100</f>
        <v>65.625</v>
      </c>
      <c r="X27" s="402"/>
      <c r="Y27" s="402"/>
      <c r="Z27" s="402"/>
      <c r="AA27" s="402"/>
      <c r="AB27" s="7" t="s">
        <v>43</v>
      </c>
      <c r="AC27" s="7" t="s">
        <v>43</v>
      </c>
      <c r="AD27" s="7" t="s">
        <v>43</v>
      </c>
      <c r="AE27" s="7" t="s">
        <v>43</v>
      </c>
      <c r="AF27" s="7" t="s">
        <v>43</v>
      </c>
      <c r="AG27" s="7" t="s">
        <v>43</v>
      </c>
      <c r="AH27" s="288"/>
      <c r="AI27" s="288"/>
      <c r="AJ27" s="288"/>
      <c r="AK27" s="288"/>
      <c r="AL27" s="288"/>
      <c r="AR27" s="5"/>
      <c r="AS27" s="5"/>
    </row>
    <row r="28" spans="1:48" ht="15" customHeight="1" thickBot="1" x14ac:dyDescent="0.3">
      <c r="A28" s="49" t="s">
        <v>878</v>
      </c>
      <c r="B28" s="104">
        <v>1</v>
      </c>
      <c r="C28" s="47">
        <v>0</v>
      </c>
      <c r="D28" s="245">
        <v>1</v>
      </c>
      <c r="E28" s="6">
        <f t="shared" si="0"/>
        <v>2</v>
      </c>
      <c r="F28" s="272" t="s">
        <v>878</v>
      </c>
      <c r="G28" s="105">
        <v>5</v>
      </c>
      <c r="H28" s="255">
        <v>0</v>
      </c>
      <c r="I28" s="256">
        <v>5</v>
      </c>
      <c r="J28" s="86">
        <f t="shared" si="2"/>
        <v>10</v>
      </c>
      <c r="K28" s="17" t="s">
        <v>849</v>
      </c>
      <c r="L28" s="121">
        <v>1</v>
      </c>
      <c r="M28" s="121">
        <v>2</v>
      </c>
      <c r="N28" s="121">
        <f>(L28/M28)*100</f>
        <v>50</v>
      </c>
      <c r="O28" s="8">
        <v>4</v>
      </c>
      <c r="P28" s="8">
        <v>6</v>
      </c>
      <c r="Q28" s="294">
        <f>SUM(O28/P28)*100</f>
        <v>66.666666666666657</v>
      </c>
      <c r="R28" s="8" t="s">
        <v>43</v>
      </c>
      <c r="S28" s="8" t="s">
        <v>43</v>
      </c>
      <c r="T28" s="8" t="s">
        <v>43</v>
      </c>
      <c r="U28" s="283" t="s">
        <v>43</v>
      </c>
      <c r="V28" s="8" t="s">
        <v>43</v>
      </c>
      <c r="W28" s="8" t="s">
        <v>43</v>
      </c>
      <c r="X28" s="402"/>
      <c r="Y28" s="402"/>
      <c r="Z28" s="402"/>
      <c r="AA28" s="402"/>
      <c r="AB28" s="283" t="s">
        <v>43</v>
      </c>
      <c r="AC28" s="8" t="s">
        <v>43</v>
      </c>
      <c r="AD28" s="8" t="s">
        <v>43</v>
      </c>
      <c r="AE28" s="7" t="s">
        <v>43</v>
      </c>
      <c r="AF28" s="8" t="s">
        <v>43</v>
      </c>
      <c r="AG28" s="8" t="s">
        <v>43</v>
      </c>
      <c r="AH28" s="288"/>
      <c r="AI28" s="288"/>
      <c r="AJ28" s="288"/>
      <c r="AK28" s="288"/>
      <c r="AL28" s="288"/>
    </row>
    <row r="29" spans="1:48" ht="15" customHeight="1" thickBot="1" x14ac:dyDescent="0.3">
      <c r="A29" s="49" t="s">
        <v>72</v>
      </c>
      <c r="B29" s="104">
        <v>0</v>
      </c>
      <c r="C29" s="47">
        <v>0</v>
      </c>
      <c r="D29" s="245">
        <v>0</v>
      </c>
      <c r="E29" s="6">
        <f t="shared" si="0"/>
        <v>0</v>
      </c>
      <c r="F29" s="272" t="s">
        <v>72</v>
      </c>
      <c r="G29" s="105">
        <v>0</v>
      </c>
      <c r="H29" s="255">
        <v>0</v>
      </c>
      <c r="I29" s="256">
        <v>0</v>
      </c>
      <c r="J29" s="86">
        <f t="shared" si="2"/>
        <v>0</v>
      </c>
      <c r="K29" s="17" t="s">
        <v>47</v>
      </c>
      <c r="L29" s="121" t="s">
        <v>43</v>
      </c>
      <c r="M29" s="121" t="s">
        <v>43</v>
      </c>
      <c r="N29" s="121" t="s">
        <v>43</v>
      </c>
      <c r="O29" s="8" t="s">
        <v>43</v>
      </c>
      <c r="P29" s="8" t="s">
        <v>43</v>
      </c>
      <c r="Q29" s="8" t="s">
        <v>43</v>
      </c>
      <c r="R29" s="8" t="s">
        <v>43</v>
      </c>
      <c r="S29" s="8" t="s">
        <v>43</v>
      </c>
      <c r="T29" s="8" t="s">
        <v>43</v>
      </c>
      <c r="U29" s="283" t="s">
        <v>43</v>
      </c>
      <c r="V29" s="8" t="s">
        <v>43</v>
      </c>
      <c r="W29" s="8" t="s">
        <v>43</v>
      </c>
      <c r="X29" s="402"/>
      <c r="Y29" s="402"/>
      <c r="Z29" s="402"/>
      <c r="AA29" s="402"/>
      <c r="AB29" s="283" t="s">
        <v>43</v>
      </c>
      <c r="AC29" s="8" t="s">
        <v>43</v>
      </c>
      <c r="AD29" s="8" t="s">
        <v>43</v>
      </c>
      <c r="AE29" s="7">
        <v>6</v>
      </c>
      <c r="AF29" s="8">
        <v>14</v>
      </c>
      <c r="AG29" s="294">
        <f>SUM(AE29/AF29)*100</f>
        <v>42.857142857142854</v>
      </c>
      <c r="AH29" s="288"/>
      <c r="AI29" s="288"/>
      <c r="AJ29" s="288"/>
      <c r="AK29" s="288"/>
      <c r="AL29" s="288"/>
    </row>
    <row r="30" spans="1:48" ht="15" customHeight="1" thickBot="1" x14ac:dyDescent="0.3">
      <c r="A30" s="49" t="s">
        <v>664</v>
      </c>
      <c r="B30" s="104">
        <v>3</v>
      </c>
      <c r="C30" s="47">
        <v>1</v>
      </c>
      <c r="D30" s="245">
        <v>1</v>
      </c>
      <c r="E30" s="6">
        <f t="shared" si="0"/>
        <v>5</v>
      </c>
      <c r="F30" s="272" t="s">
        <v>664</v>
      </c>
      <c r="G30" s="105">
        <v>15</v>
      </c>
      <c r="H30" s="255">
        <v>5</v>
      </c>
      <c r="I30" s="256">
        <v>5</v>
      </c>
      <c r="J30" s="86">
        <f t="shared" si="2"/>
        <v>25</v>
      </c>
      <c r="K30" s="489" t="s">
        <v>1109</v>
      </c>
      <c r="L30" s="534"/>
      <c r="M30" s="534"/>
      <c r="N30" s="534"/>
      <c r="O30" s="534"/>
      <c r="P30" s="534"/>
      <c r="Q30" s="534"/>
      <c r="R30" s="534"/>
      <c r="S30" s="534"/>
      <c r="T30" s="534"/>
      <c r="U30" s="534"/>
      <c r="V30" s="534"/>
      <c r="W30" s="534"/>
      <c r="X30" s="491"/>
      <c r="Y30" s="491"/>
      <c r="Z30" s="491"/>
      <c r="AO30" s="5"/>
      <c r="AP30" s="5"/>
      <c r="AQ30" s="5"/>
    </row>
    <row r="31" spans="1:48" ht="15" customHeight="1" thickBot="1" x14ac:dyDescent="0.3">
      <c r="A31" s="49" t="s">
        <v>146</v>
      </c>
      <c r="B31" s="104">
        <v>2</v>
      </c>
      <c r="C31" s="47">
        <v>1</v>
      </c>
      <c r="D31" s="245">
        <v>0</v>
      </c>
      <c r="E31" s="6">
        <f t="shared" si="0"/>
        <v>3</v>
      </c>
      <c r="F31" s="272" t="s">
        <v>146</v>
      </c>
      <c r="G31" s="105">
        <v>10</v>
      </c>
      <c r="H31" s="255">
        <v>5</v>
      </c>
      <c r="I31" s="256">
        <v>0</v>
      </c>
      <c r="J31" s="86">
        <f t="shared" si="2"/>
        <v>15</v>
      </c>
      <c r="K31" s="532" t="s">
        <v>1120</v>
      </c>
      <c r="L31" s="533"/>
      <c r="M31" s="533"/>
      <c r="N31" s="533"/>
      <c r="O31" s="533"/>
      <c r="P31" s="533"/>
      <c r="Q31" s="533"/>
      <c r="R31" s="533"/>
      <c r="S31" s="533"/>
      <c r="T31" s="533"/>
      <c r="U31" s="533"/>
      <c r="V31" s="533"/>
      <c r="W31" s="533"/>
      <c r="X31" s="533"/>
      <c r="Y31" s="533"/>
      <c r="Z31" s="533"/>
      <c r="AA31" s="533"/>
      <c r="AO31" s="5"/>
      <c r="AP31" s="5"/>
      <c r="AQ31" s="5"/>
    </row>
    <row r="32" spans="1:48" ht="15" customHeight="1" thickBot="1" x14ac:dyDescent="0.3">
      <c r="A32" s="49" t="s">
        <v>107</v>
      </c>
      <c r="B32" s="104">
        <v>1</v>
      </c>
      <c r="C32" s="47">
        <v>2</v>
      </c>
      <c r="D32" s="245">
        <v>0</v>
      </c>
      <c r="E32" s="6">
        <f t="shared" si="0"/>
        <v>3</v>
      </c>
      <c r="F32" s="272" t="s">
        <v>107</v>
      </c>
      <c r="G32" s="105">
        <v>5</v>
      </c>
      <c r="H32" s="255">
        <v>10</v>
      </c>
      <c r="I32" s="256">
        <v>0</v>
      </c>
      <c r="J32" s="86">
        <f t="shared" si="2"/>
        <v>15</v>
      </c>
      <c r="K32" s="532" t="s">
        <v>1127</v>
      </c>
      <c r="L32" s="533"/>
      <c r="M32" s="533"/>
      <c r="N32" s="533"/>
      <c r="O32" s="533"/>
      <c r="P32" s="533"/>
      <c r="Q32" s="533"/>
      <c r="R32" s="533"/>
      <c r="S32" s="533"/>
      <c r="T32" s="533"/>
      <c r="U32" s="533"/>
      <c r="V32" s="533"/>
      <c r="W32" s="533"/>
      <c r="X32" s="533"/>
      <c r="Y32" s="533"/>
      <c r="Z32" s="533"/>
      <c r="AO32" s="5"/>
      <c r="AP32" s="5"/>
      <c r="AQ32" s="5"/>
      <c r="AR32" s="5"/>
      <c r="AS32" s="5"/>
    </row>
    <row r="33" spans="1:45" ht="15" customHeight="1" thickBot="1" x14ac:dyDescent="0.3">
      <c r="A33" s="49" t="s">
        <v>238</v>
      </c>
      <c r="B33" s="104">
        <v>5</v>
      </c>
      <c r="C33" s="47">
        <v>2</v>
      </c>
      <c r="D33" s="245">
        <v>0</v>
      </c>
      <c r="E33" s="6">
        <f t="shared" si="0"/>
        <v>7</v>
      </c>
      <c r="F33" s="272" t="s">
        <v>238</v>
      </c>
      <c r="G33" s="105">
        <v>25</v>
      </c>
      <c r="H33" s="255">
        <v>10</v>
      </c>
      <c r="I33" s="256">
        <v>0</v>
      </c>
      <c r="J33" s="86">
        <f t="shared" si="2"/>
        <v>35</v>
      </c>
      <c r="K33" t="s">
        <v>1143</v>
      </c>
      <c r="AC33" t="s">
        <v>72</v>
      </c>
    </row>
    <row r="34" spans="1:45" ht="15" customHeight="1" thickBot="1" x14ac:dyDescent="0.3">
      <c r="A34" s="49" t="s">
        <v>6</v>
      </c>
      <c r="B34" s="104">
        <v>2</v>
      </c>
      <c r="C34" s="47">
        <v>1</v>
      </c>
      <c r="D34" s="245">
        <v>0</v>
      </c>
      <c r="E34" s="6">
        <f t="shared" si="0"/>
        <v>3</v>
      </c>
      <c r="F34" s="272" t="s">
        <v>6</v>
      </c>
      <c r="G34" s="105">
        <v>14</v>
      </c>
      <c r="H34" s="255">
        <v>7</v>
      </c>
      <c r="I34" s="256">
        <v>0</v>
      </c>
      <c r="J34" s="86">
        <f t="shared" si="2"/>
        <v>21</v>
      </c>
    </row>
    <row r="35" spans="1:45" ht="15" customHeight="1" thickBot="1" x14ac:dyDescent="0.3">
      <c r="A35" s="49" t="s">
        <v>1121</v>
      </c>
      <c r="B35" s="104">
        <v>0</v>
      </c>
      <c r="C35" s="47">
        <v>0</v>
      </c>
      <c r="D35" s="245">
        <v>2</v>
      </c>
      <c r="E35" s="6">
        <f t="shared" si="0"/>
        <v>2</v>
      </c>
      <c r="F35" s="272" t="s">
        <v>1121</v>
      </c>
      <c r="G35" s="105">
        <v>0</v>
      </c>
      <c r="H35" s="255">
        <v>0</v>
      </c>
      <c r="I35" s="256">
        <v>10</v>
      </c>
      <c r="J35" s="86">
        <f t="shared" si="2"/>
        <v>10</v>
      </c>
    </row>
    <row r="36" spans="1:45" ht="15" customHeight="1" thickBot="1" x14ac:dyDescent="0.3">
      <c r="A36" s="49" t="s">
        <v>147</v>
      </c>
      <c r="B36" s="104">
        <v>0</v>
      </c>
      <c r="C36" s="47">
        <v>0</v>
      </c>
      <c r="D36" s="245">
        <v>1</v>
      </c>
      <c r="E36" s="6">
        <f t="shared" si="0"/>
        <v>1</v>
      </c>
      <c r="F36" s="272" t="s">
        <v>147</v>
      </c>
      <c r="G36" s="105">
        <v>0</v>
      </c>
      <c r="H36" s="255">
        <v>0</v>
      </c>
      <c r="I36" s="256">
        <v>5</v>
      </c>
      <c r="J36" s="86">
        <f t="shared" si="2"/>
        <v>5</v>
      </c>
      <c r="AR36" s="5"/>
      <c r="AS36" s="5"/>
    </row>
    <row r="37" spans="1:45" ht="15" customHeight="1" thickBot="1" x14ac:dyDescent="0.3">
      <c r="A37" s="49" t="s">
        <v>219</v>
      </c>
      <c r="B37" s="104">
        <v>2</v>
      </c>
      <c r="C37" s="47">
        <v>2</v>
      </c>
      <c r="D37" s="245">
        <v>0</v>
      </c>
      <c r="E37" s="6">
        <f t="shared" si="0"/>
        <v>4</v>
      </c>
      <c r="F37" s="272" t="s">
        <v>219</v>
      </c>
      <c r="G37" s="105">
        <v>157</v>
      </c>
      <c r="H37" s="255">
        <v>95</v>
      </c>
      <c r="I37" s="256">
        <v>24</v>
      </c>
      <c r="J37" s="86">
        <f t="shared" si="2"/>
        <v>276</v>
      </c>
      <c r="AO37" s="5"/>
      <c r="AP37" s="5"/>
      <c r="AQ37" s="5"/>
      <c r="AR37" s="5"/>
      <c r="AS37" s="5"/>
    </row>
    <row r="38" spans="1:45" ht="15" customHeight="1" thickBot="1" x14ac:dyDescent="0.3">
      <c r="A38" s="49" t="s">
        <v>220</v>
      </c>
      <c r="B38" s="104">
        <v>10</v>
      </c>
      <c r="C38" s="47">
        <v>8</v>
      </c>
      <c r="D38" s="245">
        <v>1</v>
      </c>
      <c r="E38" s="6">
        <f t="shared" si="0"/>
        <v>19</v>
      </c>
      <c r="F38" s="272" t="s">
        <v>220</v>
      </c>
      <c r="G38" s="105">
        <v>50</v>
      </c>
      <c r="H38" s="255">
        <v>40</v>
      </c>
      <c r="I38" s="256">
        <v>5</v>
      </c>
      <c r="J38" s="86">
        <f t="shared" si="2"/>
        <v>95</v>
      </c>
    </row>
    <row r="39" spans="1:45" ht="15" customHeight="1" thickBot="1" x14ac:dyDescent="0.3">
      <c r="A39" s="49" t="s">
        <v>849</v>
      </c>
      <c r="B39" s="104">
        <v>0</v>
      </c>
      <c r="C39" s="47">
        <v>0</v>
      </c>
      <c r="D39" s="245">
        <v>0</v>
      </c>
      <c r="E39" s="6">
        <f t="shared" si="0"/>
        <v>0</v>
      </c>
      <c r="F39" s="272" t="s">
        <v>849</v>
      </c>
      <c r="G39" s="105">
        <v>6</v>
      </c>
      <c r="H39" s="255">
        <v>0</v>
      </c>
      <c r="I39" s="256">
        <v>4</v>
      </c>
      <c r="J39" s="86">
        <f t="shared" si="2"/>
        <v>10</v>
      </c>
      <c r="AR39" s="5"/>
      <c r="AS39" s="5"/>
    </row>
    <row r="40" spans="1:45" ht="15" customHeight="1" thickBot="1" x14ac:dyDescent="0.3">
      <c r="A40" s="49" t="s">
        <v>736</v>
      </c>
      <c r="B40" s="104">
        <v>0</v>
      </c>
      <c r="C40" s="47">
        <v>0</v>
      </c>
      <c r="D40" s="245">
        <v>1</v>
      </c>
      <c r="E40" s="6">
        <f t="shared" si="0"/>
        <v>1</v>
      </c>
      <c r="F40" s="272" t="s">
        <v>736</v>
      </c>
      <c r="G40" s="105">
        <v>0</v>
      </c>
      <c r="H40" s="255">
        <v>0</v>
      </c>
      <c r="I40" s="256">
        <v>5</v>
      </c>
      <c r="J40" s="86">
        <f t="shared" si="2"/>
        <v>5</v>
      </c>
      <c r="AR40" s="5"/>
      <c r="AS40" s="5"/>
    </row>
    <row r="41" spans="1:45" ht="15" customHeight="1" thickBot="1" x14ac:dyDescent="0.3">
      <c r="A41" s="49" t="s">
        <v>47</v>
      </c>
      <c r="B41" s="104">
        <v>1</v>
      </c>
      <c r="C41" s="47">
        <v>3</v>
      </c>
      <c r="D41" s="245">
        <v>0</v>
      </c>
      <c r="E41" s="6">
        <f t="shared" si="0"/>
        <v>4</v>
      </c>
      <c r="F41" s="272" t="s">
        <v>47</v>
      </c>
      <c r="G41" s="105">
        <v>5</v>
      </c>
      <c r="H41" s="255">
        <v>15</v>
      </c>
      <c r="I41" s="256">
        <v>0</v>
      </c>
      <c r="J41" s="86">
        <f t="shared" si="2"/>
        <v>20</v>
      </c>
      <c r="AO41" s="5"/>
      <c r="AP41" s="5"/>
      <c r="AQ41" s="5"/>
    </row>
    <row r="42" spans="1:45" ht="15" customHeight="1" thickBot="1" x14ac:dyDescent="0.3">
      <c r="A42" s="49" t="s">
        <v>1241</v>
      </c>
      <c r="B42" s="104">
        <v>1</v>
      </c>
      <c r="C42" s="47">
        <v>0</v>
      </c>
      <c r="D42" s="245">
        <v>0</v>
      </c>
      <c r="E42" s="6">
        <f t="shared" si="0"/>
        <v>1</v>
      </c>
      <c r="F42" s="272" t="s">
        <v>1241</v>
      </c>
      <c r="G42" s="105">
        <v>5</v>
      </c>
      <c r="H42" s="255">
        <v>0</v>
      </c>
      <c r="I42" s="256">
        <v>0</v>
      </c>
      <c r="J42" s="86">
        <f t="shared" si="2"/>
        <v>5</v>
      </c>
      <c r="AO42" s="5"/>
      <c r="AP42" s="5"/>
      <c r="AQ42" s="5"/>
    </row>
    <row r="43" spans="1:45" ht="15" customHeight="1" thickBot="1" x14ac:dyDescent="0.3">
      <c r="A43" s="49" t="s">
        <v>13</v>
      </c>
      <c r="B43" s="104">
        <v>0</v>
      </c>
      <c r="C43" s="47">
        <v>0</v>
      </c>
      <c r="D43" s="245">
        <v>0</v>
      </c>
      <c r="E43" s="6">
        <f t="shared" si="0"/>
        <v>0</v>
      </c>
      <c r="F43" s="272" t="s">
        <v>13</v>
      </c>
      <c r="G43" s="105">
        <v>82</v>
      </c>
      <c r="H43" s="255">
        <v>6</v>
      </c>
      <c r="I43" s="256">
        <v>10</v>
      </c>
      <c r="J43" s="86">
        <f t="shared" si="2"/>
        <v>98</v>
      </c>
    </row>
    <row r="44" spans="1:45" ht="15" customHeight="1" thickBot="1" x14ac:dyDescent="0.3">
      <c r="A44" s="49" t="s">
        <v>1012</v>
      </c>
      <c r="B44" s="104">
        <v>0</v>
      </c>
      <c r="C44" s="47">
        <v>0</v>
      </c>
      <c r="D44" s="245">
        <v>1</v>
      </c>
      <c r="E44" s="6">
        <f t="shared" ref="E44" si="16">SUM(B44:D44)</f>
        <v>1</v>
      </c>
      <c r="F44" s="272" t="s">
        <v>1012</v>
      </c>
      <c r="G44" s="105">
        <v>0</v>
      </c>
      <c r="H44" s="255">
        <v>0</v>
      </c>
      <c r="I44" s="256">
        <v>5</v>
      </c>
      <c r="J44" s="86">
        <f t="shared" ref="J44" si="17">SUM(G44:I44)</f>
        <v>5</v>
      </c>
      <c r="AO44" s="5"/>
      <c r="AP44" s="5"/>
      <c r="AQ44" s="5"/>
    </row>
    <row r="45" spans="1:45" ht="15" customHeight="1" thickBot="1" x14ac:dyDescent="0.3">
      <c r="A45" s="49" t="s">
        <v>72</v>
      </c>
      <c r="B45" s="104">
        <v>0</v>
      </c>
      <c r="C45" s="47">
        <v>0</v>
      </c>
      <c r="D45" s="245">
        <v>0</v>
      </c>
      <c r="E45" s="6">
        <f t="shared" si="0"/>
        <v>0</v>
      </c>
      <c r="F45" s="272" t="s">
        <v>72</v>
      </c>
      <c r="G45" s="105">
        <v>0</v>
      </c>
      <c r="H45" s="255">
        <v>0</v>
      </c>
      <c r="I45" s="256">
        <v>0</v>
      </c>
      <c r="J45" s="86">
        <f t="shared" si="2"/>
        <v>0</v>
      </c>
      <c r="AO45" s="5"/>
      <c r="AP45" s="5"/>
      <c r="AQ45" s="5"/>
    </row>
    <row r="46" spans="1:45" ht="15" customHeight="1" thickBot="1" x14ac:dyDescent="0.3">
      <c r="A46" s="49" t="s">
        <v>106</v>
      </c>
      <c r="B46" s="104">
        <v>2</v>
      </c>
      <c r="C46" s="47">
        <v>0</v>
      </c>
      <c r="D46" s="245">
        <v>0</v>
      </c>
      <c r="E46" s="6">
        <f t="shared" si="0"/>
        <v>2</v>
      </c>
      <c r="F46" s="272" t="s">
        <v>106</v>
      </c>
      <c r="G46" s="105">
        <v>10</v>
      </c>
      <c r="H46" s="255">
        <v>0</v>
      </c>
      <c r="I46" s="256">
        <v>0</v>
      </c>
      <c r="J46" s="86">
        <f t="shared" si="2"/>
        <v>10</v>
      </c>
    </row>
    <row r="47" spans="1:45" ht="15" customHeight="1" thickBot="1" x14ac:dyDescent="0.3">
      <c r="A47" s="49" t="s">
        <v>109</v>
      </c>
      <c r="B47" s="104">
        <v>1</v>
      </c>
      <c r="C47" s="47">
        <v>1</v>
      </c>
      <c r="D47" s="245">
        <v>0</v>
      </c>
      <c r="E47" s="6">
        <f t="shared" si="0"/>
        <v>2</v>
      </c>
      <c r="F47" s="272" t="s">
        <v>109</v>
      </c>
      <c r="G47" s="105">
        <v>5</v>
      </c>
      <c r="H47" s="255">
        <v>5</v>
      </c>
      <c r="I47" s="256">
        <v>0</v>
      </c>
      <c r="J47" s="86">
        <f t="shared" si="2"/>
        <v>10</v>
      </c>
    </row>
    <row r="48" spans="1:45" ht="15" customHeight="1" thickBot="1" x14ac:dyDescent="0.3">
      <c r="A48" s="49" t="s">
        <v>72</v>
      </c>
      <c r="B48" s="104">
        <v>0</v>
      </c>
      <c r="C48" s="47">
        <v>0</v>
      </c>
      <c r="D48" s="245">
        <v>0</v>
      </c>
      <c r="E48" s="6">
        <f t="shared" si="0"/>
        <v>0</v>
      </c>
      <c r="F48" s="272" t="s">
        <v>72</v>
      </c>
      <c r="G48" s="105">
        <v>0</v>
      </c>
      <c r="H48" s="255">
        <v>0</v>
      </c>
      <c r="I48" s="256">
        <v>0</v>
      </c>
      <c r="J48" s="86">
        <f t="shared" si="2"/>
        <v>0</v>
      </c>
    </row>
    <row r="49" spans="1:10" ht="15" customHeight="1" thickBot="1" x14ac:dyDescent="0.3">
      <c r="A49" s="49" t="s">
        <v>278</v>
      </c>
      <c r="B49" s="104">
        <v>2</v>
      </c>
      <c r="C49" s="47">
        <v>1</v>
      </c>
      <c r="D49" s="245">
        <v>0</v>
      </c>
      <c r="E49" s="6">
        <f t="shared" si="0"/>
        <v>3</v>
      </c>
      <c r="F49" s="272" t="s">
        <v>278</v>
      </c>
      <c r="G49" s="105">
        <v>10</v>
      </c>
      <c r="H49" s="255">
        <v>5</v>
      </c>
      <c r="I49" s="256">
        <v>0</v>
      </c>
      <c r="J49" s="86">
        <f t="shared" si="2"/>
        <v>15</v>
      </c>
    </row>
    <row r="50" spans="1:10" ht="15" customHeight="1" thickBot="1" x14ac:dyDescent="0.3">
      <c r="A50" s="49" t="s">
        <v>46</v>
      </c>
      <c r="B50" s="104">
        <v>1</v>
      </c>
      <c r="C50" s="47">
        <v>0</v>
      </c>
      <c r="D50" s="245">
        <v>0</v>
      </c>
      <c r="E50" s="6">
        <f t="shared" si="0"/>
        <v>1</v>
      </c>
      <c r="F50" s="272" t="s">
        <v>46</v>
      </c>
      <c r="G50" s="105">
        <v>5</v>
      </c>
      <c r="H50" s="255">
        <v>0</v>
      </c>
      <c r="I50" s="256">
        <v>0</v>
      </c>
      <c r="J50" s="86">
        <f t="shared" si="2"/>
        <v>5</v>
      </c>
    </row>
    <row r="51" spans="1:10" ht="15" customHeight="1" thickBot="1" x14ac:dyDescent="0.3">
      <c r="A51" s="49" t="s">
        <v>8</v>
      </c>
      <c r="B51" s="104">
        <v>1</v>
      </c>
      <c r="C51" s="47">
        <v>3</v>
      </c>
      <c r="D51" s="245">
        <v>1</v>
      </c>
      <c r="E51" s="6">
        <f t="shared" si="0"/>
        <v>5</v>
      </c>
      <c r="F51" s="272" t="s">
        <v>8</v>
      </c>
      <c r="G51" s="105">
        <v>5</v>
      </c>
      <c r="H51" s="255">
        <v>15</v>
      </c>
      <c r="I51" s="256">
        <v>5</v>
      </c>
      <c r="J51" s="86">
        <f t="shared" si="2"/>
        <v>25</v>
      </c>
    </row>
    <row r="52" spans="1:10" ht="15" customHeight="1" thickBot="1" x14ac:dyDescent="0.3">
      <c r="A52" s="49" t="s">
        <v>1221</v>
      </c>
      <c r="B52" s="104">
        <v>2</v>
      </c>
      <c r="C52" s="47">
        <v>0</v>
      </c>
      <c r="D52" s="245">
        <v>0</v>
      </c>
      <c r="E52" s="6">
        <f t="shared" si="0"/>
        <v>2</v>
      </c>
      <c r="F52" s="272" t="s">
        <v>1221</v>
      </c>
      <c r="G52" s="105">
        <v>10</v>
      </c>
      <c r="H52" s="255">
        <v>0</v>
      </c>
      <c r="I52" s="256">
        <v>0</v>
      </c>
      <c r="J52" s="86">
        <f t="shared" si="2"/>
        <v>10</v>
      </c>
    </row>
    <row r="53" spans="1:10" ht="15" customHeight="1" thickBot="1" x14ac:dyDescent="0.3">
      <c r="A53" s="49" t="s">
        <v>82</v>
      </c>
      <c r="B53" s="104">
        <v>2</v>
      </c>
      <c r="C53" s="47">
        <v>0</v>
      </c>
      <c r="D53" s="245">
        <v>2</v>
      </c>
      <c r="E53" s="6">
        <f t="shared" si="0"/>
        <v>4</v>
      </c>
      <c r="F53" s="272" t="s">
        <v>82</v>
      </c>
      <c r="G53" s="105">
        <v>10</v>
      </c>
      <c r="H53" s="255">
        <v>0</v>
      </c>
      <c r="I53" s="256">
        <v>10</v>
      </c>
      <c r="J53" s="86">
        <f t="shared" si="2"/>
        <v>20</v>
      </c>
    </row>
    <row r="54" spans="1:10" ht="15.75" thickBot="1" x14ac:dyDescent="0.3">
      <c r="A54" s="49" t="s">
        <v>959</v>
      </c>
      <c r="B54" s="104">
        <v>0</v>
      </c>
      <c r="C54" s="47">
        <v>0</v>
      </c>
      <c r="D54" s="245">
        <v>1</v>
      </c>
      <c r="E54" s="6">
        <f t="shared" si="0"/>
        <v>1</v>
      </c>
      <c r="F54" s="272" t="s">
        <v>959</v>
      </c>
      <c r="G54" s="105">
        <v>0</v>
      </c>
      <c r="H54" s="255">
        <v>0</v>
      </c>
      <c r="I54" s="256">
        <v>5</v>
      </c>
      <c r="J54" s="86">
        <f t="shared" si="2"/>
        <v>5</v>
      </c>
    </row>
    <row r="55" spans="1:10" ht="15.75" thickBot="1" x14ac:dyDescent="0.3">
      <c r="A55" s="49" t="s">
        <v>988</v>
      </c>
      <c r="B55" s="104">
        <v>4</v>
      </c>
      <c r="C55" s="47">
        <v>3</v>
      </c>
      <c r="D55" s="245">
        <v>2</v>
      </c>
      <c r="E55" s="6">
        <f t="shared" ref="E55" si="18">SUM(B55:D55)</f>
        <v>9</v>
      </c>
      <c r="F55" s="272" t="s">
        <v>988</v>
      </c>
      <c r="G55" s="105">
        <v>20</v>
      </c>
      <c r="H55" s="255">
        <v>15</v>
      </c>
      <c r="I55" s="256">
        <v>10</v>
      </c>
      <c r="J55" s="86">
        <f t="shared" ref="J55" si="19">SUM(G55:I55)</f>
        <v>45</v>
      </c>
    </row>
    <row r="56" spans="1:10" ht="15.75" thickBot="1" x14ac:dyDescent="0.3">
      <c r="A56" s="49" t="s">
        <v>94</v>
      </c>
      <c r="B56" s="104">
        <v>0</v>
      </c>
      <c r="C56" s="47">
        <v>0</v>
      </c>
      <c r="D56" s="245">
        <v>0</v>
      </c>
      <c r="E56" s="6">
        <f t="shared" si="0"/>
        <v>0</v>
      </c>
      <c r="F56" s="272" t="s">
        <v>94</v>
      </c>
      <c r="G56" s="105">
        <v>0</v>
      </c>
      <c r="H56" s="255">
        <v>0</v>
      </c>
      <c r="I56" s="256">
        <v>0</v>
      </c>
      <c r="J56" s="86">
        <f t="shared" si="2"/>
        <v>0</v>
      </c>
    </row>
    <row r="57" spans="1:10" ht="15.75" thickBot="1" x14ac:dyDescent="0.3">
      <c r="A57" s="49" t="s">
        <v>3</v>
      </c>
      <c r="B57" s="104">
        <f>SUM(B3:B56)</f>
        <v>89</v>
      </c>
      <c r="C57" s="47">
        <f>SUM(C3:C56)</f>
        <v>38</v>
      </c>
      <c r="D57" s="245">
        <f>SUM(D3:D56)</f>
        <v>19</v>
      </c>
      <c r="E57" s="6">
        <f>SUM(E3:E56)</f>
        <v>146</v>
      </c>
      <c r="F57" s="272" t="s">
        <v>3</v>
      </c>
      <c r="G57" s="105">
        <f>SUM(G3:G56)</f>
        <v>684</v>
      </c>
      <c r="H57" s="255">
        <f>SUM(H3:H56)</f>
        <v>283</v>
      </c>
      <c r="I57" s="256">
        <f>SUM(I3:I56)</f>
        <v>133</v>
      </c>
      <c r="J57" s="86">
        <f>SUM(J3:J56)</f>
        <v>1100</v>
      </c>
    </row>
    <row r="58" spans="1:10" ht="15.75" x14ac:dyDescent="0.25">
      <c r="B58" s="199"/>
      <c r="F58" s="44"/>
      <c r="G58" s="202"/>
      <c r="H58" s="45"/>
      <c r="I58" s="45"/>
      <c r="J58" s="46"/>
    </row>
    <row r="59" spans="1:10" ht="15.75" thickBot="1" x14ac:dyDescent="0.3">
      <c r="A59" t="s">
        <v>39</v>
      </c>
      <c r="B59" s="199"/>
      <c r="F59" s="97"/>
      <c r="G59" s="203"/>
      <c r="H59" s="97"/>
      <c r="I59" s="97"/>
      <c r="J59" s="97"/>
    </row>
    <row r="60" spans="1:10" ht="15.75" thickBot="1" x14ac:dyDescent="0.3">
      <c r="A60" s="152" t="s">
        <v>0</v>
      </c>
      <c r="B60" s="169" t="s">
        <v>305</v>
      </c>
      <c r="C60" s="153" t="s">
        <v>99</v>
      </c>
      <c r="D60" s="244" t="s">
        <v>306</v>
      </c>
      <c r="E60" s="154" t="s">
        <v>1</v>
      </c>
      <c r="F60" s="271" t="s">
        <v>2</v>
      </c>
      <c r="G60" s="160" t="s">
        <v>305</v>
      </c>
      <c r="H60" s="259" t="s">
        <v>99</v>
      </c>
      <c r="I60" s="260" t="s">
        <v>306</v>
      </c>
      <c r="J60" s="161" t="s">
        <v>1</v>
      </c>
    </row>
    <row r="61" spans="1:10" ht="15.75" thickBot="1" x14ac:dyDescent="0.3">
      <c r="A61" s="49" t="s">
        <v>220</v>
      </c>
      <c r="B61" s="104">
        <v>10</v>
      </c>
      <c r="C61" s="47">
        <v>8</v>
      </c>
      <c r="D61" s="245">
        <v>1</v>
      </c>
      <c r="E61" s="6">
        <f t="shared" ref="E61:E92" si="20">SUM(B61:D61)</f>
        <v>19</v>
      </c>
      <c r="F61" s="272" t="s">
        <v>219</v>
      </c>
      <c r="G61" s="105">
        <v>157</v>
      </c>
      <c r="H61" s="255">
        <v>95</v>
      </c>
      <c r="I61" s="256">
        <v>24</v>
      </c>
      <c r="J61" s="86">
        <f t="shared" ref="J61:J92" si="21">SUM(G61:I61)</f>
        <v>276</v>
      </c>
    </row>
    <row r="62" spans="1:10" ht="15.75" thickBot="1" x14ac:dyDescent="0.3">
      <c r="A62" s="49" t="s">
        <v>144</v>
      </c>
      <c r="B62" s="104">
        <v>10</v>
      </c>
      <c r="C62" s="47">
        <v>2</v>
      </c>
      <c r="D62" s="245">
        <v>1</v>
      </c>
      <c r="E62" s="6">
        <f t="shared" si="20"/>
        <v>13</v>
      </c>
      <c r="F62" s="272" t="s">
        <v>13</v>
      </c>
      <c r="G62" s="105">
        <v>82</v>
      </c>
      <c r="H62" s="255">
        <v>6</v>
      </c>
      <c r="I62" s="256">
        <v>10</v>
      </c>
      <c r="J62" s="86">
        <f t="shared" si="21"/>
        <v>98</v>
      </c>
    </row>
    <row r="63" spans="1:10" ht="15.75" thickBot="1" x14ac:dyDescent="0.3">
      <c r="A63" s="49" t="s">
        <v>104</v>
      </c>
      <c r="B63" s="104">
        <v>6</v>
      </c>
      <c r="C63" s="47">
        <v>3</v>
      </c>
      <c r="D63" s="245">
        <v>0</v>
      </c>
      <c r="E63" s="6">
        <f t="shared" si="20"/>
        <v>9</v>
      </c>
      <c r="F63" s="272" t="s">
        <v>220</v>
      </c>
      <c r="G63" s="105">
        <v>50</v>
      </c>
      <c r="H63" s="255">
        <v>40</v>
      </c>
      <c r="I63" s="256">
        <v>5</v>
      </c>
      <c r="J63" s="86">
        <f t="shared" si="21"/>
        <v>95</v>
      </c>
    </row>
    <row r="64" spans="1:10" ht="15.75" thickBot="1" x14ac:dyDescent="0.3">
      <c r="A64" s="49" t="s">
        <v>988</v>
      </c>
      <c r="B64" s="104">
        <v>4</v>
      </c>
      <c r="C64" s="47">
        <v>3</v>
      </c>
      <c r="D64" s="245">
        <v>2</v>
      </c>
      <c r="E64" s="6">
        <f t="shared" si="20"/>
        <v>9</v>
      </c>
      <c r="F64" s="272" t="s">
        <v>144</v>
      </c>
      <c r="G64" s="105">
        <v>50</v>
      </c>
      <c r="H64" s="255">
        <v>10</v>
      </c>
      <c r="I64" s="256">
        <v>5</v>
      </c>
      <c r="J64" s="86">
        <f t="shared" si="21"/>
        <v>65</v>
      </c>
    </row>
    <row r="65" spans="1:10" ht="15.75" thickBot="1" x14ac:dyDescent="0.3">
      <c r="A65" s="49" t="s">
        <v>238</v>
      </c>
      <c r="B65" s="104">
        <v>5</v>
      </c>
      <c r="C65" s="47">
        <v>2</v>
      </c>
      <c r="D65" s="245">
        <v>0</v>
      </c>
      <c r="E65" s="6">
        <f t="shared" si="20"/>
        <v>7</v>
      </c>
      <c r="F65" s="272" t="s">
        <v>104</v>
      </c>
      <c r="G65" s="105">
        <v>30</v>
      </c>
      <c r="H65" s="255">
        <v>15</v>
      </c>
      <c r="I65" s="256">
        <v>0</v>
      </c>
      <c r="J65" s="86">
        <f t="shared" si="21"/>
        <v>45</v>
      </c>
    </row>
    <row r="66" spans="1:10" ht="15.75" thickBot="1" x14ac:dyDescent="0.3">
      <c r="A66" s="49" t="s">
        <v>1064</v>
      </c>
      <c r="B66" s="104">
        <v>5</v>
      </c>
      <c r="C66" s="47">
        <v>1</v>
      </c>
      <c r="D66" s="245">
        <v>0</v>
      </c>
      <c r="E66" s="6">
        <f t="shared" si="20"/>
        <v>6</v>
      </c>
      <c r="F66" s="272" t="s">
        <v>988</v>
      </c>
      <c r="G66" s="105">
        <v>20</v>
      </c>
      <c r="H66" s="255">
        <v>15</v>
      </c>
      <c r="I66" s="256">
        <v>10</v>
      </c>
      <c r="J66" s="86">
        <f t="shared" si="21"/>
        <v>45</v>
      </c>
    </row>
    <row r="67" spans="1:10" ht="15.75" thickBot="1" x14ac:dyDescent="0.3">
      <c r="A67" s="49" t="s">
        <v>664</v>
      </c>
      <c r="B67" s="104">
        <v>3</v>
      </c>
      <c r="C67" s="47">
        <v>1</v>
      </c>
      <c r="D67" s="245">
        <v>1</v>
      </c>
      <c r="E67" s="6">
        <f t="shared" si="20"/>
        <v>5</v>
      </c>
      <c r="F67" s="272" t="s">
        <v>238</v>
      </c>
      <c r="G67" s="105">
        <v>25</v>
      </c>
      <c r="H67" s="255">
        <v>10</v>
      </c>
      <c r="I67" s="256">
        <v>0</v>
      </c>
      <c r="J67" s="86">
        <f t="shared" si="21"/>
        <v>35</v>
      </c>
    </row>
    <row r="68" spans="1:10" ht="15.75" thickBot="1" x14ac:dyDescent="0.3">
      <c r="A68" s="49" t="s">
        <v>8</v>
      </c>
      <c r="B68" s="104">
        <v>1</v>
      </c>
      <c r="C68" s="47">
        <v>3</v>
      </c>
      <c r="D68" s="245">
        <v>1</v>
      </c>
      <c r="E68" s="6">
        <f t="shared" si="20"/>
        <v>5</v>
      </c>
      <c r="F68" s="272" t="s">
        <v>1064</v>
      </c>
      <c r="G68" s="105">
        <v>25</v>
      </c>
      <c r="H68" s="255">
        <v>5</v>
      </c>
      <c r="I68" s="256">
        <v>0</v>
      </c>
      <c r="J68" s="86">
        <f t="shared" si="21"/>
        <v>30</v>
      </c>
    </row>
    <row r="69" spans="1:10" ht="15.75" thickBot="1" x14ac:dyDescent="0.3">
      <c r="A69" s="49" t="s">
        <v>191</v>
      </c>
      <c r="B69" s="104">
        <v>2</v>
      </c>
      <c r="C69" s="47">
        <v>1</v>
      </c>
      <c r="D69" s="245">
        <v>1</v>
      </c>
      <c r="E69" s="6">
        <f t="shared" si="20"/>
        <v>4</v>
      </c>
      <c r="F69" s="272" t="s">
        <v>664</v>
      </c>
      <c r="G69" s="105">
        <v>15</v>
      </c>
      <c r="H69" s="255">
        <v>5</v>
      </c>
      <c r="I69" s="256">
        <v>5</v>
      </c>
      <c r="J69" s="86">
        <f t="shared" si="21"/>
        <v>25</v>
      </c>
    </row>
    <row r="70" spans="1:10" ht="15.75" thickBot="1" x14ac:dyDescent="0.3">
      <c r="A70" s="49" t="s">
        <v>143</v>
      </c>
      <c r="B70" s="104">
        <v>3</v>
      </c>
      <c r="C70" s="47">
        <v>0</v>
      </c>
      <c r="D70" s="245">
        <v>1</v>
      </c>
      <c r="E70" s="6">
        <f t="shared" si="20"/>
        <v>4</v>
      </c>
      <c r="F70" s="272" t="s">
        <v>8</v>
      </c>
      <c r="G70" s="105">
        <v>5</v>
      </c>
      <c r="H70" s="255">
        <v>15</v>
      </c>
      <c r="I70" s="256">
        <v>5</v>
      </c>
      <c r="J70" s="86">
        <f t="shared" si="21"/>
        <v>25</v>
      </c>
    </row>
    <row r="71" spans="1:10" ht="15.75" thickBot="1" x14ac:dyDescent="0.3">
      <c r="A71" s="49" t="s">
        <v>1094</v>
      </c>
      <c r="B71" s="104">
        <v>4</v>
      </c>
      <c r="C71" s="47">
        <v>0</v>
      </c>
      <c r="D71" s="245">
        <v>0</v>
      </c>
      <c r="E71" s="6">
        <f t="shared" si="20"/>
        <v>4</v>
      </c>
      <c r="F71" s="272" t="s">
        <v>6</v>
      </c>
      <c r="G71" s="105">
        <v>14</v>
      </c>
      <c r="H71" s="255">
        <v>7</v>
      </c>
      <c r="I71" s="256">
        <v>0</v>
      </c>
      <c r="J71" s="86">
        <f t="shared" si="21"/>
        <v>21</v>
      </c>
    </row>
    <row r="72" spans="1:10" ht="15.75" thickBot="1" x14ac:dyDescent="0.3">
      <c r="A72" s="49" t="s">
        <v>90</v>
      </c>
      <c r="B72" s="104">
        <v>1</v>
      </c>
      <c r="C72" s="47">
        <v>2</v>
      </c>
      <c r="D72" s="245">
        <v>1</v>
      </c>
      <c r="E72" s="6">
        <f t="shared" si="20"/>
        <v>4</v>
      </c>
      <c r="F72" s="272" t="s">
        <v>191</v>
      </c>
      <c r="G72" s="105">
        <v>10</v>
      </c>
      <c r="H72" s="255">
        <v>5</v>
      </c>
      <c r="I72" s="256">
        <v>5</v>
      </c>
      <c r="J72" s="86">
        <f t="shared" si="21"/>
        <v>20</v>
      </c>
    </row>
    <row r="73" spans="1:10" ht="15.75" thickBot="1" x14ac:dyDescent="0.3">
      <c r="A73" s="49" t="s">
        <v>219</v>
      </c>
      <c r="B73" s="104">
        <v>2</v>
      </c>
      <c r="C73" s="47">
        <v>2</v>
      </c>
      <c r="D73" s="245">
        <v>0</v>
      </c>
      <c r="E73" s="6">
        <f t="shared" si="20"/>
        <v>4</v>
      </c>
      <c r="F73" s="272" t="s">
        <v>143</v>
      </c>
      <c r="G73" s="105">
        <v>15</v>
      </c>
      <c r="H73" s="255">
        <v>0</v>
      </c>
      <c r="I73" s="256">
        <v>5</v>
      </c>
      <c r="J73" s="86">
        <f t="shared" si="21"/>
        <v>20</v>
      </c>
    </row>
    <row r="74" spans="1:10" ht="15.75" thickBot="1" x14ac:dyDescent="0.3">
      <c r="A74" s="49" t="s">
        <v>47</v>
      </c>
      <c r="B74" s="104">
        <v>1</v>
      </c>
      <c r="C74" s="47">
        <v>3</v>
      </c>
      <c r="D74" s="245">
        <v>0</v>
      </c>
      <c r="E74" s="6">
        <f t="shared" si="20"/>
        <v>4</v>
      </c>
      <c r="F74" s="272" t="s">
        <v>1094</v>
      </c>
      <c r="G74" s="105">
        <v>20</v>
      </c>
      <c r="H74" s="255">
        <v>0</v>
      </c>
      <c r="I74" s="256">
        <v>0</v>
      </c>
      <c r="J74" s="86">
        <f t="shared" si="21"/>
        <v>20</v>
      </c>
    </row>
    <row r="75" spans="1:10" ht="15.75" thickBot="1" x14ac:dyDescent="0.3">
      <c r="A75" s="49" t="s">
        <v>82</v>
      </c>
      <c r="B75" s="104">
        <v>2</v>
      </c>
      <c r="C75" s="47">
        <v>0</v>
      </c>
      <c r="D75" s="245">
        <v>2</v>
      </c>
      <c r="E75" s="6">
        <f t="shared" si="20"/>
        <v>4</v>
      </c>
      <c r="F75" s="272" t="s">
        <v>90</v>
      </c>
      <c r="G75" s="105">
        <v>5</v>
      </c>
      <c r="H75" s="255">
        <v>10</v>
      </c>
      <c r="I75" s="256">
        <v>5</v>
      </c>
      <c r="J75" s="86">
        <f t="shared" si="21"/>
        <v>20</v>
      </c>
    </row>
    <row r="76" spans="1:10" ht="15.75" thickBot="1" x14ac:dyDescent="0.3">
      <c r="A76" s="49" t="s">
        <v>192</v>
      </c>
      <c r="B76" s="104">
        <v>3</v>
      </c>
      <c r="C76" s="47">
        <v>0</v>
      </c>
      <c r="D76" s="245">
        <v>0</v>
      </c>
      <c r="E76" s="6">
        <f t="shared" si="20"/>
        <v>3</v>
      </c>
      <c r="F76" s="272" t="s">
        <v>47</v>
      </c>
      <c r="G76" s="105">
        <v>5</v>
      </c>
      <c r="H76" s="255">
        <v>15</v>
      </c>
      <c r="I76" s="256">
        <v>0</v>
      </c>
      <c r="J76" s="86">
        <f t="shared" si="21"/>
        <v>20</v>
      </c>
    </row>
    <row r="77" spans="1:10" ht="15.75" thickBot="1" x14ac:dyDescent="0.3">
      <c r="A77" s="49" t="s">
        <v>57</v>
      </c>
      <c r="B77" s="104">
        <v>3</v>
      </c>
      <c r="C77" s="47">
        <v>0</v>
      </c>
      <c r="D77" s="245">
        <v>0</v>
      </c>
      <c r="E77" s="6">
        <f t="shared" si="20"/>
        <v>3</v>
      </c>
      <c r="F77" s="272" t="s">
        <v>82</v>
      </c>
      <c r="G77" s="105">
        <v>10</v>
      </c>
      <c r="H77" s="255">
        <v>0</v>
      </c>
      <c r="I77" s="256">
        <v>10</v>
      </c>
      <c r="J77" s="86">
        <f t="shared" si="21"/>
        <v>20</v>
      </c>
    </row>
    <row r="78" spans="1:10" ht="15.75" thickBot="1" x14ac:dyDescent="0.3">
      <c r="A78" s="49" t="s">
        <v>146</v>
      </c>
      <c r="B78" s="104">
        <v>2</v>
      </c>
      <c r="C78" s="47">
        <v>1</v>
      </c>
      <c r="D78" s="245">
        <v>0</v>
      </c>
      <c r="E78" s="6">
        <f t="shared" si="20"/>
        <v>3</v>
      </c>
      <c r="F78" s="272" t="s">
        <v>192</v>
      </c>
      <c r="G78" s="105">
        <v>15</v>
      </c>
      <c r="H78" s="255">
        <v>0</v>
      </c>
      <c r="I78" s="256">
        <v>0</v>
      </c>
      <c r="J78" s="86">
        <f t="shared" si="21"/>
        <v>15</v>
      </c>
    </row>
    <row r="79" spans="1:10" ht="15.75" thickBot="1" x14ac:dyDescent="0.3">
      <c r="A79" s="49" t="s">
        <v>107</v>
      </c>
      <c r="B79" s="104">
        <v>1</v>
      </c>
      <c r="C79" s="47">
        <v>2</v>
      </c>
      <c r="D79" s="245">
        <v>0</v>
      </c>
      <c r="E79" s="6">
        <f t="shared" si="20"/>
        <v>3</v>
      </c>
      <c r="F79" s="272" t="s">
        <v>57</v>
      </c>
      <c r="G79" s="105">
        <v>15</v>
      </c>
      <c r="H79" s="255">
        <v>0</v>
      </c>
      <c r="I79" s="256">
        <v>0</v>
      </c>
      <c r="J79" s="86">
        <f t="shared" si="21"/>
        <v>15</v>
      </c>
    </row>
    <row r="80" spans="1:10" ht="15.75" thickBot="1" x14ac:dyDescent="0.3">
      <c r="A80" s="49" t="s">
        <v>6</v>
      </c>
      <c r="B80" s="104">
        <v>2</v>
      </c>
      <c r="C80" s="47">
        <v>1</v>
      </c>
      <c r="D80" s="245">
        <v>0</v>
      </c>
      <c r="E80" s="6">
        <f t="shared" si="20"/>
        <v>3</v>
      </c>
      <c r="F80" s="272" t="s">
        <v>146</v>
      </c>
      <c r="G80" s="105">
        <v>10</v>
      </c>
      <c r="H80" s="255">
        <v>5</v>
      </c>
      <c r="I80" s="256">
        <v>0</v>
      </c>
      <c r="J80" s="86">
        <f t="shared" si="21"/>
        <v>15</v>
      </c>
    </row>
    <row r="81" spans="1:10" ht="15.75" thickBot="1" x14ac:dyDescent="0.3">
      <c r="A81" s="49" t="s">
        <v>278</v>
      </c>
      <c r="B81" s="104">
        <v>2</v>
      </c>
      <c r="C81" s="47">
        <v>1</v>
      </c>
      <c r="D81" s="245">
        <v>0</v>
      </c>
      <c r="E81" s="6">
        <f t="shared" si="20"/>
        <v>3</v>
      </c>
      <c r="F81" s="273" t="s">
        <v>107</v>
      </c>
      <c r="G81" s="105">
        <v>5</v>
      </c>
      <c r="H81" s="255">
        <v>10</v>
      </c>
      <c r="I81" s="256">
        <v>0</v>
      </c>
      <c r="J81" s="86">
        <f t="shared" si="21"/>
        <v>15</v>
      </c>
    </row>
    <row r="82" spans="1:10" ht="15.75" thickBot="1" x14ac:dyDescent="0.3">
      <c r="A82" s="49" t="s">
        <v>79</v>
      </c>
      <c r="B82" s="104">
        <v>2</v>
      </c>
      <c r="C82" s="47">
        <v>0</v>
      </c>
      <c r="D82" s="245">
        <v>0</v>
      </c>
      <c r="E82" s="6">
        <f t="shared" si="20"/>
        <v>2</v>
      </c>
      <c r="F82" s="272" t="s">
        <v>278</v>
      </c>
      <c r="G82" s="105">
        <v>10</v>
      </c>
      <c r="H82" s="255">
        <v>5</v>
      </c>
      <c r="I82" s="256">
        <v>0</v>
      </c>
      <c r="J82" s="86">
        <f t="shared" si="21"/>
        <v>15</v>
      </c>
    </row>
    <row r="83" spans="1:10" ht="15.75" thickBot="1" x14ac:dyDescent="0.3">
      <c r="A83" s="49" t="s">
        <v>54</v>
      </c>
      <c r="B83" s="104">
        <v>1</v>
      </c>
      <c r="C83" s="47">
        <v>1</v>
      </c>
      <c r="D83" s="245">
        <v>0</v>
      </c>
      <c r="E83" s="6">
        <f t="shared" si="20"/>
        <v>2</v>
      </c>
      <c r="F83" s="272" t="s">
        <v>79</v>
      </c>
      <c r="G83" s="105">
        <v>10</v>
      </c>
      <c r="H83" s="255">
        <v>0</v>
      </c>
      <c r="I83" s="256">
        <v>0</v>
      </c>
      <c r="J83" s="86">
        <f t="shared" si="21"/>
        <v>10</v>
      </c>
    </row>
    <row r="84" spans="1:10" ht="15.75" thickBot="1" x14ac:dyDescent="0.3">
      <c r="A84" s="49" t="s">
        <v>145</v>
      </c>
      <c r="B84" s="104">
        <v>2</v>
      </c>
      <c r="C84" s="47">
        <v>0</v>
      </c>
      <c r="D84" s="245">
        <v>0</v>
      </c>
      <c r="E84" s="6">
        <f t="shared" si="20"/>
        <v>2</v>
      </c>
      <c r="F84" s="272" t="s">
        <v>54</v>
      </c>
      <c r="G84" s="105">
        <v>5</v>
      </c>
      <c r="H84" s="255">
        <v>5</v>
      </c>
      <c r="I84" s="256">
        <v>0</v>
      </c>
      <c r="J84" s="86">
        <f t="shared" si="21"/>
        <v>10</v>
      </c>
    </row>
    <row r="85" spans="1:10" ht="15.75" thickBot="1" x14ac:dyDescent="0.3">
      <c r="A85" s="49" t="s">
        <v>878</v>
      </c>
      <c r="B85" s="104">
        <v>1</v>
      </c>
      <c r="C85" s="47">
        <v>0</v>
      </c>
      <c r="D85" s="245">
        <v>1</v>
      </c>
      <c r="E85" s="6">
        <f t="shared" si="20"/>
        <v>2</v>
      </c>
      <c r="F85" s="272" t="s">
        <v>145</v>
      </c>
      <c r="G85" s="105">
        <v>10</v>
      </c>
      <c r="H85" s="255">
        <v>0</v>
      </c>
      <c r="I85" s="256">
        <v>0</v>
      </c>
      <c r="J85" s="86">
        <f t="shared" si="21"/>
        <v>10</v>
      </c>
    </row>
    <row r="86" spans="1:10" ht="15.75" thickBot="1" x14ac:dyDescent="0.3">
      <c r="A86" s="49" t="s">
        <v>1121</v>
      </c>
      <c r="B86" s="104">
        <v>0</v>
      </c>
      <c r="C86" s="47">
        <v>0</v>
      </c>
      <c r="D86" s="245">
        <v>2</v>
      </c>
      <c r="E86" s="6">
        <f t="shared" si="20"/>
        <v>2</v>
      </c>
      <c r="F86" s="272" t="s">
        <v>878</v>
      </c>
      <c r="G86" s="105">
        <v>5</v>
      </c>
      <c r="H86" s="255">
        <v>0</v>
      </c>
      <c r="I86" s="256">
        <v>5</v>
      </c>
      <c r="J86" s="86">
        <f t="shared" si="21"/>
        <v>10</v>
      </c>
    </row>
    <row r="87" spans="1:10" ht="15.75" thickBot="1" x14ac:dyDescent="0.3">
      <c r="A87" s="49" t="s">
        <v>106</v>
      </c>
      <c r="B87" s="104">
        <v>2</v>
      </c>
      <c r="C87" s="47">
        <v>0</v>
      </c>
      <c r="D87" s="245">
        <v>0</v>
      </c>
      <c r="E87" s="6">
        <f t="shared" si="20"/>
        <v>2</v>
      </c>
      <c r="F87" s="272" t="s">
        <v>1121</v>
      </c>
      <c r="G87" s="105">
        <v>0</v>
      </c>
      <c r="H87" s="255">
        <v>0</v>
      </c>
      <c r="I87" s="256">
        <v>10</v>
      </c>
      <c r="J87" s="86">
        <f t="shared" si="21"/>
        <v>10</v>
      </c>
    </row>
    <row r="88" spans="1:10" ht="15.75" thickBot="1" x14ac:dyDescent="0.3">
      <c r="A88" s="49" t="s">
        <v>109</v>
      </c>
      <c r="B88" s="104">
        <v>1</v>
      </c>
      <c r="C88" s="47">
        <v>1</v>
      </c>
      <c r="D88" s="245">
        <v>0</v>
      </c>
      <c r="E88" s="6">
        <f t="shared" si="20"/>
        <v>2</v>
      </c>
      <c r="F88" s="272" t="s">
        <v>849</v>
      </c>
      <c r="G88" s="105">
        <v>6</v>
      </c>
      <c r="H88" s="255">
        <v>0</v>
      </c>
      <c r="I88" s="256">
        <v>4</v>
      </c>
      <c r="J88" s="86">
        <f t="shared" si="21"/>
        <v>10</v>
      </c>
    </row>
    <row r="89" spans="1:10" ht="15.75" thickBot="1" x14ac:dyDescent="0.3">
      <c r="A89" s="49" t="s">
        <v>1221</v>
      </c>
      <c r="B89" s="104">
        <v>2</v>
      </c>
      <c r="C89" s="47">
        <v>0</v>
      </c>
      <c r="D89" s="245">
        <v>0</v>
      </c>
      <c r="E89" s="6">
        <f t="shared" si="20"/>
        <v>2</v>
      </c>
      <c r="F89" s="272" t="s">
        <v>106</v>
      </c>
      <c r="G89" s="105">
        <v>10</v>
      </c>
      <c r="H89" s="255">
        <v>0</v>
      </c>
      <c r="I89" s="256">
        <v>0</v>
      </c>
      <c r="J89" s="86">
        <f t="shared" si="21"/>
        <v>10</v>
      </c>
    </row>
    <row r="90" spans="1:10" ht="15.75" thickBot="1" x14ac:dyDescent="0.3">
      <c r="A90" s="49" t="s">
        <v>1220</v>
      </c>
      <c r="B90" s="104">
        <v>1</v>
      </c>
      <c r="C90" s="47">
        <v>0</v>
      </c>
      <c r="D90" s="245">
        <v>0</v>
      </c>
      <c r="E90" s="6">
        <f t="shared" si="20"/>
        <v>1</v>
      </c>
      <c r="F90" s="272" t="s">
        <v>109</v>
      </c>
      <c r="G90" s="105">
        <v>5</v>
      </c>
      <c r="H90" s="255">
        <v>5</v>
      </c>
      <c r="I90" s="256">
        <v>0</v>
      </c>
      <c r="J90" s="86">
        <f t="shared" si="21"/>
        <v>10</v>
      </c>
    </row>
    <row r="91" spans="1:10" ht="15.75" thickBot="1" x14ac:dyDescent="0.3">
      <c r="A91" s="49" t="s">
        <v>1175</v>
      </c>
      <c r="B91" s="104">
        <v>1</v>
      </c>
      <c r="C91" s="47">
        <v>0</v>
      </c>
      <c r="D91" s="245">
        <v>0</v>
      </c>
      <c r="E91" s="6">
        <f t="shared" si="20"/>
        <v>1</v>
      </c>
      <c r="F91" s="272" t="s">
        <v>1221</v>
      </c>
      <c r="G91" s="105">
        <v>10</v>
      </c>
      <c r="H91" s="255">
        <v>0</v>
      </c>
      <c r="I91" s="256">
        <v>0</v>
      </c>
      <c r="J91" s="86">
        <f t="shared" si="21"/>
        <v>10</v>
      </c>
    </row>
    <row r="92" spans="1:10" ht="15.75" thickBot="1" x14ac:dyDescent="0.3">
      <c r="A92" s="49" t="s">
        <v>123</v>
      </c>
      <c r="B92" s="104">
        <v>1</v>
      </c>
      <c r="C92" s="47">
        <v>0</v>
      </c>
      <c r="D92" s="245">
        <v>0</v>
      </c>
      <c r="E92" s="6">
        <f t="shared" si="20"/>
        <v>1</v>
      </c>
      <c r="F92" s="272" t="s">
        <v>1220</v>
      </c>
      <c r="G92" s="105">
        <v>5</v>
      </c>
      <c r="H92" s="255">
        <v>0</v>
      </c>
      <c r="I92" s="256">
        <v>0</v>
      </c>
      <c r="J92" s="86">
        <f t="shared" si="21"/>
        <v>5</v>
      </c>
    </row>
    <row r="93" spans="1:10" ht="15.75" thickBot="1" x14ac:dyDescent="0.3">
      <c r="A93" s="49" t="s">
        <v>960</v>
      </c>
      <c r="B93" s="104">
        <v>0</v>
      </c>
      <c r="C93" s="47">
        <v>0</v>
      </c>
      <c r="D93" s="245">
        <v>1</v>
      </c>
      <c r="E93" s="6">
        <f t="shared" ref="E93:E114" si="22">SUM(B93:D93)</f>
        <v>1</v>
      </c>
      <c r="F93" s="272" t="s">
        <v>1175</v>
      </c>
      <c r="G93" s="105">
        <v>5</v>
      </c>
      <c r="H93" s="255">
        <v>0</v>
      </c>
      <c r="I93" s="256">
        <v>0</v>
      </c>
      <c r="J93" s="86">
        <f t="shared" ref="J93:J114" si="23">SUM(G93:I93)</f>
        <v>5</v>
      </c>
    </row>
    <row r="94" spans="1:10" ht="15.75" thickBot="1" x14ac:dyDescent="0.3">
      <c r="A94" s="49" t="s">
        <v>861</v>
      </c>
      <c r="B94" s="104">
        <v>1</v>
      </c>
      <c r="C94" s="47">
        <v>0</v>
      </c>
      <c r="D94" s="245">
        <v>0</v>
      </c>
      <c r="E94" s="6">
        <f t="shared" si="22"/>
        <v>1</v>
      </c>
      <c r="F94" s="272" t="s">
        <v>123</v>
      </c>
      <c r="G94" s="105">
        <v>5</v>
      </c>
      <c r="H94" s="255">
        <v>0</v>
      </c>
      <c r="I94" s="256">
        <v>0</v>
      </c>
      <c r="J94" s="86">
        <f t="shared" si="23"/>
        <v>5</v>
      </c>
    </row>
    <row r="95" spans="1:10" ht="15.75" thickBot="1" x14ac:dyDescent="0.3">
      <c r="A95" s="49" t="s">
        <v>147</v>
      </c>
      <c r="B95" s="104">
        <v>0</v>
      </c>
      <c r="C95" s="47">
        <v>0</v>
      </c>
      <c r="D95" s="245">
        <v>1</v>
      </c>
      <c r="E95" s="6">
        <f t="shared" si="22"/>
        <v>1</v>
      </c>
      <c r="F95" s="272" t="s">
        <v>960</v>
      </c>
      <c r="G95" s="105">
        <v>0</v>
      </c>
      <c r="H95" s="255">
        <v>0</v>
      </c>
      <c r="I95" s="256">
        <v>5</v>
      </c>
      <c r="J95" s="86">
        <f t="shared" si="23"/>
        <v>5</v>
      </c>
    </row>
    <row r="96" spans="1:10" ht="15.75" thickBot="1" x14ac:dyDescent="0.3">
      <c r="A96" s="49" t="s">
        <v>736</v>
      </c>
      <c r="B96" s="104">
        <v>0</v>
      </c>
      <c r="C96" s="47">
        <v>0</v>
      </c>
      <c r="D96" s="245">
        <v>1</v>
      </c>
      <c r="E96" s="6">
        <f t="shared" si="22"/>
        <v>1</v>
      </c>
      <c r="F96" s="272" t="s">
        <v>861</v>
      </c>
      <c r="G96" s="105">
        <v>5</v>
      </c>
      <c r="H96" s="255">
        <v>0</v>
      </c>
      <c r="I96" s="256">
        <v>0</v>
      </c>
      <c r="J96" s="86">
        <f t="shared" si="23"/>
        <v>5</v>
      </c>
    </row>
    <row r="97" spans="1:10" ht="15.75" thickBot="1" x14ac:dyDescent="0.3">
      <c r="A97" s="49" t="s">
        <v>1241</v>
      </c>
      <c r="B97" s="104">
        <v>1</v>
      </c>
      <c r="C97" s="47">
        <v>0</v>
      </c>
      <c r="D97" s="245">
        <v>0</v>
      </c>
      <c r="E97" s="6">
        <f t="shared" si="22"/>
        <v>1</v>
      </c>
      <c r="F97" s="272" t="s">
        <v>147</v>
      </c>
      <c r="G97" s="105">
        <v>0</v>
      </c>
      <c r="H97" s="255">
        <v>0</v>
      </c>
      <c r="I97" s="256">
        <v>5</v>
      </c>
      <c r="J97" s="86">
        <f t="shared" si="23"/>
        <v>5</v>
      </c>
    </row>
    <row r="98" spans="1:10" ht="15.75" thickBot="1" x14ac:dyDescent="0.3">
      <c r="A98" s="49" t="s">
        <v>1012</v>
      </c>
      <c r="B98" s="104">
        <v>0</v>
      </c>
      <c r="C98" s="47">
        <v>0</v>
      </c>
      <c r="D98" s="245">
        <v>1</v>
      </c>
      <c r="E98" s="6">
        <f t="shared" si="22"/>
        <v>1</v>
      </c>
      <c r="F98" s="272" t="s">
        <v>736</v>
      </c>
      <c r="G98" s="105">
        <v>0</v>
      </c>
      <c r="H98" s="255">
        <v>0</v>
      </c>
      <c r="I98" s="256">
        <v>5</v>
      </c>
      <c r="J98" s="86">
        <f t="shared" si="23"/>
        <v>5</v>
      </c>
    </row>
    <row r="99" spans="1:10" ht="15.75" thickBot="1" x14ac:dyDescent="0.3">
      <c r="A99" s="49" t="s">
        <v>46</v>
      </c>
      <c r="B99" s="104">
        <v>1</v>
      </c>
      <c r="C99" s="47">
        <v>0</v>
      </c>
      <c r="D99" s="245">
        <v>0</v>
      </c>
      <c r="E99" s="6">
        <f t="shared" si="22"/>
        <v>1</v>
      </c>
      <c r="F99" s="272" t="s">
        <v>1241</v>
      </c>
      <c r="G99" s="105">
        <v>5</v>
      </c>
      <c r="H99" s="255">
        <v>0</v>
      </c>
      <c r="I99" s="256">
        <v>0</v>
      </c>
      <c r="J99" s="86">
        <f t="shared" si="23"/>
        <v>5</v>
      </c>
    </row>
    <row r="100" spans="1:10" ht="15.75" thickBot="1" x14ac:dyDescent="0.3">
      <c r="A100" s="49" t="s">
        <v>959</v>
      </c>
      <c r="B100" s="104">
        <v>0</v>
      </c>
      <c r="C100" s="47">
        <v>0</v>
      </c>
      <c r="D100" s="245">
        <v>1</v>
      </c>
      <c r="E100" s="6">
        <f t="shared" si="22"/>
        <v>1</v>
      </c>
      <c r="F100" s="272" t="s">
        <v>1012</v>
      </c>
      <c r="G100" s="105">
        <v>0</v>
      </c>
      <c r="H100" s="255">
        <v>0</v>
      </c>
      <c r="I100" s="256">
        <v>5</v>
      </c>
      <c r="J100" s="86">
        <f t="shared" si="23"/>
        <v>5</v>
      </c>
    </row>
    <row r="101" spans="1:10" ht="15.75" thickBot="1" x14ac:dyDescent="0.3">
      <c r="A101" s="49" t="s">
        <v>142</v>
      </c>
      <c r="B101" s="104">
        <v>0</v>
      </c>
      <c r="C101" s="47">
        <v>0</v>
      </c>
      <c r="D101" s="245">
        <v>0</v>
      </c>
      <c r="E101" s="6">
        <f t="shared" si="22"/>
        <v>0</v>
      </c>
      <c r="F101" s="272" t="s">
        <v>46</v>
      </c>
      <c r="G101" s="105">
        <v>5</v>
      </c>
      <c r="H101" s="255">
        <v>0</v>
      </c>
      <c r="I101" s="256">
        <v>0</v>
      </c>
      <c r="J101" s="86">
        <f t="shared" si="23"/>
        <v>5</v>
      </c>
    </row>
    <row r="102" spans="1:10" ht="15.75" thickBot="1" x14ac:dyDescent="0.3">
      <c r="A102" s="49" t="s">
        <v>137</v>
      </c>
      <c r="B102" s="104">
        <v>0</v>
      </c>
      <c r="C102" s="47">
        <v>0</v>
      </c>
      <c r="D102" s="245">
        <v>0</v>
      </c>
      <c r="E102" s="6">
        <f t="shared" si="22"/>
        <v>0</v>
      </c>
      <c r="F102" s="272" t="s">
        <v>959</v>
      </c>
      <c r="G102" s="105">
        <v>0</v>
      </c>
      <c r="H102" s="255">
        <v>0</v>
      </c>
      <c r="I102" s="256">
        <v>5</v>
      </c>
      <c r="J102" s="86">
        <f t="shared" si="23"/>
        <v>5</v>
      </c>
    </row>
    <row r="103" spans="1:10" ht="15.75" thickBot="1" x14ac:dyDescent="0.3">
      <c r="A103" s="49" t="s">
        <v>859</v>
      </c>
      <c r="B103" s="104">
        <v>0</v>
      </c>
      <c r="C103" s="47">
        <v>0</v>
      </c>
      <c r="D103" s="245">
        <v>0</v>
      </c>
      <c r="E103" s="6">
        <f t="shared" si="22"/>
        <v>0</v>
      </c>
      <c r="F103" s="272" t="s">
        <v>142</v>
      </c>
      <c r="G103" s="105">
        <v>0</v>
      </c>
      <c r="H103" s="255">
        <v>0</v>
      </c>
      <c r="I103" s="256">
        <v>0</v>
      </c>
      <c r="J103" s="86">
        <f t="shared" si="23"/>
        <v>0</v>
      </c>
    </row>
    <row r="104" spans="1:10" ht="15.75" thickBot="1" x14ac:dyDescent="0.3">
      <c r="A104" s="49" t="s">
        <v>407</v>
      </c>
      <c r="B104" s="104">
        <v>0</v>
      </c>
      <c r="C104" s="47">
        <v>0</v>
      </c>
      <c r="D104" s="245">
        <v>0</v>
      </c>
      <c r="E104" s="6">
        <f t="shared" si="22"/>
        <v>0</v>
      </c>
      <c r="F104" s="272" t="s">
        <v>137</v>
      </c>
      <c r="G104" s="105">
        <v>0</v>
      </c>
      <c r="H104" s="255">
        <v>0</v>
      </c>
      <c r="I104" s="256">
        <v>0</v>
      </c>
      <c r="J104" s="86">
        <f t="shared" si="23"/>
        <v>0</v>
      </c>
    </row>
    <row r="105" spans="1:10" ht="15.75" thickBot="1" x14ac:dyDescent="0.3">
      <c r="A105" s="49" t="s">
        <v>72</v>
      </c>
      <c r="B105" s="104">
        <v>0</v>
      </c>
      <c r="C105" s="47">
        <v>0</v>
      </c>
      <c r="D105" s="245">
        <v>0</v>
      </c>
      <c r="E105" s="6">
        <f t="shared" si="22"/>
        <v>0</v>
      </c>
      <c r="F105" s="272" t="s">
        <v>859</v>
      </c>
      <c r="G105" s="105">
        <v>0</v>
      </c>
      <c r="H105" s="255">
        <v>0</v>
      </c>
      <c r="I105" s="256">
        <v>0</v>
      </c>
      <c r="J105" s="86">
        <f t="shared" si="23"/>
        <v>0</v>
      </c>
    </row>
    <row r="106" spans="1:10" ht="15.75" thickBot="1" x14ac:dyDescent="0.3">
      <c r="A106" s="49" t="s">
        <v>105</v>
      </c>
      <c r="B106" s="104">
        <v>0</v>
      </c>
      <c r="C106" s="47">
        <v>0</v>
      </c>
      <c r="D106" s="245">
        <v>0</v>
      </c>
      <c r="E106" s="6">
        <f t="shared" si="22"/>
        <v>0</v>
      </c>
      <c r="F106" s="272" t="s">
        <v>407</v>
      </c>
      <c r="G106" s="105">
        <v>0</v>
      </c>
      <c r="H106" s="255">
        <v>0</v>
      </c>
      <c r="I106" s="256">
        <v>0</v>
      </c>
      <c r="J106" s="86">
        <f t="shared" si="23"/>
        <v>0</v>
      </c>
    </row>
    <row r="107" spans="1:10" ht="15.75" thickBot="1" x14ac:dyDescent="0.3">
      <c r="A107" s="49" t="s">
        <v>73</v>
      </c>
      <c r="B107" s="104">
        <v>0</v>
      </c>
      <c r="C107" s="47">
        <v>0</v>
      </c>
      <c r="D107" s="245">
        <v>0</v>
      </c>
      <c r="E107" s="6">
        <f t="shared" si="22"/>
        <v>0</v>
      </c>
      <c r="F107" s="272" t="s">
        <v>72</v>
      </c>
      <c r="G107" s="105">
        <v>0</v>
      </c>
      <c r="H107" s="255">
        <v>0</v>
      </c>
      <c r="I107" s="256">
        <v>0</v>
      </c>
      <c r="J107" s="86">
        <f t="shared" si="23"/>
        <v>0</v>
      </c>
    </row>
    <row r="108" spans="1:10" ht="15.75" thickBot="1" x14ac:dyDescent="0.3">
      <c r="A108" s="49" t="s">
        <v>72</v>
      </c>
      <c r="B108" s="104">
        <v>0</v>
      </c>
      <c r="C108" s="47">
        <v>0</v>
      </c>
      <c r="D108" s="245">
        <v>0</v>
      </c>
      <c r="E108" s="6">
        <f t="shared" si="22"/>
        <v>0</v>
      </c>
      <c r="F108" s="272" t="s">
        <v>105</v>
      </c>
      <c r="G108" s="105">
        <v>0</v>
      </c>
      <c r="H108" s="255">
        <v>0</v>
      </c>
      <c r="I108" s="256">
        <v>0</v>
      </c>
      <c r="J108" s="86">
        <f t="shared" si="23"/>
        <v>0</v>
      </c>
    </row>
    <row r="109" spans="1:10" ht="15.75" thickBot="1" x14ac:dyDescent="0.3">
      <c r="A109" s="49" t="s">
        <v>72</v>
      </c>
      <c r="B109" s="104">
        <v>0</v>
      </c>
      <c r="C109" s="47">
        <v>0</v>
      </c>
      <c r="D109" s="245">
        <v>0</v>
      </c>
      <c r="E109" s="6">
        <f t="shared" si="22"/>
        <v>0</v>
      </c>
      <c r="F109" s="272" t="s">
        <v>73</v>
      </c>
      <c r="G109" s="105">
        <v>0</v>
      </c>
      <c r="H109" s="255">
        <v>0</v>
      </c>
      <c r="I109" s="256">
        <v>0</v>
      </c>
      <c r="J109" s="86">
        <f t="shared" si="23"/>
        <v>0</v>
      </c>
    </row>
    <row r="110" spans="1:10" ht="15.75" thickBot="1" x14ac:dyDescent="0.3">
      <c r="A110" s="49" t="s">
        <v>849</v>
      </c>
      <c r="B110" s="104">
        <v>0</v>
      </c>
      <c r="C110" s="47">
        <v>0</v>
      </c>
      <c r="D110" s="245">
        <v>0</v>
      </c>
      <c r="E110" s="6">
        <f t="shared" si="22"/>
        <v>0</v>
      </c>
      <c r="F110" s="272" t="s">
        <v>72</v>
      </c>
      <c r="G110" s="105">
        <v>0</v>
      </c>
      <c r="H110" s="255">
        <v>0</v>
      </c>
      <c r="I110" s="256">
        <v>0</v>
      </c>
      <c r="J110" s="86">
        <f t="shared" si="23"/>
        <v>0</v>
      </c>
    </row>
    <row r="111" spans="1:10" ht="15.75" thickBot="1" x14ac:dyDescent="0.3">
      <c r="A111" s="49" t="s">
        <v>13</v>
      </c>
      <c r="B111" s="104">
        <v>0</v>
      </c>
      <c r="C111" s="47">
        <v>0</v>
      </c>
      <c r="D111" s="245">
        <v>0</v>
      </c>
      <c r="E111" s="6">
        <f t="shared" si="22"/>
        <v>0</v>
      </c>
      <c r="F111" s="272" t="s">
        <v>72</v>
      </c>
      <c r="G111" s="105">
        <v>0</v>
      </c>
      <c r="H111" s="255">
        <v>0</v>
      </c>
      <c r="I111" s="256">
        <v>0</v>
      </c>
      <c r="J111" s="86">
        <f t="shared" si="23"/>
        <v>0</v>
      </c>
    </row>
    <row r="112" spans="1:10" ht="15.75" thickBot="1" x14ac:dyDescent="0.3">
      <c r="A112" s="49" t="s">
        <v>72</v>
      </c>
      <c r="B112" s="104">
        <v>0</v>
      </c>
      <c r="C112" s="47">
        <v>0</v>
      </c>
      <c r="D112" s="245">
        <v>0</v>
      </c>
      <c r="E112" s="6">
        <f t="shared" si="22"/>
        <v>0</v>
      </c>
      <c r="F112" s="272" t="s">
        <v>72</v>
      </c>
      <c r="G112" s="105">
        <v>0</v>
      </c>
      <c r="H112" s="255">
        <v>0</v>
      </c>
      <c r="I112" s="256">
        <v>0</v>
      </c>
      <c r="J112" s="86">
        <f t="shared" si="23"/>
        <v>0</v>
      </c>
    </row>
    <row r="113" spans="1:10" ht="15.75" thickBot="1" x14ac:dyDescent="0.3">
      <c r="A113" s="49" t="s">
        <v>72</v>
      </c>
      <c r="B113" s="104">
        <v>0</v>
      </c>
      <c r="C113" s="47">
        <v>0</v>
      </c>
      <c r="D113" s="245">
        <v>0</v>
      </c>
      <c r="E113" s="6">
        <f t="shared" si="22"/>
        <v>0</v>
      </c>
      <c r="F113" s="272" t="s">
        <v>72</v>
      </c>
      <c r="G113" s="105">
        <v>0</v>
      </c>
      <c r="H113" s="255">
        <v>0</v>
      </c>
      <c r="I113" s="256">
        <v>0</v>
      </c>
      <c r="J113" s="86">
        <f t="shared" si="23"/>
        <v>0</v>
      </c>
    </row>
    <row r="114" spans="1:10" ht="15.75" thickBot="1" x14ac:dyDescent="0.3">
      <c r="A114" s="49" t="s">
        <v>94</v>
      </c>
      <c r="B114" s="104">
        <v>0</v>
      </c>
      <c r="C114" s="47">
        <v>0</v>
      </c>
      <c r="D114" s="245">
        <v>0</v>
      </c>
      <c r="E114" s="6">
        <f t="shared" si="22"/>
        <v>0</v>
      </c>
      <c r="F114" s="272" t="s">
        <v>94</v>
      </c>
      <c r="G114" s="105">
        <v>0</v>
      </c>
      <c r="H114" s="255">
        <v>0</v>
      </c>
      <c r="I114" s="256">
        <v>0</v>
      </c>
      <c r="J114" s="86">
        <f t="shared" si="23"/>
        <v>0</v>
      </c>
    </row>
    <row r="115" spans="1:10" ht="15.75" thickBot="1" x14ac:dyDescent="0.3">
      <c r="A115" s="49" t="s">
        <v>3</v>
      </c>
      <c r="B115" s="104">
        <f>SUM(B61:B114)</f>
        <v>89</v>
      </c>
      <c r="C115" s="47">
        <f>SUM(C61:C114)</f>
        <v>38</v>
      </c>
      <c r="D115" s="245">
        <f>SUM(D61:D114)</f>
        <v>19</v>
      </c>
      <c r="E115" s="6">
        <f>SUM(E61:E114)</f>
        <v>146</v>
      </c>
      <c r="F115" s="272" t="s">
        <v>3</v>
      </c>
      <c r="G115" s="105">
        <f>SUM(G61:G114)</f>
        <v>684</v>
      </c>
      <c r="H115" s="255">
        <f>SUM(H61:H114)</f>
        <v>283</v>
      </c>
      <c r="I115" s="256">
        <f>SUM(I61:I114)</f>
        <v>133</v>
      </c>
      <c r="J115" s="86">
        <f>SUM(J61:J114)</f>
        <v>1100</v>
      </c>
    </row>
    <row r="116" spans="1:10" x14ac:dyDescent="0.25">
      <c r="A116" s="58" t="s">
        <v>130</v>
      </c>
    </row>
  </sheetData>
  <sortState xmlns:xlrd2="http://schemas.microsoft.com/office/spreadsheetml/2017/richdata2" ref="F61:J114">
    <sortCondition descending="1" ref="J61:J114"/>
  </sortState>
  <mergeCells count="29">
    <mergeCell ref="K31:AA31"/>
    <mergeCell ref="K32:Z32"/>
    <mergeCell ref="K30:Z30"/>
    <mergeCell ref="R22:T23"/>
    <mergeCell ref="AE13:AG14"/>
    <mergeCell ref="AE22:AG23"/>
    <mergeCell ref="O13:Q14"/>
    <mergeCell ref="O22:Q23"/>
    <mergeCell ref="K22:K23"/>
    <mergeCell ref="L22:N23"/>
    <mergeCell ref="U22:W23"/>
    <mergeCell ref="AB13:AD14"/>
    <mergeCell ref="AB22:AD23"/>
    <mergeCell ref="W1:Y2"/>
    <mergeCell ref="AH13:AJ14"/>
    <mergeCell ref="T1:V2"/>
    <mergeCell ref="AC1:AE2"/>
    <mergeCell ref="AO1:AQ2"/>
    <mergeCell ref="AL1:AN2"/>
    <mergeCell ref="AI1:AK2"/>
    <mergeCell ref="AF1:AH2"/>
    <mergeCell ref="U13:W14"/>
    <mergeCell ref="R1:S2"/>
    <mergeCell ref="K13:K14"/>
    <mergeCell ref="L13:N14"/>
    <mergeCell ref="K1:K2"/>
    <mergeCell ref="L1:N2"/>
    <mergeCell ref="O1:Q2"/>
    <mergeCell ref="R13:T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17"/>
  <sheetViews>
    <sheetView zoomScaleNormal="100" workbookViewId="0">
      <selection activeCell="AA17" sqref="AA17"/>
    </sheetView>
  </sheetViews>
  <sheetFormatPr defaultColWidth="8.85546875" defaultRowHeight="15" x14ac:dyDescent="0.25"/>
  <cols>
    <col min="1" max="1" width="16.42578125" customWidth="1"/>
    <col min="2" max="4" width="3.7109375" customWidth="1"/>
    <col min="5" max="5" width="4.7109375" customWidth="1"/>
    <col min="6" max="6" width="16.42578125" customWidth="1"/>
    <col min="7" max="10" width="5.28515625" customWidth="1"/>
    <col min="11" max="11" width="16.7109375" customWidth="1"/>
    <col min="12" max="18" width="5.42578125" customWidth="1"/>
    <col min="19" max="19" width="5.7109375" customWidth="1"/>
    <col min="20" max="31" width="5.42578125" customWidth="1"/>
    <col min="32" max="43" width="5.7109375" customWidth="1"/>
  </cols>
  <sheetData>
    <row r="1" spans="1:50" ht="15" customHeight="1" thickBot="1" x14ac:dyDescent="0.3">
      <c r="A1" s="536" t="s">
        <v>905</v>
      </c>
      <c r="B1" s="537"/>
      <c r="C1" s="537"/>
      <c r="D1" s="537"/>
      <c r="E1" s="537"/>
      <c r="F1" s="537"/>
      <c r="G1" s="537"/>
      <c r="H1" s="537"/>
      <c r="I1" s="537"/>
      <c r="J1" s="538"/>
      <c r="K1" s="513" t="s">
        <v>1028</v>
      </c>
      <c r="L1" s="500" t="s">
        <v>42</v>
      </c>
      <c r="M1" s="501"/>
      <c r="N1" s="502"/>
      <c r="O1" s="500" t="s">
        <v>151</v>
      </c>
      <c r="P1" s="501"/>
      <c r="Q1" s="502"/>
      <c r="R1" s="500" t="s">
        <v>1027</v>
      </c>
      <c r="S1" s="502"/>
      <c r="T1" s="515" t="s">
        <v>100</v>
      </c>
      <c r="U1" s="516"/>
      <c r="V1" s="517"/>
      <c r="W1" s="515" t="s">
        <v>915</v>
      </c>
      <c r="X1" s="516"/>
      <c r="Y1" s="517"/>
      <c r="Z1" s="309"/>
      <c r="AA1" s="333"/>
      <c r="AB1" s="334"/>
      <c r="AC1" s="515" t="s">
        <v>303</v>
      </c>
      <c r="AD1" s="516"/>
      <c r="AE1" s="517"/>
      <c r="AF1" s="515" t="s">
        <v>205</v>
      </c>
      <c r="AG1" s="516"/>
      <c r="AH1" s="517"/>
      <c r="AI1" s="515" t="s">
        <v>186</v>
      </c>
      <c r="AJ1" s="516"/>
      <c r="AK1" s="517"/>
      <c r="AL1" s="515" t="s">
        <v>155</v>
      </c>
      <c r="AM1" s="516"/>
      <c r="AN1" s="517"/>
      <c r="AO1" s="515" t="s">
        <v>175</v>
      </c>
      <c r="AP1" s="516"/>
      <c r="AQ1" s="517"/>
      <c r="AS1" s="5"/>
      <c r="AT1" s="5"/>
      <c r="AU1" s="5"/>
      <c r="AX1" s="5"/>
    </row>
    <row r="2" spans="1:50" ht="15" customHeight="1" thickBot="1" x14ac:dyDescent="0.3">
      <c r="A2" s="166" t="s">
        <v>0</v>
      </c>
      <c r="B2" s="216" t="s">
        <v>305</v>
      </c>
      <c r="C2" s="176" t="s">
        <v>99</v>
      </c>
      <c r="D2" s="263" t="s">
        <v>306</v>
      </c>
      <c r="E2" s="167" t="s">
        <v>1</v>
      </c>
      <c r="F2" s="168" t="s">
        <v>2</v>
      </c>
      <c r="G2" s="200" t="s">
        <v>305</v>
      </c>
      <c r="H2" s="155" t="s">
        <v>99</v>
      </c>
      <c r="I2" s="265" t="s">
        <v>306</v>
      </c>
      <c r="J2" s="151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518"/>
      <c r="U2" s="519"/>
      <c r="V2" s="520"/>
      <c r="W2" s="518"/>
      <c r="X2" s="519"/>
      <c r="Y2" s="520"/>
      <c r="Z2" s="309"/>
      <c r="AA2" s="323"/>
      <c r="AB2" s="340"/>
      <c r="AC2" s="518"/>
      <c r="AD2" s="519"/>
      <c r="AE2" s="520"/>
      <c r="AF2" s="518"/>
      <c r="AG2" s="519"/>
      <c r="AH2" s="520"/>
      <c r="AI2" s="518"/>
      <c r="AJ2" s="519"/>
      <c r="AK2" s="520"/>
      <c r="AL2" s="518"/>
      <c r="AM2" s="519"/>
      <c r="AN2" s="520"/>
      <c r="AO2" s="518"/>
      <c r="AP2" s="519"/>
      <c r="AQ2" s="520"/>
    </row>
    <row r="3" spans="1:50" ht="15" customHeight="1" thickBot="1" x14ac:dyDescent="0.3">
      <c r="A3" s="50" t="s">
        <v>266</v>
      </c>
      <c r="B3" s="217">
        <v>2</v>
      </c>
      <c r="C3" s="177">
        <v>0</v>
      </c>
      <c r="D3" s="264">
        <v>1</v>
      </c>
      <c r="E3" s="79">
        <f>SUM(B3:D3)</f>
        <v>3</v>
      </c>
      <c r="F3" s="100" t="s">
        <v>266</v>
      </c>
      <c r="G3" s="201">
        <v>10</v>
      </c>
      <c r="H3" s="103">
        <v>0</v>
      </c>
      <c r="I3" s="266">
        <v>5</v>
      </c>
      <c r="J3" s="102">
        <f>SUM(G3:I3)</f>
        <v>15</v>
      </c>
      <c r="K3" s="35" t="s">
        <v>72</v>
      </c>
      <c r="L3" s="4" t="s">
        <v>176</v>
      </c>
      <c r="M3" s="4" t="s">
        <v>36</v>
      </c>
      <c r="N3" s="4" t="s">
        <v>37</v>
      </c>
      <c r="O3" s="316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127"/>
      <c r="AB3" s="341"/>
      <c r="AC3" s="283" t="s">
        <v>176</v>
      </c>
      <c r="AD3" s="8" t="s">
        <v>36</v>
      </c>
      <c r="AE3" s="8" t="s">
        <v>37</v>
      </c>
      <c r="AF3" s="283" t="s">
        <v>176</v>
      </c>
      <c r="AG3" s="8" t="s">
        <v>36</v>
      </c>
      <c r="AH3" s="8" t="s">
        <v>37</v>
      </c>
      <c r="AI3" s="8" t="s">
        <v>176</v>
      </c>
      <c r="AJ3" s="8" t="s">
        <v>36</v>
      </c>
      <c r="AK3" s="8" t="s">
        <v>37</v>
      </c>
      <c r="AL3" s="8" t="s">
        <v>176</v>
      </c>
      <c r="AM3" s="8" t="s">
        <v>36</v>
      </c>
      <c r="AN3" s="8" t="s">
        <v>37</v>
      </c>
      <c r="AO3" s="8" t="s">
        <v>176</v>
      </c>
      <c r="AP3" s="8" t="s">
        <v>36</v>
      </c>
      <c r="AQ3" s="8" t="s">
        <v>37</v>
      </c>
    </row>
    <row r="4" spans="1:50" ht="15" customHeight="1" thickBot="1" x14ac:dyDescent="0.3">
      <c r="A4" s="50" t="s">
        <v>1225</v>
      </c>
      <c r="B4" s="217">
        <v>1</v>
      </c>
      <c r="C4" s="177">
        <v>0</v>
      </c>
      <c r="D4" s="264">
        <v>0</v>
      </c>
      <c r="E4" s="79">
        <f>SUM(B4:D4)</f>
        <v>1</v>
      </c>
      <c r="F4" s="100" t="s">
        <v>1225</v>
      </c>
      <c r="G4" s="201">
        <v>5</v>
      </c>
      <c r="H4" s="103">
        <v>0</v>
      </c>
      <c r="I4" s="266">
        <v>0</v>
      </c>
      <c r="J4" s="102">
        <f>SUM(G4:I4)</f>
        <v>5</v>
      </c>
      <c r="K4" s="64" t="s">
        <v>292</v>
      </c>
      <c r="L4" s="16">
        <v>3</v>
      </c>
      <c r="M4" s="16">
        <v>3</v>
      </c>
      <c r="N4" s="16">
        <f t="shared" ref="N4" si="0">(L4/M4)*100</f>
        <v>100</v>
      </c>
      <c r="O4" s="16" t="s">
        <v>43</v>
      </c>
      <c r="P4" s="16" t="s">
        <v>43</v>
      </c>
      <c r="Q4" s="282" t="s">
        <v>43</v>
      </c>
      <c r="R4" s="79">
        <v>3</v>
      </c>
      <c r="S4" s="79">
        <v>3</v>
      </c>
      <c r="T4" s="8">
        <v>0</v>
      </c>
      <c r="U4" s="8">
        <v>1</v>
      </c>
      <c r="V4" s="8">
        <v>0</v>
      </c>
      <c r="W4" s="283">
        <v>8</v>
      </c>
      <c r="X4" s="8">
        <v>15</v>
      </c>
      <c r="Y4" s="294">
        <f>SUM(W4/X4)*100</f>
        <v>53.333333333333336</v>
      </c>
      <c r="Z4" s="126"/>
      <c r="AA4" s="127"/>
      <c r="AB4" s="341"/>
      <c r="AC4" s="283">
        <v>43</v>
      </c>
      <c r="AD4" s="8">
        <v>56</v>
      </c>
      <c r="AE4" s="294">
        <f>SUM(AC4/AD4)*100</f>
        <v>76.785714285714292</v>
      </c>
      <c r="AF4" s="283">
        <v>33</v>
      </c>
      <c r="AG4" s="8">
        <v>42</v>
      </c>
      <c r="AH4" s="294">
        <f>SUM(AF4/AG4)*100</f>
        <v>78.571428571428569</v>
      </c>
      <c r="AI4" s="8">
        <v>36</v>
      </c>
      <c r="AJ4" s="8">
        <v>46</v>
      </c>
      <c r="AK4" s="294">
        <f>SUM(AI4/AJ4)*100</f>
        <v>78.260869565217391</v>
      </c>
      <c r="AL4" s="8">
        <v>51</v>
      </c>
      <c r="AM4" s="8">
        <v>72</v>
      </c>
      <c r="AN4" s="294">
        <f>SUM(AL4/AM4)*100</f>
        <v>70.833333333333343</v>
      </c>
      <c r="AO4" s="8" t="s">
        <v>43</v>
      </c>
      <c r="AP4" s="8" t="s">
        <v>43</v>
      </c>
      <c r="AQ4" s="8" t="s">
        <v>43</v>
      </c>
    </row>
    <row r="5" spans="1:50" ht="15" customHeight="1" thickBot="1" x14ac:dyDescent="0.3">
      <c r="A5" s="50" t="s">
        <v>110</v>
      </c>
      <c r="B5" s="217">
        <v>1</v>
      </c>
      <c r="C5" s="177">
        <v>2</v>
      </c>
      <c r="D5" s="264">
        <v>0</v>
      </c>
      <c r="E5" s="79">
        <f t="shared" ref="E5:E56" si="1">SUM(B5:D5)</f>
        <v>3</v>
      </c>
      <c r="F5" s="99" t="s">
        <v>110</v>
      </c>
      <c r="G5" s="201">
        <v>5</v>
      </c>
      <c r="H5" s="103">
        <v>10</v>
      </c>
      <c r="I5" s="266">
        <v>0</v>
      </c>
      <c r="J5" s="102">
        <f t="shared" ref="J5:J56" si="2">SUM(G5:I5)</f>
        <v>15</v>
      </c>
      <c r="K5" s="64" t="s">
        <v>841</v>
      </c>
      <c r="L5" s="16" t="s">
        <v>43</v>
      </c>
      <c r="M5" s="16" t="s">
        <v>43</v>
      </c>
      <c r="N5" s="16" t="s">
        <v>43</v>
      </c>
      <c r="O5" s="16" t="s">
        <v>43</v>
      </c>
      <c r="P5" s="16" t="s">
        <v>43</v>
      </c>
      <c r="Q5" s="282" t="s">
        <v>43</v>
      </c>
      <c r="R5" s="16" t="s">
        <v>53</v>
      </c>
      <c r="S5" s="16">
        <v>1</v>
      </c>
      <c r="T5" s="8" t="s">
        <v>43</v>
      </c>
      <c r="U5" s="8" t="s">
        <v>43</v>
      </c>
      <c r="V5" s="8" t="s">
        <v>43</v>
      </c>
      <c r="W5" s="283" t="s">
        <v>43</v>
      </c>
      <c r="X5" s="8" t="s">
        <v>43</v>
      </c>
      <c r="Y5" s="8" t="s">
        <v>43</v>
      </c>
      <c r="Z5" s="126"/>
      <c r="AA5" s="127"/>
      <c r="AB5" s="341"/>
      <c r="AC5" s="283" t="s">
        <v>43</v>
      </c>
      <c r="AD5" s="8" t="s">
        <v>43</v>
      </c>
      <c r="AE5" s="8" t="s">
        <v>43</v>
      </c>
      <c r="AF5" s="7" t="s">
        <v>43</v>
      </c>
      <c r="AG5" s="8" t="s">
        <v>43</v>
      </c>
      <c r="AH5" s="8" t="s">
        <v>43</v>
      </c>
      <c r="AI5" s="8" t="s">
        <v>43</v>
      </c>
      <c r="AJ5" s="8" t="s">
        <v>43</v>
      </c>
      <c r="AK5" s="8" t="s">
        <v>43</v>
      </c>
      <c r="AL5" s="8" t="s">
        <v>43</v>
      </c>
      <c r="AM5" s="8" t="s">
        <v>43</v>
      </c>
      <c r="AN5" s="8" t="s">
        <v>43</v>
      </c>
      <c r="AO5" s="8" t="s">
        <v>43</v>
      </c>
      <c r="AP5" s="8" t="s">
        <v>43</v>
      </c>
      <c r="AQ5" s="8" t="s">
        <v>43</v>
      </c>
    </row>
    <row r="6" spans="1:50" ht="15" customHeight="1" thickBot="1" x14ac:dyDescent="0.3">
      <c r="A6" s="50" t="s">
        <v>121</v>
      </c>
      <c r="B6" s="217">
        <v>2</v>
      </c>
      <c r="C6" s="177">
        <v>0</v>
      </c>
      <c r="D6" s="264">
        <v>0</v>
      </c>
      <c r="E6" s="79">
        <f t="shared" si="1"/>
        <v>2</v>
      </c>
      <c r="F6" s="99" t="s">
        <v>121</v>
      </c>
      <c r="G6" s="201">
        <v>10</v>
      </c>
      <c r="H6" s="103">
        <v>0</v>
      </c>
      <c r="I6" s="266">
        <v>0</v>
      </c>
      <c r="J6" s="102">
        <f t="shared" si="2"/>
        <v>10</v>
      </c>
      <c r="K6" s="64" t="s">
        <v>4</v>
      </c>
      <c r="L6" s="16">
        <v>5</v>
      </c>
      <c r="M6" s="16">
        <v>8</v>
      </c>
      <c r="N6" s="282">
        <f t="shared" ref="N6" si="3">(L6/M6)*100</f>
        <v>62.5</v>
      </c>
      <c r="O6" s="16" t="s">
        <v>43</v>
      </c>
      <c r="P6" s="16" t="s">
        <v>43</v>
      </c>
      <c r="Q6" s="282" t="s">
        <v>43</v>
      </c>
      <c r="R6" s="16">
        <v>3</v>
      </c>
      <c r="S6" s="16">
        <v>3</v>
      </c>
      <c r="T6" s="8">
        <v>5</v>
      </c>
      <c r="U6" s="8">
        <v>7</v>
      </c>
      <c r="V6" s="294">
        <v>71.428571428571431</v>
      </c>
      <c r="W6" s="283" t="s">
        <v>43</v>
      </c>
      <c r="X6" s="8" t="s">
        <v>43</v>
      </c>
      <c r="Y6" s="8" t="s">
        <v>43</v>
      </c>
      <c r="Z6" s="126"/>
      <c r="AA6" s="127"/>
      <c r="AB6" s="341"/>
      <c r="AC6" s="283" t="s">
        <v>43</v>
      </c>
      <c r="AD6" s="8" t="s">
        <v>43</v>
      </c>
      <c r="AE6" s="8" t="s">
        <v>43</v>
      </c>
      <c r="AF6" s="283" t="s">
        <v>43</v>
      </c>
      <c r="AG6" s="8" t="s">
        <v>43</v>
      </c>
      <c r="AH6" s="8" t="s">
        <v>43</v>
      </c>
      <c r="AI6" s="8" t="s">
        <v>43</v>
      </c>
      <c r="AJ6" s="8" t="s">
        <v>43</v>
      </c>
      <c r="AK6" s="8" t="s">
        <v>43</v>
      </c>
      <c r="AL6" s="8" t="s">
        <v>43</v>
      </c>
      <c r="AM6" s="8" t="s">
        <v>43</v>
      </c>
      <c r="AN6" s="8" t="s">
        <v>43</v>
      </c>
      <c r="AO6" s="8" t="s">
        <v>43</v>
      </c>
      <c r="AP6" s="8" t="s">
        <v>43</v>
      </c>
      <c r="AQ6" s="8" t="s">
        <v>43</v>
      </c>
    </row>
    <row r="7" spans="1:50" ht="15" customHeight="1" thickBot="1" x14ac:dyDescent="0.3">
      <c r="A7" s="50" t="s">
        <v>408</v>
      </c>
      <c r="B7" s="217">
        <v>3</v>
      </c>
      <c r="C7" s="177">
        <v>1</v>
      </c>
      <c r="D7" s="264">
        <v>0</v>
      </c>
      <c r="E7" s="79">
        <f t="shared" si="1"/>
        <v>4</v>
      </c>
      <c r="F7" s="99" t="s">
        <v>408</v>
      </c>
      <c r="G7" s="201">
        <v>15</v>
      </c>
      <c r="H7" s="103">
        <v>5</v>
      </c>
      <c r="I7" s="266">
        <v>0</v>
      </c>
      <c r="J7" s="102">
        <f t="shared" si="2"/>
        <v>20</v>
      </c>
      <c r="K7" s="64" t="s">
        <v>415</v>
      </c>
      <c r="L7" s="16">
        <v>14</v>
      </c>
      <c r="M7" s="16">
        <v>22</v>
      </c>
      <c r="N7" s="27">
        <f t="shared" ref="N7:N8" si="4">(L7/M7)*100</f>
        <v>63.636363636363633</v>
      </c>
      <c r="O7" s="16" t="s">
        <v>43</v>
      </c>
      <c r="P7" s="16" t="s">
        <v>43</v>
      </c>
      <c r="Q7" s="282" t="s">
        <v>43</v>
      </c>
      <c r="R7" s="79">
        <v>-1</v>
      </c>
      <c r="S7" s="79">
        <v>-1</v>
      </c>
      <c r="T7" s="8">
        <v>16</v>
      </c>
      <c r="U7" s="8">
        <v>25</v>
      </c>
      <c r="V7" s="294">
        <f>SUM(T7/U7)*100</f>
        <v>64</v>
      </c>
      <c r="W7" s="283">
        <v>31</v>
      </c>
      <c r="X7" s="8">
        <v>41</v>
      </c>
      <c r="Y7" s="294">
        <f>SUM(W7/X7)*100</f>
        <v>75.609756097560975</v>
      </c>
      <c r="Z7" s="126"/>
      <c r="AA7" s="127"/>
      <c r="AB7" s="341"/>
      <c r="AC7" s="283">
        <v>4</v>
      </c>
      <c r="AD7" s="8">
        <v>8</v>
      </c>
      <c r="AE7" s="294">
        <f>SUM(AC7/AD7)*100</f>
        <v>50</v>
      </c>
      <c r="AF7" s="283">
        <v>64</v>
      </c>
      <c r="AG7" s="8">
        <v>103</v>
      </c>
      <c r="AH7" s="294">
        <f>SUM(AF7/AG7)*100</f>
        <v>62.135922330097081</v>
      </c>
      <c r="AI7" s="8">
        <v>60</v>
      </c>
      <c r="AJ7" s="8">
        <v>84</v>
      </c>
      <c r="AK7" s="294">
        <f>SUM(AI7/AJ7)*100</f>
        <v>71.428571428571431</v>
      </c>
      <c r="AL7" s="8">
        <v>50</v>
      </c>
      <c r="AM7" s="8">
        <v>72</v>
      </c>
      <c r="AN7" s="294">
        <f>SUM(AL7/AM7)*100</f>
        <v>69.444444444444443</v>
      </c>
      <c r="AO7" s="8">
        <v>24</v>
      </c>
      <c r="AP7" s="8">
        <v>38</v>
      </c>
      <c r="AQ7" s="8">
        <v>73</v>
      </c>
    </row>
    <row r="8" spans="1:50" ht="15" customHeight="1" thickBot="1" x14ac:dyDescent="0.3">
      <c r="A8" s="50" t="s">
        <v>958</v>
      </c>
      <c r="B8" s="217">
        <v>0</v>
      </c>
      <c r="C8" s="177">
        <v>0</v>
      </c>
      <c r="D8" s="264">
        <v>0</v>
      </c>
      <c r="E8" s="79">
        <f t="shared" si="1"/>
        <v>0</v>
      </c>
      <c r="F8" s="99" t="s">
        <v>958</v>
      </c>
      <c r="G8" s="201">
        <v>0</v>
      </c>
      <c r="H8" s="103">
        <v>0</v>
      </c>
      <c r="I8" s="266">
        <v>2</v>
      </c>
      <c r="J8" s="102">
        <f t="shared" si="2"/>
        <v>2</v>
      </c>
      <c r="K8" s="64" t="s">
        <v>34</v>
      </c>
      <c r="L8" s="16">
        <v>44</v>
      </c>
      <c r="M8" s="16">
        <v>68</v>
      </c>
      <c r="N8" s="27">
        <f t="shared" si="4"/>
        <v>64.705882352941174</v>
      </c>
      <c r="O8" s="16">
        <v>4</v>
      </c>
      <c r="P8" s="16">
        <v>5</v>
      </c>
      <c r="Q8" s="282">
        <f t="shared" ref="Q8" si="5">(O8/P8)*100</f>
        <v>80</v>
      </c>
      <c r="R8" s="16">
        <v>1</v>
      </c>
      <c r="S8" s="16">
        <v>1</v>
      </c>
      <c r="T8" s="8">
        <v>70</v>
      </c>
      <c r="U8" s="8">
        <v>88</v>
      </c>
      <c r="V8" s="294">
        <f>SUM(T8/U8)*100</f>
        <v>79.545454545454547</v>
      </c>
      <c r="W8" s="283">
        <v>48</v>
      </c>
      <c r="X8" s="8">
        <v>58</v>
      </c>
      <c r="Y8" s="294">
        <f>SUM(W8/X8)*100</f>
        <v>82.758620689655174</v>
      </c>
      <c r="Z8" s="126"/>
      <c r="AA8" s="127"/>
      <c r="AB8" s="341"/>
      <c r="AC8" s="283">
        <v>11</v>
      </c>
      <c r="AD8" s="8">
        <v>15</v>
      </c>
      <c r="AE8" s="294">
        <f>SUM(AC8/AD8)*100</f>
        <v>73.333333333333329</v>
      </c>
      <c r="AF8" s="283">
        <v>22</v>
      </c>
      <c r="AG8" s="8">
        <v>31</v>
      </c>
      <c r="AH8" s="294">
        <f>SUM(AF8/AG8)*100</f>
        <v>70.967741935483872</v>
      </c>
      <c r="AI8" s="8">
        <v>5</v>
      </c>
      <c r="AJ8" s="8">
        <v>13</v>
      </c>
      <c r="AK8" s="294">
        <f>SUM(AI8/AJ8)*100</f>
        <v>38.461538461538467</v>
      </c>
      <c r="AL8" s="8">
        <v>23</v>
      </c>
      <c r="AM8" s="8">
        <v>29</v>
      </c>
      <c r="AN8" s="294">
        <f>SUM(AL8/AM8)*100</f>
        <v>79.310344827586206</v>
      </c>
      <c r="AO8" s="8">
        <v>8</v>
      </c>
      <c r="AP8" s="8">
        <v>10</v>
      </c>
      <c r="AQ8" s="8">
        <v>80</v>
      </c>
    </row>
    <row r="9" spans="1:50" ht="15" customHeight="1" thickBot="1" x14ac:dyDescent="0.3">
      <c r="A9" s="50" t="s">
        <v>111</v>
      </c>
      <c r="B9" s="217">
        <v>0</v>
      </c>
      <c r="C9" s="177">
        <v>1</v>
      </c>
      <c r="D9" s="264">
        <v>0</v>
      </c>
      <c r="E9" s="79">
        <f t="shared" si="1"/>
        <v>1</v>
      </c>
      <c r="F9" s="99" t="s">
        <v>111</v>
      </c>
      <c r="G9" s="201">
        <v>0</v>
      </c>
      <c r="H9" s="103">
        <v>5</v>
      </c>
      <c r="I9" s="266">
        <v>0</v>
      </c>
      <c r="J9" s="102">
        <f t="shared" si="2"/>
        <v>5</v>
      </c>
      <c r="K9" s="112" t="s">
        <v>293</v>
      </c>
      <c r="L9" s="16" t="s">
        <v>43</v>
      </c>
      <c r="M9" s="16" t="s">
        <v>43</v>
      </c>
      <c r="N9" s="16" t="s">
        <v>43</v>
      </c>
      <c r="O9" s="16" t="s">
        <v>43</v>
      </c>
      <c r="P9" s="16" t="s">
        <v>43</v>
      </c>
      <c r="Q9" s="282" t="s">
        <v>43</v>
      </c>
      <c r="R9" s="16">
        <v>-2</v>
      </c>
      <c r="S9" s="16">
        <v>-2</v>
      </c>
      <c r="T9" s="8" t="s">
        <v>43</v>
      </c>
      <c r="U9" s="8" t="s">
        <v>43</v>
      </c>
      <c r="V9" s="8" t="s">
        <v>43</v>
      </c>
      <c r="W9" s="283" t="s">
        <v>43</v>
      </c>
      <c r="X9" s="8" t="s">
        <v>43</v>
      </c>
      <c r="Y9" s="8" t="s">
        <v>43</v>
      </c>
      <c r="Z9" s="126"/>
      <c r="AA9" s="127"/>
      <c r="AB9" s="341"/>
      <c r="AC9" s="283">
        <v>25</v>
      </c>
      <c r="AD9" s="8">
        <v>36</v>
      </c>
      <c r="AE9" s="294">
        <f>SUM(AC9/AD9)*100</f>
        <v>69.444444444444443</v>
      </c>
      <c r="AF9" s="283" t="s">
        <v>43</v>
      </c>
      <c r="AG9" s="8" t="s">
        <v>43</v>
      </c>
      <c r="AH9" s="8" t="s">
        <v>43</v>
      </c>
      <c r="AI9" s="8" t="s">
        <v>43</v>
      </c>
      <c r="AJ9" s="8" t="s">
        <v>43</v>
      </c>
      <c r="AK9" s="8" t="s">
        <v>43</v>
      </c>
      <c r="AL9" s="8" t="s">
        <v>43</v>
      </c>
      <c r="AM9" s="8" t="s">
        <v>43</v>
      </c>
      <c r="AN9" s="8" t="s">
        <v>43</v>
      </c>
      <c r="AO9" s="8" t="s">
        <v>43</v>
      </c>
      <c r="AP9" s="8" t="s">
        <v>43</v>
      </c>
      <c r="AQ9" s="8" t="s">
        <v>43</v>
      </c>
    </row>
    <row r="10" spans="1:50" ht="15" customHeight="1" thickBot="1" x14ac:dyDescent="0.3">
      <c r="A10" s="50" t="s">
        <v>841</v>
      </c>
      <c r="B10" s="217">
        <v>1</v>
      </c>
      <c r="C10" s="177">
        <v>0</v>
      </c>
      <c r="D10" s="264">
        <v>1</v>
      </c>
      <c r="E10" s="79">
        <f t="shared" si="1"/>
        <v>2</v>
      </c>
      <c r="F10" s="100" t="s">
        <v>841</v>
      </c>
      <c r="G10" s="201">
        <v>5</v>
      </c>
      <c r="H10" s="103">
        <v>0</v>
      </c>
      <c r="I10" s="266">
        <v>5</v>
      </c>
      <c r="J10" s="102">
        <f t="shared" si="2"/>
        <v>10</v>
      </c>
      <c r="K10" s="60"/>
      <c r="L10" s="75"/>
    </row>
    <row r="11" spans="1:50" ht="15" customHeight="1" thickBot="1" x14ac:dyDescent="0.3">
      <c r="A11" s="50" t="s">
        <v>197</v>
      </c>
      <c r="B11" s="217">
        <v>0</v>
      </c>
      <c r="C11" s="177">
        <v>0</v>
      </c>
      <c r="D11" s="264">
        <v>0</v>
      </c>
      <c r="E11" s="79">
        <f t="shared" si="1"/>
        <v>0</v>
      </c>
      <c r="F11" s="100" t="s">
        <v>197</v>
      </c>
      <c r="G11" s="201">
        <v>30</v>
      </c>
      <c r="H11" s="103">
        <v>16</v>
      </c>
      <c r="I11" s="266">
        <v>0</v>
      </c>
      <c r="J11" s="102">
        <f t="shared" si="2"/>
        <v>46</v>
      </c>
      <c r="K11" s="511" t="s">
        <v>1029</v>
      </c>
      <c r="L11" s="500" t="s">
        <v>42</v>
      </c>
      <c r="M11" s="501"/>
      <c r="N11" s="502"/>
      <c r="O11" s="515" t="s">
        <v>100</v>
      </c>
      <c r="P11" s="516"/>
      <c r="Q11" s="517"/>
      <c r="R11" s="515" t="s">
        <v>916</v>
      </c>
      <c r="S11" s="516"/>
      <c r="T11" s="517"/>
      <c r="U11" s="515" t="s">
        <v>418</v>
      </c>
      <c r="V11" s="516"/>
      <c r="W11" s="517"/>
      <c r="X11" s="323"/>
      <c r="Y11" s="323"/>
      <c r="Z11" s="323"/>
      <c r="AA11" s="437"/>
      <c r="AB11" s="437"/>
      <c r="AC11" s="437"/>
      <c r="AD11" s="515" t="s">
        <v>419</v>
      </c>
      <c r="AE11" s="516"/>
      <c r="AF11" s="517"/>
      <c r="AG11" s="515" t="s">
        <v>420</v>
      </c>
      <c r="AH11" s="516"/>
      <c r="AI11" s="517"/>
      <c r="AJ11" s="515" t="s">
        <v>140</v>
      </c>
      <c r="AK11" s="516"/>
      <c r="AL11" s="517"/>
    </row>
    <row r="12" spans="1:50" ht="15" customHeight="1" thickBot="1" x14ac:dyDescent="0.3">
      <c r="A12" s="50" t="s">
        <v>235</v>
      </c>
      <c r="B12" s="217">
        <v>2</v>
      </c>
      <c r="C12" s="177">
        <v>0</v>
      </c>
      <c r="D12" s="264">
        <v>0</v>
      </c>
      <c r="E12" s="79">
        <f t="shared" si="1"/>
        <v>2</v>
      </c>
      <c r="F12" s="100" t="s">
        <v>235</v>
      </c>
      <c r="G12" s="201">
        <v>10</v>
      </c>
      <c r="H12" s="103">
        <v>0</v>
      </c>
      <c r="I12" s="266">
        <v>0</v>
      </c>
      <c r="J12" s="102">
        <f t="shared" si="2"/>
        <v>10</v>
      </c>
      <c r="K12" s="512"/>
      <c r="L12" s="503"/>
      <c r="M12" s="504"/>
      <c r="N12" s="505"/>
      <c r="O12" s="518"/>
      <c r="P12" s="519"/>
      <c r="Q12" s="520"/>
      <c r="R12" s="518"/>
      <c r="S12" s="519"/>
      <c r="T12" s="520"/>
      <c r="U12" s="518"/>
      <c r="V12" s="519"/>
      <c r="W12" s="520"/>
      <c r="X12" s="323"/>
      <c r="Y12" s="323"/>
      <c r="Z12" s="323"/>
      <c r="AA12" s="437"/>
      <c r="AB12" s="437"/>
      <c r="AC12" s="437"/>
      <c r="AD12" s="518"/>
      <c r="AE12" s="519"/>
      <c r="AF12" s="520"/>
      <c r="AG12" s="518"/>
      <c r="AH12" s="519"/>
      <c r="AI12" s="520"/>
      <c r="AJ12" s="518"/>
      <c r="AK12" s="519"/>
      <c r="AL12" s="520"/>
    </row>
    <row r="13" spans="1:50" ht="15" customHeight="1" thickBot="1" x14ac:dyDescent="0.3">
      <c r="A13" s="50" t="s">
        <v>839</v>
      </c>
      <c r="B13" s="217">
        <v>0</v>
      </c>
      <c r="C13" s="177">
        <v>0</v>
      </c>
      <c r="D13" s="264">
        <v>0</v>
      </c>
      <c r="E13" s="79">
        <f t="shared" si="1"/>
        <v>0</v>
      </c>
      <c r="F13" s="100" t="s">
        <v>839</v>
      </c>
      <c r="G13" s="201">
        <v>0</v>
      </c>
      <c r="H13" s="103">
        <v>0</v>
      </c>
      <c r="I13" s="266">
        <v>0</v>
      </c>
      <c r="J13" s="102">
        <f t="shared" si="2"/>
        <v>0</v>
      </c>
      <c r="K13" s="35" t="s">
        <v>72</v>
      </c>
      <c r="L13" s="4" t="s">
        <v>176</v>
      </c>
      <c r="M13" s="4" t="s">
        <v>36</v>
      </c>
      <c r="N13" s="4" t="s">
        <v>37</v>
      </c>
      <c r="O13" s="8" t="s">
        <v>176</v>
      </c>
      <c r="P13" s="8" t="s">
        <v>36</v>
      </c>
      <c r="Q13" s="8" t="s">
        <v>37</v>
      </c>
      <c r="R13" s="8" t="s">
        <v>176</v>
      </c>
      <c r="S13" s="8" t="s">
        <v>36</v>
      </c>
      <c r="T13" s="8" t="s">
        <v>37</v>
      </c>
      <c r="U13" s="283" t="s">
        <v>176</v>
      </c>
      <c r="V13" s="8" t="s">
        <v>36</v>
      </c>
      <c r="W13" s="8" t="s">
        <v>37</v>
      </c>
      <c r="X13" s="437"/>
      <c r="Y13" s="437"/>
      <c r="Z13" s="437"/>
      <c r="AA13" s="437"/>
      <c r="AB13" s="437"/>
      <c r="AC13" s="437"/>
      <c r="AD13" s="283" t="s">
        <v>176</v>
      </c>
      <c r="AE13" s="8" t="s">
        <v>36</v>
      </c>
      <c r="AF13" s="8" t="s">
        <v>37</v>
      </c>
      <c r="AG13" s="283" t="s">
        <v>176</v>
      </c>
      <c r="AH13" s="8" t="s">
        <v>36</v>
      </c>
      <c r="AI13" s="8" t="s">
        <v>37</v>
      </c>
      <c r="AJ13" s="283" t="s">
        <v>38</v>
      </c>
      <c r="AK13" s="8" t="s">
        <v>36</v>
      </c>
      <c r="AL13" s="8" t="s">
        <v>37</v>
      </c>
    </row>
    <row r="14" spans="1:50" ht="15" customHeight="1" thickBot="1" x14ac:dyDescent="0.3">
      <c r="A14" s="50" t="s">
        <v>72</v>
      </c>
      <c r="B14" s="217">
        <v>0</v>
      </c>
      <c r="C14" s="177">
        <v>0</v>
      </c>
      <c r="D14" s="264">
        <v>0</v>
      </c>
      <c r="E14" s="79">
        <f t="shared" si="1"/>
        <v>0</v>
      </c>
      <c r="F14" s="100" t="s">
        <v>72</v>
      </c>
      <c r="G14" s="201">
        <v>0</v>
      </c>
      <c r="H14" s="103">
        <v>0</v>
      </c>
      <c r="I14" s="266">
        <v>0</v>
      </c>
      <c r="J14" s="102">
        <f t="shared" si="2"/>
        <v>0</v>
      </c>
      <c r="K14" s="64" t="s">
        <v>292</v>
      </c>
      <c r="L14" s="16" t="s">
        <v>43</v>
      </c>
      <c r="M14" s="16" t="s">
        <v>43</v>
      </c>
      <c r="N14" s="27" t="s">
        <v>43</v>
      </c>
      <c r="O14" s="8">
        <v>3</v>
      </c>
      <c r="P14" s="8">
        <v>5</v>
      </c>
      <c r="Q14" s="294">
        <f>SUM(O14/P14)*100</f>
        <v>60</v>
      </c>
      <c r="R14" s="8">
        <v>21</v>
      </c>
      <c r="S14" s="8">
        <v>25</v>
      </c>
      <c r="T14" s="294">
        <f>SUM(R14/S14)*100</f>
        <v>84</v>
      </c>
      <c r="U14" s="283">
        <v>11</v>
      </c>
      <c r="V14" s="8">
        <v>13</v>
      </c>
      <c r="W14" s="294">
        <f>SUM(U14/V14)*100</f>
        <v>84.615384615384613</v>
      </c>
      <c r="X14" s="437"/>
      <c r="Y14" s="437"/>
      <c r="Z14" s="437"/>
      <c r="AA14" s="437"/>
      <c r="AB14" s="437"/>
      <c r="AC14" s="437"/>
      <c r="AD14" s="283">
        <v>11</v>
      </c>
      <c r="AE14" s="8">
        <v>18</v>
      </c>
      <c r="AF14" s="294">
        <f>SUM(AD14/AE14)*100</f>
        <v>61.111111111111114</v>
      </c>
      <c r="AG14" s="283">
        <v>13</v>
      </c>
      <c r="AH14" s="8">
        <v>18</v>
      </c>
      <c r="AI14" s="294">
        <f>SUM(AG14/AH14)*100</f>
        <v>72.222222222222214</v>
      </c>
      <c r="AJ14" s="283">
        <v>6</v>
      </c>
      <c r="AK14" s="8">
        <v>9</v>
      </c>
      <c r="AL14" s="294">
        <f>SUM(AJ14/AK14)*100</f>
        <v>66.666666666666657</v>
      </c>
    </row>
    <row r="15" spans="1:50" ht="15" customHeight="1" thickBot="1" x14ac:dyDescent="0.3">
      <c r="A15" s="50" t="s">
        <v>409</v>
      </c>
      <c r="B15" s="217">
        <v>0</v>
      </c>
      <c r="C15" s="177">
        <v>0</v>
      </c>
      <c r="D15" s="264">
        <v>0</v>
      </c>
      <c r="E15" s="79">
        <f t="shared" si="1"/>
        <v>0</v>
      </c>
      <c r="F15" s="100" t="s">
        <v>409</v>
      </c>
      <c r="G15" s="201">
        <v>0</v>
      </c>
      <c r="H15" s="103">
        <v>0</v>
      </c>
      <c r="I15" s="266">
        <v>0</v>
      </c>
      <c r="J15" s="102">
        <f t="shared" si="2"/>
        <v>0</v>
      </c>
      <c r="K15" s="64" t="s">
        <v>75</v>
      </c>
      <c r="L15" s="16">
        <v>12</v>
      </c>
      <c r="M15" s="16">
        <v>15</v>
      </c>
      <c r="N15" s="27">
        <f>SUM(L15/M15)*100</f>
        <v>80</v>
      </c>
      <c r="O15" s="8">
        <v>6</v>
      </c>
      <c r="P15" s="8">
        <v>9</v>
      </c>
      <c r="Q15" s="294">
        <f>SUM(O15/P15)*100</f>
        <v>66.666666666666657</v>
      </c>
      <c r="R15" s="8">
        <v>22</v>
      </c>
      <c r="S15" s="8">
        <v>27</v>
      </c>
      <c r="T15" s="294">
        <f>SUM(R15/S15)*100</f>
        <v>81.481481481481481</v>
      </c>
      <c r="U15" s="283">
        <v>6</v>
      </c>
      <c r="V15" s="8">
        <v>8</v>
      </c>
      <c r="W15" s="294">
        <f>SUM(U15/V15)*100</f>
        <v>75</v>
      </c>
      <c r="X15" s="437"/>
      <c r="Y15" s="437"/>
      <c r="Z15" s="437"/>
      <c r="AA15" s="437"/>
      <c r="AB15" s="437"/>
      <c r="AC15" s="437"/>
      <c r="AD15" s="283">
        <v>2</v>
      </c>
      <c r="AE15" s="8">
        <v>3</v>
      </c>
      <c r="AF15" s="294">
        <f>SUM(AD15/AE15)*100</f>
        <v>66.666666666666657</v>
      </c>
      <c r="AG15" s="283" t="s">
        <v>43</v>
      </c>
      <c r="AH15" s="8" t="s">
        <v>43</v>
      </c>
      <c r="AI15" s="8" t="s">
        <v>43</v>
      </c>
      <c r="AJ15" s="283">
        <v>6</v>
      </c>
      <c r="AK15" s="8">
        <v>9</v>
      </c>
      <c r="AL15" s="294">
        <f>SUM(AJ15/AK15)*100</f>
        <v>66.666666666666657</v>
      </c>
    </row>
    <row r="16" spans="1:50" ht="15" customHeight="1" thickBot="1" x14ac:dyDescent="0.3">
      <c r="A16" s="50" t="s">
        <v>72</v>
      </c>
      <c r="B16" s="217">
        <v>0</v>
      </c>
      <c r="C16" s="177">
        <v>0</v>
      </c>
      <c r="D16" s="264">
        <v>0</v>
      </c>
      <c r="E16" s="79">
        <f t="shared" si="1"/>
        <v>0</v>
      </c>
      <c r="F16" s="100" t="s">
        <v>72</v>
      </c>
      <c r="G16" s="201">
        <v>0</v>
      </c>
      <c r="H16" s="103">
        <v>0</v>
      </c>
      <c r="I16" s="266">
        <v>0</v>
      </c>
      <c r="J16" s="102">
        <f t="shared" si="2"/>
        <v>0</v>
      </c>
      <c r="K16" s="64" t="s">
        <v>4</v>
      </c>
      <c r="L16" s="16">
        <v>1</v>
      </c>
      <c r="M16" s="16">
        <v>1</v>
      </c>
      <c r="N16" s="16">
        <f>SUM(L16/M16)*100</f>
        <v>100</v>
      </c>
      <c r="O16" s="8" t="s">
        <v>43</v>
      </c>
      <c r="P16" s="8" t="s">
        <v>43</v>
      </c>
      <c r="Q16" s="8" t="s">
        <v>43</v>
      </c>
      <c r="R16" s="8" t="s">
        <v>43</v>
      </c>
      <c r="S16" s="8" t="s">
        <v>43</v>
      </c>
      <c r="T16" s="8" t="s">
        <v>43</v>
      </c>
      <c r="U16" s="283" t="s">
        <v>43</v>
      </c>
      <c r="V16" s="8" t="s">
        <v>43</v>
      </c>
      <c r="W16" s="8" t="s">
        <v>43</v>
      </c>
      <c r="X16" s="437"/>
      <c r="Y16" s="437"/>
      <c r="Z16" s="437"/>
      <c r="AA16" s="437"/>
      <c r="AB16" s="437"/>
      <c r="AC16" s="437"/>
      <c r="AD16" s="283" t="s">
        <v>43</v>
      </c>
      <c r="AE16" s="8" t="s">
        <v>43</v>
      </c>
      <c r="AF16" s="8" t="s">
        <v>43</v>
      </c>
      <c r="AG16" s="8" t="s">
        <v>43</v>
      </c>
      <c r="AH16" s="8" t="s">
        <v>43</v>
      </c>
      <c r="AI16" s="8" t="s">
        <v>43</v>
      </c>
      <c r="AJ16" s="8" t="s">
        <v>43</v>
      </c>
      <c r="AK16" s="8" t="s">
        <v>43</v>
      </c>
      <c r="AL16" s="8" t="s">
        <v>43</v>
      </c>
      <c r="AM16" s="332"/>
      <c r="AN16" s="332"/>
      <c r="AO16" s="332"/>
      <c r="AP16" s="332"/>
      <c r="AQ16" s="332"/>
    </row>
    <row r="17" spans="1:44" ht="15" customHeight="1" thickBot="1" x14ac:dyDescent="0.3">
      <c r="A17" s="50" t="s">
        <v>4</v>
      </c>
      <c r="B17" s="217">
        <v>3</v>
      </c>
      <c r="C17" s="177">
        <v>0</v>
      </c>
      <c r="D17" s="264">
        <v>2</v>
      </c>
      <c r="E17" s="79">
        <f t="shared" si="1"/>
        <v>5</v>
      </c>
      <c r="F17" s="100" t="s">
        <v>4</v>
      </c>
      <c r="G17" s="201">
        <v>27</v>
      </c>
      <c r="H17" s="103">
        <v>2</v>
      </c>
      <c r="I17" s="266">
        <v>23</v>
      </c>
      <c r="J17" s="102">
        <f t="shared" si="2"/>
        <v>52</v>
      </c>
      <c r="K17" s="64" t="s">
        <v>416</v>
      </c>
      <c r="L17" s="16" t="s">
        <v>43</v>
      </c>
      <c r="M17" s="16" t="s">
        <v>43</v>
      </c>
      <c r="N17" s="16" t="s">
        <v>43</v>
      </c>
      <c r="O17" s="8" t="s">
        <v>43</v>
      </c>
      <c r="P17" s="8" t="s">
        <v>43</v>
      </c>
      <c r="Q17" s="8" t="s">
        <v>43</v>
      </c>
      <c r="R17" s="8" t="s">
        <v>43</v>
      </c>
      <c r="S17" s="8" t="s">
        <v>43</v>
      </c>
      <c r="T17" s="8" t="s">
        <v>43</v>
      </c>
      <c r="U17" s="283" t="s">
        <v>43</v>
      </c>
      <c r="V17" s="8" t="s">
        <v>43</v>
      </c>
      <c r="W17" s="8" t="s">
        <v>43</v>
      </c>
      <c r="X17" s="437"/>
      <c r="Y17" s="437"/>
      <c r="Z17" s="437"/>
      <c r="AA17" s="437"/>
      <c r="AB17" s="437"/>
      <c r="AC17" s="437"/>
      <c r="AD17" s="283" t="s">
        <v>43</v>
      </c>
      <c r="AE17" s="8" t="s">
        <v>43</v>
      </c>
      <c r="AF17" s="8" t="s">
        <v>43</v>
      </c>
      <c r="AG17" s="8" t="s">
        <v>43</v>
      </c>
      <c r="AH17" s="8" t="s">
        <v>43</v>
      </c>
      <c r="AI17" s="8" t="s">
        <v>43</v>
      </c>
      <c r="AJ17" s="283">
        <v>1</v>
      </c>
      <c r="AK17" s="8">
        <v>1</v>
      </c>
      <c r="AL17" s="294">
        <f>SUM(AJ17/AK17)*100</f>
        <v>100</v>
      </c>
      <c r="AM17" t="s">
        <v>417</v>
      </c>
    </row>
    <row r="18" spans="1:44" ht="15" customHeight="1" thickBot="1" x14ac:dyDescent="0.3">
      <c r="A18" s="50" t="s">
        <v>72</v>
      </c>
      <c r="B18" s="217">
        <v>0</v>
      </c>
      <c r="C18" s="177">
        <v>0</v>
      </c>
      <c r="D18" s="264">
        <v>0</v>
      </c>
      <c r="E18" s="79">
        <f t="shared" si="1"/>
        <v>0</v>
      </c>
      <c r="F18" s="100" t="s">
        <v>72</v>
      </c>
      <c r="G18" s="201">
        <v>0</v>
      </c>
      <c r="H18" s="103">
        <v>0</v>
      </c>
      <c r="I18" s="266">
        <v>0</v>
      </c>
      <c r="J18" s="102">
        <f t="shared" si="2"/>
        <v>0</v>
      </c>
      <c r="K18" s="64" t="s">
        <v>415</v>
      </c>
      <c r="L18" s="16">
        <v>7</v>
      </c>
      <c r="M18" s="16">
        <v>9</v>
      </c>
      <c r="N18" s="27">
        <f>SUM(L18/M18)*100</f>
        <v>77.777777777777786</v>
      </c>
      <c r="O18" s="8">
        <v>10</v>
      </c>
      <c r="P18" s="8">
        <v>11</v>
      </c>
      <c r="Q18" s="294">
        <f>SUM(O18/P18)*100</f>
        <v>90.909090909090907</v>
      </c>
      <c r="R18" s="8">
        <v>8</v>
      </c>
      <c r="S18" s="8">
        <v>10</v>
      </c>
      <c r="T18" s="294">
        <f>SUM(R18/S18)*100</f>
        <v>80</v>
      </c>
      <c r="U18" s="283">
        <v>11</v>
      </c>
      <c r="V18" s="8">
        <v>14</v>
      </c>
      <c r="W18" s="294">
        <f>SUM(U18/V18)*100</f>
        <v>78.571428571428569</v>
      </c>
      <c r="X18" s="437"/>
      <c r="Y18" s="437"/>
      <c r="Z18" s="437"/>
      <c r="AA18" s="437"/>
      <c r="AB18" s="437"/>
      <c r="AC18" s="437"/>
      <c r="AD18" s="283">
        <v>13</v>
      </c>
      <c r="AE18" s="8">
        <v>18</v>
      </c>
      <c r="AF18" s="294">
        <f>SUM(AD18/AE18)*100</f>
        <v>72.222222222222214</v>
      </c>
      <c r="AG18" s="283">
        <v>9</v>
      </c>
      <c r="AH18" s="8">
        <v>9</v>
      </c>
      <c r="AI18" s="294">
        <f>SUM(AG18/AH18)*100</f>
        <v>100</v>
      </c>
      <c r="AJ18" s="283">
        <v>15</v>
      </c>
      <c r="AK18" s="8">
        <v>21</v>
      </c>
      <c r="AL18" s="294">
        <f>SUM(AJ18/AK18)*100</f>
        <v>71.428571428571431</v>
      </c>
      <c r="AM18" t="s">
        <v>72</v>
      </c>
    </row>
    <row r="19" spans="1:44" ht="15" customHeight="1" thickBot="1" x14ac:dyDescent="0.3">
      <c r="A19" s="50" t="s">
        <v>410</v>
      </c>
      <c r="B19" s="217">
        <v>0</v>
      </c>
      <c r="C19" s="177">
        <v>1</v>
      </c>
      <c r="D19" s="264">
        <v>0</v>
      </c>
      <c r="E19" s="79">
        <f t="shared" si="1"/>
        <v>1</v>
      </c>
      <c r="F19" s="100" t="s">
        <v>410</v>
      </c>
      <c r="G19" s="201">
        <v>0</v>
      </c>
      <c r="H19" s="103">
        <v>5</v>
      </c>
      <c r="I19" s="266">
        <v>0</v>
      </c>
      <c r="J19" s="102">
        <f t="shared" si="2"/>
        <v>5</v>
      </c>
      <c r="K19" s="64" t="s">
        <v>293</v>
      </c>
      <c r="L19" s="16" t="s">
        <v>43</v>
      </c>
      <c r="M19" s="16" t="s">
        <v>43</v>
      </c>
      <c r="N19" s="16" t="s">
        <v>43</v>
      </c>
      <c r="O19" s="8" t="s">
        <v>43</v>
      </c>
      <c r="P19" s="8" t="s">
        <v>43</v>
      </c>
      <c r="Q19" s="8" t="s">
        <v>43</v>
      </c>
      <c r="R19" s="8" t="s">
        <v>43</v>
      </c>
      <c r="S19" s="8" t="s">
        <v>43</v>
      </c>
      <c r="T19" s="8" t="s">
        <v>43</v>
      </c>
      <c r="U19" s="7">
        <v>1</v>
      </c>
      <c r="V19" s="7">
        <v>3</v>
      </c>
      <c r="W19" s="303">
        <f>SUM(U19/V19)*100</f>
        <v>33.333333333333329</v>
      </c>
      <c r="X19" s="437"/>
      <c r="Y19" s="437"/>
      <c r="Z19" s="437"/>
      <c r="AA19" s="437"/>
      <c r="AB19" s="437"/>
      <c r="AC19" s="437"/>
      <c r="AD19" s="283" t="s">
        <v>43</v>
      </c>
      <c r="AE19" s="8" t="s">
        <v>43</v>
      </c>
      <c r="AF19" s="8" t="s">
        <v>43</v>
      </c>
      <c r="AG19" s="8" t="s">
        <v>43</v>
      </c>
      <c r="AH19" s="8" t="s">
        <v>43</v>
      </c>
      <c r="AI19" s="8" t="s">
        <v>43</v>
      </c>
      <c r="AJ19" s="283" t="s">
        <v>43</v>
      </c>
      <c r="AK19" s="8" t="s">
        <v>43</v>
      </c>
      <c r="AL19" s="8" t="s">
        <v>43</v>
      </c>
    </row>
    <row r="20" spans="1:44" ht="15" customHeight="1" thickBot="1" x14ac:dyDescent="0.3">
      <c r="A20" s="50" t="s">
        <v>411</v>
      </c>
      <c r="B20" s="217">
        <v>1</v>
      </c>
      <c r="C20" s="177">
        <v>1</v>
      </c>
      <c r="D20" s="264">
        <v>2</v>
      </c>
      <c r="E20" s="79">
        <f t="shared" si="1"/>
        <v>4</v>
      </c>
      <c r="F20" s="100" t="s">
        <v>411</v>
      </c>
      <c r="G20" s="201">
        <v>5</v>
      </c>
      <c r="H20" s="103">
        <v>5</v>
      </c>
      <c r="I20" s="266">
        <v>10</v>
      </c>
      <c r="J20" s="102">
        <f t="shared" si="2"/>
        <v>20</v>
      </c>
      <c r="X20" s="437"/>
      <c r="Y20" s="437"/>
      <c r="Z20" s="437"/>
      <c r="AA20" s="437"/>
      <c r="AB20" s="437"/>
      <c r="AC20" s="437"/>
      <c r="AD20" s="436" t="s">
        <v>72</v>
      </c>
      <c r="AE20" s="436"/>
      <c r="AF20" s="436"/>
    </row>
    <row r="21" spans="1:44" ht="15" customHeight="1" thickBot="1" x14ac:dyDescent="0.3">
      <c r="A21" s="50" t="s">
        <v>1203</v>
      </c>
      <c r="B21" s="217">
        <v>1</v>
      </c>
      <c r="C21" s="177">
        <v>0</v>
      </c>
      <c r="D21" s="264">
        <v>0</v>
      </c>
      <c r="E21" s="79">
        <f t="shared" si="1"/>
        <v>1</v>
      </c>
      <c r="F21" s="100" t="s">
        <v>1203</v>
      </c>
      <c r="G21" s="201">
        <v>5</v>
      </c>
      <c r="H21" s="103">
        <v>0</v>
      </c>
      <c r="I21" s="266">
        <v>0</v>
      </c>
      <c r="J21" s="102">
        <f t="shared" si="2"/>
        <v>5</v>
      </c>
      <c r="K21" s="509" t="s">
        <v>304</v>
      </c>
      <c r="L21" s="500" t="s">
        <v>42</v>
      </c>
      <c r="M21" s="501"/>
      <c r="N21" s="502"/>
      <c r="O21" s="515" t="s">
        <v>100</v>
      </c>
      <c r="P21" s="516"/>
      <c r="Q21" s="517"/>
      <c r="R21" s="515" t="s">
        <v>915</v>
      </c>
      <c r="S21" s="516"/>
      <c r="T21" s="517"/>
      <c r="U21" s="515" t="s">
        <v>303</v>
      </c>
      <c r="V21" s="516"/>
      <c r="W21" s="517"/>
      <c r="X21" s="437"/>
      <c r="Y21" s="437"/>
      <c r="Z21" s="437"/>
      <c r="AA21" s="437"/>
      <c r="AB21" s="437"/>
      <c r="AC21" s="437"/>
      <c r="AD21" s="515" t="s">
        <v>186</v>
      </c>
      <c r="AE21" s="516"/>
      <c r="AF21" s="517"/>
      <c r="AG21" s="515" t="s">
        <v>140</v>
      </c>
      <c r="AH21" s="516"/>
      <c r="AI21" s="517"/>
    </row>
    <row r="22" spans="1:44" ht="15" customHeight="1" thickBot="1" x14ac:dyDescent="0.3">
      <c r="A22" s="50" t="s">
        <v>282</v>
      </c>
      <c r="B22" s="217">
        <v>0</v>
      </c>
      <c r="C22" s="177">
        <v>0</v>
      </c>
      <c r="D22" s="264">
        <v>0</v>
      </c>
      <c r="E22" s="79">
        <f t="shared" si="1"/>
        <v>0</v>
      </c>
      <c r="F22" s="100" t="s">
        <v>282</v>
      </c>
      <c r="G22" s="201">
        <v>0</v>
      </c>
      <c r="H22" s="103">
        <v>0</v>
      </c>
      <c r="I22" s="266">
        <v>0</v>
      </c>
      <c r="J22" s="102">
        <f t="shared" si="2"/>
        <v>0</v>
      </c>
      <c r="K22" s="510"/>
      <c r="L22" s="503"/>
      <c r="M22" s="504"/>
      <c r="N22" s="505"/>
      <c r="O22" s="518"/>
      <c r="P22" s="519"/>
      <c r="Q22" s="520"/>
      <c r="R22" s="518"/>
      <c r="S22" s="519"/>
      <c r="T22" s="520"/>
      <c r="U22" s="518"/>
      <c r="V22" s="519"/>
      <c r="W22" s="520"/>
      <c r="X22" s="437"/>
      <c r="Y22" s="437"/>
      <c r="Z22" s="437"/>
      <c r="AA22" s="437"/>
      <c r="AB22" s="437"/>
      <c r="AC22" s="437"/>
      <c r="AD22" s="518"/>
      <c r="AE22" s="519"/>
      <c r="AF22" s="520"/>
      <c r="AG22" s="518"/>
      <c r="AH22" s="519"/>
      <c r="AI22" s="520"/>
    </row>
    <row r="23" spans="1:44" ht="15" customHeight="1" thickBot="1" x14ac:dyDescent="0.3">
      <c r="A23" s="50" t="s">
        <v>1059</v>
      </c>
      <c r="B23" s="217">
        <v>5</v>
      </c>
      <c r="C23" s="177">
        <v>0</v>
      </c>
      <c r="D23" s="264">
        <v>0</v>
      </c>
      <c r="E23" s="79">
        <f t="shared" si="1"/>
        <v>5</v>
      </c>
      <c r="F23" s="100" t="s">
        <v>1059</v>
      </c>
      <c r="G23" s="201">
        <v>25</v>
      </c>
      <c r="H23" s="103">
        <v>0</v>
      </c>
      <c r="I23" s="266">
        <v>0</v>
      </c>
      <c r="J23" s="102">
        <f t="shared" si="2"/>
        <v>25</v>
      </c>
      <c r="K23" s="35" t="s">
        <v>72</v>
      </c>
      <c r="L23" s="4" t="s">
        <v>176</v>
      </c>
      <c r="M23" s="4" t="s">
        <v>36</v>
      </c>
      <c r="N23" s="4" t="s">
        <v>37</v>
      </c>
      <c r="O23" s="8" t="s">
        <v>176</v>
      </c>
      <c r="P23" s="8" t="s">
        <v>36</v>
      </c>
      <c r="Q23" s="8" t="s">
        <v>37</v>
      </c>
      <c r="R23" s="8" t="s">
        <v>176</v>
      </c>
      <c r="S23" s="8" t="s">
        <v>36</v>
      </c>
      <c r="T23" s="8" t="s">
        <v>37</v>
      </c>
      <c r="U23" s="283" t="s">
        <v>176</v>
      </c>
      <c r="V23" s="8" t="s">
        <v>36</v>
      </c>
      <c r="W23" s="8" t="s">
        <v>37</v>
      </c>
      <c r="X23" s="437"/>
      <c r="Y23" s="437"/>
      <c r="Z23" s="437"/>
      <c r="AA23" s="437"/>
      <c r="AB23" s="437"/>
      <c r="AC23" s="437"/>
      <c r="AD23" s="283" t="s">
        <v>176</v>
      </c>
      <c r="AE23" s="8" t="s">
        <v>36</v>
      </c>
      <c r="AF23" s="8" t="s">
        <v>37</v>
      </c>
      <c r="AG23" s="283" t="s">
        <v>176</v>
      </c>
      <c r="AH23" s="8" t="s">
        <v>36</v>
      </c>
      <c r="AI23" s="8" t="s">
        <v>37</v>
      </c>
    </row>
    <row r="24" spans="1:44" ht="15" customHeight="1" thickBot="1" x14ac:dyDescent="0.3">
      <c r="A24" s="50" t="s">
        <v>149</v>
      </c>
      <c r="B24" s="217">
        <v>0</v>
      </c>
      <c r="C24" s="177">
        <v>1</v>
      </c>
      <c r="D24" s="264">
        <v>0</v>
      </c>
      <c r="E24" s="79">
        <f t="shared" si="1"/>
        <v>1</v>
      </c>
      <c r="F24" s="100" t="s">
        <v>149</v>
      </c>
      <c r="G24" s="201">
        <v>0</v>
      </c>
      <c r="H24" s="103">
        <v>5</v>
      </c>
      <c r="I24" s="266">
        <v>0</v>
      </c>
      <c r="J24" s="102">
        <f t="shared" si="2"/>
        <v>5</v>
      </c>
      <c r="K24" s="133" t="s">
        <v>4</v>
      </c>
      <c r="L24" s="16">
        <v>6</v>
      </c>
      <c r="M24" s="16">
        <v>11</v>
      </c>
      <c r="N24" s="27">
        <f>(L24/M24)*100</f>
        <v>54.54545454545454</v>
      </c>
      <c r="O24" s="8">
        <v>2</v>
      </c>
      <c r="P24" s="8">
        <v>4</v>
      </c>
      <c r="Q24" s="294">
        <f>SUM(O24/P24)*100</f>
        <v>50</v>
      </c>
      <c r="R24" s="8">
        <v>4</v>
      </c>
      <c r="S24" s="8">
        <v>6</v>
      </c>
      <c r="T24" s="294">
        <f>SUM(R24/S24)*100</f>
        <v>66.666666666666657</v>
      </c>
      <c r="U24" s="283">
        <v>7</v>
      </c>
      <c r="V24" s="8">
        <v>13</v>
      </c>
      <c r="W24" s="294">
        <f>SUM(U24/V24)*100</f>
        <v>53.846153846153847</v>
      </c>
      <c r="X24" s="437"/>
      <c r="Y24" s="437"/>
      <c r="Z24" s="437"/>
      <c r="AA24" s="437"/>
      <c r="AB24" s="437"/>
      <c r="AC24" s="437"/>
      <c r="AD24" s="283" t="s">
        <v>43</v>
      </c>
      <c r="AE24" s="8" t="s">
        <v>43</v>
      </c>
      <c r="AF24" s="8" t="s">
        <v>43</v>
      </c>
      <c r="AG24" s="283" t="s">
        <v>43</v>
      </c>
      <c r="AH24" s="8" t="s">
        <v>43</v>
      </c>
      <c r="AI24" s="8" t="s">
        <v>43</v>
      </c>
    </row>
    <row r="25" spans="1:44" ht="15" customHeight="1" thickBot="1" x14ac:dyDescent="0.3">
      <c r="A25" s="50" t="s">
        <v>957</v>
      </c>
      <c r="B25" s="217">
        <v>0</v>
      </c>
      <c r="C25" s="177">
        <v>0</v>
      </c>
      <c r="D25" s="264">
        <v>2</v>
      </c>
      <c r="E25" s="79">
        <f t="shared" si="1"/>
        <v>2</v>
      </c>
      <c r="F25" s="100" t="s">
        <v>957</v>
      </c>
      <c r="G25" s="201">
        <v>0</v>
      </c>
      <c r="H25" s="103">
        <v>0</v>
      </c>
      <c r="I25" s="266">
        <v>10</v>
      </c>
      <c r="J25" s="102">
        <f t="shared" si="2"/>
        <v>10</v>
      </c>
      <c r="K25" s="133" t="s">
        <v>958</v>
      </c>
      <c r="L25" s="16">
        <v>1</v>
      </c>
      <c r="M25" s="16">
        <v>1</v>
      </c>
      <c r="N25" s="27">
        <f>(L25/M25)*100</f>
        <v>100</v>
      </c>
      <c r="O25" s="8"/>
      <c r="P25" s="8"/>
      <c r="Q25" s="294"/>
      <c r="R25" s="8"/>
      <c r="S25" s="8"/>
      <c r="T25" s="294"/>
      <c r="U25" s="283"/>
      <c r="V25" s="8"/>
      <c r="W25" s="294"/>
      <c r="X25" s="437"/>
      <c r="Y25" s="437"/>
      <c r="Z25" s="437"/>
      <c r="AA25" s="437"/>
      <c r="AB25" s="437"/>
      <c r="AC25" s="437"/>
      <c r="AD25" s="283"/>
      <c r="AE25" s="8"/>
      <c r="AF25" s="8"/>
      <c r="AG25" s="7" t="s">
        <v>43</v>
      </c>
      <c r="AH25" s="8" t="s">
        <v>43</v>
      </c>
      <c r="AI25" s="8" t="s">
        <v>43</v>
      </c>
    </row>
    <row r="26" spans="1:44" ht="15" customHeight="1" thickBot="1" x14ac:dyDescent="0.3">
      <c r="A26" s="50" t="s">
        <v>193</v>
      </c>
      <c r="B26" s="217">
        <v>0</v>
      </c>
      <c r="C26" s="177">
        <v>0</v>
      </c>
      <c r="D26" s="264">
        <v>0</v>
      </c>
      <c r="E26" s="79">
        <f t="shared" si="1"/>
        <v>0</v>
      </c>
      <c r="F26" s="100" t="s">
        <v>193</v>
      </c>
      <c r="G26" s="201">
        <v>0</v>
      </c>
      <c r="H26" s="103">
        <v>0</v>
      </c>
      <c r="I26" s="266">
        <v>0</v>
      </c>
      <c r="J26" s="102">
        <f t="shared" si="2"/>
        <v>0</v>
      </c>
      <c r="K26" s="133" t="s">
        <v>841</v>
      </c>
      <c r="L26" s="16" t="s">
        <v>43</v>
      </c>
      <c r="M26" s="16" t="s">
        <v>43</v>
      </c>
      <c r="N26" s="27" t="s">
        <v>43</v>
      </c>
      <c r="O26" s="8">
        <v>1</v>
      </c>
      <c r="P26" s="8">
        <v>1</v>
      </c>
      <c r="Q26" s="294">
        <f>SUM(O26/P26)*100</f>
        <v>100</v>
      </c>
      <c r="R26" s="8" t="s">
        <v>43</v>
      </c>
      <c r="S26" s="8" t="s">
        <v>43</v>
      </c>
      <c r="T26" s="8" t="s">
        <v>43</v>
      </c>
      <c r="U26" s="283" t="s">
        <v>43</v>
      </c>
      <c r="V26" s="8" t="s">
        <v>43</v>
      </c>
      <c r="W26" s="8" t="s">
        <v>43</v>
      </c>
      <c r="X26" s="437"/>
      <c r="Y26" s="437"/>
      <c r="Z26" s="437"/>
      <c r="AA26" s="437"/>
      <c r="AB26" s="437"/>
      <c r="AC26" s="437"/>
      <c r="AD26" s="283" t="s">
        <v>43</v>
      </c>
      <c r="AE26" s="8" t="s">
        <v>43</v>
      </c>
      <c r="AF26" s="8" t="s">
        <v>43</v>
      </c>
      <c r="AG26" s="283" t="s">
        <v>43</v>
      </c>
      <c r="AH26" s="8" t="s">
        <v>43</v>
      </c>
      <c r="AI26" s="8" t="s">
        <v>43</v>
      </c>
    </row>
    <row r="27" spans="1:44" ht="15" customHeight="1" thickBot="1" x14ac:dyDescent="0.3">
      <c r="A27" s="50" t="s">
        <v>271</v>
      </c>
      <c r="B27" s="217">
        <v>0</v>
      </c>
      <c r="C27" s="177">
        <v>0</v>
      </c>
      <c r="D27" s="264">
        <v>0</v>
      </c>
      <c r="E27" s="79">
        <f t="shared" si="1"/>
        <v>0</v>
      </c>
      <c r="F27" s="100" t="s">
        <v>271</v>
      </c>
      <c r="G27" s="201">
        <v>0</v>
      </c>
      <c r="H27" s="103">
        <v>0</v>
      </c>
      <c r="I27" s="266">
        <v>0</v>
      </c>
      <c r="J27" s="102">
        <f t="shared" si="2"/>
        <v>0</v>
      </c>
      <c r="K27" s="133" t="s">
        <v>34</v>
      </c>
      <c r="L27" s="16">
        <v>3</v>
      </c>
      <c r="M27" s="16">
        <v>5</v>
      </c>
      <c r="N27" s="27">
        <f>(L27/M27)*100</f>
        <v>60</v>
      </c>
      <c r="O27" s="8">
        <v>2</v>
      </c>
      <c r="P27" s="8">
        <v>2</v>
      </c>
      <c r="Q27" s="294">
        <f>SUM(O27/P27)*100</f>
        <v>100</v>
      </c>
      <c r="R27" s="8">
        <v>4</v>
      </c>
      <c r="S27" s="8">
        <v>4</v>
      </c>
      <c r="T27" s="294">
        <f>SUM(R27/S27)*100</f>
        <v>100</v>
      </c>
      <c r="U27" s="283" t="s">
        <v>43</v>
      </c>
      <c r="V27" s="8" t="s">
        <v>43</v>
      </c>
      <c r="W27" s="8" t="s">
        <v>43</v>
      </c>
      <c r="X27" s="437"/>
      <c r="Y27" s="437"/>
      <c r="Z27" s="437"/>
      <c r="AA27" s="437"/>
      <c r="AB27" s="437"/>
      <c r="AC27" s="437"/>
      <c r="AD27" s="283" t="s">
        <v>43</v>
      </c>
      <c r="AE27" s="8" t="s">
        <v>43</v>
      </c>
      <c r="AF27" s="8" t="s">
        <v>43</v>
      </c>
      <c r="AG27" s="283">
        <v>13</v>
      </c>
      <c r="AH27" s="8">
        <v>19</v>
      </c>
      <c r="AI27" s="294">
        <f>SUM(AG27/AH27)*100</f>
        <v>68.421052631578945</v>
      </c>
    </row>
    <row r="28" spans="1:44" ht="15" customHeight="1" thickBot="1" x14ac:dyDescent="0.3">
      <c r="A28" s="50" t="s">
        <v>412</v>
      </c>
      <c r="B28" s="217">
        <v>0</v>
      </c>
      <c r="C28" s="177">
        <v>0</v>
      </c>
      <c r="D28" s="264">
        <v>1</v>
      </c>
      <c r="E28" s="79">
        <f t="shared" si="1"/>
        <v>1</v>
      </c>
      <c r="F28" s="100" t="s">
        <v>412</v>
      </c>
      <c r="G28" s="201">
        <v>0</v>
      </c>
      <c r="H28" s="103">
        <v>0</v>
      </c>
      <c r="I28" s="266">
        <v>5</v>
      </c>
      <c r="J28" s="102">
        <f t="shared" si="2"/>
        <v>5</v>
      </c>
      <c r="K28" s="50" t="s">
        <v>292</v>
      </c>
      <c r="L28" s="16" t="s">
        <v>43</v>
      </c>
      <c r="M28" s="16" t="s">
        <v>43</v>
      </c>
      <c r="N28" s="27" t="s">
        <v>43</v>
      </c>
      <c r="O28" s="8">
        <v>2</v>
      </c>
      <c r="P28" s="8">
        <v>3</v>
      </c>
      <c r="Q28" s="294">
        <f>SUM(O28/P28)*100</f>
        <v>66.666666666666657</v>
      </c>
      <c r="R28" s="8">
        <v>2</v>
      </c>
      <c r="S28" s="8">
        <v>3</v>
      </c>
      <c r="T28" s="294">
        <f>SUM(R28/S28)*100</f>
        <v>66.666666666666657</v>
      </c>
      <c r="U28" s="283">
        <v>5</v>
      </c>
      <c r="V28" s="8">
        <v>6</v>
      </c>
      <c r="W28" s="294">
        <f>SUM(U28/V28)*100</f>
        <v>83.333333333333343</v>
      </c>
      <c r="X28" s="437"/>
      <c r="Y28" s="437"/>
      <c r="Z28" s="437"/>
      <c r="AA28" s="437"/>
      <c r="AB28" s="437"/>
      <c r="AC28" s="437"/>
      <c r="AD28" s="283">
        <v>7</v>
      </c>
      <c r="AE28" s="8">
        <v>8</v>
      </c>
      <c r="AF28" s="294">
        <f>SUM(AD28/AE28)*100</f>
        <v>87.5</v>
      </c>
      <c r="AG28" s="283">
        <v>1</v>
      </c>
      <c r="AH28" s="8">
        <v>2</v>
      </c>
      <c r="AI28" s="294">
        <f>SUM(AG28/AH28)*100</f>
        <v>50</v>
      </c>
    </row>
    <row r="29" spans="1:44" ht="15" customHeight="1" thickBot="1" x14ac:dyDescent="0.3">
      <c r="A29" s="50" t="s">
        <v>182</v>
      </c>
      <c r="B29" s="217">
        <v>1</v>
      </c>
      <c r="C29" s="177">
        <v>1</v>
      </c>
      <c r="D29" s="264">
        <v>0</v>
      </c>
      <c r="E29" s="79">
        <f t="shared" si="1"/>
        <v>2</v>
      </c>
      <c r="F29" s="100" t="s">
        <v>182</v>
      </c>
      <c r="G29" s="201">
        <v>5</v>
      </c>
      <c r="H29" s="103">
        <v>5</v>
      </c>
      <c r="I29" s="266">
        <v>0</v>
      </c>
      <c r="J29" s="102">
        <f t="shared" si="2"/>
        <v>10</v>
      </c>
      <c r="K29" s="532" t="s">
        <v>819</v>
      </c>
      <c r="L29" s="533"/>
      <c r="M29" s="533"/>
      <c r="N29" s="533"/>
      <c r="O29" s="533"/>
      <c r="P29" s="533"/>
      <c r="Q29" s="533"/>
      <c r="R29" s="533"/>
      <c r="S29" s="533"/>
      <c r="T29" s="533"/>
      <c r="U29" s="533"/>
      <c r="V29" s="533"/>
      <c r="W29" s="533"/>
      <c r="X29" s="533"/>
      <c r="Y29" s="533"/>
      <c r="Z29" s="533"/>
      <c r="AA29" s="533"/>
      <c r="AB29" s="533"/>
      <c r="AC29" s="533"/>
      <c r="AD29" s="533"/>
      <c r="AE29" s="533"/>
      <c r="AF29" s="533"/>
      <c r="AG29" s="533"/>
      <c r="AH29" s="533"/>
      <c r="AI29" s="533"/>
      <c r="AJ29" s="533"/>
      <c r="AK29" s="533"/>
      <c r="AL29" s="533"/>
      <c r="AM29" s="533"/>
      <c r="AN29" s="533"/>
      <c r="AO29" s="533"/>
      <c r="AP29" s="533"/>
      <c r="AQ29" s="533"/>
    </row>
    <row r="30" spans="1:44" ht="15" customHeight="1" thickBot="1" x14ac:dyDescent="0.3">
      <c r="A30" s="50" t="s">
        <v>413</v>
      </c>
      <c r="B30" s="217">
        <v>0</v>
      </c>
      <c r="C30" s="177">
        <v>0</v>
      </c>
      <c r="D30" s="264">
        <v>0</v>
      </c>
      <c r="E30" s="79">
        <f t="shared" si="1"/>
        <v>0</v>
      </c>
      <c r="F30" s="100" t="s">
        <v>413</v>
      </c>
      <c r="G30" s="201">
        <v>0</v>
      </c>
      <c r="H30" s="103">
        <v>0</v>
      </c>
      <c r="I30" s="266">
        <v>0</v>
      </c>
      <c r="J30" s="102">
        <f t="shared" si="2"/>
        <v>0</v>
      </c>
      <c r="K30" s="532" t="s">
        <v>833</v>
      </c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6"/>
      <c r="W30" s="526"/>
      <c r="AR30" s="348"/>
    </row>
    <row r="31" spans="1:44" ht="15" customHeight="1" thickBot="1" x14ac:dyDescent="0.3">
      <c r="A31" s="50" t="s">
        <v>150</v>
      </c>
      <c r="B31" s="217">
        <v>5</v>
      </c>
      <c r="C31" s="177">
        <v>2</v>
      </c>
      <c r="D31" s="264">
        <v>0</v>
      </c>
      <c r="E31" s="79">
        <f t="shared" si="1"/>
        <v>7</v>
      </c>
      <c r="F31" s="100" t="s">
        <v>150</v>
      </c>
      <c r="G31" s="201">
        <v>25</v>
      </c>
      <c r="H31" s="103">
        <v>10</v>
      </c>
      <c r="I31" s="266">
        <v>0</v>
      </c>
      <c r="J31" s="102">
        <f t="shared" si="2"/>
        <v>35</v>
      </c>
      <c r="K31" s="125"/>
      <c r="O31" s="96"/>
      <c r="P31" s="96"/>
      <c r="Q31" s="96"/>
      <c r="R31" s="96"/>
      <c r="S31" s="96"/>
      <c r="T31" s="96"/>
      <c r="U31" s="96"/>
      <c r="V31" s="96"/>
      <c r="W31" s="96"/>
    </row>
    <row r="32" spans="1:44" ht="15" customHeight="1" thickBot="1" x14ac:dyDescent="0.3">
      <c r="A32" s="50" t="s">
        <v>72</v>
      </c>
      <c r="B32" s="217">
        <v>0</v>
      </c>
      <c r="C32" s="177">
        <v>0</v>
      </c>
      <c r="D32" s="264">
        <v>0</v>
      </c>
      <c r="E32" s="79">
        <f t="shared" si="1"/>
        <v>0</v>
      </c>
      <c r="F32" s="100" t="s">
        <v>72</v>
      </c>
      <c r="G32" s="201">
        <v>0</v>
      </c>
      <c r="H32" s="103">
        <v>0</v>
      </c>
      <c r="I32" s="266">
        <v>0</v>
      </c>
      <c r="J32" s="102">
        <f t="shared" si="2"/>
        <v>0</v>
      </c>
      <c r="K32" s="125"/>
      <c r="O32" s="96"/>
      <c r="P32" s="96"/>
      <c r="Q32" s="96"/>
      <c r="R32" s="96"/>
      <c r="S32" s="96"/>
      <c r="T32" s="96"/>
      <c r="U32" s="96"/>
      <c r="V32" s="96"/>
      <c r="W32" s="96"/>
    </row>
    <row r="33" spans="1:10" ht="15" customHeight="1" thickBot="1" x14ac:dyDescent="0.3">
      <c r="A33" s="50" t="s">
        <v>88</v>
      </c>
      <c r="B33" s="217">
        <v>2</v>
      </c>
      <c r="C33" s="177">
        <v>1</v>
      </c>
      <c r="D33" s="264">
        <v>0</v>
      </c>
      <c r="E33" s="79">
        <f t="shared" si="1"/>
        <v>3</v>
      </c>
      <c r="F33" s="100" t="s">
        <v>88</v>
      </c>
      <c r="G33" s="201">
        <v>10</v>
      </c>
      <c r="H33" s="103">
        <v>5</v>
      </c>
      <c r="I33" s="266">
        <v>0</v>
      </c>
      <c r="J33" s="102">
        <f t="shared" si="2"/>
        <v>15</v>
      </c>
    </row>
    <row r="34" spans="1:10" ht="15" customHeight="1" thickBot="1" x14ac:dyDescent="0.3">
      <c r="A34" s="50" t="s">
        <v>87</v>
      </c>
      <c r="B34" s="217">
        <v>0</v>
      </c>
      <c r="C34" s="177">
        <v>0</v>
      </c>
      <c r="D34" s="264">
        <v>1</v>
      </c>
      <c r="E34" s="79">
        <f t="shared" ref="E34" si="6">SUM(B34:D34)</f>
        <v>1</v>
      </c>
      <c r="F34" s="100" t="s">
        <v>87</v>
      </c>
      <c r="G34" s="201">
        <v>0</v>
      </c>
      <c r="H34" s="103">
        <v>0</v>
      </c>
      <c r="I34" s="266">
        <v>5</v>
      </c>
      <c r="J34" s="102">
        <f t="shared" ref="J34" si="7">SUM(G34:I34)</f>
        <v>5</v>
      </c>
    </row>
    <row r="35" spans="1:10" ht="15" customHeight="1" thickBot="1" x14ac:dyDescent="0.3">
      <c r="A35" s="50" t="s">
        <v>414</v>
      </c>
      <c r="B35" s="217">
        <v>0</v>
      </c>
      <c r="C35" s="177">
        <v>0</v>
      </c>
      <c r="D35" s="264">
        <v>0</v>
      </c>
      <c r="E35" s="79">
        <f t="shared" si="1"/>
        <v>0</v>
      </c>
      <c r="F35" s="100" t="s">
        <v>414</v>
      </c>
      <c r="G35" s="201">
        <v>0</v>
      </c>
      <c r="H35" s="103">
        <v>0</v>
      </c>
      <c r="I35" s="266">
        <v>0</v>
      </c>
      <c r="J35" s="102">
        <f t="shared" si="2"/>
        <v>0</v>
      </c>
    </row>
    <row r="36" spans="1:10" ht="15" customHeight="1" thickBot="1" x14ac:dyDescent="0.3">
      <c r="A36" s="50" t="s">
        <v>1258</v>
      </c>
      <c r="B36" s="217">
        <v>4</v>
      </c>
      <c r="C36" s="177">
        <v>0</v>
      </c>
      <c r="D36" s="264">
        <v>0</v>
      </c>
      <c r="E36" s="79">
        <f t="shared" si="1"/>
        <v>4</v>
      </c>
      <c r="F36" s="100" t="s">
        <v>1258</v>
      </c>
      <c r="G36" s="201">
        <v>20</v>
      </c>
      <c r="H36" s="103">
        <v>0</v>
      </c>
      <c r="I36" s="266">
        <v>0</v>
      </c>
      <c r="J36" s="102">
        <f t="shared" si="2"/>
        <v>20</v>
      </c>
    </row>
    <row r="37" spans="1:10" ht="15" customHeight="1" thickBot="1" x14ac:dyDescent="0.3">
      <c r="A37" s="50" t="s">
        <v>6</v>
      </c>
      <c r="B37" s="217">
        <v>0</v>
      </c>
      <c r="C37" s="177">
        <v>0</v>
      </c>
      <c r="D37" s="264">
        <v>0</v>
      </c>
      <c r="E37" s="79">
        <f t="shared" si="1"/>
        <v>0</v>
      </c>
      <c r="F37" s="100" t="s">
        <v>6</v>
      </c>
      <c r="G37" s="201">
        <v>0</v>
      </c>
      <c r="H37" s="103">
        <v>0</v>
      </c>
      <c r="I37" s="266">
        <v>0</v>
      </c>
      <c r="J37" s="102">
        <f t="shared" si="2"/>
        <v>0</v>
      </c>
    </row>
    <row r="38" spans="1:10" ht="15" customHeight="1" thickBot="1" x14ac:dyDescent="0.3">
      <c r="A38" s="50" t="s">
        <v>267</v>
      </c>
      <c r="B38" s="217">
        <v>2</v>
      </c>
      <c r="C38" s="177">
        <v>1</v>
      </c>
      <c r="D38" s="264">
        <v>0</v>
      </c>
      <c r="E38" s="79">
        <f t="shared" si="1"/>
        <v>3</v>
      </c>
      <c r="F38" s="100" t="s">
        <v>267</v>
      </c>
      <c r="G38" s="201">
        <v>10</v>
      </c>
      <c r="H38" s="103">
        <v>5</v>
      </c>
      <c r="I38" s="266">
        <v>0</v>
      </c>
      <c r="J38" s="102">
        <f t="shared" si="2"/>
        <v>15</v>
      </c>
    </row>
    <row r="39" spans="1:10" ht="15" customHeight="1" thickBot="1" x14ac:dyDescent="0.3">
      <c r="A39" s="50" t="s">
        <v>72</v>
      </c>
      <c r="B39" s="217">
        <v>0</v>
      </c>
      <c r="C39" s="177">
        <v>0</v>
      </c>
      <c r="D39" s="264">
        <v>0</v>
      </c>
      <c r="E39" s="79">
        <f t="shared" si="1"/>
        <v>0</v>
      </c>
      <c r="F39" s="100" t="s">
        <v>72</v>
      </c>
      <c r="G39" s="201">
        <v>0</v>
      </c>
      <c r="H39" s="103">
        <v>0</v>
      </c>
      <c r="I39" s="266">
        <v>0</v>
      </c>
      <c r="J39" s="102">
        <f t="shared" si="2"/>
        <v>0</v>
      </c>
    </row>
    <row r="40" spans="1:10" ht="15" customHeight="1" thickBot="1" x14ac:dyDescent="0.3">
      <c r="A40" s="50" t="s">
        <v>236</v>
      </c>
      <c r="B40" s="217">
        <v>0</v>
      </c>
      <c r="C40" s="177">
        <v>0</v>
      </c>
      <c r="D40" s="264">
        <v>0</v>
      </c>
      <c r="E40" s="79">
        <f t="shared" si="1"/>
        <v>0</v>
      </c>
      <c r="F40" s="100" t="s">
        <v>236</v>
      </c>
      <c r="G40" s="201">
        <v>0</v>
      </c>
      <c r="H40" s="103">
        <v>0</v>
      </c>
      <c r="I40" s="266">
        <v>0</v>
      </c>
      <c r="J40" s="102">
        <f t="shared" si="2"/>
        <v>0</v>
      </c>
    </row>
    <row r="41" spans="1:10" ht="15" customHeight="1" thickBot="1" x14ac:dyDescent="0.3">
      <c r="A41" s="50" t="s">
        <v>956</v>
      </c>
      <c r="B41" s="217">
        <v>10</v>
      </c>
      <c r="C41" s="177">
        <v>3</v>
      </c>
      <c r="D41" s="264">
        <v>2</v>
      </c>
      <c r="E41" s="79">
        <f t="shared" si="1"/>
        <v>15</v>
      </c>
      <c r="F41" s="100" t="s">
        <v>956</v>
      </c>
      <c r="G41" s="201">
        <v>50</v>
      </c>
      <c r="H41" s="103">
        <v>15</v>
      </c>
      <c r="I41" s="266">
        <v>10</v>
      </c>
      <c r="J41" s="102">
        <f t="shared" si="2"/>
        <v>75</v>
      </c>
    </row>
    <row r="42" spans="1:10" ht="15" customHeight="1" thickBot="1" x14ac:dyDescent="0.3">
      <c r="A42" s="50" t="s">
        <v>72</v>
      </c>
      <c r="B42" s="217">
        <v>0</v>
      </c>
      <c r="C42" s="177">
        <v>0</v>
      </c>
      <c r="D42" s="264">
        <v>0</v>
      </c>
      <c r="E42" s="79">
        <f t="shared" si="1"/>
        <v>0</v>
      </c>
      <c r="F42" s="100" t="s">
        <v>72</v>
      </c>
      <c r="G42" s="201">
        <v>0</v>
      </c>
      <c r="H42" s="103">
        <v>0</v>
      </c>
      <c r="I42" s="266">
        <v>0</v>
      </c>
      <c r="J42" s="102">
        <f t="shared" si="2"/>
        <v>0</v>
      </c>
    </row>
    <row r="43" spans="1:10" ht="15" customHeight="1" thickBot="1" x14ac:dyDescent="0.3">
      <c r="A43" s="50" t="s">
        <v>72</v>
      </c>
      <c r="B43" s="217">
        <v>0</v>
      </c>
      <c r="C43" s="177">
        <v>0</v>
      </c>
      <c r="D43" s="264">
        <v>0</v>
      </c>
      <c r="E43" s="79">
        <f t="shared" si="1"/>
        <v>0</v>
      </c>
      <c r="F43" s="100" t="s">
        <v>72</v>
      </c>
      <c r="G43" s="201">
        <v>0</v>
      </c>
      <c r="H43" s="103">
        <v>0</v>
      </c>
      <c r="I43" s="266">
        <v>0</v>
      </c>
      <c r="J43" s="102">
        <f t="shared" si="2"/>
        <v>0</v>
      </c>
    </row>
    <row r="44" spans="1:10" ht="15" customHeight="1" thickBot="1" x14ac:dyDescent="0.3">
      <c r="A44" s="50" t="s">
        <v>302</v>
      </c>
      <c r="B44" s="217">
        <v>0</v>
      </c>
      <c r="C44" s="177">
        <v>0</v>
      </c>
      <c r="D44" s="264">
        <v>1</v>
      </c>
      <c r="E44" s="79">
        <f t="shared" si="1"/>
        <v>1</v>
      </c>
      <c r="F44" s="100" t="s">
        <v>302</v>
      </c>
      <c r="G44" s="201">
        <v>0</v>
      </c>
      <c r="H44" s="103">
        <v>0</v>
      </c>
      <c r="I44" s="266">
        <v>5</v>
      </c>
      <c r="J44" s="102">
        <f t="shared" si="2"/>
        <v>5</v>
      </c>
    </row>
    <row r="45" spans="1:10" ht="15.75" thickBot="1" x14ac:dyDescent="0.3">
      <c r="A45" s="50" t="s">
        <v>33</v>
      </c>
      <c r="B45" s="217">
        <v>0</v>
      </c>
      <c r="C45" s="177">
        <v>0</v>
      </c>
      <c r="D45" s="264">
        <v>0</v>
      </c>
      <c r="E45" s="79">
        <f t="shared" si="1"/>
        <v>0</v>
      </c>
      <c r="F45" s="100" t="s">
        <v>33</v>
      </c>
      <c r="G45" s="201">
        <v>0</v>
      </c>
      <c r="H45" s="103">
        <v>0</v>
      </c>
      <c r="I45" s="266">
        <v>0</v>
      </c>
      <c r="J45" s="102">
        <f t="shared" si="2"/>
        <v>0</v>
      </c>
    </row>
    <row r="46" spans="1:10" ht="15.75" thickBot="1" x14ac:dyDescent="0.3">
      <c r="A46" s="50" t="s">
        <v>49</v>
      </c>
      <c r="B46" s="217">
        <v>4</v>
      </c>
      <c r="C46" s="177">
        <v>3</v>
      </c>
      <c r="D46" s="264">
        <v>2</v>
      </c>
      <c r="E46" s="79">
        <f t="shared" ref="E46" si="8">SUM(B46:D46)</f>
        <v>9</v>
      </c>
      <c r="F46" s="100" t="s">
        <v>49</v>
      </c>
      <c r="G46" s="201">
        <v>20</v>
      </c>
      <c r="H46" s="103">
        <v>15</v>
      </c>
      <c r="I46" s="266">
        <v>10</v>
      </c>
      <c r="J46" s="102">
        <f t="shared" ref="J46" si="9">SUM(G46:I46)</f>
        <v>45</v>
      </c>
    </row>
    <row r="47" spans="1:10" s="434" customFormat="1" ht="15.75" thickBot="1" x14ac:dyDescent="0.3">
      <c r="A47" s="50" t="s">
        <v>24</v>
      </c>
      <c r="B47" s="217">
        <v>0</v>
      </c>
      <c r="C47" s="177">
        <v>0</v>
      </c>
      <c r="D47" s="264">
        <v>0</v>
      </c>
      <c r="E47" s="79">
        <f t="shared" si="1"/>
        <v>0</v>
      </c>
      <c r="F47" s="100" t="s">
        <v>24</v>
      </c>
      <c r="G47" s="201">
        <v>0</v>
      </c>
      <c r="H47" s="103">
        <v>0</v>
      </c>
      <c r="I47" s="266">
        <v>0</v>
      </c>
      <c r="J47" s="102">
        <f t="shared" si="2"/>
        <v>0</v>
      </c>
    </row>
    <row r="48" spans="1:10" ht="15" customHeight="1" thickBot="1" x14ac:dyDescent="0.3">
      <c r="A48" s="50" t="s">
        <v>226</v>
      </c>
      <c r="B48" s="217">
        <v>1</v>
      </c>
      <c r="C48" s="177">
        <v>0</v>
      </c>
      <c r="D48" s="264">
        <v>0</v>
      </c>
      <c r="E48" s="79">
        <f t="shared" si="1"/>
        <v>1</v>
      </c>
      <c r="F48" s="100" t="s">
        <v>226</v>
      </c>
      <c r="G48" s="201">
        <v>5</v>
      </c>
      <c r="H48" s="103">
        <v>0</v>
      </c>
      <c r="I48" s="266">
        <v>0</v>
      </c>
      <c r="J48" s="102">
        <f t="shared" si="2"/>
        <v>5</v>
      </c>
    </row>
    <row r="49" spans="1:10" ht="15" customHeight="1" thickBot="1" x14ac:dyDescent="0.3">
      <c r="A49" s="50" t="s">
        <v>1199</v>
      </c>
      <c r="B49" s="217">
        <v>1</v>
      </c>
      <c r="C49" s="177">
        <v>0</v>
      </c>
      <c r="D49" s="264">
        <v>0</v>
      </c>
      <c r="E49" s="79">
        <f t="shared" si="1"/>
        <v>1</v>
      </c>
      <c r="F49" s="100" t="s">
        <v>1199</v>
      </c>
      <c r="G49" s="201">
        <v>5</v>
      </c>
      <c r="H49" s="103">
        <v>0</v>
      </c>
      <c r="I49" s="266">
        <v>0</v>
      </c>
      <c r="J49" s="102">
        <f t="shared" si="2"/>
        <v>5</v>
      </c>
    </row>
    <row r="50" spans="1:10" ht="15.75" thickBot="1" x14ac:dyDescent="0.3">
      <c r="A50" s="50" t="s">
        <v>184</v>
      </c>
      <c r="B50" s="217">
        <v>11</v>
      </c>
      <c r="C50" s="177">
        <v>0</v>
      </c>
      <c r="D50" s="264">
        <v>0</v>
      </c>
      <c r="E50" s="79">
        <f t="shared" si="1"/>
        <v>11</v>
      </c>
      <c r="F50" s="100" t="s">
        <v>184</v>
      </c>
      <c r="G50" s="201">
        <v>55</v>
      </c>
      <c r="H50" s="103">
        <v>0</v>
      </c>
      <c r="I50" s="266">
        <v>0</v>
      </c>
      <c r="J50" s="102">
        <f t="shared" si="2"/>
        <v>55</v>
      </c>
    </row>
    <row r="51" spans="1:10" ht="15" customHeight="1" thickBot="1" x14ac:dyDescent="0.3">
      <c r="A51" s="50" t="s">
        <v>11</v>
      </c>
      <c r="B51" s="217">
        <v>0</v>
      </c>
      <c r="C51" s="177">
        <v>0</v>
      </c>
      <c r="D51" s="264">
        <v>0</v>
      </c>
      <c r="E51" s="79">
        <f t="shared" si="1"/>
        <v>0</v>
      </c>
      <c r="F51" s="100" t="s">
        <v>11</v>
      </c>
      <c r="G51" s="201">
        <v>0</v>
      </c>
      <c r="H51" s="103">
        <v>0</v>
      </c>
      <c r="I51" s="266">
        <v>0</v>
      </c>
      <c r="J51" s="102">
        <f t="shared" si="2"/>
        <v>0</v>
      </c>
    </row>
    <row r="52" spans="1:10" ht="15.75" thickBot="1" x14ac:dyDescent="0.3">
      <c r="A52" s="50" t="s">
        <v>34</v>
      </c>
      <c r="B52" s="217">
        <v>2</v>
      </c>
      <c r="C52" s="177">
        <v>0</v>
      </c>
      <c r="D52" s="264">
        <v>1</v>
      </c>
      <c r="E52" s="79">
        <f t="shared" si="1"/>
        <v>3</v>
      </c>
      <c r="F52" s="100" t="s">
        <v>34</v>
      </c>
      <c r="G52" s="201">
        <v>114</v>
      </c>
      <c r="H52" s="103">
        <v>27</v>
      </c>
      <c r="I52" s="266">
        <v>11</v>
      </c>
      <c r="J52" s="102">
        <f t="shared" si="2"/>
        <v>152</v>
      </c>
    </row>
    <row r="53" spans="1:10" ht="15.75" thickBot="1" x14ac:dyDescent="0.3">
      <c r="A53" s="50" t="s">
        <v>1153</v>
      </c>
      <c r="B53" s="217">
        <v>4</v>
      </c>
      <c r="C53" s="177">
        <v>0</v>
      </c>
      <c r="D53" s="264">
        <v>0</v>
      </c>
      <c r="E53" s="79">
        <f t="shared" si="1"/>
        <v>4</v>
      </c>
      <c r="F53" s="100" t="s">
        <v>1153</v>
      </c>
      <c r="G53" s="201">
        <v>20</v>
      </c>
      <c r="H53" s="103">
        <v>0</v>
      </c>
      <c r="I53" s="266">
        <v>0</v>
      </c>
      <c r="J53" s="102">
        <f t="shared" si="2"/>
        <v>20</v>
      </c>
    </row>
    <row r="54" spans="1:10" ht="15.75" thickBot="1" x14ac:dyDescent="0.3">
      <c r="A54" s="50" t="s">
        <v>65</v>
      </c>
      <c r="B54" s="217">
        <v>1</v>
      </c>
      <c r="C54" s="177">
        <v>0</v>
      </c>
      <c r="D54" s="264">
        <v>0</v>
      </c>
      <c r="E54" s="79">
        <f t="shared" si="1"/>
        <v>1</v>
      </c>
      <c r="F54" s="100" t="s">
        <v>65</v>
      </c>
      <c r="G54" s="201">
        <v>5</v>
      </c>
      <c r="H54" s="103">
        <v>0</v>
      </c>
      <c r="I54" s="266">
        <v>0</v>
      </c>
      <c r="J54" s="102">
        <f t="shared" si="2"/>
        <v>5</v>
      </c>
    </row>
    <row r="55" spans="1:10" ht="15.75" thickBot="1" x14ac:dyDescent="0.3">
      <c r="A55" s="50" t="s">
        <v>8</v>
      </c>
      <c r="B55" s="217">
        <v>0</v>
      </c>
      <c r="C55" s="177">
        <v>0</v>
      </c>
      <c r="D55" s="264">
        <v>0</v>
      </c>
      <c r="E55" s="79">
        <f t="shared" si="1"/>
        <v>0</v>
      </c>
      <c r="F55" s="100" t="s">
        <v>8</v>
      </c>
      <c r="G55" s="201">
        <v>9</v>
      </c>
      <c r="H55" s="103">
        <v>0</v>
      </c>
      <c r="I55" s="266">
        <v>0</v>
      </c>
      <c r="J55" s="102">
        <f t="shared" si="2"/>
        <v>9</v>
      </c>
    </row>
    <row r="56" spans="1:10" ht="15.75" thickBot="1" x14ac:dyDescent="0.3">
      <c r="A56" s="50" t="s">
        <v>237</v>
      </c>
      <c r="B56" s="217">
        <v>2</v>
      </c>
      <c r="C56" s="177">
        <v>1</v>
      </c>
      <c r="D56" s="264">
        <v>0</v>
      </c>
      <c r="E56" s="79">
        <f t="shared" si="1"/>
        <v>3</v>
      </c>
      <c r="F56" s="100" t="s">
        <v>237</v>
      </c>
      <c r="G56" s="201">
        <v>10</v>
      </c>
      <c r="H56" s="103">
        <v>5</v>
      </c>
      <c r="I56" s="266">
        <v>0</v>
      </c>
      <c r="J56" s="102">
        <f t="shared" si="2"/>
        <v>15</v>
      </c>
    </row>
    <row r="57" spans="1:10" ht="15" customHeight="1" thickBot="1" x14ac:dyDescent="0.3">
      <c r="A57" s="50" t="s">
        <v>3</v>
      </c>
      <c r="B57" s="217">
        <f>SUM(B3:B56)</f>
        <v>72</v>
      </c>
      <c r="C57" s="177">
        <f>SUM(C3:C56)</f>
        <v>19</v>
      </c>
      <c r="D57" s="264">
        <f>SUM(D3:D56)</f>
        <v>16</v>
      </c>
      <c r="E57" s="79">
        <f>SUM(E3:E56)</f>
        <v>107</v>
      </c>
      <c r="F57" s="100" t="s">
        <v>3</v>
      </c>
      <c r="G57" s="201">
        <f>SUM(G3:G56)</f>
        <v>515</v>
      </c>
      <c r="H57" s="103">
        <f>SUM(H3:H56)</f>
        <v>140</v>
      </c>
      <c r="I57" s="266">
        <f>SUM(I3:I56)</f>
        <v>101</v>
      </c>
      <c r="J57" s="102">
        <f>SUM(J3:J56)</f>
        <v>756</v>
      </c>
    </row>
    <row r="58" spans="1:10" ht="15" customHeight="1" x14ac:dyDescent="0.25">
      <c r="B58" s="199"/>
      <c r="C58" s="98"/>
      <c r="D58" s="98"/>
      <c r="E58" s="57"/>
      <c r="F58" s="42"/>
      <c r="G58" s="206"/>
      <c r="H58" s="42"/>
      <c r="I58" s="42"/>
      <c r="J58" s="42"/>
    </row>
    <row r="59" spans="1:10" ht="15" customHeight="1" thickBot="1" x14ac:dyDescent="0.3">
      <c r="A59" t="s">
        <v>40</v>
      </c>
      <c r="B59" s="199"/>
      <c r="C59" s="98"/>
      <c r="D59" s="98"/>
      <c r="E59" s="57"/>
      <c r="F59" s="38"/>
      <c r="G59" s="203"/>
      <c r="H59" s="38"/>
      <c r="I59" s="38"/>
      <c r="J59" s="38"/>
    </row>
    <row r="60" spans="1:10" ht="15" customHeight="1" thickBot="1" x14ac:dyDescent="0.3">
      <c r="A60" s="166" t="s">
        <v>0</v>
      </c>
      <c r="B60" s="216" t="s">
        <v>305</v>
      </c>
      <c r="C60" s="176" t="s">
        <v>99</v>
      </c>
      <c r="D60" s="263" t="s">
        <v>306</v>
      </c>
      <c r="E60" s="167" t="s">
        <v>1</v>
      </c>
      <c r="F60" s="168" t="s">
        <v>2</v>
      </c>
      <c r="G60" s="200" t="s">
        <v>305</v>
      </c>
      <c r="H60" s="155" t="s">
        <v>99</v>
      </c>
      <c r="I60" s="265" t="s">
        <v>306</v>
      </c>
      <c r="J60" s="151" t="s">
        <v>1</v>
      </c>
    </row>
    <row r="61" spans="1:10" ht="15.75" thickBot="1" x14ac:dyDescent="0.3">
      <c r="A61" s="50" t="s">
        <v>956</v>
      </c>
      <c r="B61" s="217">
        <v>10</v>
      </c>
      <c r="C61" s="177">
        <v>3</v>
      </c>
      <c r="D61" s="264">
        <v>2</v>
      </c>
      <c r="E61" s="79">
        <f t="shared" ref="E61:E92" si="10">SUM(B61:D61)</f>
        <v>15</v>
      </c>
      <c r="F61" s="100" t="s">
        <v>34</v>
      </c>
      <c r="G61" s="201">
        <v>114</v>
      </c>
      <c r="H61" s="103">
        <v>27</v>
      </c>
      <c r="I61" s="266">
        <v>11</v>
      </c>
      <c r="J61" s="102">
        <f t="shared" ref="J61:J92" si="11">SUM(G61:I61)</f>
        <v>152</v>
      </c>
    </row>
    <row r="62" spans="1:10" ht="15.75" thickBot="1" x14ac:dyDescent="0.3">
      <c r="A62" s="50" t="s">
        <v>184</v>
      </c>
      <c r="B62" s="217">
        <v>11</v>
      </c>
      <c r="C62" s="177">
        <v>0</v>
      </c>
      <c r="D62" s="264">
        <v>0</v>
      </c>
      <c r="E62" s="79">
        <f t="shared" si="10"/>
        <v>11</v>
      </c>
      <c r="F62" s="100" t="s">
        <v>956</v>
      </c>
      <c r="G62" s="201">
        <v>50</v>
      </c>
      <c r="H62" s="103">
        <v>15</v>
      </c>
      <c r="I62" s="266">
        <v>10</v>
      </c>
      <c r="J62" s="102">
        <f t="shared" si="11"/>
        <v>75</v>
      </c>
    </row>
    <row r="63" spans="1:10" ht="15.75" thickBot="1" x14ac:dyDescent="0.3">
      <c r="A63" s="50" t="s">
        <v>49</v>
      </c>
      <c r="B63" s="217">
        <v>4</v>
      </c>
      <c r="C63" s="177">
        <v>3</v>
      </c>
      <c r="D63" s="264">
        <v>2</v>
      </c>
      <c r="E63" s="79">
        <f t="shared" si="10"/>
        <v>9</v>
      </c>
      <c r="F63" s="99" t="s">
        <v>184</v>
      </c>
      <c r="G63" s="201">
        <v>55</v>
      </c>
      <c r="H63" s="103">
        <v>0</v>
      </c>
      <c r="I63" s="266">
        <v>0</v>
      </c>
      <c r="J63" s="102">
        <f t="shared" si="11"/>
        <v>55</v>
      </c>
    </row>
    <row r="64" spans="1:10" ht="15.75" thickBot="1" x14ac:dyDescent="0.3">
      <c r="A64" s="50" t="s">
        <v>150</v>
      </c>
      <c r="B64" s="217">
        <v>5</v>
      </c>
      <c r="C64" s="177">
        <v>2</v>
      </c>
      <c r="D64" s="264">
        <v>0</v>
      </c>
      <c r="E64" s="79">
        <f t="shared" si="10"/>
        <v>7</v>
      </c>
      <c r="F64" s="99" t="s">
        <v>4</v>
      </c>
      <c r="G64" s="201">
        <v>27</v>
      </c>
      <c r="H64" s="103">
        <v>2</v>
      </c>
      <c r="I64" s="266">
        <v>23</v>
      </c>
      <c r="J64" s="102">
        <f t="shared" si="11"/>
        <v>52</v>
      </c>
    </row>
    <row r="65" spans="1:10" ht="15.75" thickBot="1" x14ac:dyDescent="0.3">
      <c r="A65" s="50" t="s">
        <v>4</v>
      </c>
      <c r="B65" s="217">
        <v>3</v>
      </c>
      <c r="C65" s="177">
        <v>0</v>
      </c>
      <c r="D65" s="264">
        <v>2</v>
      </c>
      <c r="E65" s="79">
        <f t="shared" si="10"/>
        <v>5</v>
      </c>
      <c r="F65" s="99" t="s">
        <v>197</v>
      </c>
      <c r="G65" s="201">
        <v>30</v>
      </c>
      <c r="H65" s="103">
        <v>16</v>
      </c>
      <c r="I65" s="266">
        <v>0</v>
      </c>
      <c r="J65" s="102">
        <f t="shared" si="11"/>
        <v>46</v>
      </c>
    </row>
    <row r="66" spans="1:10" ht="15.75" thickBot="1" x14ac:dyDescent="0.3">
      <c r="A66" s="50" t="s">
        <v>1059</v>
      </c>
      <c r="B66" s="217">
        <v>5</v>
      </c>
      <c r="C66" s="177">
        <v>0</v>
      </c>
      <c r="D66" s="264">
        <v>0</v>
      </c>
      <c r="E66" s="79">
        <f t="shared" si="10"/>
        <v>5</v>
      </c>
      <c r="F66" s="99" t="s">
        <v>49</v>
      </c>
      <c r="G66" s="201">
        <v>20</v>
      </c>
      <c r="H66" s="103">
        <v>15</v>
      </c>
      <c r="I66" s="266">
        <v>10</v>
      </c>
      <c r="J66" s="102">
        <f t="shared" si="11"/>
        <v>45</v>
      </c>
    </row>
    <row r="67" spans="1:10" ht="15.75" thickBot="1" x14ac:dyDescent="0.3">
      <c r="A67" s="50" t="s">
        <v>408</v>
      </c>
      <c r="B67" s="217">
        <v>3</v>
      </c>
      <c r="C67" s="177">
        <v>1</v>
      </c>
      <c r="D67" s="264">
        <v>0</v>
      </c>
      <c r="E67" s="79">
        <f t="shared" si="10"/>
        <v>4</v>
      </c>
      <c r="F67" s="99" t="s">
        <v>150</v>
      </c>
      <c r="G67" s="201">
        <v>25</v>
      </c>
      <c r="H67" s="103">
        <v>10</v>
      </c>
      <c r="I67" s="266">
        <v>0</v>
      </c>
      <c r="J67" s="102">
        <f t="shared" si="11"/>
        <v>35</v>
      </c>
    </row>
    <row r="68" spans="1:10" ht="15.75" thickBot="1" x14ac:dyDescent="0.3">
      <c r="A68" s="50" t="s">
        <v>411</v>
      </c>
      <c r="B68" s="217">
        <v>1</v>
      </c>
      <c r="C68" s="177">
        <v>1</v>
      </c>
      <c r="D68" s="264">
        <v>2</v>
      </c>
      <c r="E68" s="79">
        <f t="shared" si="10"/>
        <v>4</v>
      </c>
      <c r="F68" s="100" t="s">
        <v>1059</v>
      </c>
      <c r="G68" s="201">
        <v>25</v>
      </c>
      <c r="H68" s="103">
        <v>0</v>
      </c>
      <c r="I68" s="266">
        <v>0</v>
      </c>
      <c r="J68" s="102">
        <f t="shared" si="11"/>
        <v>25</v>
      </c>
    </row>
    <row r="69" spans="1:10" ht="15.75" thickBot="1" x14ac:dyDescent="0.3">
      <c r="A69" s="50" t="s">
        <v>1258</v>
      </c>
      <c r="B69" s="217">
        <v>4</v>
      </c>
      <c r="C69" s="177">
        <v>0</v>
      </c>
      <c r="D69" s="264">
        <v>0</v>
      </c>
      <c r="E69" s="79">
        <f t="shared" si="10"/>
        <v>4</v>
      </c>
      <c r="F69" s="100" t="s">
        <v>408</v>
      </c>
      <c r="G69" s="201">
        <v>15</v>
      </c>
      <c r="H69" s="103">
        <v>5</v>
      </c>
      <c r="I69" s="266">
        <v>0</v>
      </c>
      <c r="J69" s="102">
        <f t="shared" si="11"/>
        <v>20</v>
      </c>
    </row>
    <row r="70" spans="1:10" ht="15.75" thickBot="1" x14ac:dyDescent="0.3">
      <c r="A70" s="50" t="s">
        <v>1153</v>
      </c>
      <c r="B70" s="217">
        <v>4</v>
      </c>
      <c r="C70" s="177">
        <v>0</v>
      </c>
      <c r="D70" s="264">
        <v>0</v>
      </c>
      <c r="E70" s="79">
        <f t="shared" si="10"/>
        <v>4</v>
      </c>
      <c r="F70" s="100" t="s">
        <v>411</v>
      </c>
      <c r="G70" s="201">
        <v>5</v>
      </c>
      <c r="H70" s="103">
        <v>5</v>
      </c>
      <c r="I70" s="266">
        <v>10</v>
      </c>
      <c r="J70" s="102">
        <f t="shared" si="11"/>
        <v>20</v>
      </c>
    </row>
    <row r="71" spans="1:10" ht="15.75" thickBot="1" x14ac:dyDescent="0.3">
      <c r="A71" s="50" t="s">
        <v>266</v>
      </c>
      <c r="B71" s="217">
        <v>2</v>
      </c>
      <c r="C71" s="177">
        <v>0</v>
      </c>
      <c r="D71" s="264">
        <v>1</v>
      </c>
      <c r="E71" s="79">
        <f t="shared" si="10"/>
        <v>3</v>
      </c>
      <c r="F71" s="100" t="s">
        <v>1258</v>
      </c>
      <c r="G71" s="201">
        <v>20</v>
      </c>
      <c r="H71" s="103">
        <v>0</v>
      </c>
      <c r="I71" s="266">
        <v>0</v>
      </c>
      <c r="J71" s="102">
        <f t="shared" si="11"/>
        <v>20</v>
      </c>
    </row>
    <row r="72" spans="1:10" ht="15.75" thickBot="1" x14ac:dyDescent="0.3">
      <c r="A72" s="50" t="s">
        <v>110</v>
      </c>
      <c r="B72" s="217">
        <v>1</v>
      </c>
      <c r="C72" s="177">
        <v>2</v>
      </c>
      <c r="D72" s="264">
        <v>0</v>
      </c>
      <c r="E72" s="79">
        <f t="shared" si="10"/>
        <v>3</v>
      </c>
      <c r="F72" s="100" t="s">
        <v>1153</v>
      </c>
      <c r="G72" s="201">
        <v>20</v>
      </c>
      <c r="H72" s="103">
        <v>0</v>
      </c>
      <c r="I72" s="266">
        <v>0</v>
      </c>
      <c r="J72" s="102">
        <f t="shared" si="11"/>
        <v>20</v>
      </c>
    </row>
    <row r="73" spans="1:10" ht="15.75" thickBot="1" x14ac:dyDescent="0.3">
      <c r="A73" s="50" t="s">
        <v>88</v>
      </c>
      <c r="B73" s="217">
        <v>2</v>
      </c>
      <c r="C73" s="177">
        <v>1</v>
      </c>
      <c r="D73" s="264">
        <v>0</v>
      </c>
      <c r="E73" s="79">
        <f t="shared" si="10"/>
        <v>3</v>
      </c>
      <c r="F73" s="100" t="s">
        <v>266</v>
      </c>
      <c r="G73" s="201">
        <v>10</v>
      </c>
      <c r="H73" s="103">
        <v>0</v>
      </c>
      <c r="I73" s="266">
        <v>5</v>
      </c>
      <c r="J73" s="102">
        <f t="shared" si="11"/>
        <v>15</v>
      </c>
    </row>
    <row r="74" spans="1:10" ht="15.75" thickBot="1" x14ac:dyDescent="0.3">
      <c r="A74" s="50" t="s">
        <v>267</v>
      </c>
      <c r="B74" s="217">
        <v>2</v>
      </c>
      <c r="C74" s="177">
        <v>1</v>
      </c>
      <c r="D74" s="264">
        <v>0</v>
      </c>
      <c r="E74" s="79">
        <f t="shared" si="10"/>
        <v>3</v>
      </c>
      <c r="F74" s="100" t="s">
        <v>110</v>
      </c>
      <c r="G74" s="201">
        <v>5</v>
      </c>
      <c r="H74" s="103">
        <v>10</v>
      </c>
      <c r="I74" s="266">
        <v>0</v>
      </c>
      <c r="J74" s="102">
        <f t="shared" si="11"/>
        <v>15</v>
      </c>
    </row>
    <row r="75" spans="1:10" ht="15.75" thickBot="1" x14ac:dyDescent="0.3">
      <c r="A75" s="50" t="s">
        <v>34</v>
      </c>
      <c r="B75" s="217">
        <v>2</v>
      </c>
      <c r="C75" s="177">
        <v>0</v>
      </c>
      <c r="D75" s="264">
        <v>1</v>
      </c>
      <c r="E75" s="79">
        <f t="shared" si="10"/>
        <v>3</v>
      </c>
      <c r="F75" s="100" t="s">
        <v>88</v>
      </c>
      <c r="G75" s="201">
        <v>10</v>
      </c>
      <c r="H75" s="103">
        <v>5</v>
      </c>
      <c r="I75" s="266">
        <v>0</v>
      </c>
      <c r="J75" s="102">
        <f t="shared" si="11"/>
        <v>15</v>
      </c>
    </row>
    <row r="76" spans="1:10" ht="15.75" thickBot="1" x14ac:dyDescent="0.3">
      <c r="A76" s="50" t="s">
        <v>237</v>
      </c>
      <c r="B76" s="217">
        <v>2</v>
      </c>
      <c r="C76" s="177">
        <v>1</v>
      </c>
      <c r="D76" s="264">
        <v>0</v>
      </c>
      <c r="E76" s="79">
        <f t="shared" si="10"/>
        <v>3</v>
      </c>
      <c r="F76" s="100" t="s">
        <v>267</v>
      </c>
      <c r="G76" s="201">
        <v>10</v>
      </c>
      <c r="H76" s="103">
        <v>5</v>
      </c>
      <c r="I76" s="266">
        <v>0</v>
      </c>
      <c r="J76" s="102">
        <f t="shared" si="11"/>
        <v>15</v>
      </c>
    </row>
    <row r="77" spans="1:10" ht="15.75" thickBot="1" x14ac:dyDescent="0.3">
      <c r="A77" s="50" t="s">
        <v>121</v>
      </c>
      <c r="B77" s="217">
        <v>2</v>
      </c>
      <c r="C77" s="177">
        <v>0</v>
      </c>
      <c r="D77" s="264">
        <v>0</v>
      </c>
      <c r="E77" s="79">
        <f t="shared" si="10"/>
        <v>2</v>
      </c>
      <c r="F77" s="100" t="s">
        <v>237</v>
      </c>
      <c r="G77" s="201">
        <v>10</v>
      </c>
      <c r="H77" s="103">
        <v>5</v>
      </c>
      <c r="I77" s="266">
        <v>0</v>
      </c>
      <c r="J77" s="102">
        <f t="shared" si="11"/>
        <v>15</v>
      </c>
    </row>
    <row r="78" spans="1:10" ht="15.75" thickBot="1" x14ac:dyDescent="0.3">
      <c r="A78" s="50" t="s">
        <v>841</v>
      </c>
      <c r="B78" s="217">
        <v>1</v>
      </c>
      <c r="C78" s="177">
        <v>0</v>
      </c>
      <c r="D78" s="264">
        <v>1</v>
      </c>
      <c r="E78" s="79">
        <f t="shared" si="10"/>
        <v>2</v>
      </c>
      <c r="F78" s="100" t="s">
        <v>121</v>
      </c>
      <c r="G78" s="201">
        <v>10</v>
      </c>
      <c r="H78" s="103">
        <v>0</v>
      </c>
      <c r="I78" s="266">
        <v>0</v>
      </c>
      <c r="J78" s="102">
        <f t="shared" si="11"/>
        <v>10</v>
      </c>
    </row>
    <row r="79" spans="1:10" ht="15.75" thickBot="1" x14ac:dyDescent="0.3">
      <c r="A79" s="50" t="s">
        <v>235</v>
      </c>
      <c r="B79" s="217">
        <v>2</v>
      </c>
      <c r="C79" s="177">
        <v>0</v>
      </c>
      <c r="D79" s="264">
        <v>0</v>
      </c>
      <c r="E79" s="79">
        <f t="shared" si="10"/>
        <v>2</v>
      </c>
      <c r="F79" s="100" t="s">
        <v>841</v>
      </c>
      <c r="G79" s="201">
        <v>5</v>
      </c>
      <c r="H79" s="103">
        <v>0</v>
      </c>
      <c r="I79" s="266">
        <v>5</v>
      </c>
      <c r="J79" s="102">
        <f t="shared" si="11"/>
        <v>10</v>
      </c>
    </row>
    <row r="80" spans="1:10" ht="15.75" thickBot="1" x14ac:dyDescent="0.3">
      <c r="A80" s="50" t="s">
        <v>957</v>
      </c>
      <c r="B80" s="217">
        <v>0</v>
      </c>
      <c r="C80" s="177">
        <v>0</v>
      </c>
      <c r="D80" s="264">
        <v>2</v>
      </c>
      <c r="E80" s="79">
        <f t="shared" si="10"/>
        <v>2</v>
      </c>
      <c r="F80" s="100" t="s">
        <v>235</v>
      </c>
      <c r="G80" s="201">
        <v>10</v>
      </c>
      <c r="H80" s="103">
        <v>0</v>
      </c>
      <c r="I80" s="266">
        <v>0</v>
      </c>
      <c r="J80" s="102">
        <f t="shared" si="11"/>
        <v>10</v>
      </c>
    </row>
    <row r="81" spans="1:10" ht="15.75" thickBot="1" x14ac:dyDescent="0.3">
      <c r="A81" s="50" t="s">
        <v>182</v>
      </c>
      <c r="B81" s="217">
        <v>1</v>
      </c>
      <c r="C81" s="177">
        <v>1</v>
      </c>
      <c r="D81" s="264">
        <v>0</v>
      </c>
      <c r="E81" s="79">
        <f t="shared" si="10"/>
        <v>2</v>
      </c>
      <c r="F81" s="100" t="s">
        <v>957</v>
      </c>
      <c r="G81" s="201">
        <v>0</v>
      </c>
      <c r="H81" s="103">
        <v>0</v>
      </c>
      <c r="I81" s="266">
        <v>10</v>
      </c>
      <c r="J81" s="102">
        <f t="shared" si="11"/>
        <v>10</v>
      </c>
    </row>
    <row r="82" spans="1:10" ht="15.75" thickBot="1" x14ac:dyDescent="0.3">
      <c r="A82" s="50" t="s">
        <v>1225</v>
      </c>
      <c r="B82" s="217">
        <v>1</v>
      </c>
      <c r="C82" s="177">
        <v>0</v>
      </c>
      <c r="D82" s="264">
        <v>0</v>
      </c>
      <c r="E82" s="79">
        <f t="shared" si="10"/>
        <v>1</v>
      </c>
      <c r="F82" s="100" t="s">
        <v>182</v>
      </c>
      <c r="G82" s="201">
        <v>5</v>
      </c>
      <c r="H82" s="103">
        <v>5</v>
      </c>
      <c r="I82" s="266">
        <v>0</v>
      </c>
      <c r="J82" s="102">
        <f t="shared" si="11"/>
        <v>10</v>
      </c>
    </row>
    <row r="83" spans="1:10" ht="15.75" thickBot="1" x14ac:dyDescent="0.3">
      <c r="A83" s="50" t="s">
        <v>111</v>
      </c>
      <c r="B83" s="217">
        <v>0</v>
      </c>
      <c r="C83" s="177">
        <v>1</v>
      </c>
      <c r="D83" s="264">
        <v>0</v>
      </c>
      <c r="E83" s="79">
        <f t="shared" si="10"/>
        <v>1</v>
      </c>
      <c r="F83" s="100" t="s">
        <v>8</v>
      </c>
      <c r="G83" s="201">
        <v>9</v>
      </c>
      <c r="H83" s="103">
        <v>0</v>
      </c>
      <c r="I83" s="266">
        <v>0</v>
      </c>
      <c r="J83" s="102">
        <f t="shared" si="11"/>
        <v>9</v>
      </c>
    </row>
    <row r="84" spans="1:10" ht="15.75" thickBot="1" x14ac:dyDescent="0.3">
      <c r="A84" s="50" t="s">
        <v>410</v>
      </c>
      <c r="B84" s="217">
        <v>0</v>
      </c>
      <c r="C84" s="177">
        <v>1</v>
      </c>
      <c r="D84" s="264">
        <v>0</v>
      </c>
      <c r="E84" s="79">
        <f t="shared" si="10"/>
        <v>1</v>
      </c>
      <c r="F84" s="100" t="s">
        <v>1225</v>
      </c>
      <c r="G84" s="201">
        <v>5</v>
      </c>
      <c r="H84" s="103">
        <v>0</v>
      </c>
      <c r="I84" s="266">
        <v>0</v>
      </c>
      <c r="J84" s="102">
        <f t="shared" si="11"/>
        <v>5</v>
      </c>
    </row>
    <row r="85" spans="1:10" ht="15.75" thickBot="1" x14ac:dyDescent="0.3">
      <c r="A85" s="50" t="s">
        <v>1203</v>
      </c>
      <c r="B85" s="217">
        <v>1</v>
      </c>
      <c r="C85" s="177">
        <v>0</v>
      </c>
      <c r="D85" s="264">
        <v>0</v>
      </c>
      <c r="E85" s="79">
        <f t="shared" si="10"/>
        <v>1</v>
      </c>
      <c r="F85" s="100" t="s">
        <v>111</v>
      </c>
      <c r="G85" s="201">
        <v>0</v>
      </c>
      <c r="H85" s="103">
        <v>5</v>
      </c>
      <c r="I85" s="266">
        <v>0</v>
      </c>
      <c r="J85" s="102">
        <f t="shared" si="11"/>
        <v>5</v>
      </c>
    </row>
    <row r="86" spans="1:10" ht="15.75" thickBot="1" x14ac:dyDescent="0.3">
      <c r="A86" s="50" t="s">
        <v>149</v>
      </c>
      <c r="B86" s="217">
        <v>0</v>
      </c>
      <c r="C86" s="177">
        <v>1</v>
      </c>
      <c r="D86" s="264">
        <v>0</v>
      </c>
      <c r="E86" s="79">
        <f t="shared" si="10"/>
        <v>1</v>
      </c>
      <c r="F86" s="100" t="s">
        <v>410</v>
      </c>
      <c r="G86" s="201">
        <v>0</v>
      </c>
      <c r="H86" s="103">
        <v>5</v>
      </c>
      <c r="I86" s="266">
        <v>0</v>
      </c>
      <c r="J86" s="102">
        <f t="shared" si="11"/>
        <v>5</v>
      </c>
    </row>
    <row r="87" spans="1:10" ht="15.75" thickBot="1" x14ac:dyDescent="0.3">
      <c r="A87" s="50" t="s">
        <v>412</v>
      </c>
      <c r="B87" s="217">
        <v>0</v>
      </c>
      <c r="C87" s="177">
        <v>0</v>
      </c>
      <c r="D87" s="264">
        <v>1</v>
      </c>
      <c r="E87" s="79">
        <f t="shared" si="10"/>
        <v>1</v>
      </c>
      <c r="F87" s="100" t="s">
        <v>1203</v>
      </c>
      <c r="G87" s="201">
        <v>5</v>
      </c>
      <c r="H87" s="103">
        <v>0</v>
      </c>
      <c r="I87" s="266">
        <v>0</v>
      </c>
      <c r="J87" s="102">
        <f t="shared" si="11"/>
        <v>5</v>
      </c>
    </row>
    <row r="88" spans="1:10" ht="15.75" thickBot="1" x14ac:dyDescent="0.3">
      <c r="A88" s="50" t="s">
        <v>87</v>
      </c>
      <c r="B88" s="217">
        <v>0</v>
      </c>
      <c r="C88" s="177">
        <v>0</v>
      </c>
      <c r="D88" s="264">
        <v>1</v>
      </c>
      <c r="E88" s="79">
        <f t="shared" si="10"/>
        <v>1</v>
      </c>
      <c r="F88" s="100" t="s">
        <v>149</v>
      </c>
      <c r="G88" s="201">
        <v>0</v>
      </c>
      <c r="H88" s="103">
        <v>5</v>
      </c>
      <c r="I88" s="266">
        <v>0</v>
      </c>
      <c r="J88" s="102">
        <f t="shared" si="11"/>
        <v>5</v>
      </c>
    </row>
    <row r="89" spans="1:10" ht="15.75" thickBot="1" x14ac:dyDescent="0.3">
      <c r="A89" s="50" t="s">
        <v>302</v>
      </c>
      <c r="B89" s="217">
        <v>0</v>
      </c>
      <c r="C89" s="177">
        <v>0</v>
      </c>
      <c r="D89" s="264">
        <v>1</v>
      </c>
      <c r="E89" s="79">
        <f t="shared" si="10"/>
        <v>1</v>
      </c>
      <c r="F89" s="100" t="s">
        <v>412</v>
      </c>
      <c r="G89" s="201">
        <v>0</v>
      </c>
      <c r="H89" s="103">
        <v>0</v>
      </c>
      <c r="I89" s="266">
        <v>5</v>
      </c>
      <c r="J89" s="102">
        <f t="shared" si="11"/>
        <v>5</v>
      </c>
    </row>
    <row r="90" spans="1:10" ht="15.75" thickBot="1" x14ac:dyDescent="0.3">
      <c r="A90" s="50" t="s">
        <v>226</v>
      </c>
      <c r="B90" s="217">
        <v>1</v>
      </c>
      <c r="C90" s="177">
        <v>0</v>
      </c>
      <c r="D90" s="264">
        <v>0</v>
      </c>
      <c r="E90" s="79">
        <f t="shared" si="10"/>
        <v>1</v>
      </c>
      <c r="F90" s="100" t="s">
        <v>87</v>
      </c>
      <c r="G90" s="201">
        <v>0</v>
      </c>
      <c r="H90" s="103">
        <v>0</v>
      </c>
      <c r="I90" s="266">
        <v>5</v>
      </c>
      <c r="J90" s="102">
        <f t="shared" si="11"/>
        <v>5</v>
      </c>
    </row>
    <row r="91" spans="1:10" ht="15.75" thickBot="1" x14ac:dyDescent="0.3">
      <c r="A91" s="50" t="s">
        <v>1199</v>
      </c>
      <c r="B91" s="217">
        <v>1</v>
      </c>
      <c r="C91" s="177">
        <v>0</v>
      </c>
      <c r="D91" s="264">
        <v>0</v>
      </c>
      <c r="E91" s="79">
        <f t="shared" si="10"/>
        <v>1</v>
      </c>
      <c r="F91" s="100" t="s">
        <v>302</v>
      </c>
      <c r="G91" s="201">
        <v>0</v>
      </c>
      <c r="H91" s="103">
        <v>0</v>
      </c>
      <c r="I91" s="266">
        <v>5</v>
      </c>
      <c r="J91" s="102">
        <f t="shared" si="11"/>
        <v>5</v>
      </c>
    </row>
    <row r="92" spans="1:10" ht="15.75" thickBot="1" x14ac:dyDescent="0.3">
      <c r="A92" s="50" t="s">
        <v>65</v>
      </c>
      <c r="B92" s="217">
        <v>1</v>
      </c>
      <c r="C92" s="177">
        <v>0</v>
      </c>
      <c r="D92" s="264">
        <v>0</v>
      </c>
      <c r="E92" s="79">
        <f t="shared" si="10"/>
        <v>1</v>
      </c>
      <c r="F92" s="100" t="s">
        <v>226</v>
      </c>
      <c r="G92" s="201">
        <v>5</v>
      </c>
      <c r="H92" s="103">
        <v>0</v>
      </c>
      <c r="I92" s="266">
        <v>0</v>
      </c>
      <c r="J92" s="102">
        <f t="shared" si="11"/>
        <v>5</v>
      </c>
    </row>
    <row r="93" spans="1:10" ht="15.75" thickBot="1" x14ac:dyDescent="0.3">
      <c r="A93" s="50" t="s">
        <v>958</v>
      </c>
      <c r="B93" s="217">
        <v>0</v>
      </c>
      <c r="C93" s="177">
        <v>0</v>
      </c>
      <c r="D93" s="264">
        <v>0</v>
      </c>
      <c r="E93" s="79">
        <f t="shared" ref="E93:E114" si="12">SUM(B93:D93)</f>
        <v>0</v>
      </c>
      <c r="F93" s="100" t="s">
        <v>1199</v>
      </c>
      <c r="G93" s="201">
        <v>5</v>
      </c>
      <c r="H93" s="103">
        <v>0</v>
      </c>
      <c r="I93" s="266">
        <v>0</v>
      </c>
      <c r="J93" s="102">
        <f t="shared" ref="J93:J114" si="13">SUM(G93:I93)</f>
        <v>5</v>
      </c>
    </row>
    <row r="94" spans="1:10" ht="15.75" thickBot="1" x14ac:dyDescent="0.3">
      <c r="A94" s="50" t="s">
        <v>197</v>
      </c>
      <c r="B94" s="217">
        <v>0</v>
      </c>
      <c r="C94" s="177">
        <v>0</v>
      </c>
      <c r="D94" s="264">
        <v>0</v>
      </c>
      <c r="E94" s="79">
        <f t="shared" si="12"/>
        <v>0</v>
      </c>
      <c r="F94" s="100" t="s">
        <v>65</v>
      </c>
      <c r="G94" s="201">
        <v>5</v>
      </c>
      <c r="H94" s="103">
        <v>0</v>
      </c>
      <c r="I94" s="266">
        <v>0</v>
      </c>
      <c r="J94" s="102">
        <f t="shared" si="13"/>
        <v>5</v>
      </c>
    </row>
    <row r="95" spans="1:10" ht="15.75" thickBot="1" x14ac:dyDescent="0.3">
      <c r="A95" s="50" t="s">
        <v>839</v>
      </c>
      <c r="B95" s="217">
        <v>0</v>
      </c>
      <c r="C95" s="177">
        <v>0</v>
      </c>
      <c r="D95" s="264">
        <v>0</v>
      </c>
      <c r="E95" s="79">
        <f t="shared" si="12"/>
        <v>0</v>
      </c>
      <c r="F95" s="100" t="s">
        <v>958</v>
      </c>
      <c r="G95" s="201">
        <v>0</v>
      </c>
      <c r="H95" s="103">
        <v>0</v>
      </c>
      <c r="I95" s="266">
        <v>2</v>
      </c>
      <c r="J95" s="102">
        <f t="shared" si="13"/>
        <v>2</v>
      </c>
    </row>
    <row r="96" spans="1:10" ht="15.75" thickBot="1" x14ac:dyDescent="0.3">
      <c r="A96" s="50" t="s">
        <v>72</v>
      </c>
      <c r="B96" s="217">
        <v>0</v>
      </c>
      <c r="C96" s="177">
        <v>0</v>
      </c>
      <c r="D96" s="264">
        <v>0</v>
      </c>
      <c r="E96" s="79">
        <f t="shared" si="12"/>
        <v>0</v>
      </c>
      <c r="F96" s="100" t="s">
        <v>839</v>
      </c>
      <c r="G96" s="201">
        <v>0</v>
      </c>
      <c r="H96" s="103">
        <v>0</v>
      </c>
      <c r="I96" s="266">
        <v>0</v>
      </c>
      <c r="J96" s="102">
        <f t="shared" si="13"/>
        <v>0</v>
      </c>
    </row>
    <row r="97" spans="1:10" ht="15.75" thickBot="1" x14ac:dyDescent="0.3">
      <c r="A97" s="50" t="s">
        <v>409</v>
      </c>
      <c r="B97" s="217">
        <v>0</v>
      </c>
      <c r="C97" s="177">
        <v>0</v>
      </c>
      <c r="D97" s="264">
        <v>0</v>
      </c>
      <c r="E97" s="79">
        <f t="shared" si="12"/>
        <v>0</v>
      </c>
      <c r="F97" s="100" t="s">
        <v>72</v>
      </c>
      <c r="G97" s="201">
        <v>0</v>
      </c>
      <c r="H97" s="103">
        <v>0</v>
      </c>
      <c r="I97" s="266">
        <v>0</v>
      </c>
      <c r="J97" s="102">
        <f t="shared" si="13"/>
        <v>0</v>
      </c>
    </row>
    <row r="98" spans="1:10" ht="15.75" thickBot="1" x14ac:dyDescent="0.3">
      <c r="A98" s="50" t="s">
        <v>72</v>
      </c>
      <c r="B98" s="217">
        <v>0</v>
      </c>
      <c r="C98" s="177">
        <v>0</v>
      </c>
      <c r="D98" s="264">
        <v>0</v>
      </c>
      <c r="E98" s="79">
        <f t="shared" si="12"/>
        <v>0</v>
      </c>
      <c r="F98" s="100" t="s">
        <v>409</v>
      </c>
      <c r="G98" s="201">
        <v>0</v>
      </c>
      <c r="H98" s="103">
        <v>0</v>
      </c>
      <c r="I98" s="266">
        <v>0</v>
      </c>
      <c r="J98" s="102">
        <f t="shared" si="13"/>
        <v>0</v>
      </c>
    </row>
    <row r="99" spans="1:10" ht="15.75" thickBot="1" x14ac:dyDescent="0.3">
      <c r="A99" s="50" t="s">
        <v>72</v>
      </c>
      <c r="B99" s="217">
        <v>0</v>
      </c>
      <c r="C99" s="177">
        <v>0</v>
      </c>
      <c r="D99" s="264">
        <v>0</v>
      </c>
      <c r="E99" s="79">
        <f t="shared" si="12"/>
        <v>0</v>
      </c>
      <c r="F99" s="100" t="s">
        <v>72</v>
      </c>
      <c r="G99" s="201">
        <v>0</v>
      </c>
      <c r="H99" s="103">
        <v>0</v>
      </c>
      <c r="I99" s="266">
        <v>0</v>
      </c>
      <c r="J99" s="102">
        <f t="shared" si="13"/>
        <v>0</v>
      </c>
    </row>
    <row r="100" spans="1:10" ht="15.75" thickBot="1" x14ac:dyDescent="0.3">
      <c r="A100" s="50" t="s">
        <v>282</v>
      </c>
      <c r="B100" s="217">
        <v>0</v>
      </c>
      <c r="C100" s="177">
        <v>0</v>
      </c>
      <c r="D100" s="264">
        <v>0</v>
      </c>
      <c r="E100" s="79">
        <f t="shared" si="12"/>
        <v>0</v>
      </c>
      <c r="F100" s="100" t="s">
        <v>72</v>
      </c>
      <c r="G100" s="201">
        <v>0</v>
      </c>
      <c r="H100" s="103">
        <v>0</v>
      </c>
      <c r="I100" s="266">
        <v>0</v>
      </c>
      <c r="J100" s="102">
        <f t="shared" si="13"/>
        <v>0</v>
      </c>
    </row>
    <row r="101" spans="1:10" ht="15.75" thickBot="1" x14ac:dyDescent="0.3">
      <c r="A101" s="50" t="s">
        <v>193</v>
      </c>
      <c r="B101" s="217">
        <v>0</v>
      </c>
      <c r="C101" s="177">
        <v>0</v>
      </c>
      <c r="D101" s="264">
        <v>0</v>
      </c>
      <c r="E101" s="79">
        <f t="shared" si="12"/>
        <v>0</v>
      </c>
      <c r="F101" s="100" t="s">
        <v>282</v>
      </c>
      <c r="G101" s="201">
        <v>0</v>
      </c>
      <c r="H101" s="103">
        <v>0</v>
      </c>
      <c r="I101" s="266">
        <v>0</v>
      </c>
      <c r="J101" s="102">
        <f t="shared" si="13"/>
        <v>0</v>
      </c>
    </row>
    <row r="102" spans="1:10" ht="15.75" thickBot="1" x14ac:dyDescent="0.3">
      <c r="A102" s="50" t="s">
        <v>271</v>
      </c>
      <c r="B102" s="217">
        <v>0</v>
      </c>
      <c r="C102" s="177">
        <v>0</v>
      </c>
      <c r="D102" s="264">
        <v>0</v>
      </c>
      <c r="E102" s="79">
        <f t="shared" si="12"/>
        <v>0</v>
      </c>
      <c r="F102" s="100" t="s">
        <v>193</v>
      </c>
      <c r="G102" s="201">
        <v>0</v>
      </c>
      <c r="H102" s="103">
        <v>0</v>
      </c>
      <c r="I102" s="266">
        <v>0</v>
      </c>
      <c r="J102" s="102">
        <f t="shared" si="13"/>
        <v>0</v>
      </c>
    </row>
    <row r="103" spans="1:10" ht="15.75" thickBot="1" x14ac:dyDescent="0.3">
      <c r="A103" s="50" t="s">
        <v>413</v>
      </c>
      <c r="B103" s="217">
        <v>0</v>
      </c>
      <c r="C103" s="177">
        <v>0</v>
      </c>
      <c r="D103" s="264">
        <v>0</v>
      </c>
      <c r="E103" s="79">
        <f t="shared" si="12"/>
        <v>0</v>
      </c>
      <c r="F103" s="100" t="s">
        <v>271</v>
      </c>
      <c r="G103" s="201">
        <v>0</v>
      </c>
      <c r="H103" s="103">
        <v>0</v>
      </c>
      <c r="I103" s="266">
        <v>0</v>
      </c>
      <c r="J103" s="102">
        <f t="shared" si="13"/>
        <v>0</v>
      </c>
    </row>
    <row r="104" spans="1:10" ht="15.75" thickBot="1" x14ac:dyDescent="0.3">
      <c r="A104" s="50" t="s">
        <v>72</v>
      </c>
      <c r="B104" s="217">
        <v>0</v>
      </c>
      <c r="C104" s="177">
        <v>0</v>
      </c>
      <c r="D104" s="264">
        <v>0</v>
      </c>
      <c r="E104" s="79">
        <f t="shared" si="12"/>
        <v>0</v>
      </c>
      <c r="F104" s="100" t="s">
        <v>413</v>
      </c>
      <c r="G104" s="201">
        <v>0</v>
      </c>
      <c r="H104" s="103">
        <v>0</v>
      </c>
      <c r="I104" s="266">
        <v>0</v>
      </c>
      <c r="J104" s="102">
        <f t="shared" si="13"/>
        <v>0</v>
      </c>
    </row>
    <row r="105" spans="1:10" ht="15.75" thickBot="1" x14ac:dyDescent="0.3">
      <c r="A105" s="50" t="s">
        <v>414</v>
      </c>
      <c r="B105" s="217">
        <v>0</v>
      </c>
      <c r="C105" s="177">
        <v>0</v>
      </c>
      <c r="D105" s="264">
        <v>0</v>
      </c>
      <c r="E105" s="79">
        <f t="shared" si="12"/>
        <v>0</v>
      </c>
      <c r="F105" s="100" t="s">
        <v>72</v>
      </c>
      <c r="G105" s="201">
        <v>0</v>
      </c>
      <c r="H105" s="103">
        <v>0</v>
      </c>
      <c r="I105" s="266">
        <v>0</v>
      </c>
      <c r="J105" s="102">
        <f t="shared" si="13"/>
        <v>0</v>
      </c>
    </row>
    <row r="106" spans="1:10" ht="15.75" thickBot="1" x14ac:dyDescent="0.3">
      <c r="A106" s="50" t="s">
        <v>6</v>
      </c>
      <c r="B106" s="217">
        <v>0</v>
      </c>
      <c r="C106" s="177">
        <v>0</v>
      </c>
      <c r="D106" s="264">
        <v>0</v>
      </c>
      <c r="E106" s="79">
        <f t="shared" si="12"/>
        <v>0</v>
      </c>
      <c r="F106" s="100" t="s">
        <v>414</v>
      </c>
      <c r="G106" s="201">
        <v>0</v>
      </c>
      <c r="H106" s="103">
        <v>0</v>
      </c>
      <c r="I106" s="266">
        <v>0</v>
      </c>
      <c r="J106" s="102">
        <f t="shared" si="13"/>
        <v>0</v>
      </c>
    </row>
    <row r="107" spans="1:10" ht="15.75" thickBot="1" x14ac:dyDescent="0.3">
      <c r="A107" s="50" t="s">
        <v>72</v>
      </c>
      <c r="B107" s="217">
        <v>0</v>
      </c>
      <c r="C107" s="177">
        <v>0</v>
      </c>
      <c r="D107" s="264">
        <v>0</v>
      </c>
      <c r="E107" s="79">
        <f t="shared" si="12"/>
        <v>0</v>
      </c>
      <c r="F107" s="100" t="s">
        <v>6</v>
      </c>
      <c r="G107" s="201">
        <v>0</v>
      </c>
      <c r="H107" s="103">
        <v>0</v>
      </c>
      <c r="I107" s="266">
        <v>0</v>
      </c>
      <c r="J107" s="102">
        <f t="shared" si="13"/>
        <v>0</v>
      </c>
    </row>
    <row r="108" spans="1:10" ht="15.75" thickBot="1" x14ac:dyDescent="0.3">
      <c r="A108" s="50" t="s">
        <v>236</v>
      </c>
      <c r="B108" s="217">
        <v>0</v>
      </c>
      <c r="C108" s="177">
        <v>0</v>
      </c>
      <c r="D108" s="264">
        <v>0</v>
      </c>
      <c r="E108" s="79">
        <f t="shared" si="12"/>
        <v>0</v>
      </c>
      <c r="F108" s="100" t="s">
        <v>72</v>
      </c>
      <c r="G108" s="201">
        <v>0</v>
      </c>
      <c r="H108" s="103">
        <v>0</v>
      </c>
      <c r="I108" s="266">
        <v>0</v>
      </c>
      <c r="J108" s="102">
        <f t="shared" si="13"/>
        <v>0</v>
      </c>
    </row>
    <row r="109" spans="1:10" ht="15.75" thickBot="1" x14ac:dyDescent="0.3">
      <c r="A109" s="50" t="s">
        <v>72</v>
      </c>
      <c r="B109" s="217">
        <v>0</v>
      </c>
      <c r="C109" s="177">
        <v>0</v>
      </c>
      <c r="D109" s="264">
        <v>0</v>
      </c>
      <c r="E109" s="79">
        <f t="shared" si="12"/>
        <v>0</v>
      </c>
      <c r="F109" s="100" t="s">
        <v>236</v>
      </c>
      <c r="G109" s="201">
        <v>0</v>
      </c>
      <c r="H109" s="103">
        <v>0</v>
      </c>
      <c r="I109" s="266">
        <v>0</v>
      </c>
      <c r="J109" s="102">
        <f t="shared" si="13"/>
        <v>0</v>
      </c>
    </row>
    <row r="110" spans="1:10" ht="15.75" thickBot="1" x14ac:dyDescent="0.3">
      <c r="A110" s="50" t="s">
        <v>72</v>
      </c>
      <c r="B110" s="217">
        <v>0</v>
      </c>
      <c r="C110" s="177">
        <v>0</v>
      </c>
      <c r="D110" s="264">
        <v>0</v>
      </c>
      <c r="E110" s="79">
        <f t="shared" si="12"/>
        <v>0</v>
      </c>
      <c r="F110" s="100" t="s">
        <v>72</v>
      </c>
      <c r="G110" s="201">
        <v>0</v>
      </c>
      <c r="H110" s="103">
        <v>0</v>
      </c>
      <c r="I110" s="266">
        <v>0</v>
      </c>
      <c r="J110" s="102">
        <f t="shared" si="13"/>
        <v>0</v>
      </c>
    </row>
    <row r="111" spans="1:10" ht="15.75" thickBot="1" x14ac:dyDescent="0.3">
      <c r="A111" s="50" t="s">
        <v>33</v>
      </c>
      <c r="B111" s="217">
        <v>0</v>
      </c>
      <c r="C111" s="177">
        <v>0</v>
      </c>
      <c r="D111" s="264">
        <v>0</v>
      </c>
      <c r="E111" s="79">
        <f t="shared" si="12"/>
        <v>0</v>
      </c>
      <c r="F111" s="100" t="s">
        <v>72</v>
      </c>
      <c r="G111" s="201">
        <v>0</v>
      </c>
      <c r="H111" s="103">
        <v>0</v>
      </c>
      <c r="I111" s="266">
        <v>0</v>
      </c>
      <c r="J111" s="102">
        <f t="shared" si="13"/>
        <v>0</v>
      </c>
    </row>
    <row r="112" spans="1:10" ht="15.75" thickBot="1" x14ac:dyDescent="0.3">
      <c r="A112" s="50" t="s">
        <v>24</v>
      </c>
      <c r="B112" s="217">
        <v>0</v>
      </c>
      <c r="C112" s="177">
        <v>0</v>
      </c>
      <c r="D112" s="264">
        <v>0</v>
      </c>
      <c r="E112" s="79">
        <f t="shared" si="12"/>
        <v>0</v>
      </c>
      <c r="F112" s="100" t="s">
        <v>33</v>
      </c>
      <c r="G112" s="201">
        <v>0</v>
      </c>
      <c r="H112" s="103">
        <v>0</v>
      </c>
      <c r="I112" s="266">
        <v>0</v>
      </c>
      <c r="J112" s="102">
        <f t="shared" si="13"/>
        <v>0</v>
      </c>
    </row>
    <row r="113" spans="1:11" ht="15.75" thickBot="1" x14ac:dyDescent="0.3">
      <c r="A113" s="50" t="s">
        <v>11</v>
      </c>
      <c r="B113" s="217">
        <v>0</v>
      </c>
      <c r="C113" s="177">
        <v>0</v>
      </c>
      <c r="D113" s="264">
        <v>0</v>
      </c>
      <c r="E113" s="79">
        <f t="shared" si="12"/>
        <v>0</v>
      </c>
      <c r="F113" s="100" t="s">
        <v>24</v>
      </c>
      <c r="G113" s="201">
        <v>0</v>
      </c>
      <c r="H113" s="103">
        <v>0</v>
      </c>
      <c r="I113" s="266">
        <v>0</v>
      </c>
      <c r="J113" s="102">
        <f t="shared" si="13"/>
        <v>0</v>
      </c>
    </row>
    <row r="114" spans="1:11" ht="15.75" thickBot="1" x14ac:dyDescent="0.3">
      <c r="A114" s="50" t="s">
        <v>8</v>
      </c>
      <c r="B114" s="217">
        <v>0</v>
      </c>
      <c r="C114" s="177">
        <v>0</v>
      </c>
      <c r="D114" s="264">
        <v>0</v>
      </c>
      <c r="E114" s="79">
        <f t="shared" si="12"/>
        <v>0</v>
      </c>
      <c r="F114" s="100" t="s">
        <v>11</v>
      </c>
      <c r="G114" s="201">
        <v>0</v>
      </c>
      <c r="H114" s="103">
        <v>0</v>
      </c>
      <c r="I114" s="266">
        <v>0</v>
      </c>
      <c r="J114" s="102">
        <f t="shared" si="13"/>
        <v>0</v>
      </c>
    </row>
    <row r="115" spans="1:11" ht="15.75" thickBot="1" x14ac:dyDescent="0.3">
      <c r="A115" s="50" t="s">
        <v>3</v>
      </c>
      <c r="B115" s="217">
        <f>SUM(B61:B114)</f>
        <v>72</v>
      </c>
      <c r="C115" s="177">
        <f>SUM(C61:C114)</f>
        <v>19</v>
      </c>
      <c r="D115" s="264">
        <f>SUM(D61:D114)</f>
        <v>16</v>
      </c>
      <c r="E115" s="79">
        <f>SUM(E61:E114)</f>
        <v>107</v>
      </c>
      <c r="F115" s="100" t="s">
        <v>3</v>
      </c>
      <c r="G115" s="201">
        <f>SUM(G61:G114)</f>
        <v>515</v>
      </c>
      <c r="H115" s="103">
        <f>SUM(H61:H114)</f>
        <v>140</v>
      </c>
      <c r="I115" s="266">
        <f>SUM(I61:I114)</f>
        <v>101</v>
      </c>
      <c r="J115" s="102">
        <f>SUM(J61:J114)</f>
        <v>756</v>
      </c>
    </row>
    <row r="116" spans="1:11" x14ac:dyDescent="0.25">
      <c r="A116" s="535" t="s">
        <v>1260</v>
      </c>
      <c r="B116" s="533"/>
      <c r="C116" s="533"/>
      <c r="D116" s="533"/>
      <c r="E116" s="533"/>
      <c r="F116" s="533"/>
      <c r="G116" s="533"/>
      <c r="H116" s="533"/>
      <c r="I116" s="533"/>
      <c r="J116" s="533"/>
      <c r="K116" s="533"/>
    </row>
    <row r="117" spans="1:11" x14ac:dyDescent="0.25">
      <c r="A117" s="58" t="s">
        <v>130</v>
      </c>
    </row>
  </sheetData>
  <sortState xmlns:xlrd2="http://schemas.microsoft.com/office/spreadsheetml/2017/richdata2" ref="F61:J114">
    <sortCondition descending="1" ref="J61:J114"/>
  </sortState>
  <mergeCells count="30">
    <mergeCell ref="K21:K22"/>
    <mergeCell ref="L21:N22"/>
    <mergeCell ref="AI1:AK2"/>
    <mergeCell ref="AF1:AH2"/>
    <mergeCell ref="K29:AQ29"/>
    <mergeCell ref="AG11:AI12"/>
    <mergeCell ref="AO1:AQ2"/>
    <mergeCell ref="U21:W22"/>
    <mergeCell ref="R11:T12"/>
    <mergeCell ref="R21:T22"/>
    <mergeCell ref="AJ11:AL12"/>
    <mergeCell ref="AG21:AI22"/>
    <mergeCell ref="AC1:AE2"/>
    <mergeCell ref="AL1:AN2"/>
    <mergeCell ref="A116:K116"/>
    <mergeCell ref="AD11:AF12"/>
    <mergeCell ref="AD21:AF22"/>
    <mergeCell ref="U11:W12"/>
    <mergeCell ref="R1:S2"/>
    <mergeCell ref="O1:Q2"/>
    <mergeCell ref="L11:N12"/>
    <mergeCell ref="T1:V2"/>
    <mergeCell ref="O11:Q12"/>
    <mergeCell ref="O21:Q22"/>
    <mergeCell ref="A1:J1"/>
    <mergeCell ref="K11:K12"/>
    <mergeCell ref="K1:K2"/>
    <mergeCell ref="L1:N2"/>
    <mergeCell ref="K30:W30"/>
    <mergeCell ref="W1:Y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118"/>
  <sheetViews>
    <sheetView workbookViewId="0">
      <selection activeCell="K1" sqref="K1:Y23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5" width="4.7109375" customWidth="1"/>
    <col min="6" max="6" width="16.42578125" customWidth="1"/>
    <col min="7" max="10" width="5.28515625" customWidth="1"/>
    <col min="11" max="11" width="10.85546875" bestFit="1" customWidth="1"/>
    <col min="12" max="17" width="5.42578125" customWidth="1"/>
    <col min="18" max="40" width="5.7109375" customWidth="1"/>
    <col min="41" max="41" width="14.28515625" bestFit="1" customWidth="1"/>
    <col min="43" max="43" width="9.28515625" bestFit="1" customWidth="1"/>
  </cols>
  <sheetData>
    <row r="1" spans="1:47" ht="15" customHeight="1" thickBot="1" x14ac:dyDescent="0.3">
      <c r="A1" s="540" t="s">
        <v>907</v>
      </c>
      <c r="B1" s="541"/>
      <c r="C1" s="541"/>
      <c r="D1" s="541"/>
      <c r="E1" s="541"/>
      <c r="F1" s="541"/>
      <c r="G1" s="541"/>
      <c r="H1" s="541"/>
      <c r="I1" s="541"/>
      <c r="J1" s="542"/>
      <c r="K1" s="513" t="s">
        <v>1028</v>
      </c>
      <c r="L1" s="543" t="s">
        <v>42</v>
      </c>
      <c r="M1" s="544"/>
      <c r="N1" s="545"/>
      <c r="O1" s="543" t="s">
        <v>151</v>
      </c>
      <c r="P1" s="544"/>
      <c r="Q1" s="545"/>
      <c r="R1" s="500" t="s">
        <v>1027</v>
      </c>
      <c r="S1" s="502"/>
      <c r="T1" s="515" t="s">
        <v>100</v>
      </c>
      <c r="U1" s="516"/>
      <c r="V1" s="517"/>
      <c r="W1" s="515" t="s">
        <v>915</v>
      </c>
      <c r="X1" s="516"/>
      <c r="Y1" s="517"/>
      <c r="Z1" s="309"/>
      <c r="AA1" s="323"/>
      <c r="AB1" s="340"/>
      <c r="AC1" s="515" t="s">
        <v>303</v>
      </c>
      <c r="AD1" s="516"/>
      <c r="AE1" s="517"/>
      <c r="AF1" s="515" t="s">
        <v>205</v>
      </c>
      <c r="AG1" s="516"/>
      <c r="AH1" s="517"/>
      <c r="AI1" s="515" t="s">
        <v>186</v>
      </c>
      <c r="AJ1" s="516"/>
      <c r="AK1" s="517"/>
      <c r="AL1" s="515" t="s">
        <v>155</v>
      </c>
      <c r="AM1" s="516"/>
      <c r="AN1" s="517"/>
      <c r="AP1" s="5"/>
      <c r="AQ1" s="5"/>
      <c r="AR1" s="5"/>
      <c r="AU1" s="5"/>
    </row>
    <row r="2" spans="1:47" ht="15" customHeight="1" thickBot="1" x14ac:dyDescent="0.3">
      <c r="A2" s="479" t="s">
        <v>0</v>
      </c>
      <c r="B2" s="480" t="s">
        <v>305</v>
      </c>
      <c r="C2" s="481" t="s">
        <v>99</v>
      </c>
      <c r="D2" s="482" t="s">
        <v>306</v>
      </c>
      <c r="E2" s="483" t="s">
        <v>1</v>
      </c>
      <c r="F2" s="393" t="s">
        <v>2</v>
      </c>
      <c r="G2" s="160" t="s">
        <v>305</v>
      </c>
      <c r="H2" s="259" t="s">
        <v>99</v>
      </c>
      <c r="I2" s="260" t="s">
        <v>306</v>
      </c>
      <c r="J2" s="395" t="s">
        <v>1</v>
      </c>
      <c r="K2" s="514"/>
      <c r="L2" s="546"/>
      <c r="M2" s="547"/>
      <c r="N2" s="548"/>
      <c r="O2" s="546"/>
      <c r="P2" s="547"/>
      <c r="Q2" s="548"/>
      <c r="R2" s="503"/>
      <c r="S2" s="505"/>
      <c r="T2" s="518"/>
      <c r="U2" s="519"/>
      <c r="V2" s="520"/>
      <c r="W2" s="518"/>
      <c r="X2" s="519"/>
      <c r="Y2" s="520"/>
      <c r="Z2" s="309"/>
      <c r="AA2" s="323"/>
      <c r="AB2" s="340"/>
      <c r="AC2" s="518"/>
      <c r="AD2" s="519"/>
      <c r="AE2" s="520"/>
      <c r="AF2" s="518"/>
      <c r="AG2" s="519"/>
      <c r="AH2" s="520"/>
      <c r="AI2" s="518"/>
      <c r="AJ2" s="519"/>
      <c r="AK2" s="520"/>
      <c r="AL2" s="518"/>
      <c r="AM2" s="519"/>
      <c r="AN2" s="520"/>
    </row>
    <row r="3" spans="1:47" ht="15" customHeight="1" thickBot="1" x14ac:dyDescent="0.3">
      <c r="A3" s="484" t="s">
        <v>1179</v>
      </c>
      <c r="B3" s="485">
        <v>2</v>
      </c>
      <c r="C3" s="486">
        <v>0</v>
      </c>
      <c r="D3" s="487">
        <v>0</v>
      </c>
      <c r="E3" s="488">
        <f>SUM(B3:D3)</f>
        <v>2</v>
      </c>
      <c r="F3" s="394" t="s">
        <v>1180</v>
      </c>
      <c r="G3" s="105">
        <v>10</v>
      </c>
      <c r="H3" s="255">
        <v>0</v>
      </c>
      <c r="I3" s="256">
        <v>0</v>
      </c>
      <c r="J3" s="396">
        <f>SUM(G3:I3)</f>
        <v>10</v>
      </c>
      <c r="K3" s="35" t="s">
        <v>72</v>
      </c>
      <c r="L3" s="1" t="s">
        <v>176</v>
      </c>
      <c r="M3" s="1" t="s">
        <v>36</v>
      </c>
      <c r="N3" s="1" t="s">
        <v>37</v>
      </c>
      <c r="O3" s="1" t="s">
        <v>176</v>
      </c>
      <c r="P3" s="1" t="s">
        <v>36</v>
      </c>
      <c r="Q3" s="1" t="s">
        <v>37</v>
      </c>
      <c r="R3" s="4" t="s">
        <v>52</v>
      </c>
      <c r="S3" s="4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127"/>
      <c r="AB3" s="341"/>
      <c r="AC3" s="283" t="s">
        <v>176</v>
      </c>
      <c r="AD3" s="8" t="s">
        <v>36</v>
      </c>
      <c r="AE3" s="8" t="s">
        <v>37</v>
      </c>
      <c r="AF3" s="283" t="s">
        <v>176</v>
      </c>
      <c r="AG3" s="8" t="s">
        <v>36</v>
      </c>
      <c r="AH3" s="8" t="s">
        <v>37</v>
      </c>
      <c r="AI3" s="8" t="s">
        <v>176</v>
      </c>
      <c r="AJ3" s="8" t="s">
        <v>36</v>
      </c>
      <c r="AK3" s="8" t="s">
        <v>37</v>
      </c>
      <c r="AL3" s="8" t="s">
        <v>176</v>
      </c>
      <c r="AM3" s="8" t="s">
        <v>36</v>
      </c>
      <c r="AN3" s="8" t="s">
        <v>37</v>
      </c>
    </row>
    <row r="4" spans="1:47" ht="15" customHeight="1" thickBot="1" x14ac:dyDescent="0.3">
      <c r="A4" s="484" t="s">
        <v>421</v>
      </c>
      <c r="B4" s="485">
        <v>0</v>
      </c>
      <c r="C4" s="486">
        <v>0</v>
      </c>
      <c r="D4" s="487">
        <v>0</v>
      </c>
      <c r="E4" s="488">
        <f>SUM(B4:D4)</f>
        <v>0</v>
      </c>
      <c r="F4" s="394" t="s">
        <v>421</v>
      </c>
      <c r="G4" s="105">
        <v>0</v>
      </c>
      <c r="H4" s="255">
        <v>0</v>
      </c>
      <c r="I4" s="256">
        <v>0</v>
      </c>
      <c r="J4" s="396">
        <f>SUM(G4:I4)</f>
        <v>0</v>
      </c>
      <c r="K4" s="390" t="s">
        <v>78</v>
      </c>
      <c r="L4" s="392">
        <v>65</v>
      </c>
      <c r="M4" s="392">
        <v>81</v>
      </c>
      <c r="N4" s="397">
        <f>(boticagoals/boticaatt)*100</f>
        <v>80.246913580246911</v>
      </c>
      <c r="O4" s="392" t="s">
        <v>43</v>
      </c>
      <c r="P4" s="392" t="s">
        <v>43</v>
      </c>
      <c r="Q4" s="397" t="s">
        <v>43</v>
      </c>
      <c r="R4" s="392">
        <v>1</v>
      </c>
      <c r="S4" s="392">
        <v>1</v>
      </c>
      <c r="T4" s="8">
        <v>62</v>
      </c>
      <c r="U4" s="8">
        <v>78</v>
      </c>
      <c r="V4" s="294">
        <f t="shared" ref="V4:V5" si="0">SUM(T4/U4)*100</f>
        <v>79.487179487179489</v>
      </c>
      <c r="W4" s="283">
        <v>63</v>
      </c>
      <c r="X4" s="8">
        <v>84</v>
      </c>
      <c r="Y4" s="294">
        <f t="shared" ref="Y4:Y5" si="1">SUM(W4/X4)*100</f>
        <v>75</v>
      </c>
      <c r="Z4" s="126"/>
      <c r="AA4" s="127"/>
      <c r="AB4" s="341"/>
      <c r="AC4" s="283" t="s">
        <v>43</v>
      </c>
      <c r="AD4" s="8" t="s">
        <v>43</v>
      </c>
      <c r="AE4" s="8" t="s">
        <v>43</v>
      </c>
      <c r="AF4" s="283" t="s">
        <v>43</v>
      </c>
      <c r="AG4" s="8" t="s">
        <v>43</v>
      </c>
      <c r="AH4" s="8" t="s">
        <v>43</v>
      </c>
      <c r="AI4" s="8" t="s">
        <v>43</v>
      </c>
      <c r="AJ4" s="8" t="s">
        <v>43</v>
      </c>
      <c r="AK4" s="8" t="s">
        <v>43</v>
      </c>
      <c r="AL4" s="8" t="s">
        <v>43</v>
      </c>
      <c r="AM4" s="8" t="s">
        <v>43</v>
      </c>
      <c r="AN4" s="8" t="s">
        <v>43</v>
      </c>
    </row>
    <row r="5" spans="1:47" ht="15" customHeight="1" thickBot="1" x14ac:dyDescent="0.3">
      <c r="A5" s="484" t="s">
        <v>167</v>
      </c>
      <c r="B5" s="485">
        <v>3</v>
      </c>
      <c r="C5" s="486">
        <v>0</v>
      </c>
      <c r="D5" s="487">
        <v>1</v>
      </c>
      <c r="E5" s="488">
        <f t="shared" ref="E5" si="2">SUM(B5:D5)</f>
        <v>4</v>
      </c>
      <c r="F5" s="394" t="s">
        <v>167</v>
      </c>
      <c r="G5" s="105">
        <v>15</v>
      </c>
      <c r="H5" s="255">
        <v>0</v>
      </c>
      <c r="I5" s="256">
        <v>5</v>
      </c>
      <c r="J5" s="396">
        <f t="shared" ref="J5" si="3">SUM(G5:I5)</f>
        <v>20</v>
      </c>
      <c r="K5" s="390" t="s">
        <v>217</v>
      </c>
      <c r="L5" s="392">
        <v>2</v>
      </c>
      <c r="M5" s="392">
        <v>4</v>
      </c>
      <c r="N5" s="397">
        <f>(Langhargls/langharatt)*100</f>
        <v>50</v>
      </c>
      <c r="O5" s="392" t="s">
        <v>43</v>
      </c>
      <c r="P5" s="392" t="s">
        <v>43</v>
      </c>
      <c r="Q5" s="397" t="s">
        <v>43</v>
      </c>
      <c r="R5" s="392">
        <v>2</v>
      </c>
      <c r="S5" s="392">
        <v>4</v>
      </c>
      <c r="T5" s="8">
        <v>29</v>
      </c>
      <c r="U5" s="8">
        <v>37</v>
      </c>
      <c r="V5" s="294">
        <f t="shared" si="0"/>
        <v>78.378378378378372</v>
      </c>
      <c r="W5" s="283">
        <v>4</v>
      </c>
      <c r="X5" s="8">
        <v>6</v>
      </c>
      <c r="Y5" s="294">
        <f t="shared" si="1"/>
        <v>66.666666666666657</v>
      </c>
      <c r="Z5" s="126"/>
      <c r="AA5" s="127"/>
      <c r="AB5" s="341"/>
      <c r="AC5" s="283">
        <v>2</v>
      </c>
      <c r="AD5" s="8">
        <v>3</v>
      </c>
      <c r="AE5" s="294">
        <f>SUM(AC5/AD5)*100</f>
        <v>66.666666666666657</v>
      </c>
      <c r="AF5" s="283" t="s">
        <v>43</v>
      </c>
      <c r="AG5" s="8" t="s">
        <v>43</v>
      </c>
      <c r="AH5" s="8" t="s">
        <v>43</v>
      </c>
      <c r="AI5" s="8" t="s">
        <v>43</v>
      </c>
      <c r="AJ5" s="8" t="s">
        <v>43</v>
      </c>
      <c r="AK5" s="8" t="s">
        <v>43</v>
      </c>
      <c r="AL5" s="8" t="s">
        <v>43</v>
      </c>
      <c r="AM5" s="8" t="s">
        <v>43</v>
      </c>
      <c r="AN5" s="8" t="s">
        <v>43</v>
      </c>
    </row>
    <row r="6" spans="1:47" ht="15" customHeight="1" thickBot="1" x14ac:dyDescent="0.3">
      <c r="A6" s="484" t="s">
        <v>239</v>
      </c>
      <c r="B6" s="485">
        <v>0</v>
      </c>
      <c r="C6" s="486">
        <v>0</v>
      </c>
      <c r="D6" s="487">
        <v>1</v>
      </c>
      <c r="E6" s="488">
        <f t="shared" ref="E6:E7" si="4">SUM(B6:D6)</f>
        <v>1</v>
      </c>
      <c r="F6" s="394" t="s">
        <v>239</v>
      </c>
      <c r="G6" s="105">
        <v>0</v>
      </c>
      <c r="H6" s="255">
        <v>0</v>
      </c>
      <c r="I6" s="256">
        <v>5</v>
      </c>
      <c r="J6" s="396">
        <f t="shared" ref="J6:J7" si="5">SUM(G6:I6)</f>
        <v>5</v>
      </c>
      <c r="K6" s="390" t="s">
        <v>1149</v>
      </c>
      <c r="L6" s="392" t="s">
        <v>43</v>
      </c>
      <c r="M6" s="392" t="s">
        <v>43</v>
      </c>
      <c r="N6" s="392" t="s">
        <v>43</v>
      </c>
      <c r="O6" s="392" t="s">
        <v>43</v>
      </c>
      <c r="P6" s="392" t="s">
        <v>43</v>
      </c>
      <c r="Q6" s="397" t="s">
        <v>43</v>
      </c>
      <c r="R6" s="392">
        <v>-1</v>
      </c>
      <c r="S6" s="392">
        <v>-1</v>
      </c>
      <c r="T6" s="8" t="s">
        <v>43</v>
      </c>
      <c r="U6" s="8" t="s">
        <v>43</v>
      </c>
      <c r="V6" s="8" t="s">
        <v>43</v>
      </c>
      <c r="W6" s="283" t="s">
        <v>43</v>
      </c>
      <c r="X6" s="8" t="s">
        <v>43</v>
      </c>
      <c r="Y6" s="8" t="s">
        <v>43</v>
      </c>
      <c r="Z6" s="126"/>
      <c r="AA6" s="127"/>
      <c r="AB6" s="341"/>
      <c r="AC6" s="283">
        <v>0</v>
      </c>
      <c r="AD6" s="8">
        <v>1</v>
      </c>
      <c r="AE6" s="294">
        <f>SUM(AC6/AD6)*100</f>
        <v>0</v>
      </c>
      <c r="AF6" s="283" t="s">
        <v>43</v>
      </c>
      <c r="AG6" s="8" t="s">
        <v>43</v>
      </c>
      <c r="AH6" s="8" t="s">
        <v>43</v>
      </c>
      <c r="AI6" s="8" t="s">
        <v>43</v>
      </c>
      <c r="AJ6" s="8" t="s">
        <v>43</v>
      </c>
      <c r="AK6" s="8" t="s">
        <v>43</v>
      </c>
      <c r="AL6" s="8" t="s">
        <v>43</v>
      </c>
      <c r="AM6" s="8" t="s">
        <v>43</v>
      </c>
      <c r="AN6" s="8" t="s">
        <v>43</v>
      </c>
    </row>
    <row r="7" spans="1:47" ht="15.75" thickBot="1" x14ac:dyDescent="0.3">
      <c r="A7" s="484" t="s">
        <v>72</v>
      </c>
      <c r="B7" s="485">
        <v>0</v>
      </c>
      <c r="C7" s="486">
        <v>0</v>
      </c>
      <c r="D7" s="487">
        <v>0</v>
      </c>
      <c r="E7" s="488">
        <f t="shared" si="4"/>
        <v>0</v>
      </c>
      <c r="F7" s="394" t="s">
        <v>72</v>
      </c>
      <c r="G7" s="105">
        <v>0</v>
      </c>
      <c r="H7" s="255">
        <v>0</v>
      </c>
      <c r="I7" s="256">
        <v>0</v>
      </c>
      <c r="J7" s="396">
        <f t="shared" si="5"/>
        <v>0</v>
      </c>
      <c r="K7" s="390" t="s">
        <v>961</v>
      </c>
      <c r="L7" s="392">
        <v>13</v>
      </c>
      <c r="M7" s="392">
        <v>17</v>
      </c>
      <c r="N7" s="397">
        <f t="shared" ref="N7" si="6">SUM(L7/M7)*100</f>
        <v>76.470588235294116</v>
      </c>
      <c r="O7" s="392">
        <v>5</v>
      </c>
      <c r="P7" s="392">
        <v>6</v>
      </c>
      <c r="Q7" s="397">
        <f>(boticagoals/boticaatt)*100</f>
        <v>80.246913580246911</v>
      </c>
      <c r="R7" s="392">
        <v>1</v>
      </c>
      <c r="S7" s="392">
        <v>1</v>
      </c>
      <c r="T7" s="8" t="s">
        <v>43</v>
      </c>
      <c r="U7" s="8" t="s">
        <v>43</v>
      </c>
      <c r="V7" s="8" t="s">
        <v>43</v>
      </c>
      <c r="W7" s="283" t="s">
        <v>43</v>
      </c>
      <c r="X7" s="8" t="s">
        <v>43</v>
      </c>
      <c r="Y7" s="8" t="s">
        <v>43</v>
      </c>
      <c r="Z7" s="126"/>
      <c r="AA7" s="127"/>
      <c r="AB7" s="341"/>
      <c r="AC7" s="283" t="s">
        <v>43</v>
      </c>
      <c r="AD7" s="8" t="s">
        <v>43</v>
      </c>
      <c r="AE7" s="8" t="s">
        <v>43</v>
      </c>
      <c r="AF7" s="8" t="s">
        <v>43</v>
      </c>
      <c r="AG7" s="8" t="s">
        <v>43</v>
      </c>
      <c r="AH7" s="8" t="s">
        <v>43</v>
      </c>
      <c r="AI7" s="8" t="s">
        <v>43</v>
      </c>
      <c r="AJ7" s="8" t="s">
        <v>43</v>
      </c>
      <c r="AK7" s="8" t="s">
        <v>43</v>
      </c>
      <c r="AL7" s="8" t="s">
        <v>43</v>
      </c>
      <c r="AM7" s="8" t="s">
        <v>43</v>
      </c>
      <c r="AN7" s="8" t="s">
        <v>43</v>
      </c>
    </row>
    <row r="8" spans="1:47" ht="15" customHeight="1" thickBot="1" x14ac:dyDescent="0.3">
      <c r="A8" s="484" t="s">
        <v>17</v>
      </c>
      <c r="B8" s="485">
        <v>0</v>
      </c>
      <c r="C8" s="486">
        <v>0</v>
      </c>
      <c r="D8" s="487">
        <v>2</v>
      </c>
      <c r="E8" s="488">
        <f t="shared" ref="E8:E57" si="7">SUM(B8:D8)</f>
        <v>2</v>
      </c>
      <c r="F8" s="394" t="s">
        <v>17</v>
      </c>
      <c r="G8" s="105">
        <v>0</v>
      </c>
      <c r="H8" s="255">
        <v>0</v>
      </c>
      <c r="I8" s="256">
        <v>10</v>
      </c>
      <c r="J8" s="396">
        <f t="shared" ref="J8:J57" si="8">SUM(G8:I8)</f>
        <v>10</v>
      </c>
      <c r="K8" s="390" t="s">
        <v>368</v>
      </c>
      <c r="L8" s="392" t="s">
        <v>43</v>
      </c>
      <c r="M8" s="392" t="s">
        <v>43</v>
      </c>
      <c r="N8" s="392" t="s">
        <v>43</v>
      </c>
      <c r="O8" s="392" t="s">
        <v>43</v>
      </c>
      <c r="P8" s="392" t="s">
        <v>43</v>
      </c>
      <c r="Q8" s="397" t="s">
        <v>43</v>
      </c>
      <c r="R8" s="392" t="s">
        <v>53</v>
      </c>
      <c r="S8" s="392">
        <v>1</v>
      </c>
      <c r="T8" s="8" t="s">
        <v>43</v>
      </c>
      <c r="U8" s="8" t="s">
        <v>43</v>
      </c>
      <c r="V8" s="8" t="s">
        <v>43</v>
      </c>
      <c r="W8" s="283" t="s">
        <v>43</v>
      </c>
      <c r="X8" s="8" t="s">
        <v>43</v>
      </c>
      <c r="Y8" s="8" t="s">
        <v>43</v>
      </c>
      <c r="Z8" s="126"/>
      <c r="AA8" s="127"/>
      <c r="AB8" s="341"/>
      <c r="AC8" s="283" t="s">
        <v>43</v>
      </c>
      <c r="AD8" s="8" t="s">
        <v>43</v>
      </c>
      <c r="AE8" s="8" t="s">
        <v>43</v>
      </c>
      <c r="AF8" s="283" t="s">
        <v>43</v>
      </c>
      <c r="AG8" s="8" t="s">
        <v>43</v>
      </c>
      <c r="AH8" s="8" t="s">
        <v>43</v>
      </c>
      <c r="AI8" s="8" t="s">
        <v>43</v>
      </c>
      <c r="AJ8" s="8" t="s">
        <v>43</v>
      </c>
      <c r="AK8" s="8" t="s">
        <v>43</v>
      </c>
      <c r="AL8" s="8" t="s">
        <v>43</v>
      </c>
      <c r="AM8" s="8" t="s">
        <v>43</v>
      </c>
      <c r="AN8" s="8" t="s">
        <v>43</v>
      </c>
    </row>
    <row r="9" spans="1:47" ht="15" customHeight="1" thickBot="1" x14ac:dyDescent="0.3">
      <c r="A9" s="484" t="s">
        <v>18</v>
      </c>
      <c r="B9" s="485">
        <v>0</v>
      </c>
      <c r="C9" s="486">
        <v>0</v>
      </c>
      <c r="D9" s="487">
        <v>0</v>
      </c>
      <c r="E9" s="488">
        <f t="shared" si="7"/>
        <v>0</v>
      </c>
      <c r="F9" s="394" t="s">
        <v>18</v>
      </c>
      <c r="G9" s="105">
        <v>0</v>
      </c>
      <c r="H9" s="255">
        <v>0</v>
      </c>
      <c r="I9" s="256">
        <v>0</v>
      </c>
      <c r="J9" s="396">
        <f t="shared" si="8"/>
        <v>0</v>
      </c>
      <c r="K9" s="65"/>
      <c r="L9" s="66"/>
      <c r="M9" s="66"/>
      <c r="N9" s="66"/>
      <c r="O9" s="73"/>
      <c r="P9" s="65"/>
      <c r="Q9" s="74"/>
      <c r="R9" s="66"/>
      <c r="S9" s="66"/>
      <c r="T9" s="66"/>
      <c r="U9" s="66"/>
      <c r="V9" s="66"/>
      <c r="W9" s="66"/>
      <c r="X9" s="66"/>
      <c r="Y9" s="66"/>
      <c r="AF9" s="113"/>
      <c r="AI9" s="113"/>
      <c r="AJ9" s="113"/>
      <c r="AK9" s="113"/>
      <c r="AL9" s="113"/>
    </row>
    <row r="10" spans="1:47" ht="16.5" thickBot="1" x14ac:dyDescent="0.3">
      <c r="A10" s="484" t="s">
        <v>19</v>
      </c>
      <c r="B10" s="485">
        <v>1</v>
      </c>
      <c r="C10" s="486">
        <v>0</v>
      </c>
      <c r="D10" s="487">
        <v>0</v>
      </c>
      <c r="E10" s="488">
        <f t="shared" si="7"/>
        <v>1</v>
      </c>
      <c r="F10" s="394" t="s">
        <v>19</v>
      </c>
      <c r="G10" s="105">
        <v>5</v>
      </c>
      <c r="H10" s="255">
        <v>0</v>
      </c>
      <c r="I10" s="256">
        <v>0</v>
      </c>
      <c r="J10" s="396">
        <f t="shared" si="8"/>
        <v>5</v>
      </c>
      <c r="K10" s="550" t="s">
        <v>1029</v>
      </c>
      <c r="L10" s="543" t="s">
        <v>42</v>
      </c>
      <c r="M10" s="544"/>
      <c r="N10" s="545"/>
      <c r="O10" s="515" t="s">
        <v>1042</v>
      </c>
      <c r="P10" s="516"/>
      <c r="Q10" s="517"/>
      <c r="R10" s="515" t="s">
        <v>915</v>
      </c>
      <c r="S10" s="516"/>
      <c r="T10" s="517"/>
      <c r="U10" s="515" t="s">
        <v>1043</v>
      </c>
      <c r="V10" s="516"/>
      <c r="W10" s="517"/>
      <c r="X10" s="323"/>
      <c r="Y10" s="323"/>
      <c r="Z10" s="323"/>
      <c r="AA10" s="401"/>
      <c r="AB10" s="401"/>
      <c r="AC10" s="515" t="s">
        <v>1044</v>
      </c>
      <c r="AD10" s="516"/>
      <c r="AE10" s="517"/>
      <c r="AF10" s="515" t="s">
        <v>233</v>
      </c>
      <c r="AG10" s="516"/>
      <c r="AH10" s="517"/>
      <c r="AI10" s="515" t="s">
        <v>155</v>
      </c>
      <c r="AJ10" s="516"/>
      <c r="AK10" s="517"/>
      <c r="AL10" s="515" t="s">
        <v>1045</v>
      </c>
      <c r="AM10" s="516"/>
      <c r="AN10" s="517"/>
      <c r="AO10" s="113"/>
    </row>
    <row r="11" spans="1:47" ht="16.5" customHeight="1" thickBot="1" x14ac:dyDescent="0.3">
      <c r="A11" s="484" t="s">
        <v>1144</v>
      </c>
      <c r="B11" s="485">
        <v>1</v>
      </c>
      <c r="C11" s="486">
        <v>0</v>
      </c>
      <c r="D11" s="487">
        <v>0</v>
      </c>
      <c r="E11" s="488">
        <f t="shared" si="7"/>
        <v>1</v>
      </c>
      <c r="F11" s="394" t="s">
        <v>1144</v>
      </c>
      <c r="G11" s="105">
        <v>5</v>
      </c>
      <c r="H11" s="255">
        <v>0</v>
      </c>
      <c r="I11" s="256">
        <v>0</v>
      </c>
      <c r="J11" s="396">
        <f t="shared" si="8"/>
        <v>5</v>
      </c>
      <c r="K11" s="551"/>
      <c r="L11" s="546"/>
      <c r="M11" s="547"/>
      <c r="N11" s="548"/>
      <c r="O11" s="518"/>
      <c r="P11" s="519"/>
      <c r="Q11" s="520"/>
      <c r="R11" s="518"/>
      <c r="S11" s="519"/>
      <c r="T11" s="520"/>
      <c r="U11" s="518"/>
      <c r="V11" s="519"/>
      <c r="W11" s="520"/>
      <c r="X11" s="323"/>
      <c r="Y11" s="323"/>
      <c r="Z11" s="323"/>
      <c r="AA11" s="401"/>
      <c r="AB11" s="401"/>
      <c r="AC11" s="518"/>
      <c r="AD11" s="519"/>
      <c r="AE11" s="520"/>
      <c r="AF11" s="518"/>
      <c r="AG11" s="519"/>
      <c r="AH11" s="520"/>
      <c r="AI11" s="518"/>
      <c r="AJ11" s="519"/>
      <c r="AK11" s="520"/>
      <c r="AL11" s="518"/>
      <c r="AM11" s="519"/>
      <c r="AN11" s="520"/>
      <c r="AO11" s="113"/>
    </row>
    <row r="12" spans="1:47" ht="15.75" thickBot="1" x14ac:dyDescent="0.3">
      <c r="A12" s="484" t="s">
        <v>72</v>
      </c>
      <c r="B12" s="485">
        <v>0</v>
      </c>
      <c r="C12" s="486">
        <v>0</v>
      </c>
      <c r="D12" s="487">
        <v>0</v>
      </c>
      <c r="E12" s="488">
        <f t="shared" si="7"/>
        <v>0</v>
      </c>
      <c r="F12" s="394" t="s">
        <v>72</v>
      </c>
      <c r="G12" s="105">
        <v>0</v>
      </c>
      <c r="H12" s="255">
        <v>0</v>
      </c>
      <c r="I12" s="256">
        <v>0</v>
      </c>
      <c r="J12" s="396">
        <f t="shared" si="8"/>
        <v>0</v>
      </c>
      <c r="K12" s="35" t="s">
        <v>72</v>
      </c>
      <c r="L12" s="1" t="s">
        <v>176</v>
      </c>
      <c r="M12" s="1" t="s">
        <v>36</v>
      </c>
      <c r="N12" s="1" t="s">
        <v>37</v>
      </c>
      <c r="O12" s="8" t="s">
        <v>176</v>
      </c>
      <c r="P12" s="8" t="s">
        <v>36</v>
      </c>
      <c r="Q12" s="8" t="s">
        <v>37</v>
      </c>
      <c r="R12" s="8" t="s">
        <v>176</v>
      </c>
      <c r="S12" s="8" t="s">
        <v>36</v>
      </c>
      <c r="T12" s="8" t="s">
        <v>37</v>
      </c>
      <c r="U12" s="283" t="s">
        <v>176</v>
      </c>
      <c r="V12" s="8" t="s">
        <v>36</v>
      </c>
      <c r="W12" s="8" t="s">
        <v>37</v>
      </c>
      <c r="X12" s="401"/>
      <c r="Y12" s="401"/>
      <c r="Z12" s="401"/>
      <c r="AA12" s="401"/>
      <c r="AB12" s="401"/>
      <c r="AC12" s="283" t="s">
        <v>176</v>
      </c>
      <c r="AD12" s="8" t="s">
        <v>36</v>
      </c>
      <c r="AE12" s="8" t="s">
        <v>37</v>
      </c>
      <c r="AF12" s="283" t="s">
        <v>176</v>
      </c>
      <c r="AG12" s="8" t="s">
        <v>36</v>
      </c>
      <c r="AH12" s="8" t="s">
        <v>37</v>
      </c>
      <c r="AI12" s="283" t="s">
        <v>176</v>
      </c>
      <c r="AJ12" s="8" t="s">
        <v>36</v>
      </c>
      <c r="AK12" s="8" t="s">
        <v>37</v>
      </c>
      <c r="AL12" s="8" t="s">
        <v>176</v>
      </c>
      <c r="AM12" s="8" t="s">
        <v>36</v>
      </c>
      <c r="AN12" s="8" t="s">
        <v>37</v>
      </c>
      <c r="AO12" s="54"/>
    </row>
    <row r="13" spans="1:47" ht="15.75" thickBot="1" x14ac:dyDescent="0.3">
      <c r="A13" s="484" t="s">
        <v>210</v>
      </c>
      <c r="B13" s="485">
        <v>2</v>
      </c>
      <c r="C13" s="486">
        <v>1</v>
      </c>
      <c r="D13" s="487">
        <v>1</v>
      </c>
      <c r="E13" s="488">
        <f t="shared" si="7"/>
        <v>4</v>
      </c>
      <c r="F13" s="394" t="s">
        <v>210</v>
      </c>
      <c r="G13" s="105">
        <v>10</v>
      </c>
      <c r="H13" s="255">
        <v>5</v>
      </c>
      <c r="I13" s="256">
        <v>5</v>
      </c>
      <c r="J13" s="396">
        <f t="shared" si="8"/>
        <v>20</v>
      </c>
      <c r="K13" s="390" t="s">
        <v>78</v>
      </c>
      <c r="L13" s="392">
        <v>11</v>
      </c>
      <c r="M13" s="392">
        <v>12</v>
      </c>
      <c r="N13" s="397">
        <f t="shared" ref="N13:N15" si="9">SUM(L13/M13)*100</f>
        <v>91.666666666666657</v>
      </c>
      <c r="O13" s="8">
        <v>23</v>
      </c>
      <c r="P13" s="8">
        <v>28</v>
      </c>
      <c r="Q13" s="294">
        <f t="shared" ref="Q13:Q15" si="10">SUM(O13/P13)*100</f>
        <v>82.142857142857139</v>
      </c>
      <c r="R13" s="8">
        <v>13</v>
      </c>
      <c r="S13" s="8">
        <v>16</v>
      </c>
      <c r="T13" s="294">
        <f t="shared" ref="T13:T15" si="11">SUM(R13/S13)*100</f>
        <v>81.25</v>
      </c>
      <c r="U13" s="283" t="s">
        <v>43</v>
      </c>
      <c r="V13" s="8" t="s">
        <v>43</v>
      </c>
      <c r="W13" s="8" t="s">
        <v>43</v>
      </c>
      <c r="X13" s="401"/>
      <c r="Y13" s="401"/>
      <c r="Z13" s="401"/>
      <c r="AA13" s="401"/>
      <c r="AB13" s="401"/>
      <c r="AC13" s="283" t="s">
        <v>43</v>
      </c>
      <c r="AD13" s="8" t="s">
        <v>43</v>
      </c>
      <c r="AE13" s="8" t="s">
        <v>43</v>
      </c>
      <c r="AF13" s="283" t="s">
        <v>43</v>
      </c>
      <c r="AG13" s="8" t="s">
        <v>43</v>
      </c>
      <c r="AH13" s="8" t="s">
        <v>43</v>
      </c>
      <c r="AI13" s="283" t="s">
        <v>43</v>
      </c>
      <c r="AJ13" s="8" t="s">
        <v>43</v>
      </c>
      <c r="AK13" s="8" t="s">
        <v>43</v>
      </c>
      <c r="AL13" s="283" t="s">
        <v>43</v>
      </c>
      <c r="AM13" s="8" t="s">
        <v>43</v>
      </c>
      <c r="AN13" s="8" t="s">
        <v>43</v>
      </c>
      <c r="AO13" s="236"/>
    </row>
    <row r="14" spans="1:47" ht="15.75" thickBot="1" x14ac:dyDescent="0.3">
      <c r="A14" s="484" t="s">
        <v>114</v>
      </c>
      <c r="B14" s="485">
        <v>1</v>
      </c>
      <c r="C14" s="486">
        <v>0</v>
      </c>
      <c r="D14" s="487">
        <v>1</v>
      </c>
      <c r="E14" s="488">
        <f t="shared" si="7"/>
        <v>2</v>
      </c>
      <c r="F14" s="394" t="s">
        <v>114</v>
      </c>
      <c r="G14" s="105">
        <v>5</v>
      </c>
      <c r="H14" s="255">
        <v>0</v>
      </c>
      <c r="I14" s="256">
        <v>5</v>
      </c>
      <c r="J14" s="396">
        <f t="shared" si="8"/>
        <v>10</v>
      </c>
      <c r="K14" s="390" t="s">
        <v>961</v>
      </c>
      <c r="L14" s="392">
        <v>6</v>
      </c>
      <c r="M14" s="392">
        <v>8</v>
      </c>
      <c r="N14" s="397">
        <f t="shared" si="9"/>
        <v>75</v>
      </c>
      <c r="O14" s="283" t="s">
        <v>43</v>
      </c>
      <c r="P14" s="8" t="s">
        <v>43</v>
      </c>
      <c r="Q14" s="8" t="s">
        <v>43</v>
      </c>
      <c r="R14" s="283" t="s">
        <v>43</v>
      </c>
      <c r="S14" s="8" t="s">
        <v>43</v>
      </c>
      <c r="T14" s="8" t="s">
        <v>43</v>
      </c>
      <c r="U14" s="283" t="s">
        <v>43</v>
      </c>
      <c r="V14" s="8" t="s">
        <v>43</v>
      </c>
      <c r="W14" s="8" t="s">
        <v>43</v>
      </c>
      <c r="X14" s="401"/>
      <c r="Y14" s="401"/>
      <c r="Z14" s="401"/>
      <c r="AA14" s="401"/>
      <c r="AB14" s="401"/>
      <c r="AC14" s="283" t="s">
        <v>43</v>
      </c>
      <c r="AD14" s="8" t="s">
        <v>43</v>
      </c>
      <c r="AE14" s="8" t="s">
        <v>43</v>
      </c>
      <c r="AF14" s="283" t="s">
        <v>43</v>
      </c>
      <c r="AG14" s="8" t="s">
        <v>43</v>
      </c>
      <c r="AH14" s="8" t="s">
        <v>43</v>
      </c>
      <c r="AI14" s="283" t="s">
        <v>43</v>
      </c>
      <c r="AJ14" s="8" t="s">
        <v>43</v>
      </c>
      <c r="AK14" s="8" t="s">
        <v>43</v>
      </c>
      <c r="AL14" s="283" t="s">
        <v>43</v>
      </c>
      <c r="AM14" s="8" t="s">
        <v>43</v>
      </c>
      <c r="AN14" s="8" t="s">
        <v>43</v>
      </c>
      <c r="AO14" s="236"/>
    </row>
    <row r="15" spans="1:47" ht="15.75" thickBot="1" x14ac:dyDescent="0.3">
      <c r="A15" s="484" t="s">
        <v>59</v>
      </c>
      <c r="B15" s="485">
        <v>0</v>
      </c>
      <c r="C15" s="486">
        <v>0</v>
      </c>
      <c r="D15" s="487">
        <v>0</v>
      </c>
      <c r="E15" s="488">
        <f t="shared" si="7"/>
        <v>0</v>
      </c>
      <c r="F15" s="394" t="s">
        <v>59</v>
      </c>
      <c r="G15" s="105">
        <v>0</v>
      </c>
      <c r="H15" s="255">
        <v>0</v>
      </c>
      <c r="I15" s="256">
        <v>0</v>
      </c>
      <c r="J15" s="396">
        <f t="shared" si="8"/>
        <v>0</v>
      </c>
      <c r="K15" s="390" t="s">
        <v>217</v>
      </c>
      <c r="L15" s="392">
        <v>3</v>
      </c>
      <c r="M15" s="392">
        <v>3</v>
      </c>
      <c r="N15" s="397">
        <f t="shared" si="9"/>
        <v>100</v>
      </c>
      <c r="O15" s="8">
        <v>6</v>
      </c>
      <c r="P15" s="8">
        <v>7</v>
      </c>
      <c r="Q15" s="294">
        <f t="shared" si="10"/>
        <v>85.714285714285708</v>
      </c>
      <c r="R15" s="8">
        <v>1</v>
      </c>
      <c r="S15" s="8">
        <v>2</v>
      </c>
      <c r="T15" s="294">
        <f t="shared" si="11"/>
        <v>50</v>
      </c>
      <c r="U15" s="283" t="s">
        <v>43</v>
      </c>
      <c r="V15" s="8" t="s">
        <v>43</v>
      </c>
      <c r="W15" s="8" t="s">
        <v>43</v>
      </c>
      <c r="X15" s="401"/>
      <c r="Y15" s="401"/>
      <c r="Z15" s="401"/>
      <c r="AA15" s="401"/>
      <c r="AB15" s="401"/>
      <c r="AC15" s="283" t="s">
        <v>43</v>
      </c>
      <c r="AD15" s="8" t="s">
        <v>43</v>
      </c>
      <c r="AE15" s="8" t="s">
        <v>43</v>
      </c>
      <c r="AF15" s="283" t="s">
        <v>43</v>
      </c>
      <c r="AG15" s="8" t="s">
        <v>43</v>
      </c>
      <c r="AH15" s="8" t="s">
        <v>43</v>
      </c>
      <c r="AI15" s="283" t="s">
        <v>43</v>
      </c>
      <c r="AJ15" s="8" t="s">
        <v>43</v>
      </c>
      <c r="AK15" s="8" t="s">
        <v>43</v>
      </c>
      <c r="AL15" s="283" t="s">
        <v>43</v>
      </c>
      <c r="AM15" s="8" t="s">
        <v>43</v>
      </c>
      <c r="AN15" s="8" t="s">
        <v>43</v>
      </c>
      <c r="AO15" s="236"/>
    </row>
    <row r="16" spans="1:47" ht="15.75" thickBot="1" x14ac:dyDescent="0.3">
      <c r="A16" s="484" t="s">
        <v>117</v>
      </c>
      <c r="B16" s="485">
        <v>0</v>
      </c>
      <c r="C16" s="486">
        <v>0</v>
      </c>
      <c r="D16" s="487">
        <v>0</v>
      </c>
      <c r="E16" s="488">
        <f t="shared" si="7"/>
        <v>0</v>
      </c>
      <c r="F16" s="394" t="s">
        <v>117</v>
      </c>
      <c r="G16" s="105">
        <v>0</v>
      </c>
      <c r="H16" s="255">
        <v>0</v>
      </c>
      <c r="I16" s="256">
        <v>0</v>
      </c>
      <c r="J16" s="396">
        <f t="shared" si="8"/>
        <v>0</v>
      </c>
      <c r="K16" s="390" t="s">
        <v>368</v>
      </c>
      <c r="L16" s="398" t="s">
        <v>43</v>
      </c>
      <c r="M16" s="392" t="s">
        <v>43</v>
      </c>
      <c r="N16" s="392" t="s">
        <v>43</v>
      </c>
      <c r="O16" s="283" t="s">
        <v>43</v>
      </c>
      <c r="P16" s="8" t="s">
        <v>43</v>
      </c>
      <c r="Q16" s="8" t="s">
        <v>43</v>
      </c>
      <c r="R16" s="283" t="s">
        <v>43</v>
      </c>
      <c r="S16" s="8" t="s">
        <v>43</v>
      </c>
      <c r="T16" s="8" t="s">
        <v>43</v>
      </c>
      <c r="U16" s="283" t="s">
        <v>43</v>
      </c>
      <c r="V16" s="8" t="s">
        <v>43</v>
      </c>
      <c r="W16" s="8" t="s">
        <v>43</v>
      </c>
      <c r="X16" s="401"/>
      <c r="Y16" s="401"/>
      <c r="Z16" s="401"/>
      <c r="AA16" s="401"/>
      <c r="AB16" s="401"/>
      <c r="AC16" s="283">
        <v>1</v>
      </c>
      <c r="AD16" s="8">
        <v>1</v>
      </c>
      <c r="AE16" s="294">
        <f>SUM(AC16/AD16)*100</f>
        <v>100</v>
      </c>
      <c r="AF16" s="283" t="s">
        <v>43</v>
      </c>
      <c r="AG16" s="8" t="s">
        <v>43</v>
      </c>
      <c r="AH16" s="8" t="s">
        <v>43</v>
      </c>
      <c r="AI16" s="283" t="s">
        <v>43</v>
      </c>
      <c r="AJ16" s="8" t="s">
        <v>43</v>
      </c>
      <c r="AK16" s="8" t="s">
        <v>43</v>
      </c>
      <c r="AL16" s="283" t="s">
        <v>43</v>
      </c>
      <c r="AM16" s="8" t="s">
        <v>43</v>
      </c>
      <c r="AN16" s="8" t="s">
        <v>43</v>
      </c>
      <c r="AO16" s="236"/>
    </row>
    <row r="17" spans="1:38" ht="15.75" thickBot="1" x14ac:dyDescent="0.3">
      <c r="A17" s="484" t="s">
        <v>422</v>
      </c>
      <c r="B17" s="485">
        <v>0</v>
      </c>
      <c r="C17" s="486">
        <v>0</v>
      </c>
      <c r="D17" s="487">
        <v>0</v>
      </c>
      <c r="E17" s="488">
        <f t="shared" si="7"/>
        <v>0</v>
      </c>
      <c r="F17" s="394" t="s">
        <v>422</v>
      </c>
      <c r="G17" s="105">
        <v>0</v>
      </c>
      <c r="H17" s="255">
        <v>0</v>
      </c>
      <c r="I17" s="256">
        <v>0</v>
      </c>
      <c r="J17" s="396">
        <f t="shared" si="8"/>
        <v>0</v>
      </c>
      <c r="X17" s="401"/>
      <c r="Y17" s="401"/>
      <c r="Z17" s="401"/>
      <c r="AA17" s="401"/>
      <c r="AB17" s="401"/>
    </row>
    <row r="18" spans="1:38" ht="15.75" thickBot="1" x14ac:dyDescent="0.3">
      <c r="A18" s="484" t="s">
        <v>423</v>
      </c>
      <c r="B18" s="485">
        <v>7</v>
      </c>
      <c r="C18" s="486">
        <v>3</v>
      </c>
      <c r="D18" s="487">
        <v>3</v>
      </c>
      <c r="E18" s="488">
        <f t="shared" si="7"/>
        <v>13</v>
      </c>
      <c r="F18" s="394" t="s">
        <v>423</v>
      </c>
      <c r="G18" s="105">
        <v>35</v>
      </c>
      <c r="H18" s="255">
        <v>15</v>
      </c>
      <c r="I18" s="256">
        <v>15</v>
      </c>
      <c r="J18" s="396">
        <f t="shared" si="8"/>
        <v>65</v>
      </c>
      <c r="K18" s="509" t="s">
        <v>304</v>
      </c>
      <c r="L18" s="543" t="s">
        <v>42</v>
      </c>
      <c r="M18" s="544"/>
      <c r="N18" s="545"/>
      <c r="O18" s="515" t="s">
        <v>100</v>
      </c>
      <c r="P18" s="516"/>
      <c r="Q18" s="517"/>
      <c r="R18" s="515" t="s">
        <v>915</v>
      </c>
      <c r="S18" s="516"/>
      <c r="T18" s="517"/>
      <c r="U18" s="515" t="s">
        <v>303</v>
      </c>
      <c r="V18" s="516"/>
      <c r="W18" s="517"/>
      <c r="X18" s="401"/>
      <c r="Y18" s="401"/>
      <c r="Z18" s="401"/>
      <c r="AA18" s="401"/>
      <c r="AB18" s="401"/>
      <c r="AC18" s="515" t="s">
        <v>186</v>
      </c>
      <c r="AD18" s="516"/>
      <c r="AE18" s="517"/>
      <c r="AF18" s="515" t="s">
        <v>140</v>
      </c>
      <c r="AG18" s="516"/>
      <c r="AH18" s="517"/>
      <c r="AI18" s="539"/>
      <c r="AJ18" s="539"/>
      <c r="AK18" s="539"/>
      <c r="AL18" s="41"/>
    </row>
    <row r="19" spans="1:38" ht="15.75" thickBot="1" x14ac:dyDescent="0.3">
      <c r="A19" s="484" t="s">
        <v>70</v>
      </c>
      <c r="B19" s="485">
        <v>1</v>
      </c>
      <c r="C19" s="486">
        <v>0</v>
      </c>
      <c r="D19" s="487">
        <v>0</v>
      </c>
      <c r="E19" s="488">
        <f t="shared" si="7"/>
        <v>1</v>
      </c>
      <c r="F19" s="394" t="s">
        <v>70</v>
      </c>
      <c r="G19" s="105">
        <v>5</v>
      </c>
      <c r="H19" s="255">
        <v>0</v>
      </c>
      <c r="I19" s="256">
        <v>0</v>
      </c>
      <c r="J19" s="396">
        <f t="shared" si="8"/>
        <v>5</v>
      </c>
      <c r="K19" s="510"/>
      <c r="L19" s="546"/>
      <c r="M19" s="547"/>
      <c r="N19" s="548"/>
      <c r="O19" s="518"/>
      <c r="P19" s="519"/>
      <c r="Q19" s="520"/>
      <c r="R19" s="518"/>
      <c r="S19" s="519"/>
      <c r="T19" s="520"/>
      <c r="U19" s="518"/>
      <c r="V19" s="519"/>
      <c r="W19" s="520"/>
      <c r="X19" s="401"/>
      <c r="Y19" s="401"/>
      <c r="Z19" s="401"/>
      <c r="AA19" s="401"/>
      <c r="AB19" s="401"/>
      <c r="AC19" s="518"/>
      <c r="AD19" s="519"/>
      <c r="AE19" s="520"/>
      <c r="AF19" s="518"/>
      <c r="AG19" s="519"/>
      <c r="AH19" s="520"/>
      <c r="AI19" s="539"/>
      <c r="AJ19" s="539"/>
      <c r="AK19" s="539"/>
      <c r="AL19" s="41"/>
    </row>
    <row r="20" spans="1:38" ht="15.75" thickBot="1" x14ac:dyDescent="0.3">
      <c r="A20" s="484" t="s">
        <v>269</v>
      </c>
      <c r="B20" s="485">
        <v>2</v>
      </c>
      <c r="C20" s="486">
        <v>3</v>
      </c>
      <c r="D20" s="487">
        <v>0</v>
      </c>
      <c r="E20" s="488">
        <f t="shared" si="7"/>
        <v>5</v>
      </c>
      <c r="F20" s="394" t="s">
        <v>269</v>
      </c>
      <c r="G20" s="105">
        <v>10</v>
      </c>
      <c r="H20" s="255">
        <v>15</v>
      </c>
      <c r="I20" s="256">
        <v>0</v>
      </c>
      <c r="J20" s="396">
        <f t="shared" si="8"/>
        <v>25</v>
      </c>
      <c r="K20" s="35" t="s">
        <v>72</v>
      </c>
      <c r="L20" s="1" t="s">
        <v>176</v>
      </c>
      <c r="M20" s="1" t="s">
        <v>36</v>
      </c>
      <c r="N20" s="1" t="s">
        <v>37</v>
      </c>
      <c r="O20" s="8" t="s">
        <v>176</v>
      </c>
      <c r="P20" s="8" t="s">
        <v>36</v>
      </c>
      <c r="Q20" s="8" t="s">
        <v>37</v>
      </c>
      <c r="R20" s="8" t="s">
        <v>176</v>
      </c>
      <c r="S20" s="8" t="s">
        <v>36</v>
      </c>
      <c r="T20" s="8" t="s">
        <v>37</v>
      </c>
      <c r="U20" s="283" t="s">
        <v>176</v>
      </c>
      <c r="V20" s="8" t="s">
        <v>36</v>
      </c>
      <c r="W20" s="8" t="s">
        <v>37</v>
      </c>
      <c r="X20" s="401"/>
      <c r="Y20" s="401"/>
      <c r="Z20" s="401"/>
      <c r="AA20" s="401"/>
      <c r="AB20" s="401"/>
      <c r="AC20" s="283" t="s">
        <v>176</v>
      </c>
      <c r="AD20" s="8" t="s">
        <v>36</v>
      </c>
      <c r="AE20" s="8" t="s">
        <v>37</v>
      </c>
      <c r="AF20" s="7" t="s">
        <v>176</v>
      </c>
      <c r="AG20" s="8" t="s">
        <v>36</v>
      </c>
      <c r="AH20" s="8" t="s">
        <v>37</v>
      </c>
      <c r="AI20" s="54"/>
      <c r="AJ20" s="54"/>
      <c r="AK20" s="54"/>
      <c r="AL20" s="41"/>
    </row>
    <row r="21" spans="1:38" ht="15.75" thickBot="1" x14ac:dyDescent="0.3">
      <c r="A21" s="484" t="s">
        <v>240</v>
      </c>
      <c r="B21" s="485">
        <v>0</v>
      </c>
      <c r="C21" s="486">
        <v>0</v>
      </c>
      <c r="D21" s="487">
        <v>0</v>
      </c>
      <c r="E21" s="488">
        <f t="shared" si="7"/>
        <v>0</v>
      </c>
      <c r="F21" s="394" t="s">
        <v>240</v>
      </c>
      <c r="G21" s="105">
        <v>0</v>
      </c>
      <c r="H21" s="255">
        <v>0</v>
      </c>
      <c r="I21" s="256">
        <v>0</v>
      </c>
      <c r="J21" s="396">
        <f t="shared" si="8"/>
        <v>0</v>
      </c>
      <c r="K21" s="390" t="s">
        <v>961</v>
      </c>
      <c r="L21" s="392">
        <v>6</v>
      </c>
      <c r="M21" s="392">
        <v>10</v>
      </c>
      <c r="N21" s="397">
        <f>(L21/M21)*100</f>
        <v>60</v>
      </c>
      <c r="O21" s="8"/>
      <c r="P21" s="8"/>
      <c r="Q21" s="294"/>
      <c r="R21" s="8"/>
      <c r="S21" s="8"/>
      <c r="T21" s="8"/>
      <c r="U21" s="283"/>
      <c r="V21" s="8"/>
      <c r="W21" s="8"/>
      <c r="X21" s="401"/>
      <c r="Y21" s="401"/>
      <c r="Z21" s="401"/>
      <c r="AA21" s="401"/>
      <c r="AB21" s="401"/>
      <c r="AC21" s="283"/>
      <c r="AD21" s="8"/>
      <c r="AE21" s="8"/>
      <c r="AF21" s="7" t="s">
        <v>43</v>
      </c>
      <c r="AG21" s="8" t="s">
        <v>43</v>
      </c>
      <c r="AH21" s="8" t="s">
        <v>43</v>
      </c>
      <c r="AI21" s="178"/>
      <c r="AJ21" s="178"/>
      <c r="AK21" s="178"/>
      <c r="AL21" s="41"/>
    </row>
    <row r="22" spans="1:38" ht="15.75" customHeight="1" thickBot="1" x14ac:dyDescent="0.3">
      <c r="A22" s="484" t="s">
        <v>961</v>
      </c>
      <c r="B22" s="485">
        <v>0</v>
      </c>
      <c r="C22" s="486">
        <v>1</v>
      </c>
      <c r="D22" s="487">
        <v>0</v>
      </c>
      <c r="E22" s="488">
        <f t="shared" si="7"/>
        <v>1</v>
      </c>
      <c r="F22" s="394" t="s">
        <v>961</v>
      </c>
      <c r="G22" s="105">
        <v>31</v>
      </c>
      <c r="H22" s="255">
        <v>19</v>
      </c>
      <c r="I22" s="256">
        <v>15</v>
      </c>
      <c r="J22" s="396">
        <f t="shared" si="8"/>
        <v>65</v>
      </c>
      <c r="K22" s="390" t="s">
        <v>78</v>
      </c>
      <c r="L22" s="392">
        <v>20</v>
      </c>
      <c r="M22" s="392">
        <v>25</v>
      </c>
      <c r="N22" s="397">
        <f>(L22/M22)*100</f>
        <v>80</v>
      </c>
      <c r="O22" s="8">
        <v>3</v>
      </c>
      <c r="P22" s="8">
        <v>4</v>
      </c>
      <c r="Q22" s="294">
        <f t="shared" ref="Q22:Q23" si="12">SUM(O22/P22)*100</f>
        <v>75</v>
      </c>
      <c r="R22" s="8" t="s">
        <v>43</v>
      </c>
      <c r="S22" s="8" t="s">
        <v>43</v>
      </c>
      <c r="T22" s="8" t="s">
        <v>43</v>
      </c>
      <c r="U22" s="283" t="s">
        <v>43</v>
      </c>
      <c r="V22" s="8" t="s">
        <v>43</v>
      </c>
      <c r="W22" s="8" t="s">
        <v>43</v>
      </c>
      <c r="X22" s="401"/>
      <c r="Y22" s="401"/>
      <c r="Z22" s="401"/>
      <c r="AA22" s="401"/>
      <c r="AB22" s="401"/>
      <c r="AC22" s="283" t="s">
        <v>43</v>
      </c>
      <c r="AD22" s="8" t="s">
        <v>43</v>
      </c>
      <c r="AE22" s="8" t="s">
        <v>43</v>
      </c>
      <c r="AF22" s="283" t="s">
        <v>43</v>
      </c>
      <c r="AG22" s="8" t="s">
        <v>43</v>
      </c>
      <c r="AH22" s="8" t="s">
        <v>43</v>
      </c>
      <c r="AI22" s="178"/>
      <c r="AJ22" s="178"/>
      <c r="AK22" s="178"/>
      <c r="AL22" s="41"/>
    </row>
    <row r="23" spans="1:38" ht="15.75" customHeight="1" thickBot="1" x14ac:dyDescent="0.3">
      <c r="A23" s="484" t="s">
        <v>72</v>
      </c>
      <c r="B23" s="485">
        <v>0</v>
      </c>
      <c r="C23" s="486">
        <v>0</v>
      </c>
      <c r="D23" s="487">
        <v>0</v>
      </c>
      <c r="E23" s="488">
        <f t="shared" si="7"/>
        <v>0</v>
      </c>
      <c r="F23" s="394" t="s">
        <v>72</v>
      </c>
      <c r="G23" s="105">
        <v>0</v>
      </c>
      <c r="H23" s="255">
        <v>0</v>
      </c>
      <c r="I23" s="256">
        <v>0</v>
      </c>
      <c r="J23" s="396">
        <f t="shared" si="8"/>
        <v>0</v>
      </c>
      <c r="K23" s="390" t="s">
        <v>217</v>
      </c>
      <c r="L23" s="392">
        <v>0</v>
      </c>
      <c r="M23" s="392">
        <v>2</v>
      </c>
      <c r="N23" s="397">
        <f>(L23/M23)*100</f>
        <v>0</v>
      </c>
      <c r="O23" s="8">
        <v>2</v>
      </c>
      <c r="P23" s="8">
        <v>4</v>
      </c>
      <c r="Q23" s="294">
        <f t="shared" si="12"/>
        <v>50</v>
      </c>
      <c r="R23" s="8">
        <v>14</v>
      </c>
      <c r="S23" s="8">
        <v>20</v>
      </c>
      <c r="T23" s="294">
        <f t="shared" ref="T23" si="13">SUM(R23/S23)*100</f>
        <v>70</v>
      </c>
      <c r="U23" s="283">
        <v>1</v>
      </c>
      <c r="V23" s="8">
        <v>3</v>
      </c>
      <c r="W23" s="294">
        <f>SUM(U23/V23)*100</f>
        <v>33.333333333333329</v>
      </c>
      <c r="X23" s="401"/>
      <c r="Y23" s="401"/>
      <c r="Z23" s="401"/>
      <c r="AA23" s="401"/>
      <c r="AB23" s="401"/>
      <c r="AC23" s="283" t="s">
        <v>43</v>
      </c>
      <c r="AD23" s="8" t="s">
        <v>43</v>
      </c>
      <c r="AE23" s="8" t="s">
        <v>43</v>
      </c>
    </row>
    <row r="24" spans="1:38" ht="15.75" thickBot="1" x14ac:dyDescent="0.3">
      <c r="A24" s="484" t="s">
        <v>72</v>
      </c>
      <c r="B24" s="485">
        <v>0</v>
      </c>
      <c r="C24" s="486">
        <v>0</v>
      </c>
      <c r="D24" s="487">
        <v>0</v>
      </c>
      <c r="E24" s="488">
        <f t="shared" si="7"/>
        <v>0</v>
      </c>
      <c r="F24" s="394" t="s">
        <v>72</v>
      </c>
      <c r="G24" s="105">
        <v>0</v>
      </c>
      <c r="H24" s="255">
        <v>0</v>
      </c>
      <c r="I24" s="256">
        <v>0</v>
      </c>
      <c r="J24" s="396">
        <f t="shared" si="8"/>
        <v>0</v>
      </c>
      <c r="K24" s="549" t="s">
        <v>1068</v>
      </c>
      <c r="L24" s="526"/>
      <c r="M24" s="526"/>
      <c r="N24" s="526"/>
      <c r="O24" s="526"/>
      <c r="P24" s="526"/>
      <c r="Q24" s="526"/>
      <c r="R24" s="526"/>
      <c r="S24" s="526"/>
      <c r="T24" s="526"/>
      <c r="U24" s="526"/>
      <c r="V24" s="526"/>
      <c r="W24" s="526"/>
    </row>
    <row r="25" spans="1:38" ht="15.75" thickBot="1" x14ac:dyDescent="0.3">
      <c r="A25" s="484" t="s">
        <v>281</v>
      </c>
      <c r="B25" s="485">
        <v>5</v>
      </c>
      <c r="C25" s="486">
        <v>1</v>
      </c>
      <c r="D25" s="487">
        <v>4</v>
      </c>
      <c r="E25" s="488">
        <f t="shared" si="7"/>
        <v>10</v>
      </c>
      <c r="F25" s="394" t="s">
        <v>281</v>
      </c>
      <c r="G25" s="105">
        <v>25</v>
      </c>
      <c r="H25" s="255">
        <v>5</v>
      </c>
      <c r="I25" s="256">
        <v>20</v>
      </c>
      <c r="J25" s="396">
        <f t="shared" si="8"/>
        <v>50</v>
      </c>
      <c r="K25" s="549" t="s">
        <v>1184</v>
      </c>
      <c r="L25" s="526"/>
      <c r="M25" s="526"/>
      <c r="N25" s="526"/>
      <c r="O25" s="526"/>
      <c r="P25" s="526"/>
      <c r="Q25" s="526"/>
      <c r="R25" s="526"/>
      <c r="S25" s="526"/>
      <c r="T25" s="526"/>
      <c r="U25" s="526"/>
      <c r="V25" s="526"/>
      <c r="W25" s="526"/>
    </row>
    <row r="26" spans="1:38" ht="15.75" thickBot="1" x14ac:dyDescent="0.3">
      <c r="A26" s="484" t="s">
        <v>72</v>
      </c>
      <c r="B26" s="485">
        <v>0</v>
      </c>
      <c r="C26" s="486">
        <v>0</v>
      </c>
      <c r="D26" s="487">
        <v>0</v>
      </c>
      <c r="E26" s="488">
        <f t="shared" si="7"/>
        <v>0</v>
      </c>
      <c r="F26" s="394" t="s">
        <v>72</v>
      </c>
      <c r="G26" s="105">
        <v>0</v>
      </c>
      <c r="H26" s="255">
        <v>0</v>
      </c>
      <c r="I26" s="256">
        <v>0</v>
      </c>
      <c r="J26" s="396">
        <f t="shared" si="8"/>
        <v>0</v>
      </c>
      <c r="K26" s="126"/>
      <c r="L26" s="127"/>
      <c r="M26" s="127"/>
      <c r="N26" s="127"/>
      <c r="O26" s="127"/>
      <c r="P26" s="127"/>
      <c r="Q26" s="127"/>
    </row>
    <row r="27" spans="1:38" ht="15.75" thickBot="1" x14ac:dyDescent="0.3">
      <c r="A27" s="484" t="s">
        <v>852</v>
      </c>
      <c r="B27" s="485">
        <v>0</v>
      </c>
      <c r="C27" s="486">
        <v>0</v>
      </c>
      <c r="D27" s="487">
        <v>0</v>
      </c>
      <c r="E27" s="488">
        <f t="shared" si="7"/>
        <v>0</v>
      </c>
      <c r="F27" s="394" t="s">
        <v>852</v>
      </c>
      <c r="G27" s="105">
        <v>0</v>
      </c>
      <c r="H27" s="255">
        <v>0</v>
      </c>
      <c r="I27" s="256">
        <v>0</v>
      </c>
      <c r="J27" s="396">
        <f t="shared" si="8"/>
        <v>0</v>
      </c>
      <c r="K27" s="126"/>
      <c r="L27" s="127"/>
      <c r="M27" s="127"/>
      <c r="N27" s="127"/>
      <c r="O27" s="127"/>
      <c r="P27" s="127"/>
      <c r="Q27" s="127"/>
    </row>
    <row r="28" spans="1:38" ht="15.75" thickBot="1" x14ac:dyDescent="0.3">
      <c r="A28" s="484" t="s">
        <v>280</v>
      </c>
      <c r="B28" s="485">
        <v>0</v>
      </c>
      <c r="C28" s="486">
        <v>0</v>
      </c>
      <c r="D28" s="487">
        <v>0</v>
      </c>
      <c r="E28" s="488">
        <f t="shared" si="7"/>
        <v>0</v>
      </c>
      <c r="F28" s="394" t="s">
        <v>280</v>
      </c>
      <c r="G28" s="105">
        <v>0</v>
      </c>
      <c r="H28" s="255">
        <v>0</v>
      </c>
      <c r="I28" s="256">
        <v>0</v>
      </c>
      <c r="J28" s="396">
        <f t="shared" si="8"/>
        <v>0</v>
      </c>
      <c r="K28" s="126"/>
      <c r="L28" s="127"/>
      <c r="M28" s="127"/>
      <c r="N28" s="127"/>
      <c r="O28" s="127"/>
      <c r="P28" s="127"/>
      <c r="Q28" s="127"/>
    </row>
    <row r="29" spans="1:38" ht="15.75" thickBot="1" x14ac:dyDescent="0.3">
      <c r="A29" s="484" t="s">
        <v>115</v>
      </c>
      <c r="B29" s="485">
        <v>0</v>
      </c>
      <c r="C29" s="486">
        <v>0</v>
      </c>
      <c r="D29" s="487">
        <v>0</v>
      </c>
      <c r="E29" s="488">
        <f t="shared" si="7"/>
        <v>0</v>
      </c>
      <c r="F29" s="394" t="s">
        <v>115</v>
      </c>
      <c r="G29" s="105">
        <v>0</v>
      </c>
      <c r="H29" s="255">
        <v>0</v>
      </c>
      <c r="I29" s="256">
        <v>0</v>
      </c>
      <c r="J29" s="396">
        <f t="shared" si="8"/>
        <v>0</v>
      </c>
      <c r="K29" s="126"/>
      <c r="L29" s="127"/>
      <c r="M29" s="127"/>
      <c r="N29" s="127"/>
      <c r="O29" s="127"/>
      <c r="P29" s="127"/>
      <c r="Q29" s="127"/>
    </row>
    <row r="30" spans="1:38" ht="15.75" thickBot="1" x14ac:dyDescent="0.3">
      <c r="A30" s="484" t="s">
        <v>1002</v>
      </c>
      <c r="B30" s="485">
        <v>2</v>
      </c>
      <c r="C30" s="486">
        <v>0</v>
      </c>
      <c r="D30" s="487">
        <v>1</v>
      </c>
      <c r="E30" s="488">
        <f t="shared" ref="E30" si="14">SUM(B30:D30)</f>
        <v>3</v>
      </c>
      <c r="F30" s="394" t="s">
        <v>1002</v>
      </c>
      <c r="G30" s="105">
        <v>10</v>
      </c>
      <c r="H30" s="255">
        <v>0</v>
      </c>
      <c r="I30" s="256">
        <v>5</v>
      </c>
      <c r="J30" s="396">
        <f t="shared" ref="J30" si="15">SUM(G30:I30)</f>
        <v>15</v>
      </c>
    </row>
    <row r="31" spans="1:38" ht="15.75" thickBot="1" x14ac:dyDescent="0.3">
      <c r="A31" s="484" t="s">
        <v>217</v>
      </c>
      <c r="B31" s="485">
        <v>2</v>
      </c>
      <c r="C31" s="486">
        <v>1</v>
      </c>
      <c r="D31" s="487">
        <v>1</v>
      </c>
      <c r="E31" s="488">
        <f t="shared" si="7"/>
        <v>4</v>
      </c>
      <c r="F31" s="394" t="s">
        <v>217</v>
      </c>
      <c r="G31" s="105">
        <v>14</v>
      </c>
      <c r="H31" s="255">
        <v>13</v>
      </c>
      <c r="I31" s="256">
        <v>5</v>
      </c>
      <c r="J31" s="396">
        <f t="shared" si="8"/>
        <v>32</v>
      </c>
    </row>
    <row r="32" spans="1:38" ht="15.75" thickBot="1" x14ac:dyDescent="0.3">
      <c r="A32" s="484" t="s">
        <v>479</v>
      </c>
      <c r="B32" s="485">
        <v>5</v>
      </c>
      <c r="C32" s="486">
        <v>0</v>
      </c>
      <c r="D32" s="487">
        <v>0</v>
      </c>
      <c r="E32" s="488">
        <f t="shared" si="7"/>
        <v>5</v>
      </c>
      <c r="F32" s="394" t="s">
        <v>479</v>
      </c>
      <c r="G32" s="105">
        <v>25</v>
      </c>
      <c r="H32" s="255">
        <v>0</v>
      </c>
      <c r="I32" s="256">
        <v>0</v>
      </c>
      <c r="J32" s="396">
        <f t="shared" si="8"/>
        <v>25</v>
      </c>
    </row>
    <row r="33" spans="1:10" ht="15.75" thickBot="1" x14ac:dyDescent="0.3">
      <c r="A33" s="484" t="s">
        <v>1130</v>
      </c>
      <c r="B33" s="485">
        <v>0</v>
      </c>
      <c r="C33" s="486">
        <v>1</v>
      </c>
      <c r="D33" s="487">
        <v>0</v>
      </c>
      <c r="E33" s="488">
        <f t="shared" si="7"/>
        <v>1</v>
      </c>
      <c r="F33" s="394" t="s">
        <v>1130</v>
      </c>
      <c r="G33" s="105">
        <v>0</v>
      </c>
      <c r="H33" s="255">
        <v>5</v>
      </c>
      <c r="I33" s="256">
        <v>0</v>
      </c>
      <c r="J33" s="396">
        <f t="shared" si="8"/>
        <v>5</v>
      </c>
    </row>
    <row r="34" spans="1:10" ht="15.75" thickBot="1" x14ac:dyDescent="0.3">
      <c r="A34" s="484" t="s">
        <v>1099</v>
      </c>
      <c r="B34" s="485">
        <v>1</v>
      </c>
      <c r="C34" s="486">
        <v>1</v>
      </c>
      <c r="D34" s="487">
        <v>0</v>
      </c>
      <c r="E34" s="488">
        <f t="shared" si="7"/>
        <v>2</v>
      </c>
      <c r="F34" s="394" t="s">
        <v>1099</v>
      </c>
      <c r="G34" s="105">
        <v>5</v>
      </c>
      <c r="H34" s="255">
        <v>5</v>
      </c>
      <c r="I34" s="256">
        <v>0</v>
      </c>
      <c r="J34" s="396">
        <f t="shared" si="8"/>
        <v>10</v>
      </c>
    </row>
    <row r="35" spans="1:10" ht="15.75" thickBot="1" x14ac:dyDescent="0.3">
      <c r="A35" s="484" t="s">
        <v>241</v>
      </c>
      <c r="B35" s="485">
        <v>0</v>
      </c>
      <c r="C35" s="486">
        <v>0</v>
      </c>
      <c r="D35" s="487">
        <v>0</v>
      </c>
      <c r="E35" s="488">
        <f t="shared" si="7"/>
        <v>0</v>
      </c>
      <c r="F35" s="394" t="s">
        <v>241</v>
      </c>
      <c r="G35" s="105">
        <v>0</v>
      </c>
      <c r="H35" s="255">
        <v>0</v>
      </c>
      <c r="I35" s="256">
        <v>0</v>
      </c>
      <c r="J35" s="396">
        <f t="shared" si="8"/>
        <v>0</v>
      </c>
    </row>
    <row r="36" spans="1:10" ht="15.75" thickBot="1" x14ac:dyDescent="0.3">
      <c r="A36" s="484" t="s">
        <v>183</v>
      </c>
      <c r="B36" s="485">
        <v>4</v>
      </c>
      <c r="C36" s="486">
        <v>0</v>
      </c>
      <c r="D36" s="487">
        <v>0</v>
      </c>
      <c r="E36" s="488">
        <f t="shared" si="7"/>
        <v>4</v>
      </c>
      <c r="F36" s="394" t="s">
        <v>183</v>
      </c>
      <c r="G36" s="105">
        <v>20</v>
      </c>
      <c r="H36" s="255">
        <v>0</v>
      </c>
      <c r="I36" s="256">
        <v>0</v>
      </c>
      <c r="J36" s="396">
        <f t="shared" si="8"/>
        <v>20</v>
      </c>
    </row>
    <row r="37" spans="1:10" ht="15.75" thickBot="1" x14ac:dyDescent="0.3">
      <c r="A37" s="484" t="s">
        <v>16</v>
      </c>
      <c r="B37" s="485">
        <v>0</v>
      </c>
      <c r="C37" s="486">
        <v>0</v>
      </c>
      <c r="D37" s="487">
        <v>0</v>
      </c>
      <c r="E37" s="488">
        <f t="shared" si="7"/>
        <v>0</v>
      </c>
      <c r="F37" s="394" t="s">
        <v>16</v>
      </c>
      <c r="G37" s="105">
        <v>0</v>
      </c>
      <c r="H37" s="255">
        <v>0</v>
      </c>
      <c r="I37" s="256">
        <v>0</v>
      </c>
      <c r="J37" s="396">
        <f t="shared" si="8"/>
        <v>0</v>
      </c>
    </row>
    <row r="38" spans="1:10" ht="15.75" thickBot="1" x14ac:dyDescent="0.3">
      <c r="A38" s="484" t="s">
        <v>72</v>
      </c>
      <c r="B38" s="485">
        <v>0</v>
      </c>
      <c r="C38" s="486">
        <v>0</v>
      </c>
      <c r="D38" s="487">
        <v>0</v>
      </c>
      <c r="E38" s="488">
        <f t="shared" si="7"/>
        <v>0</v>
      </c>
      <c r="F38" s="394" t="s">
        <v>72</v>
      </c>
      <c r="G38" s="105">
        <v>0</v>
      </c>
      <c r="H38" s="255">
        <v>0</v>
      </c>
      <c r="I38" s="256">
        <v>0</v>
      </c>
      <c r="J38" s="396">
        <f t="shared" si="8"/>
        <v>0</v>
      </c>
    </row>
    <row r="39" spans="1:10" ht="15.75" thickBot="1" x14ac:dyDescent="0.3">
      <c r="A39" s="484" t="s">
        <v>87</v>
      </c>
      <c r="B39" s="485">
        <v>1</v>
      </c>
      <c r="C39" s="486">
        <v>0</v>
      </c>
      <c r="D39" s="487">
        <v>3</v>
      </c>
      <c r="E39" s="488">
        <f t="shared" si="7"/>
        <v>4</v>
      </c>
      <c r="F39" s="394" t="s">
        <v>87</v>
      </c>
      <c r="G39" s="105">
        <v>5</v>
      </c>
      <c r="H39" s="255">
        <v>0</v>
      </c>
      <c r="I39" s="256">
        <v>15</v>
      </c>
      <c r="J39" s="396">
        <f t="shared" si="8"/>
        <v>20</v>
      </c>
    </row>
    <row r="40" spans="1:10" ht="15.75" thickBot="1" x14ac:dyDescent="0.3">
      <c r="A40" s="484" t="s">
        <v>48</v>
      </c>
      <c r="B40" s="485">
        <v>0</v>
      </c>
      <c r="C40" s="486">
        <v>0</v>
      </c>
      <c r="D40" s="487">
        <v>1</v>
      </c>
      <c r="E40" s="488">
        <f t="shared" si="7"/>
        <v>1</v>
      </c>
      <c r="F40" s="394" t="s">
        <v>48</v>
      </c>
      <c r="G40" s="105">
        <v>0</v>
      </c>
      <c r="H40" s="255">
        <v>0</v>
      </c>
      <c r="I40" s="256">
        <v>5</v>
      </c>
      <c r="J40" s="396">
        <f t="shared" si="8"/>
        <v>5</v>
      </c>
    </row>
    <row r="41" spans="1:10" ht="15.75" thickBot="1" x14ac:dyDescent="0.3">
      <c r="A41" s="484" t="s">
        <v>874</v>
      </c>
      <c r="B41" s="485">
        <v>7</v>
      </c>
      <c r="C41" s="486">
        <v>0</v>
      </c>
      <c r="D41" s="487">
        <v>0</v>
      </c>
      <c r="E41" s="488">
        <f t="shared" si="7"/>
        <v>7</v>
      </c>
      <c r="F41" s="394" t="s">
        <v>874</v>
      </c>
      <c r="G41" s="105">
        <v>35</v>
      </c>
      <c r="H41" s="255">
        <v>0</v>
      </c>
      <c r="I41" s="256">
        <v>0</v>
      </c>
      <c r="J41" s="396">
        <f t="shared" si="8"/>
        <v>35</v>
      </c>
    </row>
    <row r="42" spans="1:10" ht="15.75" thickBot="1" x14ac:dyDescent="0.3">
      <c r="A42" s="484" t="s">
        <v>1113</v>
      </c>
      <c r="B42" s="485">
        <v>0</v>
      </c>
      <c r="C42" s="486">
        <v>1</v>
      </c>
      <c r="D42" s="487">
        <v>0</v>
      </c>
      <c r="E42" s="488">
        <f t="shared" si="7"/>
        <v>1</v>
      </c>
      <c r="F42" s="394" t="s">
        <v>1113</v>
      </c>
      <c r="G42" s="105">
        <v>0</v>
      </c>
      <c r="H42" s="255">
        <v>5</v>
      </c>
      <c r="I42" s="256">
        <v>0</v>
      </c>
      <c r="J42" s="396">
        <f t="shared" si="8"/>
        <v>5</v>
      </c>
    </row>
    <row r="43" spans="1:10" ht="15.75" thickBot="1" x14ac:dyDescent="0.3">
      <c r="A43" s="484" t="s">
        <v>6</v>
      </c>
      <c r="B43" s="485">
        <v>2</v>
      </c>
      <c r="C43" s="486">
        <v>0</v>
      </c>
      <c r="D43" s="487">
        <v>0</v>
      </c>
      <c r="E43" s="488">
        <f t="shared" si="7"/>
        <v>2</v>
      </c>
      <c r="F43" s="394" t="s">
        <v>6</v>
      </c>
      <c r="G43" s="105">
        <v>14</v>
      </c>
      <c r="H43" s="255">
        <v>0</v>
      </c>
      <c r="I43" s="256">
        <v>0</v>
      </c>
      <c r="J43" s="396">
        <f t="shared" si="8"/>
        <v>14</v>
      </c>
    </row>
    <row r="44" spans="1:10" ht="15.75" thickBot="1" x14ac:dyDescent="0.3">
      <c r="A44" s="484" t="s">
        <v>119</v>
      </c>
      <c r="B44" s="485">
        <v>3</v>
      </c>
      <c r="C44" s="486">
        <v>0</v>
      </c>
      <c r="D44" s="487">
        <v>0</v>
      </c>
      <c r="E44" s="488">
        <f t="shared" si="7"/>
        <v>3</v>
      </c>
      <c r="F44" s="394" t="s">
        <v>119</v>
      </c>
      <c r="G44" s="105">
        <v>15</v>
      </c>
      <c r="H44" s="255">
        <v>0</v>
      </c>
      <c r="I44" s="256">
        <v>0</v>
      </c>
      <c r="J44" s="396">
        <f t="shared" si="8"/>
        <v>15</v>
      </c>
    </row>
    <row r="45" spans="1:10" ht="15.75" thickBot="1" x14ac:dyDescent="0.3">
      <c r="A45" s="484" t="s">
        <v>242</v>
      </c>
      <c r="B45" s="485">
        <v>0</v>
      </c>
      <c r="C45" s="486">
        <v>0</v>
      </c>
      <c r="D45" s="487">
        <v>0</v>
      </c>
      <c r="E45" s="488">
        <f t="shared" si="7"/>
        <v>0</v>
      </c>
      <c r="F45" s="394" t="s">
        <v>242</v>
      </c>
      <c r="G45" s="105">
        <v>0</v>
      </c>
      <c r="H45" s="255">
        <v>0</v>
      </c>
      <c r="I45" s="256">
        <v>0</v>
      </c>
      <c r="J45" s="396">
        <f t="shared" si="8"/>
        <v>0</v>
      </c>
    </row>
    <row r="46" spans="1:10" ht="15.75" thickBot="1" x14ac:dyDescent="0.3">
      <c r="A46" s="484" t="s">
        <v>116</v>
      </c>
      <c r="B46" s="485">
        <v>1</v>
      </c>
      <c r="C46" s="486">
        <v>0</v>
      </c>
      <c r="D46" s="487">
        <v>0</v>
      </c>
      <c r="E46" s="488">
        <f t="shared" si="7"/>
        <v>1</v>
      </c>
      <c r="F46" s="394" t="s">
        <v>116</v>
      </c>
      <c r="G46" s="105">
        <v>5</v>
      </c>
      <c r="H46" s="255">
        <v>0</v>
      </c>
      <c r="I46" s="256">
        <v>0</v>
      </c>
      <c r="J46" s="396">
        <f t="shared" si="8"/>
        <v>5</v>
      </c>
    </row>
    <row r="47" spans="1:10" ht="15.75" thickBot="1" x14ac:dyDescent="0.3">
      <c r="A47" s="484" t="s">
        <v>78</v>
      </c>
      <c r="B47" s="485">
        <v>7</v>
      </c>
      <c r="C47" s="486">
        <v>0</v>
      </c>
      <c r="D47" s="487">
        <v>1</v>
      </c>
      <c r="E47" s="488">
        <f t="shared" si="7"/>
        <v>8</v>
      </c>
      <c r="F47" s="394" t="s">
        <v>78</v>
      </c>
      <c r="G47" s="105">
        <v>198</v>
      </c>
      <c r="H47" s="255">
        <v>27</v>
      </c>
      <c r="I47" s="256">
        <v>54</v>
      </c>
      <c r="J47" s="396">
        <f t="shared" si="8"/>
        <v>279</v>
      </c>
    </row>
    <row r="48" spans="1:10" ht="15.75" thickBot="1" x14ac:dyDescent="0.3">
      <c r="A48" s="484" t="s">
        <v>942</v>
      </c>
      <c r="B48" s="485">
        <v>3</v>
      </c>
      <c r="C48" s="486">
        <v>0</v>
      </c>
      <c r="D48" s="487">
        <v>0</v>
      </c>
      <c r="E48" s="488">
        <f t="shared" si="7"/>
        <v>3</v>
      </c>
      <c r="F48" s="394" t="s">
        <v>942</v>
      </c>
      <c r="G48" s="105">
        <v>15</v>
      </c>
      <c r="H48" s="255">
        <v>0</v>
      </c>
      <c r="I48" s="256">
        <v>0</v>
      </c>
      <c r="J48" s="396">
        <f t="shared" si="8"/>
        <v>15</v>
      </c>
    </row>
    <row r="49" spans="1:10" ht="15.75" thickBot="1" x14ac:dyDescent="0.3">
      <c r="A49" s="484" t="s">
        <v>152</v>
      </c>
      <c r="B49" s="485">
        <v>0</v>
      </c>
      <c r="C49" s="486">
        <v>0</v>
      </c>
      <c r="D49" s="487">
        <v>0</v>
      </c>
      <c r="E49" s="488">
        <f t="shared" si="7"/>
        <v>0</v>
      </c>
      <c r="F49" s="394" t="s">
        <v>152</v>
      </c>
      <c r="G49" s="105">
        <v>0</v>
      </c>
      <c r="H49" s="255">
        <v>0</v>
      </c>
      <c r="I49" s="256">
        <v>0</v>
      </c>
      <c r="J49" s="396">
        <f t="shared" si="8"/>
        <v>0</v>
      </c>
    </row>
    <row r="50" spans="1:10" ht="15" customHeight="1" thickBot="1" x14ac:dyDescent="0.3">
      <c r="A50" s="484" t="s">
        <v>211</v>
      </c>
      <c r="B50" s="485">
        <v>0</v>
      </c>
      <c r="C50" s="486">
        <v>0</v>
      </c>
      <c r="D50" s="487">
        <v>1</v>
      </c>
      <c r="E50" s="488">
        <f t="shared" si="7"/>
        <v>1</v>
      </c>
      <c r="F50" s="394" t="s">
        <v>211</v>
      </c>
      <c r="G50" s="105">
        <v>0</v>
      </c>
      <c r="H50" s="255">
        <v>0</v>
      </c>
      <c r="I50" s="256">
        <v>5</v>
      </c>
      <c r="J50" s="396">
        <f t="shared" si="8"/>
        <v>5</v>
      </c>
    </row>
    <row r="51" spans="1:10" ht="15.75" thickBot="1" x14ac:dyDescent="0.3">
      <c r="A51" s="484" t="s">
        <v>72</v>
      </c>
      <c r="B51" s="485">
        <v>0</v>
      </c>
      <c r="C51" s="486">
        <v>0</v>
      </c>
      <c r="D51" s="487">
        <v>0</v>
      </c>
      <c r="E51" s="488">
        <f t="shared" si="7"/>
        <v>0</v>
      </c>
      <c r="F51" s="394" t="s">
        <v>72</v>
      </c>
      <c r="G51" s="105">
        <v>0</v>
      </c>
      <c r="H51" s="255">
        <v>0</v>
      </c>
      <c r="I51" s="256">
        <v>0</v>
      </c>
      <c r="J51" s="396">
        <f t="shared" si="8"/>
        <v>0</v>
      </c>
    </row>
    <row r="52" spans="1:10" ht="15.75" thickBot="1" x14ac:dyDescent="0.3">
      <c r="A52" s="484" t="s">
        <v>72</v>
      </c>
      <c r="B52" s="485">
        <v>0</v>
      </c>
      <c r="C52" s="486">
        <v>0</v>
      </c>
      <c r="D52" s="487">
        <v>0</v>
      </c>
      <c r="E52" s="488">
        <f t="shared" si="7"/>
        <v>0</v>
      </c>
      <c r="F52" s="394" t="s">
        <v>72</v>
      </c>
      <c r="G52" s="105">
        <v>0</v>
      </c>
      <c r="H52" s="255">
        <v>0</v>
      </c>
      <c r="I52" s="256">
        <v>0</v>
      </c>
      <c r="J52" s="396">
        <f t="shared" si="8"/>
        <v>0</v>
      </c>
    </row>
    <row r="53" spans="1:10" ht="15.75" thickBot="1" x14ac:dyDescent="0.3">
      <c r="A53" s="484" t="s">
        <v>72</v>
      </c>
      <c r="B53" s="485">
        <v>0</v>
      </c>
      <c r="C53" s="486">
        <v>0</v>
      </c>
      <c r="D53" s="487">
        <v>0</v>
      </c>
      <c r="E53" s="488">
        <f t="shared" si="7"/>
        <v>0</v>
      </c>
      <c r="F53" s="394" t="s">
        <v>72</v>
      </c>
      <c r="G53" s="105">
        <v>0</v>
      </c>
      <c r="H53" s="255">
        <v>0</v>
      </c>
      <c r="I53" s="256">
        <v>0</v>
      </c>
      <c r="J53" s="396">
        <f t="shared" si="8"/>
        <v>0</v>
      </c>
    </row>
    <row r="54" spans="1:10" ht="15.75" thickBot="1" x14ac:dyDescent="0.3">
      <c r="A54" s="484" t="s">
        <v>72</v>
      </c>
      <c r="B54" s="485">
        <v>0</v>
      </c>
      <c r="C54" s="486">
        <v>0</v>
      </c>
      <c r="D54" s="487">
        <v>0</v>
      </c>
      <c r="E54" s="488">
        <f t="shared" si="7"/>
        <v>0</v>
      </c>
      <c r="F54" s="394" t="s">
        <v>72</v>
      </c>
      <c r="G54" s="105">
        <v>0</v>
      </c>
      <c r="H54" s="255">
        <v>0</v>
      </c>
      <c r="I54" s="256">
        <v>0</v>
      </c>
      <c r="J54" s="396">
        <f t="shared" si="8"/>
        <v>0</v>
      </c>
    </row>
    <row r="55" spans="1:10" ht="15.75" thickBot="1" x14ac:dyDescent="0.3">
      <c r="A55" s="484" t="s">
        <v>72</v>
      </c>
      <c r="B55" s="485">
        <v>0</v>
      </c>
      <c r="C55" s="486">
        <v>0</v>
      </c>
      <c r="D55" s="487">
        <v>0</v>
      </c>
      <c r="E55" s="488">
        <f t="shared" si="7"/>
        <v>0</v>
      </c>
      <c r="F55" s="394" t="s">
        <v>72</v>
      </c>
      <c r="G55" s="105">
        <v>0</v>
      </c>
      <c r="H55" s="255">
        <v>0</v>
      </c>
      <c r="I55" s="256">
        <v>0</v>
      </c>
      <c r="J55" s="396">
        <f t="shared" si="8"/>
        <v>0</v>
      </c>
    </row>
    <row r="56" spans="1:10" ht="15.75" thickBot="1" x14ac:dyDescent="0.3">
      <c r="A56" s="484" t="s">
        <v>228</v>
      </c>
      <c r="B56" s="485">
        <v>0</v>
      </c>
      <c r="C56" s="486">
        <v>0</v>
      </c>
      <c r="D56" s="487">
        <v>0</v>
      </c>
      <c r="E56" s="488">
        <f t="shared" si="7"/>
        <v>0</v>
      </c>
      <c r="F56" s="394" t="s">
        <v>228</v>
      </c>
      <c r="G56" s="105">
        <v>0</v>
      </c>
      <c r="H56" s="255">
        <v>0</v>
      </c>
      <c r="I56" s="256">
        <v>0</v>
      </c>
      <c r="J56" s="396">
        <f t="shared" si="8"/>
        <v>0</v>
      </c>
    </row>
    <row r="57" spans="1:10" ht="15.75" thickBot="1" x14ac:dyDescent="0.3">
      <c r="A57" s="484" t="s">
        <v>86</v>
      </c>
      <c r="B57" s="485">
        <v>0</v>
      </c>
      <c r="C57" s="486">
        <v>0</v>
      </c>
      <c r="D57" s="487">
        <v>1</v>
      </c>
      <c r="E57" s="488">
        <f t="shared" si="7"/>
        <v>1</v>
      </c>
      <c r="F57" s="394" t="s">
        <v>86</v>
      </c>
      <c r="G57" s="105">
        <v>0</v>
      </c>
      <c r="H57" s="255">
        <v>0</v>
      </c>
      <c r="I57" s="256">
        <v>5</v>
      </c>
      <c r="J57" s="396">
        <f t="shared" si="8"/>
        <v>5</v>
      </c>
    </row>
    <row r="58" spans="1:10" ht="15.75" thickBot="1" x14ac:dyDescent="0.3">
      <c r="A58" s="484" t="s">
        <v>3</v>
      </c>
      <c r="B58" s="485">
        <f>SUM(B3:B57)</f>
        <v>63</v>
      </c>
      <c r="C58" s="486">
        <f>SUM(C3:C57)</f>
        <v>13</v>
      </c>
      <c r="D58" s="487">
        <f>SUM(D3:D57)</f>
        <v>22</v>
      </c>
      <c r="E58" s="488">
        <f t="shared" ref="E58" si="16">SUM(B58:D58)</f>
        <v>98</v>
      </c>
      <c r="F58" s="393" t="s">
        <v>3</v>
      </c>
      <c r="G58" s="160">
        <f>SUM(G3:G57)</f>
        <v>517</v>
      </c>
      <c r="H58" s="259">
        <f>SUM(H3:H57)</f>
        <v>114</v>
      </c>
      <c r="I58" s="260">
        <f>SUM(I3:I57)</f>
        <v>174</v>
      </c>
      <c r="J58" s="396">
        <f t="shared" ref="J58" si="17">SUM(G58:I58)</f>
        <v>805</v>
      </c>
    </row>
    <row r="59" spans="1:10" ht="15.75" x14ac:dyDescent="0.25">
      <c r="B59" s="199"/>
      <c r="C59" s="91"/>
      <c r="D59" s="91"/>
      <c r="F59" s="15"/>
      <c r="G59" s="218"/>
      <c r="H59" s="94"/>
      <c r="I59" s="94"/>
      <c r="J59" s="15"/>
    </row>
    <row r="60" spans="1:10" ht="16.5" thickBot="1" x14ac:dyDescent="0.3">
      <c r="A60" t="s">
        <v>39</v>
      </c>
      <c r="B60" s="199"/>
      <c r="C60" s="91"/>
      <c r="D60" s="91"/>
      <c r="F60" s="15"/>
      <c r="G60" s="218"/>
      <c r="H60" s="94"/>
      <c r="I60" s="94"/>
    </row>
    <row r="61" spans="1:10" ht="15.75" thickBot="1" x14ac:dyDescent="0.3">
      <c r="A61" s="479" t="s">
        <v>0</v>
      </c>
      <c r="B61" s="480" t="s">
        <v>305</v>
      </c>
      <c r="C61" s="481" t="s">
        <v>99</v>
      </c>
      <c r="D61" s="482" t="s">
        <v>306</v>
      </c>
      <c r="E61" s="483" t="s">
        <v>1</v>
      </c>
      <c r="F61" s="393" t="s">
        <v>2</v>
      </c>
      <c r="G61" s="160" t="s">
        <v>305</v>
      </c>
      <c r="H61" s="259" t="s">
        <v>99</v>
      </c>
      <c r="I61" s="260" t="s">
        <v>306</v>
      </c>
      <c r="J61" s="395" t="s">
        <v>1</v>
      </c>
    </row>
    <row r="62" spans="1:10" ht="15.75" thickBot="1" x14ac:dyDescent="0.3">
      <c r="A62" s="484" t="s">
        <v>423</v>
      </c>
      <c r="B62" s="485">
        <v>7</v>
      </c>
      <c r="C62" s="486">
        <v>3</v>
      </c>
      <c r="D62" s="487">
        <v>3</v>
      </c>
      <c r="E62" s="488">
        <f t="shared" ref="E62:E93" si="18">SUM(B62:D62)</f>
        <v>13</v>
      </c>
      <c r="F62" s="394" t="s">
        <v>78</v>
      </c>
      <c r="G62" s="105">
        <v>198</v>
      </c>
      <c r="H62" s="255">
        <v>27</v>
      </c>
      <c r="I62" s="256">
        <v>54</v>
      </c>
      <c r="J62" s="396">
        <f t="shared" ref="J62:J93" si="19">SUM(G62:I62)</f>
        <v>279</v>
      </c>
    </row>
    <row r="63" spans="1:10" ht="15.75" thickBot="1" x14ac:dyDescent="0.3">
      <c r="A63" s="484" t="s">
        <v>281</v>
      </c>
      <c r="B63" s="485">
        <v>5</v>
      </c>
      <c r="C63" s="486">
        <v>1</v>
      </c>
      <c r="D63" s="487">
        <v>4</v>
      </c>
      <c r="E63" s="488">
        <f t="shared" si="18"/>
        <v>10</v>
      </c>
      <c r="F63" s="394" t="s">
        <v>423</v>
      </c>
      <c r="G63" s="105">
        <v>35</v>
      </c>
      <c r="H63" s="255">
        <v>15</v>
      </c>
      <c r="I63" s="256">
        <v>15</v>
      </c>
      <c r="J63" s="396">
        <f t="shared" si="19"/>
        <v>65</v>
      </c>
    </row>
    <row r="64" spans="1:10" ht="15.75" thickBot="1" x14ac:dyDescent="0.3">
      <c r="A64" s="484" t="s">
        <v>78</v>
      </c>
      <c r="B64" s="485">
        <v>7</v>
      </c>
      <c r="C64" s="486">
        <v>0</v>
      </c>
      <c r="D64" s="487">
        <v>1</v>
      </c>
      <c r="E64" s="488">
        <f t="shared" si="18"/>
        <v>8</v>
      </c>
      <c r="F64" s="394" t="s">
        <v>961</v>
      </c>
      <c r="G64" s="105">
        <v>31</v>
      </c>
      <c r="H64" s="255">
        <v>19</v>
      </c>
      <c r="I64" s="256">
        <v>15</v>
      </c>
      <c r="J64" s="396">
        <f t="shared" si="19"/>
        <v>65</v>
      </c>
    </row>
    <row r="65" spans="1:10" ht="15.75" thickBot="1" x14ac:dyDescent="0.3">
      <c r="A65" s="484" t="s">
        <v>874</v>
      </c>
      <c r="B65" s="485">
        <v>7</v>
      </c>
      <c r="C65" s="486">
        <v>0</v>
      </c>
      <c r="D65" s="487">
        <v>0</v>
      </c>
      <c r="E65" s="488">
        <f t="shared" si="18"/>
        <v>7</v>
      </c>
      <c r="F65" s="394" t="s">
        <v>281</v>
      </c>
      <c r="G65" s="105">
        <v>25</v>
      </c>
      <c r="H65" s="255">
        <v>5</v>
      </c>
      <c r="I65" s="256">
        <v>20</v>
      </c>
      <c r="J65" s="396">
        <f t="shared" si="19"/>
        <v>50</v>
      </c>
    </row>
    <row r="66" spans="1:10" ht="15.75" thickBot="1" x14ac:dyDescent="0.3">
      <c r="A66" s="484" t="s">
        <v>269</v>
      </c>
      <c r="B66" s="485">
        <v>2</v>
      </c>
      <c r="C66" s="486">
        <v>3</v>
      </c>
      <c r="D66" s="487">
        <v>0</v>
      </c>
      <c r="E66" s="488">
        <f t="shared" si="18"/>
        <v>5</v>
      </c>
      <c r="F66" s="394" t="s">
        <v>874</v>
      </c>
      <c r="G66" s="105">
        <v>35</v>
      </c>
      <c r="H66" s="255">
        <v>0</v>
      </c>
      <c r="I66" s="256">
        <v>0</v>
      </c>
      <c r="J66" s="396">
        <f t="shared" si="19"/>
        <v>35</v>
      </c>
    </row>
    <row r="67" spans="1:10" ht="15.75" thickBot="1" x14ac:dyDescent="0.3">
      <c r="A67" s="484" t="s">
        <v>479</v>
      </c>
      <c r="B67" s="485">
        <v>5</v>
      </c>
      <c r="C67" s="486">
        <v>0</v>
      </c>
      <c r="D67" s="487">
        <v>0</v>
      </c>
      <c r="E67" s="488">
        <f t="shared" si="18"/>
        <v>5</v>
      </c>
      <c r="F67" s="394" t="s">
        <v>217</v>
      </c>
      <c r="G67" s="105">
        <v>14</v>
      </c>
      <c r="H67" s="255">
        <v>13</v>
      </c>
      <c r="I67" s="256">
        <v>5</v>
      </c>
      <c r="J67" s="396">
        <f t="shared" si="19"/>
        <v>32</v>
      </c>
    </row>
    <row r="68" spans="1:10" ht="15.75" thickBot="1" x14ac:dyDescent="0.3">
      <c r="A68" s="484" t="s">
        <v>167</v>
      </c>
      <c r="B68" s="485">
        <v>3</v>
      </c>
      <c r="C68" s="486">
        <v>0</v>
      </c>
      <c r="D68" s="487">
        <v>1</v>
      </c>
      <c r="E68" s="488">
        <f t="shared" si="18"/>
        <v>4</v>
      </c>
      <c r="F68" s="394" t="s">
        <v>269</v>
      </c>
      <c r="G68" s="105">
        <v>10</v>
      </c>
      <c r="H68" s="255">
        <v>15</v>
      </c>
      <c r="I68" s="256">
        <v>0</v>
      </c>
      <c r="J68" s="396">
        <f t="shared" si="19"/>
        <v>25</v>
      </c>
    </row>
    <row r="69" spans="1:10" ht="15.75" thickBot="1" x14ac:dyDescent="0.3">
      <c r="A69" s="484" t="s">
        <v>210</v>
      </c>
      <c r="B69" s="485">
        <v>2</v>
      </c>
      <c r="C69" s="486">
        <v>1</v>
      </c>
      <c r="D69" s="487">
        <v>1</v>
      </c>
      <c r="E69" s="488">
        <f t="shared" si="18"/>
        <v>4</v>
      </c>
      <c r="F69" s="394" t="s">
        <v>479</v>
      </c>
      <c r="G69" s="105">
        <v>25</v>
      </c>
      <c r="H69" s="255">
        <v>0</v>
      </c>
      <c r="I69" s="256">
        <v>0</v>
      </c>
      <c r="J69" s="396">
        <f t="shared" si="19"/>
        <v>25</v>
      </c>
    </row>
    <row r="70" spans="1:10" ht="15.75" thickBot="1" x14ac:dyDescent="0.3">
      <c r="A70" s="484" t="s">
        <v>217</v>
      </c>
      <c r="B70" s="485">
        <v>2</v>
      </c>
      <c r="C70" s="486">
        <v>1</v>
      </c>
      <c r="D70" s="487">
        <v>1</v>
      </c>
      <c r="E70" s="488">
        <f t="shared" si="18"/>
        <v>4</v>
      </c>
      <c r="F70" s="394" t="s">
        <v>167</v>
      </c>
      <c r="G70" s="105">
        <v>15</v>
      </c>
      <c r="H70" s="255">
        <v>0</v>
      </c>
      <c r="I70" s="256">
        <v>5</v>
      </c>
      <c r="J70" s="396">
        <f t="shared" si="19"/>
        <v>20</v>
      </c>
    </row>
    <row r="71" spans="1:10" ht="15.75" thickBot="1" x14ac:dyDescent="0.3">
      <c r="A71" s="484" t="s">
        <v>183</v>
      </c>
      <c r="B71" s="485">
        <v>4</v>
      </c>
      <c r="C71" s="486">
        <v>0</v>
      </c>
      <c r="D71" s="487">
        <v>0</v>
      </c>
      <c r="E71" s="488">
        <f t="shared" si="18"/>
        <v>4</v>
      </c>
      <c r="F71" s="394" t="s">
        <v>210</v>
      </c>
      <c r="G71" s="105">
        <v>10</v>
      </c>
      <c r="H71" s="255">
        <v>5</v>
      </c>
      <c r="I71" s="256">
        <v>5</v>
      </c>
      <c r="J71" s="396">
        <f t="shared" si="19"/>
        <v>20</v>
      </c>
    </row>
    <row r="72" spans="1:10" ht="15.75" thickBot="1" x14ac:dyDescent="0.3">
      <c r="A72" s="484" t="s">
        <v>87</v>
      </c>
      <c r="B72" s="485">
        <v>1</v>
      </c>
      <c r="C72" s="486">
        <v>0</v>
      </c>
      <c r="D72" s="487">
        <v>3</v>
      </c>
      <c r="E72" s="488">
        <f t="shared" si="18"/>
        <v>4</v>
      </c>
      <c r="F72" s="394" t="s">
        <v>183</v>
      </c>
      <c r="G72" s="105">
        <v>20</v>
      </c>
      <c r="H72" s="255">
        <v>0</v>
      </c>
      <c r="I72" s="256">
        <v>0</v>
      </c>
      <c r="J72" s="396">
        <f t="shared" si="19"/>
        <v>20</v>
      </c>
    </row>
    <row r="73" spans="1:10" ht="15.75" thickBot="1" x14ac:dyDescent="0.3">
      <c r="A73" s="484" t="s">
        <v>1002</v>
      </c>
      <c r="B73" s="485">
        <v>2</v>
      </c>
      <c r="C73" s="486">
        <v>0</v>
      </c>
      <c r="D73" s="487">
        <v>1</v>
      </c>
      <c r="E73" s="488">
        <f t="shared" si="18"/>
        <v>3</v>
      </c>
      <c r="F73" s="394" t="s">
        <v>87</v>
      </c>
      <c r="G73" s="105">
        <v>5</v>
      </c>
      <c r="H73" s="255">
        <v>0</v>
      </c>
      <c r="I73" s="256">
        <v>15</v>
      </c>
      <c r="J73" s="396">
        <f t="shared" si="19"/>
        <v>20</v>
      </c>
    </row>
    <row r="74" spans="1:10" ht="15.75" thickBot="1" x14ac:dyDescent="0.3">
      <c r="A74" s="484" t="s">
        <v>119</v>
      </c>
      <c r="B74" s="485">
        <v>3</v>
      </c>
      <c r="C74" s="486">
        <v>0</v>
      </c>
      <c r="D74" s="487">
        <v>0</v>
      </c>
      <c r="E74" s="488">
        <f t="shared" si="18"/>
        <v>3</v>
      </c>
      <c r="F74" s="394" t="s">
        <v>1002</v>
      </c>
      <c r="G74" s="105">
        <v>10</v>
      </c>
      <c r="H74" s="255">
        <v>0</v>
      </c>
      <c r="I74" s="256">
        <v>5</v>
      </c>
      <c r="J74" s="396">
        <f t="shared" si="19"/>
        <v>15</v>
      </c>
    </row>
    <row r="75" spans="1:10" ht="15.75" thickBot="1" x14ac:dyDescent="0.3">
      <c r="A75" s="484" t="s">
        <v>942</v>
      </c>
      <c r="B75" s="485">
        <v>3</v>
      </c>
      <c r="C75" s="486">
        <v>0</v>
      </c>
      <c r="D75" s="487">
        <v>0</v>
      </c>
      <c r="E75" s="488">
        <f t="shared" si="18"/>
        <v>3</v>
      </c>
      <c r="F75" s="394" t="s">
        <v>119</v>
      </c>
      <c r="G75" s="105">
        <v>15</v>
      </c>
      <c r="H75" s="255">
        <v>0</v>
      </c>
      <c r="I75" s="256">
        <v>0</v>
      </c>
      <c r="J75" s="396">
        <f t="shared" si="19"/>
        <v>15</v>
      </c>
    </row>
    <row r="76" spans="1:10" ht="15.75" thickBot="1" x14ac:dyDescent="0.3">
      <c r="A76" s="484" t="s">
        <v>1179</v>
      </c>
      <c r="B76" s="485">
        <v>2</v>
      </c>
      <c r="C76" s="486">
        <v>0</v>
      </c>
      <c r="D76" s="487">
        <v>0</v>
      </c>
      <c r="E76" s="488">
        <f t="shared" si="18"/>
        <v>2</v>
      </c>
      <c r="F76" s="394" t="s">
        <v>942</v>
      </c>
      <c r="G76" s="105">
        <v>15</v>
      </c>
      <c r="H76" s="255">
        <v>0</v>
      </c>
      <c r="I76" s="256">
        <v>0</v>
      </c>
      <c r="J76" s="396">
        <f t="shared" si="19"/>
        <v>15</v>
      </c>
    </row>
    <row r="77" spans="1:10" ht="15.75" thickBot="1" x14ac:dyDescent="0.3">
      <c r="A77" s="484" t="s">
        <v>17</v>
      </c>
      <c r="B77" s="485">
        <v>0</v>
      </c>
      <c r="C77" s="486">
        <v>0</v>
      </c>
      <c r="D77" s="487">
        <v>2</v>
      </c>
      <c r="E77" s="488">
        <f t="shared" si="18"/>
        <v>2</v>
      </c>
      <c r="F77" s="394" t="s">
        <v>6</v>
      </c>
      <c r="G77" s="105">
        <v>14</v>
      </c>
      <c r="H77" s="255">
        <v>0</v>
      </c>
      <c r="I77" s="256">
        <v>0</v>
      </c>
      <c r="J77" s="396">
        <f t="shared" si="19"/>
        <v>14</v>
      </c>
    </row>
    <row r="78" spans="1:10" ht="15.75" thickBot="1" x14ac:dyDescent="0.3">
      <c r="A78" s="484" t="s">
        <v>114</v>
      </c>
      <c r="B78" s="485">
        <v>1</v>
      </c>
      <c r="C78" s="486">
        <v>0</v>
      </c>
      <c r="D78" s="487">
        <v>1</v>
      </c>
      <c r="E78" s="488">
        <f t="shared" si="18"/>
        <v>2</v>
      </c>
      <c r="F78" s="394" t="s">
        <v>1180</v>
      </c>
      <c r="G78" s="105">
        <v>10</v>
      </c>
      <c r="H78" s="255">
        <v>0</v>
      </c>
      <c r="I78" s="256">
        <v>0</v>
      </c>
      <c r="J78" s="396">
        <f t="shared" si="19"/>
        <v>10</v>
      </c>
    </row>
    <row r="79" spans="1:10" ht="15.75" thickBot="1" x14ac:dyDescent="0.3">
      <c r="A79" s="484" t="s">
        <v>1099</v>
      </c>
      <c r="B79" s="485">
        <v>1</v>
      </c>
      <c r="C79" s="486">
        <v>1</v>
      </c>
      <c r="D79" s="487">
        <v>0</v>
      </c>
      <c r="E79" s="488">
        <f t="shared" si="18"/>
        <v>2</v>
      </c>
      <c r="F79" s="394" t="s">
        <v>17</v>
      </c>
      <c r="G79" s="105">
        <v>0</v>
      </c>
      <c r="H79" s="255">
        <v>0</v>
      </c>
      <c r="I79" s="256">
        <v>10</v>
      </c>
      <c r="J79" s="396">
        <f t="shared" si="19"/>
        <v>10</v>
      </c>
    </row>
    <row r="80" spans="1:10" ht="15.75" thickBot="1" x14ac:dyDescent="0.3">
      <c r="A80" s="484" t="s">
        <v>6</v>
      </c>
      <c r="B80" s="485">
        <v>2</v>
      </c>
      <c r="C80" s="486">
        <v>0</v>
      </c>
      <c r="D80" s="487">
        <v>0</v>
      </c>
      <c r="E80" s="488">
        <f t="shared" si="18"/>
        <v>2</v>
      </c>
      <c r="F80" s="394" t="s">
        <v>114</v>
      </c>
      <c r="G80" s="105">
        <v>5</v>
      </c>
      <c r="H80" s="255">
        <v>0</v>
      </c>
      <c r="I80" s="256">
        <v>5</v>
      </c>
      <c r="J80" s="396">
        <f t="shared" si="19"/>
        <v>10</v>
      </c>
    </row>
    <row r="81" spans="1:10" ht="15.75" thickBot="1" x14ac:dyDescent="0.3">
      <c r="A81" s="484" t="s">
        <v>239</v>
      </c>
      <c r="B81" s="485">
        <v>0</v>
      </c>
      <c r="C81" s="486">
        <v>0</v>
      </c>
      <c r="D81" s="487">
        <v>1</v>
      </c>
      <c r="E81" s="488">
        <f t="shared" si="18"/>
        <v>1</v>
      </c>
      <c r="F81" s="394" t="s">
        <v>1099</v>
      </c>
      <c r="G81" s="105">
        <v>5</v>
      </c>
      <c r="H81" s="255">
        <v>5</v>
      </c>
      <c r="I81" s="256">
        <v>0</v>
      </c>
      <c r="J81" s="396">
        <f t="shared" si="19"/>
        <v>10</v>
      </c>
    </row>
    <row r="82" spans="1:10" ht="15.75" thickBot="1" x14ac:dyDescent="0.3">
      <c r="A82" s="484" t="s">
        <v>19</v>
      </c>
      <c r="B82" s="485">
        <v>1</v>
      </c>
      <c r="C82" s="486">
        <v>0</v>
      </c>
      <c r="D82" s="487">
        <v>0</v>
      </c>
      <c r="E82" s="488">
        <f t="shared" si="18"/>
        <v>1</v>
      </c>
      <c r="F82" s="394" t="s">
        <v>239</v>
      </c>
      <c r="G82" s="105">
        <v>0</v>
      </c>
      <c r="H82" s="255">
        <v>0</v>
      </c>
      <c r="I82" s="256">
        <v>5</v>
      </c>
      <c r="J82" s="396">
        <f t="shared" si="19"/>
        <v>5</v>
      </c>
    </row>
    <row r="83" spans="1:10" ht="15.75" thickBot="1" x14ac:dyDescent="0.3">
      <c r="A83" s="484" t="s">
        <v>1144</v>
      </c>
      <c r="B83" s="485">
        <v>1</v>
      </c>
      <c r="C83" s="486">
        <v>0</v>
      </c>
      <c r="D83" s="487">
        <v>0</v>
      </c>
      <c r="E83" s="488">
        <f t="shared" si="18"/>
        <v>1</v>
      </c>
      <c r="F83" s="394" t="s">
        <v>19</v>
      </c>
      <c r="G83" s="105">
        <v>5</v>
      </c>
      <c r="H83" s="255">
        <v>0</v>
      </c>
      <c r="I83" s="256">
        <v>0</v>
      </c>
      <c r="J83" s="396">
        <f t="shared" si="19"/>
        <v>5</v>
      </c>
    </row>
    <row r="84" spans="1:10" ht="15.75" thickBot="1" x14ac:dyDescent="0.3">
      <c r="A84" s="484" t="s">
        <v>70</v>
      </c>
      <c r="B84" s="485">
        <v>1</v>
      </c>
      <c r="C84" s="486">
        <v>0</v>
      </c>
      <c r="D84" s="487">
        <v>0</v>
      </c>
      <c r="E84" s="488">
        <f t="shared" si="18"/>
        <v>1</v>
      </c>
      <c r="F84" s="394" t="s">
        <v>1144</v>
      </c>
      <c r="G84" s="105">
        <v>5</v>
      </c>
      <c r="H84" s="255">
        <v>0</v>
      </c>
      <c r="I84" s="256">
        <v>0</v>
      </c>
      <c r="J84" s="396">
        <f t="shared" si="19"/>
        <v>5</v>
      </c>
    </row>
    <row r="85" spans="1:10" ht="15.75" thickBot="1" x14ac:dyDescent="0.3">
      <c r="A85" s="484" t="s">
        <v>961</v>
      </c>
      <c r="B85" s="485">
        <v>0</v>
      </c>
      <c r="C85" s="486">
        <v>1</v>
      </c>
      <c r="D85" s="487">
        <v>0</v>
      </c>
      <c r="E85" s="488">
        <f t="shared" si="18"/>
        <v>1</v>
      </c>
      <c r="F85" s="394" t="s">
        <v>70</v>
      </c>
      <c r="G85" s="105">
        <v>5</v>
      </c>
      <c r="H85" s="255">
        <v>0</v>
      </c>
      <c r="I85" s="256">
        <v>0</v>
      </c>
      <c r="J85" s="396">
        <f t="shared" si="19"/>
        <v>5</v>
      </c>
    </row>
    <row r="86" spans="1:10" ht="15.75" thickBot="1" x14ac:dyDescent="0.3">
      <c r="A86" s="484" t="s">
        <v>1130</v>
      </c>
      <c r="B86" s="485">
        <v>0</v>
      </c>
      <c r="C86" s="486">
        <v>1</v>
      </c>
      <c r="D86" s="487">
        <v>0</v>
      </c>
      <c r="E86" s="488">
        <f t="shared" si="18"/>
        <v>1</v>
      </c>
      <c r="F86" s="394" t="s">
        <v>1130</v>
      </c>
      <c r="G86" s="105">
        <v>0</v>
      </c>
      <c r="H86" s="255">
        <v>5</v>
      </c>
      <c r="I86" s="256">
        <v>0</v>
      </c>
      <c r="J86" s="396">
        <f t="shared" si="19"/>
        <v>5</v>
      </c>
    </row>
    <row r="87" spans="1:10" ht="15.75" thickBot="1" x14ac:dyDescent="0.3">
      <c r="A87" s="484" t="s">
        <v>48</v>
      </c>
      <c r="B87" s="485">
        <v>0</v>
      </c>
      <c r="C87" s="486">
        <v>0</v>
      </c>
      <c r="D87" s="487">
        <v>1</v>
      </c>
      <c r="E87" s="488">
        <f t="shared" si="18"/>
        <v>1</v>
      </c>
      <c r="F87" s="394" t="s">
        <v>48</v>
      </c>
      <c r="G87" s="105">
        <v>0</v>
      </c>
      <c r="H87" s="255">
        <v>0</v>
      </c>
      <c r="I87" s="256">
        <v>5</v>
      </c>
      <c r="J87" s="396">
        <f t="shared" si="19"/>
        <v>5</v>
      </c>
    </row>
    <row r="88" spans="1:10" ht="15.75" thickBot="1" x14ac:dyDescent="0.3">
      <c r="A88" s="484" t="s">
        <v>1113</v>
      </c>
      <c r="B88" s="485">
        <v>0</v>
      </c>
      <c r="C88" s="486">
        <v>1</v>
      </c>
      <c r="D88" s="487">
        <v>0</v>
      </c>
      <c r="E88" s="488">
        <f t="shared" si="18"/>
        <v>1</v>
      </c>
      <c r="F88" s="394" t="s">
        <v>1113</v>
      </c>
      <c r="G88" s="105">
        <v>0</v>
      </c>
      <c r="H88" s="255">
        <v>5</v>
      </c>
      <c r="I88" s="256">
        <v>0</v>
      </c>
      <c r="J88" s="396">
        <f t="shared" si="19"/>
        <v>5</v>
      </c>
    </row>
    <row r="89" spans="1:10" ht="15.75" thickBot="1" x14ac:dyDescent="0.3">
      <c r="A89" s="484" t="s">
        <v>116</v>
      </c>
      <c r="B89" s="485">
        <v>1</v>
      </c>
      <c r="C89" s="486">
        <v>0</v>
      </c>
      <c r="D89" s="487">
        <v>0</v>
      </c>
      <c r="E89" s="488">
        <f t="shared" si="18"/>
        <v>1</v>
      </c>
      <c r="F89" s="394" t="s">
        <v>116</v>
      </c>
      <c r="G89" s="105">
        <v>5</v>
      </c>
      <c r="H89" s="255">
        <v>0</v>
      </c>
      <c r="I89" s="256">
        <v>0</v>
      </c>
      <c r="J89" s="396">
        <f t="shared" si="19"/>
        <v>5</v>
      </c>
    </row>
    <row r="90" spans="1:10" ht="15.75" thickBot="1" x14ac:dyDescent="0.3">
      <c r="A90" s="484" t="s">
        <v>211</v>
      </c>
      <c r="B90" s="485">
        <v>0</v>
      </c>
      <c r="C90" s="486">
        <v>0</v>
      </c>
      <c r="D90" s="487">
        <v>1</v>
      </c>
      <c r="E90" s="488">
        <f t="shared" si="18"/>
        <v>1</v>
      </c>
      <c r="F90" s="394" t="s">
        <v>211</v>
      </c>
      <c r="G90" s="105">
        <v>0</v>
      </c>
      <c r="H90" s="255">
        <v>0</v>
      </c>
      <c r="I90" s="256">
        <v>5</v>
      </c>
      <c r="J90" s="396">
        <f t="shared" si="19"/>
        <v>5</v>
      </c>
    </row>
    <row r="91" spans="1:10" ht="15.75" thickBot="1" x14ac:dyDescent="0.3">
      <c r="A91" s="484" t="s">
        <v>86</v>
      </c>
      <c r="B91" s="485">
        <v>0</v>
      </c>
      <c r="C91" s="486">
        <v>0</v>
      </c>
      <c r="D91" s="487">
        <v>1</v>
      </c>
      <c r="E91" s="488">
        <f t="shared" si="18"/>
        <v>1</v>
      </c>
      <c r="F91" s="394" t="s">
        <v>86</v>
      </c>
      <c r="G91" s="105">
        <v>0</v>
      </c>
      <c r="H91" s="255">
        <v>0</v>
      </c>
      <c r="I91" s="256">
        <v>5</v>
      </c>
      <c r="J91" s="396">
        <f t="shared" si="19"/>
        <v>5</v>
      </c>
    </row>
    <row r="92" spans="1:10" ht="15.75" thickBot="1" x14ac:dyDescent="0.3">
      <c r="A92" s="484" t="s">
        <v>421</v>
      </c>
      <c r="B92" s="485">
        <v>0</v>
      </c>
      <c r="C92" s="486">
        <v>0</v>
      </c>
      <c r="D92" s="487">
        <v>0</v>
      </c>
      <c r="E92" s="488">
        <f t="shared" si="18"/>
        <v>0</v>
      </c>
      <c r="F92" s="394" t="s">
        <v>421</v>
      </c>
      <c r="G92" s="105">
        <v>0</v>
      </c>
      <c r="H92" s="255">
        <v>0</v>
      </c>
      <c r="I92" s="256">
        <v>0</v>
      </c>
      <c r="J92" s="396">
        <f t="shared" si="19"/>
        <v>0</v>
      </c>
    </row>
    <row r="93" spans="1:10" ht="15.75" thickBot="1" x14ac:dyDescent="0.3">
      <c r="A93" s="484" t="s">
        <v>72</v>
      </c>
      <c r="B93" s="485">
        <v>0</v>
      </c>
      <c r="C93" s="486">
        <v>0</v>
      </c>
      <c r="D93" s="487">
        <v>0</v>
      </c>
      <c r="E93" s="488">
        <f t="shared" si="18"/>
        <v>0</v>
      </c>
      <c r="F93" s="394" t="s">
        <v>72</v>
      </c>
      <c r="G93" s="105">
        <v>0</v>
      </c>
      <c r="H93" s="255">
        <v>0</v>
      </c>
      <c r="I93" s="256">
        <v>0</v>
      </c>
      <c r="J93" s="396">
        <f t="shared" si="19"/>
        <v>0</v>
      </c>
    </row>
    <row r="94" spans="1:10" ht="15.75" thickBot="1" x14ac:dyDescent="0.3">
      <c r="A94" s="484" t="s">
        <v>18</v>
      </c>
      <c r="B94" s="485">
        <v>0</v>
      </c>
      <c r="C94" s="486">
        <v>0</v>
      </c>
      <c r="D94" s="487">
        <v>0</v>
      </c>
      <c r="E94" s="488">
        <f t="shared" ref="E94:E116" si="20">SUM(B94:D94)</f>
        <v>0</v>
      </c>
      <c r="F94" s="394" t="s">
        <v>18</v>
      </c>
      <c r="G94" s="105">
        <v>0</v>
      </c>
      <c r="H94" s="255">
        <v>0</v>
      </c>
      <c r="I94" s="256">
        <v>0</v>
      </c>
      <c r="J94" s="396">
        <f t="shared" ref="J94:J116" si="21">SUM(G94:I94)</f>
        <v>0</v>
      </c>
    </row>
    <row r="95" spans="1:10" ht="15.75" thickBot="1" x14ac:dyDescent="0.3">
      <c r="A95" s="484" t="s">
        <v>72</v>
      </c>
      <c r="B95" s="485">
        <v>0</v>
      </c>
      <c r="C95" s="486">
        <v>0</v>
      </c>
      <c r="D95" s="487">
        <v>0</v>
      </c>
      <c r="E95" s="488">
        <f t="shared" si="20"/>
        <v>0</v>
      </c>
      <c r="F95" s="394" t="s">
        <v>72</v>
      </c>
      <c r="G95" s="105">
        <v>0</v>
      </c>
      <c r="H95" s="255">
        <v>0</v>
      </c>
      <c r="I95" s="256">
        <v>0</v>
      </c>
      <c r="J95" s="396">
        <f t="shared" si="21"/>
        <v>0</v>
      </c>
    </row>
    <row r="96" spans="1:10" ht="15.75" thickBot="1" x14ac:dyDescent="0.3">
      <c r="A96" s="484" t="s">
        <v>59</v>
      </c>
      <c r="B96" s="485">
        <v>0</v>
      </c>
      <c r="C96" s="486">
        <v>0</v>
      </c>
      <c r="D96" s="487">
        <v>0</v>
      </c>
      <c r="E96" s="488">
        <f t="shared" si="20"/>
        <v>0</v>
      </c>
      <c r="F96" s="394" t="s">
        <v>59</v>
      </c>
      <c r="G96" s="105">
        <v>0</v>
      </c>
      <c r="H96" s="255">
        <v>0</v>
      </c>
      <c r="I96" s="256">
        <v>0</v>
      </c>
      <c r="J96" s="396">
        <f t="shared" si="21"/>
        <v>0</v>
      </c>
    </row>
    <row r="97" spans="1:10" ht="15.75" thickBot="1" x14ac:dyDescent="0.3">
      <c r="A97" s="484" t="s">
        <v>117</v>
      </c>
      <c r="B97" s="485">
        <v>0</v>
      </c>
      <c r="C97" s="486">
        <v>0</v>
      </c>
      <c r="D97" s="487">
        <v>0</v>
      </c>
      <c r="E97" s="488">
        <f t="shared" si="20"/>
        <v>0</v>
      </c>
      <c r="F97" s="394" t="s">
        <v>117</v>
      </c>
      <c r="G97" s="105">
        <v>0</v>
      </c>
      <c r="H97" s="255">
        <v>0</v>
      </c>
      <c r="I97" s="256">
        <v>0</v>
      </c>
      <c r="J97" s="396">
        <f t="shared" si="21"/>
        <v>0</v>
      </c>
    </row>
    <row r="98" spans="1:10" ht="15.75" thickBot="1" x14ac:dyDescent="0.3">
      <c r="A98" s="484" t="s">
        <v>422</v>
      </c>
      <c r="B98" s="485">
        <v>0</v>
      </c>
      <c r="C98" s="486">
        <v>0</v>
      </c>
      <c r="D98" s="487">
        <v>0</v>
      </c>
      <c r="E98" s="488">
        <f t="shared" si="20"/>
        <v>0</v>
      </c>
      <c r="F98" s="394" t="s">
        <v>422</v>
      </c>
      <c r="G98" s="105">
        <v>0</v>
      </c>
      <c r="H98" s="255">
        <v>0</v>
      </c>
      <c r="I98" s="256">
        <v>0</v>
      </c>
      <c r="J98" s="396">
        <f t="shared" si="21"/>
        <v>0</v>
      </c>
    </row>
    <row r="99" spans="1:10" ht="15.75" thickBot="1" x14ac:dyDescent="0.3">
      <c r="A99" s="484" t="s">
        <v>240</v>
      </c>
      <c r="B99" s="485">
        <v>0</v>
      </c>
      <c r="C99" s="486">
        <v>0</v>
      </c>
      <c r="D99" s="487">
        <v>0</v>
      </c>
      <c r="E99" s="488">
        <f t="shared" si="20"/>
        <v>0</v>
      </c>
      <c r="F99" s="394" t="s">
        <v>240</v>
      </c>
      <c r="G99" s="105">
        <v>0</v>
      </c>
      <c r="H99" s="255">
        <v>0</v>
      </c>
      <c r="I99" s="256">
        <v>0</v>
      </c>
      <c r="J99" s="396">
        <f t="shared" si="21"/>
        <v>0</v>
      </c>
    </row>
    <row r="100" spans="1:10" ht="15.75" thickBot="1" x14ac:dyDescent="0.3">
      <c r="A100" s="484" t="s">
        <v>72</v>
      </c>
      <c r="B100" s="485">
        <v>0</v>
      </c>
      <c r="C100" s="486">
        <v>0</v>
      </c>
      <c r="D100" s="487">
        <v>0</v>
      </c>
      <c r="E100" s="488">
        <f t="shared" si="20"/>
        <v>0</v>
      </c>
      <c r="F100" s="394" t="s">
        <v>72</v>
      </c>
      <c r="G100" s="105">
        <v>0</v>
      </c>
      <c r="H100" s="255">
        <v>0</v>
      </c>
      <c r="I100" s="256">
        <v>0</v>
      </c>
      <c r="J100" s="396">
        <f t="shared" si="21"/>
        <v>0</v>
      </c>
    </row>
    <row r="101" spans="1:10" ht="15.75" thickBot="1" x14ac:dyDescent="0.3">
      <c r="A101" s="484" t="s">
        <v>72</v>
      </c>
      <c r="B101" s="485">
        <v>0</v>
      </c>
      <c r="C101" s="486">
        <v>0</v>
      </c>
      <c r="D101" s="487">
        <v>0</v>
      </c>
      <c r="E101" s="488">
        <f t="shared" si="20"/>
        <v>0</v>
      </c>
      <c r="F101" s="394" t="s">
        <v>72</v>
      </c>
      <c r="G101" s="105">
        <v>0</v>
      </c>
      <c r="H101" s="255">
        <v>0</v>
      </c>
      <c r="I101" s="256">
        <v>0</v>
      </c>
      <c r="J101" s="396">
        <f t="shared" si="21"/>
        <v>0</v>
      </c>
    </row>
    <row r="102" spans="1:10" ht="15.75" thickBot="1" x14ac:dyDescent="0.3">
      <c r="A102" s="484" t="s">
        <v>72</v>
      </c>
      <c r="B102" s="485">
        <v>0</v>
      </c>
      <c r="C102" s="486">
        <v>0</v>
      </c>
      <c r="D102" s="487">
        <v>0</v>
      </c>
      <c r="E102" s="488">
        <f t="shared" si="20"/>
        <v>0</v>
      </c>
      <c r="F102" s="394" t="s">
        <v>72</v>
      </c>
      <c r="G102" s="105">
        <v>0</v>
      </c>
      <c r="H102" s="255">
        <v>0</v>
      </c>
      <c r="I102" s="256">
        <v>0</v>
      </c>
      <c r="J102" s="396">
        <f t="shared" si="21"/>
        <v>0</v>
      </c>
    </row>
    <row r="103" spans="1:10" ht="15.75" thickBot="1" x14ac:dyDescent="0.3">
      <c r="A103" s="484" t="s">
        <v>852</v>
      </c>
      <c r="B103" s="485">
        <v>0</v>
      </c>
      <c r="C103" s="486">
        <v>0</v>
      </c>
      <c r="D103" s="487">
        <v>0</v>
      </c>
      <c r="E103" s="488">
        <f t="shared" si="20"/>
        <v>0</v>
      </c>
      <c r="F103" s="394" t="s">
        <v>852</v>
      </c>
      <c r="G103" s="105">
        <v>0</v>
      </c>
      <c r="H103" s="255">
        <v>0</v>
      </c>
      <c r="I103" s="256">
        <v>0</v>
      </c>
      <c r="J103" s="396">
        <f t="shared" si="21"/>
        <v>0</v>
      </c>
    </row>
    <row r="104" spans="1:10" ht="15.75" thickBot="1" x14ac:dyDescent="0.3">
      <c r="A104" s="484" t="s">
        <v>280</v>
      </c>
      <c r="B104" s="485">
        <v>0</v>
      </c>
      <c r="C104" s="486">
        <v>0</v>
      </c>
      <c r="D104" s="487">
        <v>0</v>
      </c>
      <c r="E104" s="488">
        <f t="shared" si="20"/>
        <v>0</v>
      </c>
      <c r="F104" s="394" t="s">
        <v>280</v>
      </c>
      <c r="G104" s="105">
        <v>0</v>
      </c>
      <c r="H104" s="255">
        <v>0</v>
      </c>
      <c r="I104" s="256">
        <v>0</v>
      </c>
      <c r="J104" s="396">
        <f t="shared" si="21"/>
        <v>0</v>
      </c>
    </row>
    <row r="105" spans="1:10" ht="15.75" thickBot="1" x14ac:dyDescent="0.3">
      <c r="A105" s="484" t="s">
        <v>115</v>
      </c>
      <c r="B105" s="485">
        <v>0</v>
      </c>
      <c r="C105" s="486">
        <v>0</v>
      </c>
      <c r="D105" s="487">
        <v>0</v>
      </c>
      <c r="E105" s="488">
        <f t="shared" si="20"/>
        <v>0</v>
      </c>
      <c r="F105" s="394" t="s">
        <v>115</v>
      </c>
      <c r="G105" s="105">
        <v>0</v>
      </c>
      <c r="H105" s="255">
        <v>0</v>
      </c>
      <c r="I105" s="256">
        <v>0</v>
      </c>
      <c r="J105" s="396">
        <f t="shared" si="21"/>
        <v>0</v>
      </c>
    </row>
    <row r="106" spans="1:10" ht="15.75" thickBot="1" x14ac:dyDescent="0.3">
      <c r="A106" s="484" t="s">
        <v>241</v>
      </c>
      <c r="B106" s="485">
        <v>0</v>
      </c>
      <c r="C106" s="486">
        <v>0</v>
      </c>
      <c r="D106" s="487">
        <v>0</v>
      </c>
      <c r="E106" s="488">
        <f t="shared" si="20"/>
        <v>0</v>
      </c>
      <c r="F106" s="394" t="s">
        <v>241</v>
      </c>
      <c r="G106" s="105">
        <v>0</v>
      </c>
      <c r="H106" s="255">
        <v>0</v>
      </c>
      <c r="I106" s="256">
        <v>0</v>
      </c>
      <c r="J106" s="396">
        <f t="shared" si="21"/>
        <v>0</v>
      </c>
    </row>
    <row r="107" spans="1:10" ht="15.75" thickBot="1" x14ac:dyDescent="0.3">
      <c r="A107" s="484" t="s">
        <v>16</v>
      </c>
      <c r="B107" s="485">
        <v>0</v>
      </c>
      <c r="C107" s="486">
        <v>0</v>
      </c>
      <c r="D107" s="487">
        <v>0</v>
      </c>
      <c r="E107" s="488">
        <f t="shared" si="20"/>
        <v>0</v>
      </c>
      <c r="F107" s="394" t="s">
        <v>16</v>
      </c>
      <c r="G107" s="105">
        <v>0</v>
      </c>
      <c r="H107" s="255">
        <v>0</v>
      </c>
      <c r="I107" s="256">
        <v>0</v>
      </c>
      <c r="J107" s="396">
        <f t="shared" si="21"/>
        <v>0</v>
      </c>
    </row>
    <row r="108" spans="1:10" ht="15.75" thickBot="1" x14ac:dyDescent="0.3">
      <c r="A108" s="484" t="s">
        <v>72</v>
      </c>
      <c r="B108" s="485">
        <v>0</v>
      </c>
      <c r="C108" s="486">
        <v>0</v>
      </c>
      <c r="D108" s="487">
        <v>0</v>
      </c>
      <c r="E108" s="488">
        <f t="shared" si="20"/>
        <v>0</v>
      </c>
      <c r="F108" s="394" t="s">
        <v>72</v>
      </c>
      <c r="G108" s="105">
        <v>0</v>
      </c>
      <c r="H108" s="255">
        <v>0</v>
      </c>
      <c r="I108" s="256">
        <v>0</v>
      </c>
      <c r="J108" s="396">
        <f t="shared" si="21"/>
        <v>0</v>
      </c>
    </row>
    <row r="109" spans="1:10" ht="15.75" thickBot="1" x14ac:dyDescent="0.3">
      <c r="A109" s="484" t="s">
        <v>242</v>
      </c>
      <c r="B109" s="485">
        <v>0</v>
      </c>
      <c r="C109" s="486">
        <v>0</v>
      </c>
      <c r="D109" s="487">
        <v>0</v>
      </c>
      <c r="E109" s="488">
        <f t="shared" si="20"/>
        <v>0</v>
      </c>
      <c r="F109" s="394" t="s">
        <v>242</v>
      </c>
      <c r="G109" s="105">
        <v>0</v>
      </c>
      <c r="H109" s="255">
        <v>0</v>
      </c>
      <c r="I109" s="256">
        <v>0</v>
      </c>
      <c r="J109" s="396">
        <f t="shared" si="21"/>
        <v>0</v>
      </c>
    </row>
    <row r="110" spans="1:10" ht="15.75" thickBot="1" x14ac:dyDescent="0.3">
      <c r="A110" s="484" t="s">
        <v>152</v>
      </c>
      <c r="B110" s="485">
        <v>0</v>
      </c>
      <c r="C110" s="486">
        <v>0</v>
      </c>
      <c r="D110" s="487">
        <v>0</v>
      </c>
      <c r="E110" s="488">
        <f t="shared" si="20"/>
        <v>0</v>
      </c>
      <c r="F110" s="394" t="s">
        <v>152</v>
      </c>
      <c r="G110" s="105">
        <v>0</v>
      </c>
      <c r="H110" s="255">
        <v>0</v>
      </c>
      <c r="I110" s="256">
        <v>0</v>
      </c>
      <c r="J110" s="396">
        <f t="shared" si="21"/>
        <v>0</v>
      </c>
    </row>
    <row r="111" spans="1:10" ht="15.75" thickBot="1" x14ac:dyDescent="0.3">
      <c r="A111" s="484" t="s">
        <v>72</v>
      </c>
      <c r="B111" s="485">
        <v>0</v>
      </c>
      <c r="C111" s="486">
        <v>0</v>
      </c>
      <c r="D111" s="487">
        <v>0</v>
      </c>
      <c r="E111" s="488">
        <f t="shared" si="20"/>
        <v>0</v>
      </c>
      <c r="F111" s="394" t="s">
        <v>72</v>
      </c>
      <c r="G111" s="105">
        <v>0</v>
      </c>
      <c r="H111" s="255">
        <v>0</v>
      </c>
      <c r="I111" s="256">
        <v>0</v>
      </c>
      <c r="J111" s="396">
        <f t="shared" si="21"/>
        <v>0</v>
      </c>
    </row>
    <row r="112" spans="1:10" ht="15.75" thickBot="1" x14ac:dyDescent="0.3">
      <c r="A112" s="484" t="s">
        <v>72</v>
      </c>
      <c r="B112" s="485">
        <v>0</v>
      </c>
      <c r="C112" s="486">
        <v>0</v>
      </c>
      <c r="D112" s="487">
        <v>0</v>
      </c>
      <c r="E112" s="488">
        <f t="shared" si="20"/>
        <v>0</v>
      </c>
      <c r="F112" s="394" t="s">
        <v>72</v>
      </c>
      <c r="G112" s="105">
        <v>0</v>
      </c>
      <c r="H112" s="255">
        <v>0</v>
      </c>
      <c r="I112" s="256">
        <v>0</v>
      </c>
      <c r="J112" s="396">
        <f t="shared" si="21"/>
        <v>0</v>
      </c>
    </row>
    <row r="113" spans="1:10" ht="15.75" thickBot="1" x14ac:dyDescent="0.3">
      <c r="A113" s="484" t="s">
        <v>72</v>
      </c>
      <c r="B113" s="485">
        <v>0</v>
      </c>
      <c r="C113" s="486">
        <v>0</v>
      </c>
      <c r="D113" s="487">
        <v>0</v>
      </c>
      <c r="E113" s="488">
        <f t="shared" si="20"/>
        <v>0</v>
      </c>
      <c r="F113" s="394" t="s">
        <v>72</v>
      </c>
      <c r="G113" s="105">
        <v>0</v>
      </c>
      <c r="H113" s="255">
        <v>0</v>
      </c>
      <c r="I113" s="256">
        <v>0</v>
      </c>
      <c r="J113" s="396">
        <f t="shared" si="21"/>
        <v>0</v>
      </c>
    </row>
    <row r="114" spans="1:10" ht="15.75" thickBot="1" x14ac:dyDescent="0.3">
      <c r="A114" s="484" t="s">
        <v>72</v>
      </c>
      <c r="B114" s="485">
        <v>0</v>
      </c>
      <c r="C114" s="486">
        <v>0</v>
      </c>
      <c r="D114" s="487">
        <v>0</v>
      </c>
      <c r="E114" s="488">
        <f t="shared" si="20"/>
        <v>0</v>
      </c>
      <c r="F114" s="394" t="s">
        <v>72</v>
      </c>
      <c r="G114" s="105">
        <v>0</v>
      </c>
      <c r="H114" s="255">
        <v>0</v>
      </c>
      <c r="I114" s="256">
        <v>0</v>
      </c>
      <c r="J114" s="396">
        <f t="shared" si="21"/>
        <v>0</v>
      </c>
    </row>
    <row r="115" spans="1:10" ht="15.75" thickBot="1" x14ac:dyDescent="0.3">
      <c r="A115" s="484" t="s">
        <v>72</v>
      </c>
      <c r="B115" s="485">
        <v>0</v>
      </c>
      <c r="C115" s="486">
        <v>0</v>
      </c>
      <c r="D115" s="487">
        <v>0</v>
      </c>
      <c r="E115" s="488">
        <f t="shared" si="20"/>
        <v>0</v>
      </c>
      <c r="F115" s="394" t="s">
        <v>72</v>
      </c>
      <c r="G115" s="105">
        <v>0</v>
      </c>
      <c r="H115" s="255">
        <v>0</v>
      </c>
      <c r="I115" s="256">
        <v>0</v>
      </c>
      <c r="J115" s="396">
        <f t="shared" si="21"/>
        <v>0</v>
      </c>
    </row>
    <row r="116" spans="1:10" ht="15.75" thickBot="1" x14ac:dyDescent="0.3">
      <c r="A116" s="484" t="s">
        <v>228</v>
      </c>
      <c r="B116" s="485">
        <v>0</v>
      </c>
      <c r="C116" s="486">
        <v>0</v>
      </c>
      <c r="D116" s="487">
        <v>0</v>
      </c>
      <c r="E116" s="488">
        <f t="shared" si="20"/>
        <v>0</v>
      </c>
      <c r="F116" s="394" t="s">
        <v>228</v>
      </c>
      <c r="G116" s="105">
        <v>0</v>
      </c>
      <c r="H116" s="255">
        <v>0</v>
      </c>
      <c r="I116" s="256">
        <v>0</v>
      </c>
      <c r="J116" s="396">
        <f t="shared" si="21"/>
        <v>0</v>
      </c>
    </row>
    <row r="117" spans="1:10" ht="15.75" thickBot="1" x14ac:dyDescent="0.3">
      <c r="A117" s="484" t="s">
        <v>3</v>
      </c>
      <c r="B117" s="485">
        <f>SUM(B62:B116)</f>
        <v>63</v>
      </c>
      <c r="C117" s="486">
        <f>SUM(C62:C116)</f>
        <v>13</v>
      </c>
      <c r="D117" s="487">
        <f>SUM(D62:D116)</f>
        <v>22</v>
      </c>
      <c r="E117" s="488">
        <f t="shared" ref="E117" si="22">SUM(B117:D117)</f>
        <v>98</v>
      </c>
      <c r="F117" s="393" t="s">
        <v>3</v>
      </c>
      <c r="G117" s="160">
        <f>SUM(G62:G116)</f>
        <v>517</v>
      </c>
      <c r="H117" s="259">
        <f>SUM(H62:H116)</f>
        <v>114</v>
      </c>
      <c r="I117" s="260">
        <f>SUM(I62:I116)</f>
        <v>174</v>
      </c>
      <c r="J117" s="396">
        <f t="shared" ref="J117" si="23">SUM(G117:I117)</f>
        <v>805</v>
      </c>
    </row>
    <row r="118" spans="1:10" x14ac:dyDescent="0.25">
      <c r="A118" s="58" t="s">
        <v>130</v>
      </c>
    </row>
  </sheetData>
  <sortState xmlns:xlrd2="http://schemas.microsoft.com/office/spreadsheetml/2017/richdata2" ref="F62:J116">
    <sortCondition descending="1" ref="J62:J116"/>
  </sortState>
  <mergeCells count="30">
    <mergeCell ref="K24:W24"/>
    <mergeCell ref="AC1:AE2"/>
    <mergeCell ref="K25:W25"/>
    <mergeCell ref="AL1:AN2"/>
    <mergeCell ref="R1:S2"/>
    <mergeCell ref="K10:K11"/>
    <mergeCell ref="AF10:AH11"/>
    <mergeCell ref="K1:K2"/>
    <mergeCell ref="L1:N2"/>
    <mergeCell ref="O1:Q2"/>
    <mergeCell ref="AI1:AK2"/>
    <mergeCell ref="L10:N11"/>
    <mergeCell ref="AF1:AH2"/>
    <mergeCell ref="AI10:AK11"/>
    <mergeCell ref="AL10:AN11"/>
    <mergeCell ref="W1:Y2"/>
    <mergeCell ref="AI18:AK19"/>
    <mergeCell ref="AF18:AH19"/>
    <mergeCell ref="A1:J1"/>
    <mergeCell ref="K18:K19"/>
    <mergeCell ref="L18:N19"/>
    <mergeCell ref="U10:W11"/>
    <mergeCell ref="U18:W19"/>
    <mergeCell ref="R10:T11"/>
    <mergeCell ref="R18:T19"/>
    <mergeCell ref="T1:V2"/>
    <mergeCell ref="O10:Q11"/>
    <mergeCell ref="O18:Q19"/>
    <mergeCell ref="AC10:AE11"/>
    <mergeCell ref="AC18:AE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110"/>
  <sheetViews>
    <sheetView workbookViewId="0">
      <selection activeCell="U9" sqref="U9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5" width="4.7109375" customWidth="1"/>
    <col min="6" max="6" width="16.42578125" customWidth="1"/>
    <col min="7" max="10" width="5.28515625" customWidth="1"/>
    <col min="11" max="11" width="11.28515625" bestFit="1" customWidth="1"/>
    <col min="12" max="43" width="5.7109375" customWidth="1"/>
  </cols>
  <sheetData>
    <row r="1" spans="1:50" ht="15.95" customHeight="1" thickBot="1" x14ac:dyDescent="0.3">
      <c r="A1" s="553" t="s">
        <v>908</v>
      </c>
      <c r="B1" s="554"/>
      <c r="C1" s="554"/>
      <c r="D1" s="554"/>
      <c r="E1" s="554"/>
      <c r="F1" s="554"/>
      <c r="G1" s="554"/>
      <c r="H1" s="554"/>
      <c r="I1" s="554"/>
      <c r="J1" s="555"/>
      <c r="K1" s="513" t="s">
        <v>1028</v>
      </c>
      <c r="L1" s="500" t="s">
        <v>42</v>
      </c>
      <c r="M1" s="501"/>
      <c r="N1" s="502"/>
      <c r="O1" s="500" t="s">
        <v>151</v>
      </c>
      <c r="P1" s="501"/>
      <c r="Q1" s="502"/>
      <c r="R1" s="500" t="s">
        <v>1027</v>
      </c>
      <c r="S1" s="502"/>
      <c r="T1" s="515" t="s">
        <v>100</v>
      </c>
      <c r="U1" s="516"/>
      <c r="V1" s="517"/>
      <c r="W1" s="515" t="s">
        <v>915</v>
      </c>
      <c r="X1" s="516"/>
      <c r="Y1" s="517"/>
      <c r="Z1" s="309"/>
      <c r="AA1" s="323"/>
      <c r="AB1" s="340"/>
      <c r="AC1" s="515" t="s">
        <v>303</v>
      </c>
      <c r="AD1" s="516"/>
      <c r="AE1" s="517"/>
      <c r="AF1" s="515" t="s">
        <v>205</v>
      </c>
      <c r="AG1" s="516"/>
      <c r="AH1" s="517"/>
      <c r="AI1" s="515" t="s">
        <v>186</v>
      </c>
      <c r="AJ1" s="516"/>
      <c r="AK1" s="517"/>
      <c r="AL1" s="515" t="s">
        <v>155</v>
      </c>
      <c r="AM1" s="516"/>
      <c r="AN1" s="517"/>
      <c r="AO1" s="515" t="s">
        <v>175</v>
      </c>
      <c r="AP1" s="516"/>
      <c r="AQ1" s="517"/>
      <c r="AS1" s="5"/>
      <c r="AT1" s="5"/>
      <c r="AU1" s="5"/>
      <c r="AX1" s="5"/>
    </row>
    <row r="2" spans="1:50" ht="15" customHeight="1" thickBot="1" x14ac:dyDescent="0.3">
      <c r="A2" s="377" t="s">
        <v>0</v>
      </c>
      <c r="B2" s="219" t="s">
        <v>305</v>
      </c>
      <c r="C2" s="336" t="s">
        <v>101</v>
      </c>
      <c r="D2" s="267" t="s">
        <v>306</v>
      </c>
      <c r="E2" s="379" t="s">
        <v>1</v>
      </c>
      <c r="F2" s="380" t="s">
        <v>2</v>
      </c>
      <c r="G2" s="221" t="s">
        <v>305</v>
      </c>
      <c r="H2" s="338" t="s">
        <v>101</v>
      </c>
      <c r="I2" s="269" t="s">
        <v>306</v>
      </c>
      <c r="J2" s="384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518"/>
      <c r="U2" s="519"/>
      <c r="V2" s="520"/>
      <c r="W2" s="518"/>
      <c r="X2" s="519"/>
      <c r="Y2" s="520"/>
      <c r="Z2" s="309"/>
      <c r="AA2" s="323"/>
      <c r="AB2" s="340"/>
      <c r="AC2" s="518"/>
      <c r="AD2" s="519"/>
      <c r="AE2" s="520"/>
      <c r="AF2" s="518"/>
      <c r="AG2" s="519"/>
      <c r="AH2" s="520"/>
      <c r="AI2" s="518"/>
      <c r="AJ2" s="519"/>
      <c r="AK2" s="520"/>
      <c r="AL2" s="518"/>
      <c r="AM2" s="519"/>
      <c r="AN2" s="520"/>
      <c r="AO2" s="518"/>
      <c r="AP2" s="519"/>
      <c r="AQ2" s="520"/>
    </row>
    <row r="3" spans="1:50" ht="15" customHeight="1" thickBot="1" x14ac:dyDescent="0.3">
      <c r="A3" s="378" t="s">
        <v>425</v>
      </c>
      <c r="B3" s="220">
        <v>0</v>
      </c>
      <c r="C3" s="337">
        <v>0</v>
      </c>
      <c r="D3" s="268">
        <v>0</v>
      </c>
      <c r="E3" s="381">
        <f t="shared" ref="E3:E53" si="0">SUM(B3:D3)</f>
        <v>0</v>
      </c>
      <c r="F3" s="382" t="s">
        <v>425</v>
      </c>
      <c r="G3" s="222">
        <v>0</v>
      </c>
      <c r="H3" s="339">
        <v>0</v>
      </c>
      <c r="I3" s="270">
        <v>0</v>
      </c>
      <c r="J3" s="385">
        <f t="shared" ref="J3:J53" si="1">SUM(G3:I3)</f>
        <v>0</v>
      </c>
      <c r="K3" s="35" t="s">
        <v>72</v>
      </c>
      <c r="L3" s="4" t="s">
        <v>176</v>
      </c>
      <c r="M3" s="4" t="s">
        <v>36</v>
      </c>
      <c r="N3" s="4" t="s">
        <v>37</v>
      </c>
      <c r="O3" s="316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127"/>
      <c r="AB3" s="341"/>
      <c r="AC3" s="283" t="s">
        <v>176</v>
      </c>
      <c r="AD3" s="8" t="s">
        <v>36</v>
      </c>
      <c r="AE3" s="8" t="s">
        <v>37</v>
      </c>
      <c r="AF3" s="283" t="s">
        <v>176</v>
      </c>
      <c r="AG3" s="8" t="s">
        <v>36</v>
      </c>
      <c r="AH3" s="8" t="s">
        <v>37</v>
      </c>
      <c r="AI3" s="8" t="s">
        <v>176</v>
      </c>
      <c r="AJ3" s="8" t="s">
        <v>36</v>
      </c>
      <c r="AK3" s="8" t="s">
        <v>37</v>
      </c>
      <c r="AL3" s="8" t="s">
        <v>176</v>
      </c>
      <c r="AM3" s="8" t="s">
        <v>36</v>
      </c>
      <c r="AN3" s="8" t="s">
        <v>37</v>
      </c>
      <c r="AO3" s="8" t="s">
        <v>176</v>
      </c>
      <c r="AP3" s="8" t="s">
        <v>36</v>
      </c>
      <c r="AQ3" s="8" t="s">
        <v>37</v>
      </c>
    </row>
    <row r="4" spans="1:50" ht="15" customHeight="1" thickBot="1" x14ac:dyDescent="0.3">
      <c r="A4" s="378" t="s">
        <v>69</v>
      </c>
      <c r="B4" s="220">
        <v>1</v>
      </c>
      <c r="C4" s="337">
        <v>0</v>
      </c>
      <c r="D4" s="268">
        <v>0</v>
      </c>
      <c r="E4" s="381">
        <f t="shared" si="0"/>
        <v>1</v>
      </c>
      <c r="F4" s="382" t="s">
        <v>69</v>
      </c>
      <c r="G4" s="222">
        <v>5</v>
      </c>
      <c r="H4" s="339">
        <v>0</v>
      </c>
      <c r="I4" s="270">
        <v>0</v>
      </c>
      <c r="J4" s="385">
        <f t="shared" si="1"/>
        <v>5</v>
      </c>
      <c r="K4" s="378" t="s">
        <v>1078</v>
      </c>
      <c r="L4" s="381">
        <v>35</v>
      </c>
      <c r="M4" s="381">
        <v>40</v>
      </c>
      <c r="N4" s="386">
        <f>SUM(L4/M4)*100</f>
        <v>87.5</v>
      </c>
      <c r="O4" s="381">
        <v>4</v>
      </c>
      <c r="P4" s="381">
        <v>6</v>
      </c>
      <c r="Q4" s="386">
        <f>SUM(O4/P4)*100</f>
        <v>66.666666666666657</v>
      </c>
      <c r="R4" s="381">
        <v>-1</v>
      </c>
      <c r="S4" s="381">
        <v>-1</v>
      </c>
      <c r="T4" s="8">
        <v>77</v>
      </c>
      <c r="U4" s="8">
        <v>91</v>
      </c>
      <c r="V4" s="294">
        <f>SUM(T4/U4)*100</f>
        <v>84.615384615384613</v>
      </c>
      <c r="W4" s="283">
        <v>61</v>
      </c>
      <c r="X4" s="8">
        <v>77</v>
      </c>
      <c r="Y4" s="294">
        <f>SUM(W4/X4)*100</f>
        <v>79.220779220779221</v>
      </c>
      <c r="Z4" s="126"/>
      <c r="AA4" s="127"/>
      <c r="AB4" s="341"/>
      <c r="AC4" s="283">
        <v>51</v>
      </c>
      <c r="AD4" s="8">
        <v>70</v>
      </c>
      <c r="AE4" s="294">
        <f>SUM(AC4/AD4)*100</f>
        <v>72.857142857142847</v>
      </c>
      <c r="AF4" s="283">
        <v>37</v>
      </c>
      <c r="AG4" s="8">
        <v>50</v>
      </c>
      <c r="AH4" s="294">
        <f>SUM(AF4/AG4)*100</f>
        <v>74</v>
      </c>
      <c r="AI4" s="8">
        <v>85</v>
      </c>
      <c r="AJ4" s="8">
        <v>102</v>
      </c>
      <c r="AK4" s="294">
        <f>SUM(AI4/AJ4)*100</f>
        <v>83.333333333333343</v>
      </c>
      <c r="AL4" s="8">
        <v>87</v>
      </c>
      <c r="AM4" s="8">
        <v>122</v>
      </c>
      <c r="AN4" s="294">
        <f>SUM(AL4/AM4)*100</f>
        <v>71.311475409836063</v>
      </c>
      <c r="AO4" s="8" t="s">
        <v>43</v>
      </c>
      <c r="AP4" s="8" t="s">
        <v>43</v>
      </c>
      <c r="AQ4" s="8" t="s">
        <v>43</v>
      </c>
    </row>
    <row r="5" spans="1:50" ht="15" customHeight="1" thickBot="1" x14ac:dyDescent="0.3">
      <c r="A5" s="378" t="s">
        <v>1083</v>
      </c>
      <c r="B5" s="220">
        <v>0</v>
      </c>
      <c r="C5" s="337">
        <v>1</v>
      </c>
      <c r="D5" s="268">
        <v>0</v>
      </c>
      <c r="E5" s="381">
        <f t="shared" si="0"/>
        <v>1</v>
      </c>
      <c r="F5" s="382" t="s">
        <v>1083</v>
      </c>
      <c r="G5" s="222">
        <v>0</v>
      </c>
      <c r="H5" s="339">
        <v>5</v>
      </c>
      <c r="I5" s="270">
        <v>0</v>
      </c>
      <c r="J5" s="385">
        <f t="shared" si="1"/>
        <v>5</v>
      </c>
      <c r="K5" s="378" t="s">
        <v>1147</v>
      </c>
      <c r="L5" s="381">
        <v>5</v>
      </c>
      <c r="M5" s="381">
        <v>7</v>
      </c>
      <c r="N5" s="386">
        <f>SUM(L5/M5)*100</f>
        <v>71.428571428571431</v>
      </c>
      <c r="O5" s="381" t="s">
        <v>43</v>
      </c>
      <c r="P5" s="381" t="s">
        <v>43</v>
      </c>
      <c r="Q5" s="386" t="s">
        <v>43</v>
      </c>
      <c r="R5" s="381">
        <v>-1</v>
      </c>
      <c r="S5" s="381">
        <v>-1</v>
      </c>
      <c r="T5" s="8">
        <v>7</v>
      </c>
      <c r="U5" s="8">
        <v>9</v>
      </c>
      <c r="V5" s="294">
        <f>SUM(T5/U5)*100</f>
        <v>77.777777777777786</v>
      </c>
      <c r="W5" s="283">
        <v>6</v>
      </c>
      <c r="X5" s="8">
        <v>10</v>
      </c>
      <c r="Y5" s="8">
        <v>60</v>
      </c>
      <c r="Z5" s="126"/>
      <c r="AA5" s="127"/>
      <c r="AB5" s="341"/>
      <c r="AC5" s="283" t="s">
        <v>43</v>
      </c>
      <c r="AD5" s="8" t="s">
        <v>43</v>
      </c>
      <c r="AE5" s="8" t="s">
        <v>43</v>
      </c>
      <c r="AF5" s="283" t="s">
        <v>43</v>
      </c>
      <c r="AG5" s="8" t="s">
        <v>43</v>
      </c>
      <c r="AH5" s="8" t="s">
        <v>43</v>
      </c>
      <c r="AI5" s="8" t="s">
        <v>43</v>
      </c>
      <c r="AJ5" s="8" t="s">
        <v>43</v>
      </c>
      <c r="AK5" s="8" t="s">
        <v>43</v>
      </c>
      <c r="AL5" s="8" t="s">
        <v>43</v>
      </c>
      <c r="AM5" s="8" t="s">
        <v>43</v>
      </c>
      <c r="AN5" s="8" t="s">
        <v>43</v>
      </c>
      <c r="AO5" s="8" t="s">
        <v>43</v>
      </c>
      <c r="AP5" s="8" t="s">
        <v>43</v>
      </c>
      <c r="AQ5" s="8" t="s">
        <v>43</v>
      </c>
    </row>
    <row r="6" spans="1:50" ht="15" customHeight="1" thickBot="1" x14ac:dyDescent="0.3">
      <c r="A6" s="378" t="s">
        <v>120</v>
      </c>
      <c r="B6" s="220">
        <v>0</v>
      </c>
      <c r="C6" s="337">
        <v>0</v>
      </c>
      <c r="D6" s="268">
        <v>0</v>
      </c>
      <c r="E6" s="381">
        <f t="shared" si="0"/>
        <v>0</v>
      </c>
      <c r="F6" s="382" t="s">
        <v>120</v>
      </c>
      <c r="G6" s="222">
        <v>0</v>
      </c>
      <c r="H6" s="339">
        <v>0</v>
      </c>
      <c r="I6" s="270">
        <v>0</v>
      </c>
      <c r="J6" s="385">
        <f t="shared" si="1"/>
        <v>0</v>
      </c>
      <c r="K6" s="378" t="s">
        <v>279</v>
      </c>
      <c r="L6" s="381">
        <v>16</v>
      </c>
      <c r="M6" s="381">
        <v>21</v>
      </c>
      <c r="N6" s="386">
        <f>(Bryantleigoals/bryantleiatt)*100</f>
        <v>76.19047619047619</v>
      </c>
      <c r="O6" s="381" t="s">
        <v>43</v>
      </c>
      <c r="P6" s="381" t="s">
        <v>43</v>
      </c>
      <c r="Q6" s="386" t="s">
        <v>43</v>
      </c>
      <c r="R6" s="381">
        <v>3</v>
      </c>
      <c r="S6" s="381">
        <v>3</v>
      </c>
      <c r="T6" s="8">
        <v>1</v>
      </c>
      <c r="U6" s="8">
        <v>1</v>
      </c>
      <c r="V6" s="8">
        <v>50</v>
      </c>
      <c r="W6" s="283" t="s">
        <v>43</v>
      </c>
      <c r="X6" s="8" t="s">
        <v>43</v>
      </c>
      <c r="Y6" s="8" t="s">
        <v>43</v>
      </c>
      <c r="Z6" s="126"/>
      <c r="AA6" s="127"/>
      <c r="AB6" s="341"/>
      <c r="AC6" s="283" t="s">
        <v>43</v>
      </c>
      <c r="AD6" s="8" t="s">
        <v>43</v>
      </c>
      <c r="AE6" s="8" t="s">
        <v>43</v>
      </c>
      <c r="AF6" s="283" t="s">
        <v>43</v>
      </c>
      <c r="AG6" s="8" t="s">
        <v>43</v>
      </c>
      <c r="AH6" s="8" t="s">
        <v>43</v>
      </c>
      <c r="AI6" s="8" t="s">
        <v>43</v>
      </c>
      <c r="AJ6" s="8" t="s">
        <v>43</v>
      </c>
      <c r="AK6" s="8" t="s">
        <v>43</v>
      </c>
      <c r="AL6" s="8" t="s">
        <v>43</v>
      </c>
      <c r="AM6" s="8" t="s">
        <v>43</v>
      </c>
      <c r="AN6" s="8" t="s">
        <v>43</v>
      </c>
      <c r="AO6" s="8" t="s">
        <v>43</v>
      </c>
      <c r="AP6" s="8" t="s">
        <v>43</v>
      </c>
      <c r="AQ6" s="8" t="s">
        <v>43</v>
      </c>
    </row>
    <row r="7" spans="1:50" ht="15" customHeight="1" thickBot="1" x14ac:dyDescent="0.3">
      <c r="A7" s="378" t="s">
        <v>426</v>
      </c>
      <c r="B7" s="220">
        <v>0</v>
      </c>
      <c r="C7" s="337">
        <v>0</v>
      </c>
      <c r="D7" s="268">
        <v>0</v>
      </c>
      <c r="E7" s="381">
        <f t="shared" si="0"/>
        <v>0</v>
      </c>
      <c r="F7" s="383" t="s">
        <v>426</v>
      </c>
      <c r="G7" s="222">
        <v>0</v>
      </c>
      <c r="H7" s="339">
        <v>0</v>
      </c>
      <c r="I7" s="270">
        <v>0</v>
      </c>
      <c r="J7" s="385">
        <f t="shared" si="1"/>
        <v>0</v>
      </c>
      <c r="K7" s="378" t="s">
        <v>1167</v>
      </c>
      <c r="L7" s="381">
        <v>10</v>
      </c>
      <c r="M7" s="381">
        <v>15</v>
      </c>
      <c r="N7" s="386">
        <f>SUM(L7/M7)*100</f>
        <v>66.666666666666657</v>
      </c>
      <c r="O7" s="381" t="s">
        <v>43</v>
      </c>
      <c r="P7" s="381" t="s">
        <v>43</v>
      </c>
      <c r="Q7" s="386" t="s">
        <v>43</v>
      </c>
      <c r="R7" s="381">
        <v>-1</v>
      </c>
      <c r="S7" s="381">
        <v>-1</v>
      </c>
      <c r="T7" s="283" t="s">
        <v>43</v>
      </c>
      <c r="U7" s="8" t="s">
        <v>43</v>
      </c>
      <c r="V7" s="8" t="s">
        <v>43</v>
      </c>
      <c r="W7" s="283" t="s">
        <v>43</v>
      </c>
      <c r="X7" s="8" t="s">
        <v>43</v>
      </c>
      <c r="Y7" s="8" t="s">
        <v>43</v>
      </c>
      <c r="Z7" s="126"/>
      <c r="AA7" s="127"/>
      <c r="AB7" s="341"/>
      <c r="AC7" s="283" t="s">
        <v>43</v>
      </c>
      <c r="AD7" s="8" t="s">
        <v>43</v>
      </c>
      <c r="AE7" s="8" t="s">
        <v>43</v>
      </c>
      <c r="AF7" s="283" t="s">
        <v>43</v>
      </c>
      <c r="AG7" s="8" t="s">
        <v>43</v>
      </c>
      <c r="AH7" s="8" t="s">
        <v>43</v>
      </c>
      <c r="AI7" s="283" t="s">
        <v>43</v>
      </c>
      <c r="AJ7" s="8" t="s">
        <v>43</v>
      </c>
      <c r="AK7" s="8" t="s">
        <v>43</v>
      </c>
      <c r="AL7" s="283" t="s">
        <v>43</v>
      </c>
      <c r="AM7" s="8" t="s">
        <v>43</v>
      </c>
      <c r="AN7" s="8" t="s">
        <v>43</v>
      </c>
      <c r="AO7" s="283" t="s">
        <v>43</v>
      </c>
      <c r="AP7" s="8" t="s">
        <v>43</v>
      </c>
      <c r="AQ7" s="8" t="s">
        <v>43</v>
      </c>
      <c r="AR7" t="s">
        <v>72</v>
      </c>
    </row>
    <row r="8" spans="1:50" ht="15" customHeight="1" thickBot="1" x14ac:dyDescent="0.3">
      <c r="A8" s="378" t="s">
        <v>1164</v>
      </c>
      <c r="B8" s="220">
        <v>1</v>
      </c>
      <c r="C8" s="337">
        <v>0</v>
      </c>
      <c r="D8" s="268">
        <v>0</v>
      </c>
      <c r="E8" s="381">
        <f t="shared" si="0"/>
        <v>1</v>
      </c>
      <c r="F8" s="383" t="s">
        <v>1164</v>
      </c>
      <c r="G8" s="222">
        <v>5</v>
      </c>
      <c r="H8" s="339">
        <v>0</v>
      </c>
      <c r="I8" s="270">
        <v>0</v>
      </c>
      <c r="J8" s="385">
        <f t="shared" si="1"/>
        <v>5</v>
      </c>
      <c r="K8" s="378" t="s">
        <v>1088</v>
      </c>
      <c r="L8" s="381">
        <v>5</v>
      </c>
      <c r="M8" s="381">
        <v>7</v>
      </c>
      <c r="N8" s="386">
        <f>(L8/M8)*100</f>
        <v>71.428571428571431</v>
      </c>
      <c r="O8" s="381" t="s">
        <v>43</v>
      </c>
      <c r="P8" s="381" t="s">
        <v>43</v>
      </c>
      <c r="Q8" s="386" t="s">
        <v>43</v>
      </c>
      <c r="R8" s="381">
        <v>-1</v>
      </c>
      <c r="S8" s="381">
        <v>-1</v>
      </c>
      <c r="T8" s="8">
        <v>5</v>
      </c>
      <c r="U8" s="8">
        <v>8</v>
      </c>
      <c r="V8" s="294">
        <f>SUM(T8/U8)*100</f>
        <v>62.5</v>
      </c>
      <c r="W8" s="283" t="s">
        <v>43</v>
      </c>
      <c r="X8" s="8" t="s">
        <v>43</v>
      </c>
      <c r="Y8" s="8" t="s">
        <v>43</v>
      </c>
      <c r="Z8" s="126"/>
      <c r="AA8" s="127"/>
      <c r="AB8" s="341"/>
      <c r="AC8" s="283" t="s">
        <v>43</v>
      </c>
      <c r="AD8" s="8" t="s">
        <v>43</v>
      </c>
      <c r="AE8" s="8" t="s">
        <v>43</v>
      </c>
      <c r="AF8" s="283" t="s">
        <v>43</v>
      </c>
      <c r="AG8" s="8" t="s">
        <v>43</v>
      </c>
      <c r="AH8" s="8" t="s">
        <v>43</v>
      </c>
      <c r="AI8" s="8" t="s">
        <v>43</v>
      </c>
      <c r="AJ8" s="8" t="s">
        <v>43</v>
      </c>
      <c r="AK8" s="8" t="s">
        <v>43</v>
      </c>
      <c r="AL8" s="8" t="s">
        <v>43</v>
      </c>
      <c r="AM8" s="8" t="s">
        <v>43</v>
      </c>
      <c r="AN8" s="8" t="s">
        <v>43</v>
      </c>
      <c r="AO8" s="8" t="s">
        <v>43</v>
      </c>
      <c r="AP8" s="8" t="s">
        <v>43</v>
      </c>
      <c r="AQ8" s="8" t="s">
        <v>43</v>
      </c>
    </row>
    <row r="9" spans="1:50" ht="15" customHeight="1" thickBot="1" x14ac:dyDescent="0.3">
      <c r="A9" s="378" t="s">
        <v>828</v>
      </c>
      <c r="B9" s="220">
        <v>1</v>
      </c>
      <c r="C9" s="337">
        <v>0</v>
      </c>
      <c r="D9" s="268">
        <v>1</v>
      </c>
      <c r="E9" s="381">
        <f t="shared" si="0"/>
        <v>2</v>
      </c>
      <c r="F9" s="383" t="s">
        <v>828</v>
      </c>
      <c r="G9" s="222">
        <v>5</v>
      </c>
      <c r="H9" s="339">
        <v>0</v>
      </c>
      <c r="I9" s="270">
        <v>5</v>
      </c>
      <c r="J9" s="385">
        <f t="shared" si="1"/>
        <v>10</v>
      </c>
      <c r="K9" s="378" t="s">
        <v>1079</v>
      </c>
      <c r="L9" s="381">
        <v>1</v>
      </c>
      <c r="M9" s="381">
        <v>1</v>
      </c>
      <c r="N9" s="386">
        <f>(L9/M9)*100</f>
        <v>100</v>
      </c>
      <c r="O9" s="381" t="s">
        <v>43</v>
      </c>
      <c r="P9" s="381" t="s">
        <v>43</v>
      </c>
      <c r="Q9" s="386" t="s">
        <v>43</v>
      </c>
      <c r="R9" s="381">
        <v>1</v>
      </c>
      <c r="S9" s="381" t="s">
        <v>53</v>
      </c>
      <c r="T9" s="8" t="s">
        <v>43</v>
      </c>
      <c r="U9" s="8" t="s">
        <v>43</v>
      </c>
      <c r="V9" s="8" t="s">
        <v>43</v>
      </c>
      <c r="W9" s="283" t="s">
        <v>43</v>
      </c>
      <c r="X9" s="8" t="s">
        <v>43</v>
      </c>
      <c r="Y9" s="8" t="s">
        <v>43</v>
      </c>
      <c r="Z9" s="126"/>
      <c r="AA9" s="127"/>
      <c r="AB9" s="341"/>
      <c r="AC9" s="283" t="s">
        <v>43</v>
      </c>
      <c r="AD9" s="8" t="s">
        <v>43</v>
      </c>
      <c r="AE9" s="8" t="s">
        <v>43</v>
      </c>
      <c r="AF9" s="283" t="s">
        <v>43</v>
      </c>
      <c r="AG9" s="8" t="s">
        <v>43</v>
      </c>
      <c r="AH9" s="8" t="s">
        <v>43</v>
      </c>
      <c r="AI9" s="8" t="s">
        <v>43</v>
      </c>
      <c r="AJ9" s="8" t="s">
        <v>43</v>
      </c>
      <c r="AK9" s="8" t="s">
        <v>43</v>
      </c>
      <c r="AL9" s="8" t="s">
        <v>43</v>
      </c>
      <c r="AM9" s="8" t="s">
        <v>43</v>
      </c>
      <c r="AN9" s="8" t="s">
        <v>43</v>
      </c>
      <c r="AO9" s="8" t="s">
        <v>43</v>
      </c>
      <c r="AP9" s="8" t="s">
        <v>43</v>
      </c>
      <c r="AQ9" s="8" t="s">
        <v>43</v>
      </c>
    </row>
    <row r="10" spans="1:50" ht="15" customHeight="1" thickBot="1" x14ac:dyDescent="0.3">
      <c r="A10" s="378" t="s">
        <v>72</v>
      </c>
      <c r="B10" s="220">
        <v>0</v>
      </c>
      <c r="C10" s="337">
        <v>0</v>
      </c>
      <c r="D10" s="268">
        <v>0</v>
      </c>
      <c r="E10" s="381">
        <f t="shared" si="0"/>
        <v>0</v>
      </c>
      <c r="F10" s="383" t="s">
        <v>72</v>
      </c>
      <c r="G10" s="222">
        <v>0</v>
      </c>
      <c r="H10" s="339">
        <v>0</v>
      </c>
      <c r="I10" s="270">
        <v>0</v>
      </c>
      <c r="J10" s="385">
        <f t="shared" si="1"/>
        <v>0</v>
      </c>
      <c r="K10" s="378" t="s">
        <v>213</v>
      </c>
      <c r="L10" s="381" t="s">
        <v>43</v>
      </c>
      <c r="M10" s="381" t="s">
        <v>43</v>
      </c>
      <c r="N10" s="386" t="s">
        <v>43</v>
      </c>
      <c r="O10" s="381" t="s">
        <v>43</v>
      </c>
      <c r="P10" s="381" t="s">
        <v>43</v>
      </c>
      <c r="Q10" s="386" t="s">
        <v>43</v>
      </c>
      <c r="R10" s="381" t="s">
        <v>53</v>
      </c>
      <c r="S10" s="381">
        <v>5</v>
      </c>
      <c r="T10" s="8" t="s">
        <v>43</v>
      </c>
      <c r="U10" s="8" t="s">
        <v>43</v>
      </c>
      <c r="V10" s="8" t="s">
        <v>43</v>
      </c>
      <c r="W10" s="283" t="s">
        <v>43</v>
      </c>
      <c r="X10" s="8" t="s">
        <v>43</v>
      </c>
      <c r="Y10" s="8" t="s">
        <v>43</v>
      </c>
      <c r="Z10" s="126"/>
      <c r="AA10" s="127"/>
      <c r="AB10" s="341"/>
      <c r="AC10" s="283" t="s">
        <v>43</v>
      </c>
      <c r="AD10" s="8" t="s">
        <v>43</v>
      </c>
      <c r="AE10" s="8" t="s">
        <v>43</v>
      </c>
      <c r="AF10" s="283" t="s">
        <v>43</v>
      </c>
      <c r="AG10" s="8" t="s">
        <v>43</v>
      </c>
      <c r="AH10" s="8" t="s">
        <v>43</v>
      </c>
      <c r="AI10" s="8" t="s">
        <v>43</v>
      </c>
      <c r="AJ10" s="8" t="s">
        <v>43</v>
      </c>
      <c r="AK10" s="8" t="s">
        <v>43</v>
      </c>
      <c r="AL10" s="8" t="s">
        <v>43</v>
      </c>
      <c r="AM10" s="8" t="s">
        <v>43</v>
      </c>
      <c r="AN10" s="8" t="s">
        <v>43</v>
      </c>
      <c r="AO10" s="8" t="s">
        <v>43</v>
      </c>
      <c r="AP10" s="8" t="s">
        <v>43</v>
      </c>
      <c r="AQ10" s="8" t="s">
        <v>43</v>
      </c>
    </row>
    <row r="11" spans="1:50" ht="15" customHeight="1" thickBot="1" x14ac:dyDescent="0.3">
      <c r="A11" s="378" t="s">
        <v>847</v>
      </c>
      <c r="B11" s="220">
        <v>0</v>
      </c>
      <c r="C11" s="337">
        <v>0</v>
      </c>
      <c r="D11" s="268">
        <v>0</v>
      </c>
      <c r="E11" s="381">
        <f t="shared" si="0"/>
        <v>0</v>
      </c>
      <c r="F11" s="383" t="s">
        <v>847</v>
      </c>
      <c r="G11" s="222">
        <v>0</v>
      </c>
      <c r="H11" s="339">
        <v>0</v>
      </c>
      <c r="I11" s="270">
        <v>0</v>
      </c>
      <c r="J11" s="385">
        <f t="shared" si="1"/>
        <v>0</v>
      </c>
      <c r="K11" s="378" t="s">
        <v>1020</v>
      </c>
      <c r="L11" s="381">
        <v>0</v>
      </c>
      <c r="M11" s="381">
        <v>1</v>
      </c>
      <c r="N11" s="386">
        <f>(L11/M11)*100</f>
        <v>0</v>
      </c>
      <c r="O11" s="381" t="s">
        <v>43</v>
      </c>
      <c r="P11" s="381" t="s">
        <v>43</v>
      </c>
      <c r="Q11" s="386" t="s">
        <v>43</v>
      </c>
      <c r="R11" s="381">
        <v>-1</v>
      </c>
      <c r="S11" s="381">
        <v>-1</v>
      </c>
      <c r="T11" s="8" t="s">
        <v>43</v>
      </c>
      <c r="U11" s="8" t="s">
        <v>43</v>
      </c>
      <c r="V11" s="8" t="s">
        <v>43</v>
      </c>
      <c r="W11" s="283" t="s">
        <v>43</v>
      </c>
      <c r="X11" s="8" t="s">
        <v>43</v>
      </c>
      <c r="Y11" s="8" t="s">
        <v>43</v>
      </c>
      <c r="Z11" s="126"/>
      <c r="AA11" s="127"/>
      <c r="AB11" s="341"/>
      <c r="AC11" s="283" t="s">
        <v>43</v>
      </c>
      <c r="AD11" s="8" t="s">
        <v>43</v>
      </c>
      <c r="AE11" s="8" t="s">
        <v>43</v>
      </c>
      <c r="AF11" s="283" t="s">
        <v>43</v>
      </c>
      <c r="AG11" s="8" t="s">
        <v>43</v>
      </c>
      <c r="AH11" s="8" t="s">
        <v>43</v>
      </c>
      <c r="AI11" s="8" t="s">
        <v>43</v>
      </c>
      <c r="AJ11" s="8" t="s">
        <v>43</v>
      </c>
      <c r="AK11" s="8" t="s">
        <v>43</v>
      </c>
      <c r="AL11" s="8" t="s">
        <v>43</v>
      </c>
      <c r="AM11" s="8" t="s">
        <v>43</v>
      </c>
      <c r="AN11" s="8" t="s">
        <v>43</v>
      </c>
      <c r="AO11" s="8" t="s">
        <v>43</v>
      </c>
      <c r="AP11" s="8" t="s">
        <v>43</v>
      </c>
      <c r="AQ11" s="8" t="s">
        <v>43</v>
      </c>
    </row>
    <row r="12" spans="1:50" ht="15" customHeight="1" thickBot="1" x14ac:dyDescent="0.3">
      <c r="A12" s="378" t="s">
        <v>72</v>
      </c>
      <c r="B12" s="220">
        <v>0</v>
      </c>
      <c r="C12" s="337">
        <v>0</v>
      </c>
      <c r="D12" s="268">
        <v>0</v>
      </c>
      <c r="E12" s="381">
        <f t="shared" si="0"/>
        <v>0</v>
      </c>
      <c r="F12" s="383" t="s">
        <v>72</v>
      </c>
      <c r="G12" s="222">
        <v>0</v>
      </c>
      <c r="H12" s="339">
        <v>0</v>
      </c>
      <c r="I12" s="270">
        <v>0</v>
      </c>
      <c r="J12" s="385">
        <f t="shared" si="1"/>
        <v>0</v>
      </c>
      <c r="K12" s="378" t="s">
        <v>30</v>
      </c>
      <c r="L12" s="381" t="s">
        <v>43</v>
      </c>
      <c r="M12" s="381" t="s">
        <v>43</v>
      </c>
      <c r="N12" s="386" t="s">
        <v>43</v>
      </c>
      <c r="O12" s="381" t="s">
        <v>43</v>
      </c>
      <c r="P12" s="381" t="s">
        <v>43</v>
      </c>
      <c r="Q12" s="386" t="s">
        <v>43</v>
      </c>
      <c r="R12" s="381" t="s">
        <v>53</v>
      </c>
      <c r="S12" s="381" t="s">
        <v>56</v>
      </c>
      <c r="T12" s="8" t="s">
        <v>43</v>
      </c>
      <c r="U12" s="8" t="s">
        <v>43</v>
      </c>
      <c r="V12" s="8" t="s">
        <v>43</v>
      </c>
      <c r="W12" s="283" t="s">
        <v>43</v>
      </c>
      <c r="X12" s="8" t="s">
        <v>43</v>
      </c>
      <c r="Y12" s="8" t="s">
        <v>43</v>
      </c>
      <c r="Z12" s="126"/>
      <c r="AA12" s="127"/>
      <c r="AB12" s="341"/>
      <c r="AC12" s="283" t="s">
        <v>43</v>
      </c>
      <c r="AD12" s="8" t="s">
        <v>43</v>
      </c>
      <c r="AE12" s="8" t="s">
        <v>43</v>
      </c>
      <c r="AF12" s="283" t="s">
        <v>43</v>
      </c>
      <c r="AG12" s="8" t="s">
        <v>43</v>
      </c>
      <c r="AH12" s="8" t="s">
        <v>43</v>
      </c>
      <c r="AI12" s="8" t="s">
        <v>43</v>
      </c>
      <c r="AJ12" s="8" t="s">
        <v>43</v>
      </c>
      <c r="AK12" s="8" t="s">
        <v>43</v>
      </c>
      <c r="AL12" s="8" t="s">
        <v>43</v>
      </c>
      <c r="AM12" s="8" t="s">
        <v>43</v>
      </c>
      <c r="AN12" s="8" t="s">
        <v>43</v>
      </c>
      <c r="AO12" s="8">
        <v>0</v>
      </c>
      <c r="AP12" s="8">
        <v>1</v>
      </c>
      <c r="AQ12" s="8">
        <v>0</v>
      </c>
    </row>
    <row r="13" spans="1:50" ht="15" customHeight="1" thickBot="1" x14ac:dyDescent="0.3">
      <c r="A13" s="378" t="s">
        <v>1077</v>
      </c>
      <c r="B13" s="220">
        <v>1</v>
      </c>
      <c r="C13" s="337">
        <v>0</v>
      </c>
      <c r="D13" s="268">
        <v>0</v>
      </c>
      <c r="E13" s="381">
        <f t="shared" si="0"/>
        <v>1</v>
      </c>
      <c r="F13" s="383" t="s">
        <v>1077</v>
      </c>
      <c r="G13" s="222">
        <v>96</v>
      </c>
      <c r="H13" s="339">
        <v>43</v>
      </c>
      <c r="I13" s="270">
        <v>0</v>
      </c>
      <c r="J13" s="385">
        <f t="shared" si="1"/>
        <v>139</v>
      </c>
      <c r="K13" s="28"/>
      <c r="AC13" s="311"/>
      <c r="AD13" s="311"/>
    </row>
    <row r="14" spans="1:50" ht="15" customHeight="1" thickBot="1" x14ac:dyDescent="0.3">
      <c r="A14" s="378" t="s">
        <v>72</v>
      </c>
      <c r="B14" s="220">
        <v>0</v>
      </c>
      <c r="C14" s="337">
        <v>0</v>
      </c>
      <c r="D14" s="268">
        <v>0</v>
      </c>
      <c r="E14" s="381">
        <f t="shared" si="0"/>
        <v>0</v>
      </c>
      <c r="F14" s="383" t="s">
        <v>72</v>
      </c>
      <c r="G14" s="222">
        <v>0</v>
      </c>
      <c r="H14" s="339">
        <v>0</v>
      </c>
      <c r="I14" s="270">
        <v>0</v>
      </c>
      <c r="J14" s="385">
        <f t="shared" si="1"/>
        <v>0</v>
      </c>
      <c r="K14" s="556" t="s">
        <v>1041</v>
      </c>
      <c r="L14" s="500" t="s">
        <v>42</v>
      </c>
      <c r="M14" s="501"/>
      <c r="N14" s="502"/>
      <c r="O14" s="515" t="s">
        <v>1030</v>
      </c>
      <c r="P14" s="516"/>
      <c r="Q14" s="517"/>
      <c r="R14" s="515" t="s">
        <v>1031</v>
      </c>
      <c r="S14" s="516"/>
      <c r="T14" s="517"/>
      <c r="U14" s="515" t="s">
        <v>1032</v>
      </c>
      <c r="V14" s="516"/>
      <c r="W14" s="517"/>
      <c r="X14" s="323"/>
      <c r="Y14" s="323"/>
      <c r="Z14" s="323"/>
      <c r="AA14" s="404"/>
      <c r="AB14" s="515" t="s">
        <v>1033</v>
      </c>
      <c r="AC14" s="516"/>
      <c r="AD14" s="517"/>
      <c r="AE14" s="515" t="s">
        <v>1034</v>
      </c>
      <c r="AF14" s="516"/>
      <c r="AG14" s="517"/>
      <c r="AH14" s="515" t="s">
        <v>917</v>
      </c>
      <c r="AI14" s="516"/>
      <c r="AJ14" s="517"/>
      <c r="AK14" s="290"/>
    </row>
    <row r="15" spans="1:50" ht="15" customHeight="1" thickBot="1" x14ac:dyDescent="0.3">
      <c r="A15" s="378" t="s">
        <v>962</v>
      </c>
      <c r="B15" s="220">
        <v>0</v>
      </c>
      <c r="C15" s="337">
        <v>1</v>
      </c>
      <c r="D15" s="268">
        <v>1</v>
      </c>
      <c r="E15" s="381">
        <f t="shared" si="0"/>
        <v>2</v>
      </c>
      <c r="F15" s="383" t="s">
        <v>962</v>
      </c>
      <c r="G15" s="222">
        <v>0</v>
      </c>
      <c r="H15" s="339">
        <v>5</v>
      </c>
      <c r="I15" s="270">
        <v>5</v>
      </c>
      <c r="J15" s="385">
        <f t="shared" si="1"/>
        <v>10</v>
      </c>
      <c r="K15" s="557"/>
      <c r="L15" s="503"/>
      <c r="M15" s="504"/>
      <c r="N15" s="505"/>
      <c r="O15" s="518"/>
      <c r="P15" s="519"/>
      <c r="Q15" s="520"/>
      <c r="R15" s="518"/>
      <c r="S15" s="519"/>
      <c r="T15" s="520"/>
      <c r="U15" s="518"/>
      <c r="V15" s="519"/>
      <c r="W15" s="520"/>
      <c r="X15" s="323"/>
      <c r="Y15" s="323"/>
      <c r="Z15" s="323"/>
      <c r="AA15" s="404"/>
      <c r="AB15" s="518"/>
      <c r="AC15" s="519"/>
      <c r="AD15" s="520"/>
      <c r="AE15" s="518"/>
      <c r="AF15" s="519"/>
      <c r="AG15" s="520"/>
      <c r="AH15" s="518"/>
      <c r="AI15" s="519"/>
      <c r="AJ15" s="520"/>
      <c r="AK15" s="290"/>
    </row>
    <row r="16" spans="1:50" ht="15" customHeight="1" thickBot="1" x14ac:dyDescent="0.3">
      <c r="A16" s="378" t="s">
        <v>194</v>
      </c>
      <c r="B16" s="220">
        <v>1</v>
      </c>
      <c r="C16" s="337">
        <v>0</v>
      </c>
      <c r="D16" s="268">
        <v>0</v>
      </c>
      <c r="E16" s="381">
        <f t="shared" si="0"/>
        <v>1</v>
      </c>
      <c r="F16" s="383" t="s">
        <v>194</v>
      </c>
      <c r="G16" s="222">
        <v>5</v>
      </c>
      <c r="H16" s="339">
        <v>0</v>
      </c>
      <c r="I16" s="270">
        <v>0</v>
      </c>
      <c r="J16" s="385">
        <f t="shared" si="1"/>
        <v>5</v>
      </c>
      <c r="K16" s="35" t="s">
        <v>72</v>
      </c>
      <c r="L16" s="4" t="s">
        <v>176</v>
      </c>
      <c r="M16" s="4" t="s">
        <v>36</v>
      </c>
      <c r="N16" s="4" t="s">
        <v>37</v>
      </c>
      <c r="O16" s="8" t="s">
        <v>176</v>
      </c>
      <c r="P16" s="8" t="s">
        <v>36</v>
      </c>
      <c r="Q16" s="8" t="s">
        <v>37</v>
      </c>
      <c r="R16" s="8" t="s">
        <v>176</v>
      </c>
      <c r="S16" s="8" t="s">
        <v>36</v>
      </c>
      <c r="T16" s="8" t="s">
        <v>37</v>
      </c>
      <c r="U16" s="283" t="s">
        <v>176</v>
      </c>
      <c r="V16" s="8" t="s">
        <v>36</v>
      </c>
      <c r="W16" s="8" t="s">
        <v>37</v>
      </c>
      <c r="X16" s="404"/>
      <c r="Y16" s="404"/>
      <c r="Z16" s="404"/>
      <c r="AA16" s="404"/>
      <c r="AB16" s="283" t="s">
        <v>176</v>
      </c>
      <c r="AC16" s="8" t="s">
        <v>36</v>
      </c>
      <c r="AD16" s="8" t="s">
        <v>37</v>
      </c>
      <c r="AE16" s="283" t="s">
        <v>176</v>
      </c>
      <c r="AF16" s="8" t="s">
        <v>36</v>
      </c>
      <c r="AG16" s="8" t="s">
        <v>37</v>
      </c>
      <c r="AH16" s="7" t="s">
        <v>176</v>
      </c>
      <c r="AI16" s="8" t="s">
        <v>36</v>
      </c>
      <c r="AJ16" s="8" t="s">
        <v>37</v>
      </c>
      <c r="AK16" s="290"/>
    </row>
    <row r="17" spans="1:43" ht="15" customHeight="1" thickBot="1" x14ac:dyDescent="0.3">
      <c r="A17" s="378" t="s">
        <v>891</v>
      </c>
      <c r="B17" s="220">
        <v>0</v>
      </c>
      <c r="C17" s="337">
        <v>0</v>
      </c>
      <c r="D17" s="268">
        <v>0</v>
      </c>
      <c r="E17" s="381">
        <f t="shared" si="0"/>
        <v>0</v>
      </c>
      <c r="F17" s="383" t="s">
        <v>891</v>
      </c>
      <c r="G17" s="222">
        <v>0</v>
      </c>
      <c r="H17" s="339">
        <v>0</v>
      </c>
      <c r="I17" s="270">
        <v>0</v>
      </c>
      <c r="J17" s="385">
        <f t="shared" si="1"/>
        <v>0</v>
      </c>
      <c r="K17" s="378" t="s">
        <v>1078</v>
      </c>
      <c r="L17" s="381">
        <v>16</v>
      </c>
      <c r="M17" s="381">
        <v>19</v>
      </c>
      <c r="N17" s="386">
        <f>SUM(L17/M17)*100</f>
        <v>84.210526315789465</v>
      </c>
      <c r="O17" s="8">
        <v>17</v>
      </c>
      <c r="P17" s="8">
        <v>21</v>
      </c>
      <c r="Q17" s="294">
        <f>SUM(O17/P17)*100</f>
        <v>80.952380952380949</v>
      </c>
      <c r="R17" s="8">
        <v>21</v>
      </c>
      <c r="S17" s="8">
        <v>24</v>
      </c>
      <c r="T17" s="294">
        <f>SUM(R17/S17)*100</f>
        <v>87.5</v>
      </c>
      <c r="U17" s="283">
        <v>20</v>
      </c>
      <c r="V17" s="8">
        <v>25</v>
      </c>
      <c r="W17" s="294">
        <f>SUM(U17/V17)*100</f>
        <v>80</v>
      </c>
      <c r="X17" s="404"/>
      <c r="Y17" s="404"/>
      <c r="Z17" s="404"/>
      <c r="AA17" s="404"/>
      <c r="AB17" s="299">
        <v>15</v>
      </c>
      <c r="AC17" s="300">
        <v>21</v>
      </c>
      <c r="AD17" s="315">
        <f>SUM(AB17/AC17)*100</f>
        <v>71.428571428571431</v>
      </c>
      <c r="AE17" s="346">
        <v>27</v>
      </c>
      <c r="AF17" s="300">
        <v>34</v>
      </c>
      <c r="AG17" s="315">
        <f>SUM(AE17/AF17)*100</f>
        <v>79.411764705882348</v>
      </c>
      <c r="AH17" s="7">
        <v>27</v>
      </c>
      <c r="AI17" s="293">
        <v>40</v>
      </c>
      <c r="AJ17" s="292">
        <f>SUM(AH17/AI17)*100</f>
        <v>67.5</v>
      </c>
      <c r="AK17" s="325"/>
      <c r="AL17" s="324"/>
      <c r="AM17" s="324"/>
      <c r="AN17" s="324"/>
      <c r="AO17" s="324"/>
      <c r="AP17" s="324"/>
      <c r="AQ17" s="324"/>
    </row>
    <row r="18" spans="1:43" ht="15" customHeight="1" thickBot="1" x14ac:dyDescent="0.3">
      <c r="A18" s="378" t="s">
        <v>279</v>
      </c>
      <c r="B18" s="220">
        <v>0</v>
      </c>
      <c r="C18" s="337">
        <v>0</v>
      </c>
      <c r="D18" s="268">
        <v>0</v>
      </c>
      <c r="E18" s="381">
        <f t="shared" si="0"/>
        <v>0</v>
      </c>
      <c r="F18" s="383" t="s">
        <v>279</v>
      </c>
      <c r="G18" s="222">
        <v>44</v>
      </c>
      <c r="H18" s="339">
        <v>27</v>
      </c>
      <c r="I18" s="270">
        <v>23</v>
      </c>
      <c r="J18" s="385">
        <f t="shared" si="1"/>
        <v>94</v>
      </c>
      <c r="K18" s="378" t="s">
        <v>279</v>
      </c>
      <c r="L18" s="381">
        <v>11</v>
      </c>
      <c r="M18" s="381">
        <v>16</v>
      </c>
      <c r="N18" s="386">
        <f>SUM(L18/M18)*100</f>
        <v>68.75</v>
      </c>
      <c r="O18" s="8" t="s">
        <v>43</v>
      </c>
      <c r="P18" s="8" t="s">
        <v>43</v>
      </c>
      <c r="Q18" s="8" t="s">
        <v>43</v>
      </c>
      <c r="R18" s="8" t="s">
        <v>43</v>
      </c>
      <c r="S18" s="8" t="s">
        <v>43</v>
      </c>
      <c r="T18" s="8" t="s">
        <v>43</v>
      </c>
      <c r="U18" s="283" t="s">
        <v>43</v>
      </c>
      <c r="V18" s="8" t="s">
        <v>43</v>
      </c>
      <c r="W18" s="8" t="s">
        <v>43</v>
      </c>
      <c r="X18" s="404"/>
      <c r="Y18" s="404"/>
      <c r="Z18" s="404"/>
      <c r="AA18" s="404"/>
      <c r="AB18" s="283" t="s">
        <v>43</v>
      </c>
      <c r="AC18" s="8" t="s">
        <v>43</v>
      </c>
      <c r="AD18" s="8" t="s">
        <v>43</v>
      </c>
      <c r="AE18" s="7" t="s">
        <v>43</v>
      </c>
      <c r="AF18" s="8" t="s">
        <v>43</v>
      </c>
      <c r="AG18" s="8" t="s">
        <v>43</v>
      </c>
      <c r="AH18" s="8" t="s">
        <v>43</v>
      </c>
      <c r="AI18" s="8" t="s">
        <v>43</v>
      </c>
      <c r="AJ18" s="8" t="s">
        <v>43</v>
      </c>
      <c r="AK18" s="349"/>
      <c r="AL18" s="347"/>
      <c r="AM18" s="347"/>
      <c r="AN18" s="347"/>
      <c r="AO18" s="347"/>
      <c r="AP18" s="347"/>
      <c r="AQ18" s="347"/>
    </row>
    <row r="19" spans="1:43" ht="15" customHeight="1" thickBot="1" x14ac:dyDescent="0.3">
      <c r="A19" s="378" t="s">
        <v>1186</v>
      </c>
      <c r="B19" s="220">
        <v>2</v>
      </c>
      <c r="C19" s="337">
        <v>0</v>
      </c>
      <c r="D19" s="268">
        <v>0</v>
      </c>
      <c r="E19" s="381">
        <f t="shared" si="0"/>
        <v>2</v>
      </c>
      <c r="F19" s="383" t="s">
        <v>1186</v>
      </c>
      <c r="G19" s="222">
        <v>10</v>
      </c>
      <c r="H19" s="339">
        <v>0</v>
      </c>
      <c r="I19" s="270">
        <v>0</v>
      </c>
      <c r="J19" s="385">
        <f t="shared" si="1"/>
        <v>10</v>
      </c>
      <c r="K19" s="378" t="s">
        <v>1088</v>
      </c>
      <c r="L19" s="381">
        <v>2</v>
      </c>
      <c r="M19" s="381">
        <v>2</v>
      </c>
      <c r="N19" s="381">
        <f>SUM(L19/M19)*100</f>
        <v>100</v>
      </c>
      <c r="O19" s="8">
        <v>3</v>
      </c>
      <c r="P19" s="8">
        <v>3</v>
      </c>
      <c r="Q19" s="8">
        <v>100</v>
      </c>
      <c r="R19" s="8" t="s">
        <v>43</v>
      </c>
      <c r="S19" s="8" t="s">
        <v>43</v>
      </c>
      <c r="T19" s="8" t="s">
        <v>43</v>
      </c>
      <c r="U19" s="283" t="s">
        <v>43</v>
      </c>
      <c r="V19" s="8" t="s">
        <v>43</v>
      </c>
      <c r="W19" s="8" t="s">
        <v>43</v>
      </c>
      <c r="X19" s="404"/>
      <c r="Y19" s="404"/>
      <c r="Z19" s="404"/>
      <c r="AA19" s="404"/>
      <c r="AB19" s="283" t="s">
        <v>43</v>
      </c>
      <c r="AC19" s="8" t="s">
        <v>43</v>
      </c>
      <c r="AD19" s="8" t="s">
        <v>43</v>
      </c>
      <c r="AE19" s="7" t="s">
        <v>43</v>
      </c>
      <c r="AF19" s="8" t="s">
        <v>43</v>
      </c>
      <c r="AG19" s="8" t="s">
        <v>43</v>
      </c>
      <c r="AH19" s="8" t="s">
        <v>43</v>
      </c>
      <c r="AI19" s="8" t="s">
        <v>43</v>
      </c>
      <c r="AJ19" s="8" t="s">
        <v>43</v>
      </c>
      <c r="AK19" s="290" t="s">
        <v>72</v>
      </c>
    </row>
    <row r="20" spans="1:43" ht="15" customHeight="1" thickBot="1" x14ac:dyDescent="0.3">
      <c r="A20" s="378" t="s">
        <v>1167</v>
      </c>
      <c r="B20" s="220">
        <v>0</v>
      </c>
      <c r="C20" s="337">
        <v>0</v>
      </c>
      <c r="D20" s="268">
        <v>0</v>
      </c>
      <c r="E20" s="381">
        <f t="shared" si="0"/>
        <v>0</v>
      </c>
      <c r="F20" s="383" t="s">
        <v>1167</v>
      </c>
      <c r="G20" s="222">
        <v>31</v>
      </c>
      <c r="H20" s="339">
        <v>0</v>
      </c>
      <c r="I20" s="270">
        <v>0</v>
      </c>
      <c r="J20" s="385">
        <f t="shared" si="1"/>
        <v>31</v>
      </c>
      <c r="O20" s="290"/>
      <c r="P20" s="290"/>
      <c r="Q20" s="290"/>
      <c r="R20" s="290"/>
      <c r="S20" s="290"/>
      <c r="T20" s="290"/>
      <c r="U20" s="290"/>
      <c r="V20" s="290"/>
      <c r="W20" s="290"/>
      <c r="X20" s="404"/>
      <c r="Y20" s="404"/>
      <c r="Z20" s="404"/>
      <c r="AA20" s="404"/>
      <c r="AB20" s="405"/>
      <c r="AC20" s="405"/>
      <c r="AD20" s="405"/>
      <c r="AE20" s="290"/>
      <c r="AF20" s="290"/>
      <c r="AG20" s="290"/>
      <c r="AH20" s="290"/>
      <c r="AI20" s="290"/>
      <c r="AJ20" s="290"/>
      <c r="AK20" s="290"/>
    </row>
    <row r="21" spans="1:43" ht="15" customHeight="1" thickBot="1" x14ac:dyDescent="0.3">
      <c r="A21" s="378" t="s">
        <v>73</v>
      </c>
      <c r="B21" s="220">
        <v>1</v>
      </c>
      <c r="C21" s="337">
        <v>4</v>
      </c>
      <c r="D21" s="268">
        <v>3</v>
      </c>
      <c r="E21" s="381">
        <f t="shared" si="0"/>
        <v>8</v>
      </c>
      <c r="F21" s="383" t="s">
        <v>73</v>
      </c>
      <c r="G21" s="222">
        <v>5</v>
      </c>
      <c r="H21" s="339">
        <v>20</v>
      </c>
      <c r="I21" s="270">
        <v>15</v>
      </c>
      <c r="J21" s="385">
        <f t="shared" si="1"/>
        <v>40</v>
      </c>
      <c r="K21" s="509" t="s">
        <v>304</v>
      </c>
      <c r="L21" s="500" t="s">
        <v>42</v>
      </c>
      <c r="M21" s="501"/>
      <c r="N21" s="502"/>
      <c r="O21" s="515" t="s">
        <v>100</v>
      </c>
      <c r="P21" s="516"/>
      <c r="Q21" s="517"/>
      <c r="R21" s="515" t="s">
        <v>915</v>
      </c>
      <c r="S21" s="516"/>
      <c r="T21" s="517"/>
      <c r="U21" s="515" t="s">
        <v>303</v>
      </c>
      <c r="V21" s="516"/>
      <c r="W21" s="517"/>
      <c r="X21" s="404"/>
      <c r="Y21" s="404"/>
      <c r="Z21" s="404"/>
      <c r="AA21" s="404"/>
      <c r="AB21" s="515" t="s">
        <v>186</v>
      </c>
      <c r="AC21" s="516"/>
      <c r="AD21" s="517"/>
      <c r="AE21" s="515" t="s">
        <v>140</v>
      </c>
      <c r="AF21" s="516"/>
      <c r="AG21" s="517"/>
      <c r="AH21" s="290"/>
      <c r="AI21" s="290"/>
      <c r="AJ21" s="290"/>
      <c r="AK21" s="290"/>
    </row>
    <row r="22" spans="1:43" ht="15" customHeight="1" thickBot="1" x14ac:dyDescent="0.3">
      <c r="A22" s="378" t="s">
        <v>60</v>
      </c>
      <c r="B22" s="220">
        <v>0</v>
      </c>
      <c r="C22" s="337">
        <v>0</v>
      </c>
      <c r="D22" s="268">
        <v>0</v>
      </c>
      <c r="E22" s="381">
        <f t="shared" si="0"/>
        <v>0</v>
      </c>
      <c r="F22" s="383" t="s">
        <v>60</v>
      </c>
      <c r="G22" s="222">
        <v>0</v>
      </c>
      <c r="H22" s="339">
        <v>0</v>
      </c>
      <c r="I22" s="270">
        <v>0</v>
      </c>
      <c r="J22" s="385">
        <f t="shared" si="1"/>
        <v>0</v>
      </c>
      <c r="K22" s="510"/>
      <c r="L22" s="503"/>
      <c r="M22" s="504"/>
      <c r="N22" s="505"/>
      <c r="O22" s="518"/>
      <c r="P22" s="519"/>
      <c r="Q22" s="520"/>
      <c r="R22" s="518"/>
      <c r="S22" s="519"/>
      <c r="T22" s="520"/>
      <c r="U22" s="518"/>
      <c r="V22" s="519"/>
      <c r="W22" s="520"/>
      <c r="X22" s="404"/>
      <c r="Y22" s="404"/>
      <c r="Z22" s="404"/>
      <c r="AA22" s="404"/>
      <c r="AB22" s="518"/>
      <c r="AC22" s="519"/>
      <c r="AD22" s="520"/>
      <c r="AE22" s="518"/>
      <c r="AF22" s="519"/>
      <c r="AG22" s="520"/>
      <c r="AH22" s="290"/>
      <c r="AI22" s="290"/>
      <c r="AJ22" s="290"/>
      <c r="AK22" s="290"/>
    </row>
    <row r="23" spans="1:43" ht="15" customHeight="1" thickBot="1" x14ac:dyDescent="0.3">
      <c r="A23" s="378" t="s">
        <v>1085</v>
      </c>
      <c r="B23" s="220">
        <v>1</v>
      </c>
      <c r="C23" s="337">
        <v>1</v>
      </c>
      <c r="D23" s="268">
        <v>0</v>
      </c>
      <c r="E23" s="381">
        <f t="shared" si="0"/>
        <v>2</v>
      </c>
      <c r="F23" s="383" t="s">
        <v>1085</v>
      </c>
      <c r="G23" s="222">
        <v>5</v>
      </c>
      <c r="H23" s="339">
        <v>5</v>
      </c>
      <c r="I23" s="270">
        <v>0</v>
      </c>
      <c r="J23" s="385">
        <f t="shared" si="1"/>
        <v>10</v>
      </c>
      <c r="K23" s="35" t="s">
        <v>72</v>
      </c>
      <c r="L23" s="4" t="s">
        <v>176</v>
      </c>
      <c r="M23" s="4" t="s">
        <v>36</v>
      </c>
      <c r="N23" s="4" t="s">
        <v>37</v>
      </c>
      <c r="O23" s="8" t="s">
        <v>176</v>
      </c>
      <c r="P23" s="8" t="s">
        <v>36</v>
      </c>
      <c r="Q23" s="8" t="s">
        <v>37</v>
      </c>
      <c r="R23" s="8" t="s">
        <v>176</v>
      </c>
      <c r="S23" s="8" t="s">
        <v>36</v>
      </c>
      <c r="T23" s="8" t="s">
        <v>37</v>
      </c>
      <c r="U23" s="283" t="s">
        <v>176</v>
      </c>
      <c r="V23" s="8" t="s">
        <v>36</v>
      </c>
      <c r="W23" s="8" t="s">
        <v>37</v>
      </c>
      <c r="X23" s="404"/>
      <c r="Y23" s="404"/>
      <c r="Z23" s="404"/>
      <c r="AA23" s="404"/>
      <c r="AB23" s="283" t="s">
        <v>176</v>
      </c>
      <c r="AC23" s="8" t="s">
        <v>36</v>
      </c>
      <c r="AD23" s="8" t="s">
        <v>37</v>
      </c>
      <c r="AE23" s="283" t="s">
        <v>176</v>
      </c>
      <c r="AF23" s="8" t="s">
        <v>36</v>
      </c>
      <c r="AG23" s="8" t="s">
        <v>37</v>
      </c>
      <c r="AH23" s="290"/>
      <c r="AI23" s="290"/>
      <c r="AJ23" s="290"/>
      <c r="AK23" s="290"/>
    </row>
    <row r="24" spans="1:43" ht="15" customHeight="1" thickBot="1" x14ac:dyDescent="0.3">
      <c r="A24" s="378" t="s">
        <v>1081</v>
      </c>
      <c r="B24" s="220">
        <v>0</v>
      </c>
      <c r="C24" s="337">
        <v>1</v>
      </c>
      <c r="D24" s="268">
        <v>0</v>
      </c>
      <c r="E24" s="381">
        <f t="shared" si="0"/>
        <v>1</v>
      </c>
      <c r="F24" s="383" t="s">
        <v>1081</v>
      </c>
      <c r="G24" s="222">
        <v>0</v>
      </c>
      <c r="H24" s="339">
        <v>5</v>
      </c>
      <c r="I24" s="270">
        <v>0</v>
      </c>
      <c r="J24" s="385">
        <f t="shared" si="1"/>
        <v>5</v>
      </c>
      <c r="K24" s="378" t="s">
        <v>1078</v>
      </c>
      <c r="L24" s="381" t="s">
        <v>43</v>
      </c>
      <c r="M24" s="381" t="s">
        <v>43</v>
      </c>
      <c r="N24" s="381" t="s">
        <v>43</v>
      </c>
      <c r="O24" s="8" t="s">
        <v>43</v>
      </c>
      <c r="P24" s="8" t="s">
        <v>43</v>
      </c>
      <c r="Q24" s="8" t="s">
        <v>43</v>
      </c>
      <c r="R24" s="8" t="s">
        <v>43</v>
      </c>
      <c r="S24" s="8" t="s">
        <v>43</v>
      </c>
      <c r="T24" s="8" t="s">
        <v>43</v>
      </c>
      <c r="U24" s="283" t="s">
        <v>43</v>
      </c>
      <c r="V24" s="8" t="s">
        <v>43</v>
      </c>
      <c r="W24" s="8" t="s">
        <v>43</v>
      </c>
      <c r="X24" s="404"/>
      <c r="Y24" s="404"/>
      <c r="Z24" s="404"/>
      <c r="AA24" s="404"/>
      <c r="AB24" s="283" t="s">
        <v>43</v>
      </c>
      <c r="AC24" s="8" t="s">
        <v>43</v>
      </c>
      <c r="AD24" s="8" t="s">
        <v>43</v>
      </c>
      <c r="AE24" s="299">
        <v>5</v>
      </c>
      <c r="AF24" s="300">
        <v>5</v>
      </c>
      <c r="AG24" s="315">
        <f>SUM(AE24/AF24)*100</f>
        <v>100</v>
      </c>
      <c r="AH24" s="290"/>
      <c r="AI24" s="290"/>
      <c r="AJ24" s="290"/>
      <c r="AK24" s="290"/>
    </row>
    <row r="25" spans="1:43" ht="15" customHeight="1" thickBot="1" x14ac:dyDescent="0.3">
      <c r="A25" s="378" t="s">
        <v>85</v>
      </c>
      <c r="B25" s="220">
        <v>0</v>
      </c>
      <c r="C25" s="337">
        <v>2</v>
      </c>
      <c r="D25" s="268">
        <v>0</v>
      </c>
      <c r="E25" s="381">
        <f t="shared" si="0"/>
        <v>2</v>
      </c>
      <c r="F25" s="383" t="s">
        <v>85</v>
      </c>
      <c r="G25" s="222">
        <v>0</v>
      </c>
      <c r="H25" s="339">
        <v>10</v>
      </c>
      <c r="I25" s="270">
        <v>0</v>
      </c>
      <c r="J25" s="385">
        <f t="shared" si="1"/>
        <v>10</v>
      </c>
      <c r="K25" s="378" t="s">
        <v>213</v>
      </c>
      <c r="L25" s="381">
        <v>0</v>
      </c>
      <c r="M25" s="381">
        <v>1</v>
      </c>
      <c r="N25" s="386">
        <f>(L25/M25)*100</f>
        <v>0</v>
      </c>
      <c r="O25" s="8" t="s">
        <v>43</v>
      </c>
      <c r="P25" s="8" t="s">
        <v>43</v>
      </c>
      <c r="Q25" s="8" t="s">
        <v>43</v>
      </c>
      <c r="R25" s="8">
        <v>4</v>
      </c>
      <c r="S25" s="8">
        <v>4</v>
      </c>
      <c r="T25" s="294">
        <f>SUM(R25/S25)*100</f>
        <v>100</v>
      </c>
      <c r="U25" s="283">
        <v>1</v>
      </c>
      <c r="V25" s="8">
        <v>3</v>
      </c>
      <c r="W25" s="294">
        <f>SUM(U25/V25)*100</f>
        <v>33.333333333333329</v>
      </c>
      <c r="X25" s="404"/>
      <c r="Y25" s="404"/>
      <c r="Z25" s="404"/>
      <c r="AA25" s="404"/>
      <c r="AB25" s="283" t="s">
        <v>43</v>
      </c>
      <c r="AC25" s="8" t="s">
        <v>43</v>
      </c>
      <c r="AD25" s="8" t="s">
        <v>43</v>
      </c>
      <c r="AE25" s="283" t="s">
        <v>43</v>
      </c>
      <c r="AF25" s="8" t="s">
        <v>43</v>
      </c>
      <c r="AG25" s="8" t="s">
        <v>43</v>
      </c>
      <c r="AH25" s="290"/>
      <c r="AI25" s="290"/>
      <c r="AJ25" s="290"/>
      <c r="AK25" s="290"/>
    </row>
    <row r="26" spans="1:43" ht="15" customHeight="1" thickBot="1" x14ac:dyDescent="0.3">
      <c r="A26" s="378" t="s">
        <v>1194</v>
      </c>
      <c r="B26" s="220">
        <v>1</v>
      </c>
      <c r="C26" s="337">
        <v>0</v>
      </c>
      <c r="D26" s="268">
        <v>0</v>
      </c>
      <c r="E26" s="381">
        <f t="shared" si="0"/>
        <v>1</v>
      </c>
      <c r="F26" s="383" t="s">
        <v>1194</v>
      </c>
      <c r="G26" s="222">
        <v>5</v>
      </c>
      <c r="H26" s="339">
        <v>0</v>
      </c>
      <c r="I26" s="270">
        <v>0</v>
      </c>
      <c r="J26" s="385">
        <f t="shared" si="1"/>
        <v>5</v>
      </c>
      <c r="K26" s="378" t="s">
        <v>279</v>
      </c>
      <c r="L26" s="381">
        <v>8</v>
      </c>
      <c r="M26" s="381">
        <v>9</v>
      </c>
      <c r="N26" s="386">
        <f>(L26/M26)*100</f>
        <v>88.888888888888886</v>
      </c>
      <c r="O26" s="8">
        <v>5</v>
      </c>
      <c r="P26" s="8">
        <v>7</v>
      </c>
      <c r="Q26" s="294">
        <f>SUM(O26/P26)*100</f>
        <v>71.428571428571431</v>
      </c>
      <c r="R26" s="8">
        <v>5</v>
      </c>
      <c r="S26" s="8">
        <v>5</v>
      </c>
      <c r="T26" s="294">
        <f>SUM(R26/S26)*100</f>
        <v>100</v>
      </c>
      <c r="U26" s="283" t="s">
        <v>43</v>
      </c>
      <c r="V26" s="8" t="s">
        <v>43</v>
      </c>
      <c r="W26" s="8" t="s">
        <v>43</v>
      </c>
      <c r="X26" s="404"/>
      <c r="Y26" s="404"/>
      <c r="Z26" s="404"/>
      <c r="AA26" s="404"/>
      <c r="AB26" s="283" t="s">
        <v>43</v>
      </c>
      <c r="AC26" s="8" t="s">
        <v>43</v>
      </c>
      <c r="AD26" s="8" t="s">
        <v>43</v>
      </c>
      <c r="AE26" s="283" t="s">
        <v>43</v>
      </c>
      <c r="AF26" s="8" t="s">
        <v>43</v>
      </c>
      <c r="AG26" s="8" t="s">
        <v>43</v>
      </c>
      <c r="AH26" s="290"/>
      <c r="AI26" s="290"/>
      <c r="AJ26" s="290"/>
      <c r="AK26" s="290"/>
    </row>
    <row r="27" spans="1:43" ht="15" customHeight="1" thickBot="1" x14ac:dyDescent="0.3">
      <c r="A27" s="378" t="s">
        <v>32</v>
      </c>
      <c r="B27" s="220">
        <v>4</v>
      </c>
      <c r="C27" s="337">
        <v>2</v>
      </c>
      <c r="D27" s="268">
        <v>0</v>
      </c>
      <c r="E27" s="381">
        <f t="shared" si="0"/>
        <v>6</v>
      </c>
      <c r="F27" s="383" t="s">
        <v>32</v>
      </c>
      <c r="G27" s="222">
        <v>20</v>
      </c>
      <c r="H27" s="339">
        <v>10</v>
      </c>
      <c r="I27" s="270">
        <v>0</v>
      </c>
      <c r="J27" s="385">
        <f t="shared" si="1"/>
        <v>30</v>
      </c>
      <c r="K27" s="378" t="s">
        <v>990</v>
      </c>
      <c r="L27" s="381">
        <v>3</v>
      </c>
      <c r="M27" s="381">
        <v>8</v>
      </c>
      <c r="N27" s="386">
        <f>(L27/M27)*100</f>
        <v>37.5</v>
      </c>
      <c r="O27" s="8" t="s">
        <v>43</v>
      </c>
      <c r="P27" s="8" t="s">
        <v>43</v>
      </c>
      <c r="Q27" s="8" t="s">
        <v>43</v>
      </c>
      <c r="R27" s="8" t="s">
        <v>43</v>
      </c>
      <c r="S27" s="8" t="s">
        <v>43</v>
      </c>
      <c r="T27" s="8" t="s">
        <v>43</v>
      </c>
      <c r="U27" s="283" t="s">
        <v>43</v>
      </c>
      <c r="V27" s="8" t="s">
        <v>43</v>
      </c>
      <c r="W27" s="8" t="s">
        <v>43</v>
      </c>
      <c r="X27" s="404"/>
      <c r="Y27" s="404"/>
      <c r="Z27" s="404"/>
      <c r="AA27" s="404"/>
      <c r="AB27" s="283" t="s">
        <v>43</v>
      </c>
      <c r="AC27" s="8" t="s">
        <v>43</v>
      </c>
      <c r="AD27" s="8" t="s">
        <v>43</v>
      </c>
      <c r="AE27" s="283" t="s">
        <v>43</v>
      </c>
      <c r="AF27" s="8" t="s">
        <v>43</v>
      </c>
      <c r="AG27" s="8" t="s">
        <v>43</v>
      </c>
      <c r="AH27" s="290"/>
      <c r="AI27" s="290"/>
      <c r="AJ27" s="290"/>
      <c r="AK27" s="290"/>
    </row>
    <row r="28" spans="1:43" ht="15" customHeight="1" thickBot="1" x14ac:dyDescent="0.3">
      <c r="A28" s="378" t="s">
        <v>963</v>
      </c>
      <c r="B28" s="220">
        <v>0</v>
      </c>
      <c r="C28" s="337">
        <v>0</v>
      </c>
      <c r="D28" s="268">
        <v>1</v>
      </c>
      <c r="E28" s="381">
        <f t="shared" si="0"/>
        <v>1</v>
      </c>
      <c r="F28" s="383" t="s">
        <v>963</v>
      </c>
      <c r="G28" s="222">
        <v>15</v>
      </c>
      <c r="H28" s="339">
        <v>0</v>
      </c>
      <c r="I28" s="270">
        <v>5</v>
      </c>
      <c r="J28" s="385">
        <f t="shared" si="1"/>
        <v>20</v>
      </c>
      <c r="K28" s="170" t="s">
        <v>1087</v>
      </c>
    </row>
    <row r="29" spans="1:43" ht="15" customHeight="1" thickBot="1" x14ac:dyDescent="0.3">
      <c r="A29" s="378" t="s">
        <v>1228</v>
      </c>
      <c r="B29" s="220">
        <v>1</v>
      </c>
      <c r="C29" s="337">
        <v>1</v>
      </c>
      <c r="D29" s="268">
        <v>0</v>
      </c>
      <c r="E29" s="381">
        <f t="shared" si="0"/>
        <v>2</v>
      </c>
      <c r="F29" s="383" t="s">
        <v>1228</v>
      </c>
      <c r="G29" s="222">
        <v>5</v>
      </c>
      <c r="H29" s="339">
        <v>5</v>
      </c>
      <c r="I29" s="270">
        <v>0</v>
      </c>
      <c r="J29" s="385">
        <f t="shared" si="1"/>
        <v>10</v>
      </c>
      <c r="K29" s="532" t="s">
        <v>1148</v>
      </c>
      <c r="L29" s="552"/>
      <c r="M29" s="552"/>
      <c r="N29" s="552"/>
      <c r="O29" s="552"/>
      <c r="P29" s="552"/>
      <c r="Q29" s="552"/>
      <c r="R29" s="552"/>
      <c r="S29" s="552"/>
      <c r="T29" s="552"/>
      <c r="U29" s="552"/>
      <c r="V29" s="552"/>
      <c r="W29" s="552"/>
      <c r="X29" s="552"/>
      <c r="Y29" s="552"/>
      <c r="Z29" s="552"/>
      <c r="AA29" s="552"/>
      <c r="AB29" s="552"/>
      <c r="AC29" s="552"/>
      <c r="AD29" s="552"/>
      <c r="AE29" s="552"/>
      <c r="AF29" s="552"/>
      <c r="AG29" s="552"/>
      <c r="AH29" s="552"/>
      <c r="AI29" s="552"/>
      <c r="AJ29" s="552"/>
      <c r="AK29" s="552"/>
      <c r="AL29" s="552"/>
      <c r="AM29" s="552"/>
      <c r="AN29" s="552"/>
      <c r="AO29" s="552"/>
      <c r="AP29" s="552"/>
      <c r="AQ29" s="552"/>
    </row>
    <row r="30" spans="1:43" ht="15" customHeight="1" thickBot="1" x14ac:dyDescent="0.3">
      <c r="A30" s="378" t="s">
        <v>832</v>
      </c>
      <c r="B30" s="220">
        <v>1</v>
      </c>
      <c r="C30" s="337">
        <v>1</v>
      </c>
      <c r="D30" s="268">
        <v>1</v>
      </c>
      <c r="E30" s="381">
        <f t="shared" si="0"/>
        <v>3</v>
      </c>
      <c r="F30" s="383" t="s">
        <v>832</v>
      </c>
      <c r="G30" s="222">
        <v>5</v>
      </c>
      <c r="H30" s="339">
        <v>5</v>
      </c>
      <c r="I30" s="270">
        <v>5</v>
      </c>
      <c r="J30" s="385">
        <f t="shared" si="1"/>
        <v>15</v>
      </c>
      <c r="K30" s="532" t="s">
        <v>1196</v>
      </c>
      <c r="L30" s="533"/>
      <c r="M30" s="533"/>
      <c r="N30" s="533"/>
      <c r="O30" s="533"/>
      <c r="P30" s="533"/>
      <c r="Q30" s="533"/>
      <c r="R30" s="533"/>
      <c r="S30" s="533"/>
      <c r="T30" s="533"/>
      <c r="U30" s="533"/>
      <c r="V30" s="533"/>
      <c r="W30" s="533"/>
    </row>
    <row r="31" spans="1:43" ht="15" customHeight="1" thickBot="1" x14ac:dyDescent="0.3">
      <c r="A31" s="378" t="s">
        <v>1188</v>
      </c>
      <c r="B31" s="220">
        <v>1</v>
      </c>
      <c r="C31" s="337">
        <v>1</v>
      </c>
      <c r="D31" s="268">
        <v>0</v>
      </c>
      <c r="E31" s="381">
        <f t="shared" si="0"/>
        <v>2</v>
      </c>
      <c r="F31" s="383" t="s">
        <v>1188</v>
      </c>
      <c r="G31" s="222">
        <v>5</v>
      </c>
      <c r="H31" s="339">
        <v>5</v>
      </c>
      <c r="I31" s="270">
        <v>0</v>
      </c>
      <c r="J31" s="385">
        <f t="shared" si="1"/>
        <v>10</v>
      </c>
    </row>
    <row r="32" spans="1:43" ht="15" customHeight="1" thickBot="1" x14ac:dyDescent="0.3">
      <c r="A32" s="378" t="s">
        <v>6</v>
      </c>
      <c r="B32" s="220">
        <v>1</v>
      </c>
      <c r="C32" s="337">
        <v>0</v>
      </c>
      <c r="D32" s="268">
        <v>0</v>
      </c>
      <c r="E32" s="381">
        <f t="shared" si="0"/>
        <v>1</v>
      </c>
      <c r="F32" s="383" t="s">
        <v>6</v>
      </c>
      <c r="G32" s="222">
        <v>7</v>
      </c>
      <c r="H32" s="339">
        <v>0</v>
      </c>
      <c r="I32" s="270">
        <v>0</v>
      </c>
      <c r="J32" s="385">
        <f t="shared" si="1"/>
        <v>7</v>
      </c>
    </row>
    <row r="33" spans="1:10" ht="15" customHeight="1" thickBot="1" x14ac:dyDescent="0.3">
      <c r="A33" s="378" t="s">
        <v>990</v>
      </c>
      <c r="B33" s="220">
        <v>1</v>
      </c>
      <c r="C33" s="337">
        <v>2</v>
      </c>
      <c r="D33" s="268">
        <v>1</v>
      </c>
      <c r="E33" s="381">
        <f t="shared" ref="E33" si="2">SUM(B33:D33)</f>
        <v>4</v>
      </c>
      <c r="F33" s="383" t="s">
        <v>990</v>
      </c>
      <c r="G33" s="222">
        <v>18</v>
      </c>
      <c r="H33" s="339">
        <v>15</v>
      </c>
      <c r="I33" s="270">
        <v>12</v>
      </c>
      <c r="J33" s="385">
        <f t="shared" ref="J33" si="3">SUM(G33:I33)</f>
        <v>45</v>
      </c>
    </row>
    <row r="34" spans="1:10" ht="15" customHeight="1" thickBot="1" x14ac:dyDescent="0.3">
      <c r="A34" s="378" t="s">
        <v>290</v>
      </c>
      <c r="B34" s="220">
        <v>0</v>
      </c>
      <c r="C34" s="337">
        <v>1</v>
      </c>
      <c r="D34" s="268">
        <v>1</v>
      </c>
      <c r="E34" s="381">
        <f t="shared" si="0"/>
        <v>2</v>
      </c>
      <c r="F34" s="383" t="s">
        <v>290</v>
      </c>
      <c r="G34" s="222">
        <v>0</v>
      </c>
      <c r="H34" s="339">
        <v>5</v>
      </c>
      <c r="I34" s="270">
        <v>5</v>
      </c>
      <c r="J34" s="385">
        <f t="shared" si="1"/>
        <v>10</v>
      </c>
    </row>
    <row r="35" spans="1:10" ht="15" customHeight="1" thickBot="1" x14ac:dyDescent="0.3">
      <c r="A35" s="378" t="s">
        <v>1235</v>
      </c>
      <c r="B35" s="220">
        <v>1</v>
      </c>
      <c r="C35" s="337">
        <v>0</v>
      </c>
      <c r="D35" s="268">
        <v>0</v>
      </c>
      <c r="E35" s="381">
        <f t="shared" si="0"/>
        <v>1</v>
      </c>
      <c r="F35" s="383" t="s">
        <v>1235</v>
      </c>
      <c r="G35" s="222">
        <v>5</v>
      </c>
      <c r="H35" s="339">
        <v>0</v>
      </c>
      <c r="I35" s="270">
        <v>0</v>
      </c>
      <c r="J35" s="385">
        <f t="shared" si="1"/>
        <v>5</v>
      </c>
    </row>
    <row r="36" spans="1:10" ht="15" customHeight="1" thickBot="1" x14ac:dyDescent="0.3">
      <c r="A36" s="378" t="s">
        <v>294</v>
      </c>
      <c r="B36" s="220">
        <v>0</v>
      </c>
      <c r="C36" s="337">
        <v>0</v>
      </c>
      <c r="D36" s="268">
        <v>0</v>
      </c>
      <c r="E36" s="381">
        <f t="shared" si="0"/>
        <v>0</v>
      </c>
      <c r="F36" s="383" t="s">
        <v>294</v>
      </c>
      <c r="G36" s="222">
        <v>0</v>
      </c>
      <c r="H36" s="339">
        <v>0</v>
      </c>
      <c r="I36" s="270">
        <v>0</v>
      </c>
      <c r="J36" s="385">
        <f t="shared" si="1"/>
        <v>0</v>
      </c>
    </row>
    <row r="37" spans="1:10" ht="15" customHeight="1" thickBot="1" x14ac:dyDescent="0.3">
      <c r="A37" s="378" t="s">
        <v>72</v>
      </c>
      <c r="B37" s="220">
        <v>0</v>
      </c>
      <c r="C37" s="337">
        <v>0</v>
      </c>
      <c r="D37" s="268">
        <v>0</v>
      </c>
      <c r="E37" s="381">
        <f t="shared" si="0"/>
        <v>0</v>
      </c>
      <c r="F37" s="383" t="s">
        <v>72</v>
      </c>
      <c r="G37" s="222">
        <v>0</v>
      </c>
      <c r="H37" s="339">
        <v>0</v>
      </c>
      <c r="I37" s="270">
        <v>0</v>
      </c>
      <c r="J37" s="385">
        <f t="shared" si="1"/>
        <v>0</v>
      </c>
    </row>
    <row r="38" spans="1:10" ht="15" customHeight="1" thickBot="1" x14ac:dyDescent="0.3">
      <c r="A38" s="378" t="s">
        <v>14</v>
      </c>
      <c r="B38" s="220">
        <v>0</v>
      </c>
      <c r="C38" s="337">
        <v>0</v>
      </c>
      <c r="D38" s="268">
        <v>1</v>
      </c>
      <c r="E38" s="381">
        <f t="shared" si="0"/>
        <v>1</v>
      </c>
      <c r="F38" s="383" t="s">
        <v>14</v>
      </c>
      <c r="G38" s="222">
        <v>0</v>
      </c>
      <c r="H38" s="339">
        <v>0</v>
      </c>
      <c r="I38" s="270">
        <v>5</v>
      </c>
      <c r="J38" s="385">
        <f t="shared" si="1"/>
        <v>5</v>
      </c>
    </row>
    <row r="39" spans="1:10" ht="15" customHeight="1" thickBot="1" x14ac:dyDescent="0.3">
      <c r="A39" s="378" t="s">
        <v>1079</v>
      </c>
      <c r="B39" s="220">
        <v>1</v>
      </c>
      <c r="C39" s="337">
        <v>1</v>
      </c>
      <c r="D39" s="268">
        <v>0</v>
      </c>
      <c r="E39" s="381">
        <f t="shared" si="0"/>
        <v>2</v>
      </c>
      <c r="F39" s="383" t="s">
        <v>1079</v>
      </c>
      <c r="G39" s="222">
        <v>8</v>
      </c>
      <c r="H39" s="339">
        <v>5</v>
      </c>
      <c r="I39" s="270">
        <v>0</v>
      </c>
      <c r="J39" s="385">
        <f t="shared" si="1"/>
        <v>13</v>
      </c>
    </row>
    <row r="40" spans="1:10" ht="15" customHeight="1" thickBot="1" x14ac:dyDescent="0.3">
      <c r="A40" s="378" t="s">
        <v>1092</v>
      </c>
      <c r="B40" s="220">
        <v>3</v>
      </c>
      <c r="C40" s="337">
        <v>0</v>
      </c>
      <c r="D40" s="268">
        <v>0</v>
      </c>
      <c r="E40" s="381">
        <f t="shared" si="0"/>
        <v>3</v>
      </c>
      <c r="F40" s="383" t="s">
        <v>1092</v>
      </c>
      <c r="G40" s="222">
        <v>15</v>
      </c>
      <c r="H40" s="339">
        <v>0</v>
      </c>
      <c r="I40" s="270">
        <v>0</v>
      </c>
      <c r="J40" s="385">
        <f t="shared" si="1"/>
        <v>15</v>
      </c>
    </row>
    <row r="41" spans="1:10" ht="15" customHeight="1" thickBot="1" x14ac:dyDescent="0.3">
      <c r="A41" s="378" t="s">
        <v>29</v>
      </c>
      <c r="B41" s="220">
        <v>1</v>
      </c>
      <c r="C41" s="337">
        <v>0</v>
      </c>
      <c r="D41" s="268">
        <v>1</v>
      </c>
      <c r="E41" s="381">
        <f t="shared" si="0"/>
        <v>2</v>
      </c>
      <c r="F41" s="383" t="s">
        <v>29</v>
      </c>
      <c r="G41" s="222">
        <v>5</v>
      </c>
      <c r="H41" s="339">
        <v>0</v>
      </c>
      <c r="I41" s="270">
        <v>5</v>
      </c>
      <c r="J41" s="385">
        <f t="shared" si="1"/>
        <v>10</v>
      </c>
    </row>
    <row r="42" spans="1:10" ht="15" customHeight="1" thickBot="1" x14ac:dyDescent="0.3">
      <c r="A42" s="378" t="s">
        <v>7</v>
      </c>
      <c r="B42" s="220">
        <v>1</v>
      </c>
      <c r="C42" s="337">
        <v>1</v>
      </c>
      <c r="D42" s="268">
        <v>0</v>
      </c>
      <c r="E42" s="381">
        <f t="shared" si="0"/>
        <v>2</v>
      </c>
      <c r="F42" s="383" t="s">
        <v>7</v>
      </c>
      <c r="G42" s="222">
        <v>5</v>
      </c>
      <c r="H42" s="339">
        <v>5</v>
      </c>
      <c r="I42" s="270">
        <v>0</v>
      </c>
      <c r="J42" s="385">
        <f t="shared" si="1"/>
        <v>10</v>
      </c>
    </row>
    <row r="43" spans="1:10" ht="15" customHeight="1" thickBot="1" x14ac:dyDescent="0.3">
      <c r="A43" s="378" t="s">
        <v>72</v>
      </c>
      <c r="B43" s="220">
        <v>0</v>
      </c>
      <c r="C43" s="337">
        <v>0</v>
      </c>
      <c r="D43" s="268">
        <v>0</v>
      </c>
      <c r="E43" s="381">
        <f t="shared" si="0"/>
        <v>0</v>
      </c>
      <c r="F43" s="383" t="s">
        <v>72</v>
      </c>
      <c r="G43" s="222">
        <v>0</v>
      </c>
      <c r="H43" s="339">
        <v>0</v>
      </c>
      <c r="I43" s="270">
        <v>0</v>
      </c>
      <c r="J43" s="385">
        <f t="shared" si="1"/>
        <v>0</v>
      </c>
    </row>
    <row r="44" spans="1:10" ht="15" customHeight="1" thickBot="1" x14ac:dyDescent="0.3">
      <c r="A44" s="378" t="s">
        <v>882</v>
      </c>
      <c r="B44" s="220">
        <v>0</v>
      </c>
      <c r="C44" s="337">
        <v>0</v>
      </c>
      <c r="D44" s="268">
        <v>0</v>
      </c>
      <c r="E44" s="381">
        <f t="shared" si="0"/>
        <v>0</v>
      </c>
      <c r="F44" s="383" t="s">
        <v>882</v>
      </c>
      <c r="G44" s="222">
        <v>0</v>
      </c>
      <c r="H44" s="339">
        <v>0</v>
      </c>
      <c r="I44" s="270">
        <v>0</v>
      </c>
      <c r="J44" s="385">
        <f t="shared" si="1"/>
        <v>0</v>
      </c>
    </row>
    <row r="45" spans="1:10" ht="15" customHeight="1" thickBot="1" x14ac:dyDescent="0.3">
      <c r="A45" s="378" t="s">
        <v>762</v>
      </c>
      <c r="B45" s="220">
        <v>0</v>
      </c>
      <c r="C45" s="337">
        <v>1</v>
      </c>
      <c r="D45" s="268">
        <v>0</v>
      </c>
      <c r="E45" s="381">
        <f t="shared" si="0"/>
        <v>1</v>
      </c>
      <c r="F45" s="383" t="s">
        <v>762</v>
      </c>
      <c r="G45" s="222">
        <v>0</v>
      </c>
      <c r="H45" s="339">
        <v>5</v>
      </c>
      <c r="I45" s="270">
        <v>0</v>
      </c>
      <c r="J45" s="385">
        <f t="shared" si="1"/>
        <v>5</v>
      </c>
    </row>
    <row r="46" spans="1:10" ht="15.75" thickBot="1" x14ac:dyDescent="0.3">
      <c r="A46" s="378" t="s">
        <v>173</v>
      </c>
      <c r="B46" s="220">
        <v>2</v>
      </c>
      <c r="C46" s="337">
        <v>1</v>
      </c>
      <c r="D46" s="268">
        <v>0</v>
      </c>
      <c r="E46" s="381">
        <f t="shared" si="0"/>
        <v>3</v>
      </c>
      <c r="F46" s="383" t="s">
        <v>173</v>
      </c>
      <c r="G46" s="222">
        <v>10</v>
      </c>
      <c r="H46" s="339">
        <v>5</v>
      </c>
      <c r="I46" s="270">
        <v>0</v>
      </c>
      <c r="J46" s="385">
        <f t="shared" si="1"/>
        <v>15</v>
      </c>
    </row>
    <row r="47" spans="1:10" ht="15.75" thickBot="1" x14ac:dyDescent="0.3">
      <c r="A47" s="378" t="s">
        <v>1166</v>
      </c>
      <c r="B47" s="220">
        <v>1</v>
      </c>
      <c r="C47" s="337">
        <v>0</v>
      </c>
      <c r="D47" s="268">
        <v>0</v>
      </c>
      <c r="E47" s="381">
        <f t="shared" si="0"/>
        <v>1</v>
      </c>
      <c r="F47" s="383" t="s">
        <v>1166</v>
      </c>
      <c r="G47" s="222">
        <v>5</v>
      </c>
      <c r="H47" s="339">
        <v>0</v>
      </c>
      <c r="I47" s="270">
        <v>0</v>
      </c>
      <c r="J47" s="385">
        <f t="shared" si="1"/>
        <v>5</v>
      </c>
    </row>
    <row r="48" spans="1:10" ht="15.75" thickBot="1" x14ac:dyDescent="0.3">
      <c r="A48" s="378" t="s">
        <v>834</v>
      </c>
      <c r="B48" s="220">
        <v>0</v>
      </c>
      <c r="C48" s="337">
        <v>0</v>
      </c>
      <c r="D48" s="268">
        <v>0</v>
      </c>
      <c r="E48" s="381">
        <f t="shared" si="0"/>
        <v>0</v>
      </c>
      <c r="F48" s="383" t="s">
        <v>834</v>
      </c>
      <c r="G48" s="222">
        <v>0</v>
      </c>
      <c r="H48" s="339">
        <v>0</v>
      </c>
      <c r="I48" s="270">
        <v>0</v>
      </c>
      <c r="J48" s="385">
        <f t="shared" si="1"/>
        <v>0</v>
      </c>
    </row>
    <row r="49" spans="1:10" ht="15.75" thickBot="1" x14ac:dyDescent="0.3">
      <c r="A49" s="378" t="s">
        <v>278</v>
      </c>
      <c r="B49" s="220">
        <v>2</v>
      </c>
      <c r="C49" s="337">
        <v>2</v>
      </c>
      <c r="D49" s="268">
        <v>1</v>
      </c>
      <c r="E49" s="381">
        <f t="shared" si="0"/>
        <v>5</v>
      </c>
      <c r="F49" s="383" t="s">
        <v>278</v>
      </c>
      <c r="G49" s="222">
        <v>10</v>
      </c>
      <c r="H49" s="339">
        <v>10</v>
      </c>
      <c r="I49" s="270">
        <v>5</v>
      </c>
      <c r="J49" s="385">
        <f t="shared" si="1"/>
        <v>25</v>
      </c>
    </row>
    <row r="50" spans="1:10" ht="15.75" thickBot="1" x14ac:dyDescent="0.3">
      <c r="A50" s="378" t="s">
        <v>8</v>
      </c>
      <c r="B50" s="220">
        <v>1</v>
      </c>
      <c r="C50" s="337">
        <v>0</v>
      </c>
      <c r="D50" s="268">
        <v>0</v>
      </c>
      <c r="E50" s="381">
        <f t="shared" si="0"/>
        <v>1</v>
      </c>
      <c r="F50" s="383" t="s">
        <v>8</v>
      </c>
      <c r="G50" s="222">
        <v>5</v>
      </c>
      <c r="H50" s="339">
        <v>0</v>
      </c>
      <c r="I50" s="270">
        <v>0</v>
      </c>
      <c r="J50" s="385">
        <f t="shared" si="1"/>
        <v>5</v>
      </c>
    </row>
    <row r="51" spans="1:10" ht="15.75" thickBot="1" x14ac:dyDescent="0.3">
      <c r="A51" s="378" t="s">
        <v>213</v>
      </c>
      <c r="B51" s="220">
        <v>0</v>
      </c>
      <c r="C51" s="337">
        <v>1</v>
      </c>
      <c r="D51" s="268">
        <v>0</v>
      </c>
      <c r="E51" s="381">
        <f t="shared" si="0"/>
        <v>1</v>
      </c>
      <c r="F51" s="383" t="s">
        <v>213</v>
      </c>
      <c r="G51" s="222">
        <v>0</v>
      </c>
      <c r="H51" s="339">
        <v>5</v>
      </c>
      <c r="I51" s="270">
        <v>0</v>
      </c>
      <c r="J51" s="385">
        <f t="shared" si="1"/>
        <v>5</v>
      </c>
    </row>
    <row r="52" spans="1:10" ht="15.75" thickBot="1" x14ac:dyDescent="0.3">
      <c r="A52" s="378" t="s">
        <v>30</v>
      </c>
      <c r="B52" s="220">
        <v>1</v>
      </c>
      <c r="C52" s="337">
        <v>0</v>
      </c>
      <c r="D52" s="268">
        <v>0</v>
      </c>
      <c r="E52" s="381">
        <f t="shared" si="0"/>
        <v>1</v>
      </c>
      <c r="F52" s="383" t="s">
        <v>30</v>
      </c>
      <c r="G52" s="222">
        <v>5</v>
      </c>
      <c r="H52" s="339">
        <v>0</v>
      </c>
      <c r="I52" s="270">
        <v>0</v>
      </c>
      <c r="J52" s="385">
        <f t="shared" si="1"/>
        <v>5</v>
      </c>
    </row>
    <row r="53" spans="1:10" ht="15.75" thickBot="1" x14ac:dyDescent="0.3">
      <c r="A53" s="378" t="s">
        <v>51</v>
      </c>
      <c r="B53" s="220">
        <v>2</v>
      </c>
      <c r="C53" s="337">
        <v>0</v>
      </c>
      <c r="D53" s="268">
        <v>0</v>
      </c>
      <c r="E53" s="381">
        <f t="shared" si="0"/>
        <v>2</v>
      </c>
      <c r="F53" s="383" t="s">
        <v>51</v>
      </c>
      <c r="G53" s="222">
        <v>10</v>
      </c>
      <c r="H53" s="339">
        <v>0</v>
      </c>
      <c r="I53" s="270">
        <v>0</v>
      </c>
      <c r="J53" s="385">
        <f t="shared" si="1"/>
        <v>10</v>
      </c>
    </row>
    <row r="54" spans="1:10" ht="15.75" thickBot="1" x14ac:dyDescent="0.3">
      <c r="A54" s="378" t="s">
        <v>3</v>
      </c>
      <c r="B54" s="220">
        <f>SUM(B3:B53)</f>
        <v>35</v>
      </c>
      <c r="C54" s="337">
        <f>SUM(C3:C53)</f>
        <v>25</v>
      </c>
      <c r="D54" s="268">
        <f>SUM(D3:D53)</f>
        <v>12</v>
      </c>
      <c r="E54" s="381">
        <f t="shared" ref="E54" si="4">SUM(B54:D54)</f>
        <v>72</v>
      </c>
      <c r="F54" s="383" t="s">
        <v>3</v>
      </c>
      <c r="G54" s="222">
        <f>SUM(G3:G53)</f>
        <v>374</v>
      </c>
      <c r="H54" s="339">
        <f>SUM(H3:H53)</f>
        <v>200</v>
      </c>
      <c r="I54" s="270">
        <f>SUM(I3:I53)</f>
        <v>90</v>
      </c>
      <c r="J54" s="385">
        <f t="shared" ref="J54" si="5">SUM(G54:I54)</f>
        <v>664</v>
      </c>
    </row>
    <row r="55" spans="1:10" x14ac:dyDescent="0.25">
      <c r="B55" s="199"/>
      <c r="D55" s="232"/>
      <c r="F55" s="43"/>
      <c r="G55" s="204"/>
      <c r="H55" s="43"/>
      <c r="I55" s="235"/>
      <c r="J55" s="43"/>
    </row>
    <row r="56" spans="1:10" ht="15.75" thickBot="1" x14ac:dyDescent="0.3">
      <c r="A56" t="s">
        <v>39</v>
      </c>
      <c r="B56" s="199"/>
      <c r="D56" s="232"/>
      <c r="F56" s="40"/>
      <c r="G56" s="203"/>
      <c r="H56" s="40"/>
      <c r="I56" s="234"/>
      <c r="J56" s="40"/>
    </row>
    <row r="57" spans="1:10" ht="15.75" thickBot="1" x14ac:dyDescent="0.3">
      <c r="A57" s="377" t="s">
        <v>0</v>
      </c>
      <c r="B57" s="219" t="s">
        <v>305</v>
      </c>
      <c r="C57" s="336" t="s">
        <v>101</v>
      </c>
      <c r="D57" s="267" t="s">
        <v>306</v>
      </c>
      <c r="E57" s="379" t="s">
        <v>1</v>
      </c>
      <c r="F57" s="380" t="s">
        <v>2</v>
      </c>
      <c r="G57" s="221" t="s">
        <v>305</v>
      </c>
      <c r="H57" s="338" t="s">
        <v>101</v>
      </c>
      <c r="I57" s="269" t="s">
        <v>306</v>
      </c>
      <c r="J57" s="384" t="s">
        <v>1</v>
      </c>
    </row>
    <row r="58" spans="1:10" ht="15.75" thickBot="1" x14ac:dyDescent="0.3">
      <c r="A58" s="378" t="s">
        <v>73</v>
      </c>
      <c r="B58" s="220">
        <v>1</v>
      </c>
      <c r="C58" s="337">
        <v>4</v>
      </c>
      <c r="D58" s="268">
        <v>3</v>
      </c>
      <c r="E58" s="381">
        <f t="shared" ref="E58:E89" si="6">SUM(B58:D58)</f>
        <v>8</v>
      </c>
      <c r="F58" s="382" t="s">
        <v>1077</v>
      </c>
      <c r="G58" s="222">
        <v>96</v>
      </c>
      <c r="H58" s="339">
        <v>43</v>
      </c>
      <c r="I58" s="270">
        <v>0</v>
      </c>
      <c r="J58" s="385">
        <f t="shared" ref="J58:J89" si="7">SUM(G58:I58)</f>
        <v>139</v>
      </c>
    </row>
    <row r="59" spans="1:10" ht="15.75" thickBot="1" x14ac:dyDescent="0.3">
      <c r="A59" s="378" t="s">
        <v>32</v>
      </c>
      <c r="B59" s="220">
        <v>4</v>
      </c>
      <c r="C59" s="337">
        <v>2</v>
      </c>
      <c r="D59" s="268">
        <v>0</v>
      </c>
      <c r="E59" s="381">
        <f t="shared" si="6"/>
        <v>6</v>
      </c>
      <c r="F59" s="382" t="s">
        <v>279</v>
      </c>
      <c r="G59" s="222">
        <v>44</v>
      </c>
      <c r="H59" s="339">
        <v>27</v>
      </c>
      <c r="I59" s="270">
        <v>23</v>
      </c>
      <c r="J59" s="385">
        <f t="shared" si="7"/>
        <v>94</v>
      </c>
    </row>
    <row r="60" spans="1:10" ht="15.75" thickBot="1" x14ac:dyDescent="0.3">
      <c r="A60" s="378" t="s">
        <v>278</v>
      </c>
      <c r="B60" s="220">
        <v>2</v>
      </c>
      <c r="C60" s="337">
        <v>2</v>
      </c>
      <c r="D60" s="268">
        <v>1</v>
      </c>
      <c r="E60" s="381">
        <f t="shared" si="6"/>
        <v>5</v>
      </c>
      <c r="F60" s="382" t="s">
        <v>990</v>
      </c>
      <c r="G60" s="222">
        <v>18</v>
      </c>
      <c r="H60" s="339">
        <v>15</v>
      </c>
      <c r="I60" s="270">
        <v>12</v>
      </c>
      <c r="J60" s="385">
        <f t="shared" si="7"/>
        <v>45</v>
      </c>
    </row>
    <row r="61" spans="1:10" ht="15.75" thickBot="1" x14ac:dyDescent="0.3">
      <c r="A61" s="378" t="s">
        <v>990</v>
      </c>
      <c r="B61" s="220">
        <v>1</v>
      </c>
      <c r="C61" s="337">
        <v>2</v>
      </c>
      <c r="D61" s="268">
        <v>1</v>
      </c>
      <c r="E61" s="381">
        <f t="shared" si="6"/>
        <v>4</v>
      </c>
      <c r="F61" s="382" t="s">
        <v>73</v>
      </c>
      <c r="G61" s="222">
        <v>5</v>
      </c>
      <c r="H61" s="339">
        <v>20</v>
      </c>
      <c r="I61" s="270">
        <v>15</v>
      </c>
      <c r="J61" s="385">
        <f t="shared" si="7"/>
        <v>40</v>
      </c>
    </row>
    <row r="62" spans="1:10" ht="15.75" thickBot="1" x14ac:dyDescent="0.3">
      <c r="A62" s="378" t="s">
        <v>832</v>
      </c>
      <c r="B62" s="220">
        <v>1</v>
      </c>
      <c r="C62" s="337">
        <v>1</v>
      </c>
      <c r="D62" s="268">
        <v>1</v>
      </c>
      <c r="E62" s="381">
        <f t="shared" si="6"/>
        <v>3</v>
      </c>
      <c r="F62" s="383" t="s">
        <v>1167</v>
      </c>
      <c r="G62" s="222">
        <v>31</v>
      </c>
      <c r="H62" s="339">
        <v>0</v>
      </c>
      <c r="I62" s="270">
        <v>0</v>
      </c>
      <c r="J62" s="385">
        <f t="shared" si="7"/>
        <v>31</v>
      </c>
    </row>
    <row r="63" spans="1:10" ht="15.75" thickBot="1" x14ac:dyDescent="0.3">
      <c r="A63" s="378" t="s">
        <v>1092</v>
      </c>
      <c r="B63" s="220">
        <v>3</v>
      </c>
      <c r="C63" s="337">
        <v>0</v>
      </c>
      <c r="D63" s="268">
        <v>0</v>
      </c>
      <c r="E63" s="381">
        <f t="shared" si="6"/>
        <v>3</v>
      </c>
      <c r="F63" s="383" t="s">
        <v>32</v>
      </c>
      <c r="G63" s="222">
        <v>20</v>
      </c>
      <c r="H63" s="339">
        <v>10</v>
      </c>
      <c r="I63" s="270">
        <v>0</v>
      </c>
      <c r="J63" s="385">
        <f t="shared" si="7"/>
        <v>30</v>
      </c>
    </row>
    <row r="64" spans="1:10" ht="15.75" thickBot="1" x14ac:dyDescent="0.3">
      <c r="A64" s="378" t="s">
        <v>173</v>
      </c>
      <c r="B64" s="220">
        <v>2</v>
      </c>
      <c r="C64" s="337">
        <v>1</v>
      </c>
      <c r="D64" s="268">
        <v>0</v>
      </c>
      <c r="E64" s="381">
        <f t="shared" si="6"/>
        <v>3</v>
      </c>
      <c r="F64" s="383" t="s">
        <v>278</v>
      </c>
      <c r="G64" s="222">
        <v>10</v>
      </c>
      <c r="H64" s="339">
        <v>10</v>
      </c>
      <c r="I64" s="270">
        <v>5</v>
      </c>
      <c r="J64" s="385">
        <f t="shared" si="7"/>
        <v>25</v>
      </c>
    </row>
    <row r="65" spans="1:10" ht="15.75" thickBot="1" x14ac:dyDescent="0.3">
      <c r="A65" s="378" t="s">
        <v>828</v>
      </c>
      <c r="B65" s="220">
        <v>1</v>
      </c>
      <c r="C65" s="337">
        <v>0</v>
      </c>
      <c r="D65" s="268">
        <v>1</v>
      </c>
      <c r="E65" s="381">
        <f t="shared" si="6"/>
        <v>2</v>
      </c>
      <c r="F65" s="383" t="s">
        <v>963</v>
      </c>
      <c r="G65" s="222">
        <v>15</v>
      </c>
      <c r="H65" s="339">
        <v>0</v>
      </c>
      <c r="I65" s="270">
        <v>5</v>
      </c>
      <c r="J65" s="385">
        <f t="shared" si="7"/>
        <v>20</v>
      </c>
    </row>
    <row r="66" spans="1:10" ht="15.75" thickBot="1" x14ac:dyDescent="0.3">
      <c r="A66" s="378" t="s">
        <v>962</v>
      </c>
      <c r="B66" s="220">
        <v>0</v>
      </c>
      <c r="C66" s="337">
        <v>1</v>
      </c>
      <c r="D66" s="268">
        <v>1</v>
      </c>
      <c r="E66" s="381">
        <f t="shared" si="6"/>
        <v>2</v>
      </c>
      <c r="F66" s="383" t="s">
        <v>832</v>
      </c>
      <c r="G66" s="222">
        <v>5</v>
      </c>
      <c r="H66" s="339">
        <v>5</v>
      </c>
      <c r="I66" s="270">
        <v>5</v>
      </c>
      <c r="J66" s="385">
        <f t="shared" si="7"/>
        <v>15</v>
      </c>
    </row>
    <row r="67" spans="1:10" ht="15.75" thickBot="1" x14ac:dyDescent="0.3">
      <c r="A67" s="378" t="s">
        <v>1186</v>
      </c>
      <c r="B67" s="220">
        <v>2</v>
      </c>
      <c r="C67" s="337">
        <v>0</v>
      </c>
      <c r="D67" s="268">
        <v>0</v>
      </c>
      <c r="E67" s="381">
        <f t="shared" si="6"/>
        <v>2</v>
      </c>
      <c r="F67" s="383" t="s">
        <v>1092</v>
      </c>
      <c r="G67" s="222">
        <v>15</v>
      </c>
      <c r="H67" s="339">
        <v>0</v>
      </c>
      <c r="I67" s="270">
        <v>0</v>
      </c>
      <c r="J67" s="385">
        <f t="shared" si="7"/>
        <v>15</v>
      </c>
    </row>
    <row r="68" spans="1:10" ht="15.75" thickBot="1" x14ac:dyDescent="0.3">
      <c r="A68" s="378" t="s">
        <v>1085</v>
      </c>
      <c r="B68" s="220">
        <v>1</v>
      </c>
      <c r="C68" s="337">
        <v>1</v>
      </c>
      <c r="D68" s="268">
        <v>0</v>
      </c>
      <c r="E68" s="381">
        <f t="shared" si="6"/>
        <v>2</v>
      </c>
      <c r="F68" s="383" t="s">
        <v>173</v>
      </c>
      <c r="G68" s="222">
        <v>10</v>
      </c>
      <c r="H68" s="339">
        <v>5</v>
      </c>
      <c r="I68" s="270">
        <v>0</v>
      </c>
      <c r="J68" s="385">
        <f t="shared" si="7"/>
        <v>15</v>
      </c>
    </row>
    <row r="69" spans="1:10" ht="15.75" thickBot="1" x14ac:dyDescent="0.3">
      <c r="A69" s="378" t="s">
        <v>85</v>
      </c>
      <c r="B69" s="220">
        <v>0</v>
      </c>
      <c r="C69" s="337">
        <v>2</v>
      </c>
      <c r="D69" s="268">
        <v>0</v>
      </c>
      <c r="E69" s="381">
        <f t="shared" si="6"/>
        <v>2</v>
      </c>
      <c r="F69" s="383" t="s">
        <v>1079</v>
      </c>
      <c r="G69" s="222">
        <v>8</v>
      </c>
      <c r="H69" s="339">
        <v>5</v>
      </c>
      <c r="I69" s="270">
        <v>0</v>
      </c>
      <c r="J69" s="385">
        <f t="shared" si="7"/>
        <v>13</v>
      </c>
    </row>
    <row r="70" spans="1:10" ht="15.75" thickBot="1" x14ac:dyDescent="0.3">
      <c r="A70" s="378" t="s">
        <v>1228</v>
      </c>
      <c r="B70" s="220">
        <v>1</v>
      </c>
      <c r="C70" s="337">
        <v>1</v>
      </c>
      <c r="D70" s="268">
        <v>0</v>
      </c>
      <c r="E70" s="381">
        <f t="shared" si="6"/>
        <v>2</v>
      </c>
      <c r="F70" s="383" t="s">
        <v>828</v>
      </c>
      <c r="G70" s="222">
        <v>5</v>
      </c>
      <c r="H70" s="339">
        <v>0</v>
      </c>
      <c r="I70" s="270">
        <v>5</v>
      </c>
      <c r="J70" s="385">
        <f t="shared" si="7"/>
        <v>10</v>
      </c>
    </row>
    <row r="71" spans="1:10" ht="15.75" thickBot="1" x14ac:dyDescent="0.3">
      <c r="A71" s="378" t="s">
        <v>1188</v>
      </c>
      <c r="B71" s="220">
        <v>1</v>
      </c>
      <c r="C71" s="337">
        <v>1</v>
      </c>
      <c r="D71" s="268">
        <v>0</v>
      </c>
      <c r="E71" s="381">
        <f t="shared" si="6"/>
        <v>2</v>
      </c>
      <c r="F71" s="383" t="s">
        <v>962</v>
      </c>
      <c r="G71" s="222">
        <v>0</v>
      </c>
      <c r="H71" s="339">
        <v>5</v>
      </c>
      <c r="I71" s="270">
        <v>5</v>
      </c>
      <c r="J71" s="385">
        <f t="shared" si="7"/>
        <v>10</v>
      </c>
    </row>
    <row r="72" spans="1:10" ht="15.75" thickBot="1" x14ac:dyDescent="0.3">
      <c r="A72" s="378" t="s">
        <v>290</v>
      </c>
      <c r="B72" s="220">
        <v>0</v>
      </c>
      <c r="C72" s="337">
        <v>1</v>
      </c>
      <c r="D72" s="268">
        <v>1</v>
      </c>
      <c r="E72" s="381">
        <f t="shared" si="6"/>
        <v>2</v>
      </c>
      <c r="F72" s="383" t="s">
        <v>1186</v>
      </c>
      <c r="G72" s="222">
        <v>10</v>
      </c>
      <c r="H72" s="339">
        <v>0</v>
      </c>
      <c r="I72" s="270">
        <v>0</v>
      </c>
      <c r="J72" s="385">
        <f t="shared" si="7"/>
        <v>10</v>
      </c>
    </row>
    <row r="73" spans="1:10" ht="15.75" thickBot="1" x14ac:dyDescent="0.3">
      <c r="A73" s="378" t="s">
        <v>1079</v>
      </c>
      <c r="B73" s="220">
        <v>1</v>
      </c>
      <c r="C73" s="337">
        <v>1</v>
      </c>
      <c r="D73" s="268">
        <v>0</v>
      </c>
      <c r="E73" s="381">
        <f t="shared" si="6"/>
        <v>2</v>
      </c>
      <c r="F73" s="383" t="s">
        <v>1085</v>
      </c>
      <c r="G73" s="222">
        <v>5</v>
      </c>
      <c r="H73" s="339">
        <v>5</v>
      </c>
      <c r="I73" s="270">
        <v>0</v>
      </c>
      <c r="J73" s="385">
        <f t="shared" si="7"/>
        <v>10</v>
      </c>
    </row>
    <row r="74" spans="1:10" ht="15.75" thickBot="1" x14ac:dyDescent="0.3">
      <c r="A74" s="378" t="s">
        <v>29</v>
      </c>
      <c r="B74" s="220">
        <v>1</v>
      </c>
      <c r="C74" s="337">
        <v>0</v>
      </c>
      <c r="D74" s="268">
        <v>1</v>
      </c>
      <c r="E74" s="381">
        <f t="shared" si="6"/>
        <v>2</v>
      </c>
      <c r="F74" s="383" t="s">
        <v>85</v>
      </c>
      <c r="G74" s="222">
        <v>0</v>
      </c>
      <c r="H74" s="339">
        <v>10</v>
      </c>
      <c r="I74" s="270">
        <v>0</v>
      </c>
      <c r="J74" s="385">
        <f t="shared" si="7"/>
        <v>10</v>
      </c>
    </row>
    <row r="75" spans="1:10" ht="15.75" thickBot="1" x14ac:dyDescent="0.3">
      <c r="A75" s="378" t="s">
        <v>7</v>
      </c>
      <c r="B75" s="220">
        <v>1</v>
      </c>
      <c r="C75" s="337">
        <v>1</v>
      </c>
      <c r="D75" s="268">
        <v>0</v>
      </c>
      <c r="E75" s="381">
        <f t="shared" si="6"/>
        <v>2</v>
      </c>
      <c r="F75" s="383" t="s">
        <v>1228</v>
      </c>
      <c r="G75" s="222">
        <v>5</v>
      </c>
      <c r="H75" s="339">
        <v>5</v>
      </c>
      <c r="I75" s="270">
        <v>0</v>
      </c>
      <c r="J75" s="385">
        <f t="shared" si="7"/>
        <v>10</v>
      </c>
    </row>
    <row r="76" spans="1:10" ht="15.75" thickBot="1" x14ac:dyDescent="0.3">
      <c r="A76" s="378" t="s">
        <v>51</v>
      </c>
      <c r="B76" s="220">
        <v>2</v>
      </c>
      <c r="C76" s="337">
        <v>0</v>
      </c>
      <c r="D76" s="268">
        <v>0</v>
      </c>
      <c r="E76" s="381">
        <f t="shared" si="6"/>
        <v>2</v>
      </c>
      <c r="F76" s="383" t="s">
        <v>1188</v>
      </c>
      <c r="G76" s="222">
        <v>5</v>
      </c>
      <c r="H76" s="339">
        <v>5</v>
      </c>
      <c r="I76" s="270">
        <v>0</v>
      </c>
      <c r="J76" s="385">
        <f t="shared" si="7"/>
        <v>10</v>
      </c>
    </row>
    <row r="77" spans="1:10" ht="15.75" thickBot="1" x14ac:dyDescent="0.3">
      <c r="A77" s="378" t="s">
        <v>69</v>
      </c>
      <c r="B77" s="220">
        <v>1</v>
      </c>
      <c r="C77" s="337">
        <v>0</v>
      </c>
      <c r="D77" s="268">
        <v>0</v>
      </c>
      <c r="E77" s="381">
        <f t="shared" si="6"/>
        <v>1</v>
      </c>
      <c r="F77" s="383" t="s">
        <v>290</v>
      </c>
      <c r="G77" s="222">
        <v>0</v>
      </c>
      <c r="H77" s="339">
        <v>5</v>
      </c>
      <c r="I77" s="270">
        <v>5</v>
      </c>
      <c r="J77" s="385">
        <f t="shared" si="7"/>
        <v>10</v>
      </c>
    </row>
    <row r="78" spans="1:10" ht="15.75" thickBot="1" x14ac:dyDescent="0.3">
      <c r="A78" s="378" t="s">
        <v>1083</v>
      </c>
      <c r="B78" s="220">
        <v>0</v>
      </c>
      <c r="C78" s="337">
        <v>1</v>
      </c>
      <c r="D78" s="268">
        <v>0</v>
      </c>
      <c r="E78" s="381">
        <f t="shared" si="6"/>
        <v>1</v>
      </c>
      <c r="F78" s="383" t="s">
        <v>29</v>
      </c>
      <c r="G78" s="222">
        <v>5</v>
      </c>
      <c r="H78" s="339">
        <v>0</v>
      </c>
      <c r="I78" s="270">
        <v>5</v>
      </c>
      <c r="J78" s="385">
        <f t="shared" si="7"/>
        <v>10</v>
      </c>
    </row>
    <row r="79" spans="1:10" ht="15.75" thickBot="1" x14ac:dyDescent="0.3">
      <c r="A79" s="378" t="s">
        <v>1164</v>
      </c>
      <c r="B79" s="220">
        <v>1</v>
      </c>
      <c r="C79" s="337">
        <v>0</v>
      </c>
      <c r="D79" s="268">
        <v>0</v>
      </c>
      <c r="E79" s="381">
        <f t="shared" si="6"/>
        <v>1</v>
      </c>
      <c r="F79" s="383" t="s">
        <v>7</v>
      </c>
      <c r="G79" s="222">
        <v>5</v>
      </c>
      <c r="H79" s="339">
        <v>5</v>
      </c>
      <c r="I79" s="270">
        <v>0</v>
      </c>
      <c r="J79" s="385">
        <f t="shared" si="7"/>
        <v>10</v>
      </c>
    </row>
    <row r="80" spans="1:10" ht="15.75" thickBot="1" x14ac:dyDescent="0.3">
      <c r="A80" s="378" t="s">
        <v>1077</v>
      </c>
      <c r="B80" s="220">
        <v>1</v>
      </c>
      <c r="C80" s="337">
        <v>0</v>
      </c>
      <c r="D80" s="268">
        <v>0</v>
      </c>
      <c r="E80" s="381">
        <f t="shared" si="6"/>
        <v>1</v>
      </c>
      <c r="F80" s="383" t="s">
        <v>51</v>
      </c>
      <c r="G80" s="222">
        <v>10</v>
      </c>
      <c r="H80" s="339">
        <v>0</v>
      </c>
      <c r="I80" s="270">
        <v>0</v>
      </c>
      <c r="J80" s="385">
        <f t="shared" si="7"/>
        <v>10</v>
      </c>
    </row>
    <row r="81" spans="1:10" ht="15.75" thickBot="1" x14ac:dyDescent="0.3">
      <c r="A81" s="378" t="s">
        <v>194</v>
      </c>
      <c r="B81" s="220">
        <v>1</v>
      </c>
      <c r="C81" s="337">
        <v>0</v>
      </c>
      <c r="D81" s="268">
        <v>0</v>
      </c>
      <c r="E81" s="381">
        <f t="shared" si="6"/>
        <v>1</v>
      </c>
      <c r="F81" s="383" t="s">
        <v>6</v>
      </c>
      <c r="G81" s="222">
        <v>7</v>
      </c>
      <c r="H81" s="339">
        <v>0</v>
      </c>
      <c r="I81" s="270">
        <v>0</v>
      </c>
      <c r="J81" s="385">
        <f t="shared" si="7"/>
        <v>7</v>
      </c>
    </row>
    <row r="82" spans="1:10" ht="15.75" thickBot="1" x14ac:dyDescent="0.3">
      <c r="A82" s="378" t="s">
        <v>1081</v>
      </c>
      <c r="B82" s="220">
        <v>0</v>
      </c>
      <c r="C82" s="337">
        <v>1</v>
      </c>
      <c r="D82" s="268">
        <v>0</v>
      </c>
      <c r="E82" s="381">
        <f t="shared" si="6"/>
        <v>1</v>
      </c>
      <c r="F82" s="383" t="s">
        <v>69</v>
      </c>
      <c r="G82" s="222">
        <v>5</v>
      </c>
      <c r="H82" s="339">
        <v>0</v>
      </c>
      <c r="I82" s="270">
        <v>0</v>
      </c>
      <c r="J82" s="385">
        <f t="shared" si="7"/>
        <v>5</v>
      </c>
    </row>
    <row r="83" spans="1:10" ht="15.75" thickBot="1" x14ac:dyDescent="0.3">
      <c r="A83" s="378" t="s">
        <v>1194</v>
      </c>
      <c r="B83" s="220">
        <v>1</v>
      </c>
      <c r="C83" s="337">
        <v>0</v>
      </c>
      <c r="D83" s="268">
        <v>0</v>
      </c>
      <c r="E83" s="381">
        <f t="shared" si="6"/>
        <v>1</v>
      </c>
      <c r="F83" s="383" t="s">
        <v>1083</v>
      </c>
      <c r="G83" s="222">
        <v>0</v>
      </c>
      <c r="H83" s="339">
        <v>5</v>
      </c>
      <c r="I83" s="270">
        <v>0</v>
      </c>
      <c r="J83" s="385">
        <f t="shared" si="7"/>
        <v>5</v>
      </c>
    </row>
    <row r="84" spans="1:10" ht="15.75" thickBot="1" x14ac:dyDescent="0.3">
      <c r="A84" s="378" t="s">
        <v>963</v>
      </c>
      <c r="B84" s="220">
        <v>0</v>
      </c>
      <c r="C84" s="337">
        <v>0</v>
      </c>
      <c r="D84" s="268">
        <v>1</v>
      </c>
      <c r="E84" s="381">
        <f t="shared" si="6"/>
        <v>1</v>
      </c>
      <c r="F84" s="383" t="s">
        <v>1164</v>
      </c>
      <c r="G84" s="222">
        <v>5</v>
      </c>
      <c r="H84" s="339">
        <v>0</v>
      </c>
      <c r="I84" s="270">
        <v>0</v>
      </c>
      <c r="J84" s="385">
        <f t="shared" si="7"/>
        <v>5</v>
      </c>
    </row>
    <row r="85" spans="1:10" ht="15.75" thickBot="1" x14ac:dyDescent="0.3">
      <c r="A85" s="378" t="s">
        <v>6</v>
      </c>
      <c r="B85" s="220">
        <v>1</v>
      </c>
      <c r="C85" s="337">
        <v>0</v>
      </c>
      <c r="D85" s="268">
        <v>0</v>
      </c>
      <c r="E85" s="381">
        <f t="shared" si="6"/>
        <v>1</v>
      </c>
      <c r="F85" s="383" t="s">
        <v>194</v>
      </c>
      <c r="G85" s="222">
        <v>5</v>
      </c>
      <c r="H85" s="339">
        <v>0</v>
      </c>
      <c r="I85" s="270">
        <v>0</v>
      </c>
      <c r="J85" s="385">
        <f t="shared" si="7"/>
        <v>5</v>
      </c>
    </row>
    <row r="86" spans="1:10" ht="15.75" thickBot="1" x14ac:dyDescent="0.3">
      <c r="A86" s="378" t="s">
        <v>1235</v>
      </c>
      <c r="B86" s="220">
        <v>1</v>
      </c>
      <c r="C86" s="337">
        <v>0</v>
      </c>
      <c r="D86" s="268">
        <v>0</v>
      </c>
      <c r="E86" s="381">
        <f t="shared" si="6"/>
        <v>1</v>
      </c>
      <c r="F86" s="383" t="s">
        <v>1081</v>
      </c>
      <c r="G86" s="222">
        <v>0</v>
      </c>
      <c r="H86" s="339">
        <v>5</v>
      </c>
      <c r="I86" s="270">
        <v>0</v>
      </c>
      <c r="J86" s="385">
        <f t="shared" si="7"/>
        <v>5</v>
      </c>
    </row>
    <row r="87" spans="1:10" ht="15.75" thickBot="1" x14ac:dyDescent="0.3">
      <c r="A87" s="378" t="s">
        <v>14</v>
      </c>
      <c r="B87" s="220">
        <v>0</v>
      </c>
      <c r="C87" s="337">
        <v>0</v>
      </c>
      <c r="D87" s="268">
        <v>1</v>
      </c>
      <c r="E87" s="381">
        <f t="shared" si="6"/>
        <v>1</v>
      </c>
      <c r="F87" s="383" t="s">
        <v>1194</v>
      </c>
      <c r="G87" s="222">
        <v>5</v>
      </c>
      <c r="H87" s="339">
        <v>0</v>
      </c>
      <c r="I87" s="270">
        <v>0</v>
      </c>
      <c r="J87" s="385">
        <f t="shared" si="7"/>
        <v>5</v>
      </c>
    </row>
    <row r="88" spans="1:10" ht="15.75" thickBot="1" x14ac:dyDescent="0.3">
      <c r="A88" s="378" t="s">
        <v>762</v>
      </c>
      <c r="B88" s="220">
        <v>0</v>
      </c>
      <c r="C88" s="337">
        <v>1</v>
      </c>
      <c r="D88" s="268">
        <v>0</v>
      </c>
      <c r="E88" s="381">
        <f t="shared" si="6"/>
        <v>1</v>
      </c>
      <c r="F88" s="383" t="s">
        <v>1235</v>
      </c>
      <c r="G88" s="222">
        <v>5</v>
      </c>
      <c r="H88" s="339">
        <v>0</v>
      </c>
      <c r="I88" s="270">
        <v>0</v>
      </c>
      <c r="J88" s="385">
        <f t="shared" si="7"/>
        <v>5</v>
      </c>
    </row>
    <row r="89" spans="1:10" ht="15.75" thickBot="1" x14ac:dyDescent="0.3">
      <c r="A89" s="378" t="s">
        <v>1166</v>
      </c>
      <c r="B89" s="220">
        <v>1</v>
      </c>
      <c r="C89" s="337">
        <v>0</v>
      </c>
      <c r="D89" s="268">
        <v>0</v>
      </c>
      <c r="E89" s="381">
        <f t="shared" si="6"/>
        <v>1</v>
      </c>
      <c r="F89" s="383" t="s">
        <v>14</v>
      </c>
      <c r="G89" s="222">
        <v>0</v>
      </c>
      <c r="H89" s="339">
        <v>0</v>
      </c>
      <c r="I89" s="270">
        <v>5</v>
      </c>
      <c r="J89" s="385">
        <f t="shared" si="7"/>
        <v>5</v>
      </c>
    </row>
    <row r="90" spans="1:10" ht="15.75" thickBot="1" x14ac:dyDescent="0.3">
      <c r="A90" s="378" t="s">
        <v>8</v>
      </c>
      <c r="B90" s="220">
        <v>1</v>
      </c>
      <c r="C90" s="337">
        <v>0</v>
      </c>
      <c r="D90" s="268">
        <v>0</v>
      </c>
      <c r="E90" s="381">
        <f t="shared" ref="E90:E108" si="8">SUM(B90:D90)</f>
        <v>1</v>
      </c>
      <c r="F90" s="383" t="s">
        <v>762</v>
      </c>
      <c r="G90" s="222">
        <v>0</v>
      </c>
      <c r="H90" s="339">
        <v>5</v>
      </c>
      <c r="I90" s="270">
        <v>0</v>
      </c>
      <c r="J90" s="385">
        <f t="shared" ref="J90:J108" si="9">SUM(G90:I90)</f>
        <v>5</v>
      </c>
    </row>
    <row r="91" spans="1:10" ht="15.75" thickBot="1" x14ac:dyDescent="0.3">
      <c r="A91" s="378" t="s">
        <v>213</v>
      </c>
      <c r="B91" s="220">
        <v>0</v>
      </c>
      <c r="C91" s="337">
        <v>1</v>
      </c>
      <c r="D91" s="268">
        <v>0</v>
      </c>
      <c r="E91" s="381">
        <f t="shared" si="8"/>
        <v>1</v>
      </c>
      <c r="F91" s="383" t="s">
        <v>1166</v>
      </c>
      <c r="G91" s="222">
        <v>5</v>
      </c>
      <c r="H91" s="339">
        <v>0</v>
      </c>
      <c r="I91" s="270">
        <v>0</v>
      </c>
      <c r="J91" s="385">
        <f t="shared" si="9"/>
        <v>5</v>
      </c>
    </row>
    <row r="92" spans="1:10" ht="15.75" thickBot="1" x14ac:dyDescent="0.3">
      <c r="A92" s="378" t="s">
        <v>30</v>
      </c>
      <c r="B92" s="220">
        <v>1</v>
      </c>
      <c r="C92" s="337">
        <v>0</v>
      </c>
      <c r="D92" s="268">
        <v>0</v>
      </c>
      <c r="E92" s="381">
        <f t="shared" si="8"/>
        <v>1</v>
      </c>
      <c r="F92" s="383" t="s">
        <v>8</v>
      </c>
      <c r="G92" s="222">
        <v>5</v>
      </c>
      <c r="H92" s="339">
        <v>0</v>
      </c>
      <c r="I92" s="270">
        <v>0</v>
      </c>
      <c r="J92" s="385">
        <f t="shared" si="9"/>
        <v>5</v>
      </c>
    </row>
    <row r="93" spans="1:10" ht="15.75" thickBot="1" x14ac:dyDescent="0.3">
      <c r="A93" s="378" t="s">
        <v>425</v>
      </c>
      <c r="B93" s="220">
        <v>0</v>
      </c>
      <c r="C93" s="337">
        <v>0</v>
      </c>
      <c r="D93" s="268">
        <v>0</v>
      </c>
      <c r="E93" s="381">
        <f t="shared" si="8"/>
        <v>0</v>
      </c>
      <c r="F93" s="383" t="s">
        <v>213</v>
      </c>
      <c r="G93" s="222">
        <v>0</v>
      </c>
      <c r="H93" s="339">
        <v>5</v>
      </c>
      <c r="I93" s="270">
        <v>0</v>
      </c>
      <c r="J93" s="385">
        <f t="shared" si="9"/>
        <v>5</v>
      </c>
    </row>
    <row r="94" spans="1:10" ht="15.75" thickBot="1" x14ac:dyDescent="0.3">
      <c r="A94" s="378" t="s">
        <v>120</v>
      </c>
      <c r="B94" s="220">
        <v>0</v>
      </c>
      <c r="C94" s="337">
        <v>0</v>
      </c>
      <c r="D94" s="268">
        <v>0</v>
      </c>
      <c r="E94" s="381">
        <f t="shared" si="8"/>
        <v>0</v>
      </c>
      <c r="F94" s="383" t="s">
        <v>30</v>
      </c>
      <c r="G94" s="222">
        <v>5</v>
      </c>
      <c r="H94" s="339">
        <v>0</v>
      </c>
      <c r="I94" s="270">
        <v>0</v>
      </c>
      <c r="J94" s="385">
        <f t="shared" si="9"/>
        <v>5</v>
      </c>
    </row>
    <row r="95" spans="1:10" ht="15.75" thickBot="1" x14ac:dyDescent="0.3">
      <c r="A95" s="378" t="s">
        <v>426</v>
      </c>
      <c r="B95" s="220">
        <v>0</v>
      </c>
      <c r="C95" s="337">
        <v>0</v>
      </c>
      <c r="D95" s="268">
        <v>0</v>
      </c>
      <c r="E95" s="381">
        <f t="shared" si="8"/>
        <v>0</v>
      </c>
      <c r="F95" s="383" t="s">
        <v>425</v>
      </c>
      <c r="G95" s="222">
        <v>0</v>
      </c>
      <c r="H95" s="339">
        <v>0</v>
      </c>
      <c r="I95" s="270">
        <v>0</v>
      </c>
      <c r="J95" s="385">
        <f t="shared" si="9"/>
        <v>0</v>
      </c>
    </row>
    <row r="96" spans="1:10" ht="15.75" thickBot="1" x14ac:dyDescent="0.3">
      <c r="A96" s="378" t="s">
        <v>72</v>
      </c>
      <c r="B96" s="220">
        <v>0</v>
      </c>
      <c r="C96" s="337">
        <v>0</v>
      </c>
      <c r="D96" s="268">
        <v>0</v>
      </c>
      <c r="E96" s="381">
        <f t="shared" si="8"/>
        <v>0</v>
      </c>
      <c r="F96" s="383" t="s">
        <v>120</v>
      </c>
      <c r="G96" s="222">
        <v>0</v>
      </c>
      <c r="H96" s="339">
        <v>0</v>
      </c>
      <c r="I96" s="270">
        <v>0</v>
      </c>
      <c r="J96" s="385">
        <f t="shared" si="9"/>
        <v>0</v>
      </c>
    </row>
    <row r="97" spans="1:10" ht="15.75" thickBot="1" x14ac:dyDescent="0.3">
      <c r="A97" s="378" t="s">
        <v>847</v>
      </c>
      <c r="B97" s="220">
        <v>0</v>
      </c>
      <c r="C97" s="337">
        <v>0</v>
      </c>
      <c r="D97" s="268">
        <v>0</v>
      </c>
      <c r="E97" s="381">
        <f t="shared" si="8"/>
        <v>0</v>
      </c>
      <c r="F97" s="383" t="s">
        <v>426</v>
      </c>
      <c r="G97" s="222">
        <v>0</v>
      </c>
      <c r="H97" s="339">
        <v>0</v>
      </c>
      <c r="I97" s="270">
        <v>0</v>
      </c>
      <c r="J97" s="385">
        <f t="shared" si="9"/>
        <v>0</v>
      </c>
    </row>
    <row r="98" spans="1:10" ht="15.75" thickBot="1" x14ac:dyDescent="0.3">
      <c r="A98" s="378" t="s">
        <v>72</v>
      </c>
      <c r="B98" s="220">
        <v>0</v>
      </c>
      <c r="C98" s="337">
        <v>0</v>
      </c>
      <c r="D98" s="268">
        <v>0</v>
      </c>
      <c r="E98" s="381">
        <f t="shared" si="8"/>
        <v>0</v>
      </c>
      <c r="F98" s="383" t="s">
        <v>72</v>
      </c>
      <c r="G98" s="222">
        <v>0</v>
      </c>
      <c r="H98" s="339">
        <v>0</v>
      </c>
      <c r="I98" s="270">
        <v>0</v>
      </c>
      <c r="J98" s="385">
        <f t="shared" si="9"/>
        <v>0</v>
      </c>
    </row>
    <row r="99" spans="1:10" ht="15.75" thickBot="1" x14ac:dyDescent="0.3">
      <c r="A99" s="378" t="s">
        <v>72</v>
      </c>
      <c r="B99" s="220">
        <v>0</v>
      </c>
      <c r="C99" s="337">
        <v>0</v>
      </c>
      <c r="D99" s="268">
        <v>0</v>
      </c>
      <c r="E99" s="381">
        <f t="shared" si="8"/>
        <v>0</v>
      </c>
      <c r="F99" s="383" t="s">
        <v>847</v>
      </c>
      <c r="G99" s="222">
        <v>0</v>
      </c>
      <c r="H99" s="339">
        <v>0</v>
      </c>
      <c r="I99" s="270">
        <v>0</v>
      </c>
      <c r="J99" s="385">
        <f t="shared" si="9"/>
        <v>0</v>
      </c>
    </row>
    <row r="100" spans="1:10" ht="15.75" thickBot="1" x14ac:dyDescent="0.3">
      <c r="A100" s="378" t="s">
        <v>891</v>
      </c>
      <c r="B100" s="220">
        <v>0</v>
      </c>
      <c r="C100" s="337">
        <v>0</v>
      </c>
      <c r="D100" s="268">
        <v>0</v>
      </c>
      <c r="E100" s="381">
        <f t="shared" si="8"/>
        <v>0</v>
      </c>
      <c r="F100" s="383" t="s">
        <v>72</v>
      </c>
      <c r="G100" s="222">
        <v>0</v>
      </c>
      <c r="H100" s="339">
        <v>0</v>
      </c>
      <c r="I100" s="270">
        <v>0</v>
      </c>
      <c r="J100" s="385">
        <f t="shared" si="9"/>
        <v>0</v>
      </c>
    </row>
    <row r="101" spans="1:10" ht="15.75" thickBot="1" x14ac:dyDescent="0.3">
      <c r="A101" s="378" t="s">
        <v>279</v>
      </c>
      <c r="B101" s="220">
        <v>0</v>
      </c>
      <c r="C101" s="337">
        <v>0</v>
      </c>
      <c r="D101" s="268">
        <v>0</v>
      </c>
      <c r="E101" s="381">
        <f t="shared" si="8"/>
        <v>0</v>
      </c>
      <c r="F101" s="383" t="s">
        <v>72</v>
      </c>
      <c r="G101" s="222">
        <v>0</v>
      </c>
      <c r="H101" s="339">
        <v>0</v>
      </c>
      <c r="I101" s="270">
        <v>0</v>
      </c>
      <c r="J101" s="385">
        <f t="shared" si="9"/>
        <v>0</v>
      </c>
    </row>
    <row r="102" spans="1:10" ht="15.75" thickBot="1" x14ac:dyDescent="0.3">
      <c r="A102" s="378" t="s">
        <v>1167</v>
      </c>
      <c r="B102" s="220">
        <v>0</v>
      </c>
      <c r="C102" s="337">
        <v>0</v>
      </c>
      <c r="D102" s="268">
        <v>0</v>
      </c>
      <c r="E102" s="381">
        <f t="shared" si="8"/>
        <v>0</v>
      </c>
      <c r="F102" s="383" t="s">
        <v>891</v>
      </c>
      <c r="G102" s="222">
        <v>0</v>
      </c>
      <c r="H102" s="339">
        <v>0</v>
      </c>
      <c r="I102" s="270">
        <v>0</v>
      </c>
      <c r="J102" s="385">
        <f t="shared" si="9"/>
        <v>0</v>
      </c>
    </row>
    <row r="103" spans="1:10" ht="15.75" thickBot="1" x14ac:dyDescent="0.3">
      <c r="A103" s="378" t="s">
        <v>60</v>
      </c>
      <c r="B103" s="220">
        <v>0</v>
      </c>
      <c r="C103" s="337">
        <v>0</v>
      </c>
      <c r="D103" s="268">
        <v>0</v>
      </c>
      <c r="E103" s="381">
        <f t="shared" si="8"/>
        <v>0</v>
      </c>
      <c r="F103" s="383" t="s">
        <v>60</v>
      </c>
      <c r="G103" s="222">
        <v>0</v>
      </c>
      <c r="H103" s="339">
        <v>0</v>
      </c>
      <c r="I103" s="270">
        <v>0</v>
      </c>
      <c r="J103" s="385">
        <f t="shared" si="9"/>
        <v>0</v>
      </c>
    </row>
    <row r="104" spans="1:10" ht="15.75" thickBot="1" x14ac:dyDescent="0.3">
      <c r="A104" s="378" t="s">
        <v>294</v>
      </c>
      <c r="B104" s="220">
        <v>0</v>
      </c>
      <c r="C104" s="337">
        <v>0</v>
      </c>
      <c r="D104" s="268">
        <v>0</v>
      </c>
      <c r="E104" s="381">
        <f t="shared" si="8"/>
        <v>0</v>
      </c>
      <c r="F104" s="383" t="s">
        <v>294</v>
      </c>
      <c r="G104" s="222">
        <v>0</v>
      </c>
      <c r="H104" s="339">
        <v>0</v>
      </c>
      <c r="I104" s="270">
        <v>0</v>
      </c>
      <c r="J104" s="385">
        <f t="shared" si="9"/>
        <v>0</v>
      </c>
    </row>
    <row r="105" spans="1:10" ht="15.75" thickBot="1" x14ac:dyDescent="0.3">
      <c r="A105" s="378" t="s">
        <v>72</v>
      </c>
      <c r="B105" s="220">
        <v>0</v>
      </c>
      <c r="C105" s="337">
        <v>0</v>
      </c>
      <c r="D105" s="268">
        <v>0</v>
      </c>
      <c r="E105" s="381">
        <f t="shared" si="8"/>
        <v>0</v>
      </c>
      <c r="F105" s="383" t="s">
        <v>72</v>
      </c>
      <c r="G105" s="222">
        <v>0</v>
      </c>
      <c r="H105" s="339">
        <v>0</v>
      </c>
      <c r="I105" s="270">
        <v>0</v>
      </c>
      <c r="J105" s="385">
        <f t="shared" si="9"/>
        <v>0</v>
      </c>
    </row>
    <row r="106" spans="1:10" ht="15.75" thickBot="1" x14ac:dyDescent="0.3">
      <c r="A106" s="378" t="s">
        <v>72</v>
      </c>
      <c r="B106" s="220">
        <v>0</v>
      </c>
      <c r="C106" s="337">
        <v>0</v>
      </c>
      <c r="D106" s="268">
        <v>0</v>
      </c>
      <c r="E106" s="381">
        <f t="shared" si="8"/>
        <v>0</v>
      </c>
      <c r="F106" s="383" t="s">
        <v>72</v>
      </c>
      <c r="G106" s="222">
        <v>0</v>
      </c>
      <c r="H106" s="339">
        <v>0</v>
      </c>
      <c r="I106" s="270">
        <v>0</v>
      </c>
      <c r="J106" s="385">
        <f t="shared" si="9"/>
        <v>0</v>
      </c>
    </row>
    <row r="107" spans="1:10" ht="15.75" thickBot="1" x14ac:dyDescent="0.3">
      <c r="A107" s="378" t="s">
        <v>882</v>
      </c>
      <c r="B107" s="220">
        <v>0</v>
      </c>
      <c r="C107" s="337">
        <v>0</v>
      </c>
      <c r="D107" s="268">
        <v>0</v>
      </c>
      <c r="E107" s="381">
        <f t="shared" si="8"/>
        <v>0</v>
      </c>
      <c r="F107" s="383" t="s">
        <v>882</v>
      </c>
      <c r="G107" s="222">
        <v>0</v>
      </c>
      <c r="H107" s="339">
        <v>0</v>
      </c>
      <c r="I107" s="270">
        <v>0</v>
      </c>
      <c r="J107" s="385">
        <f t="shared" si="9"/>
        <v>0</v>
      </c>
    </row>
    <row r="108" spans="1:10" ht="15.75" thickBot="1" x14ac:dyDescent="0.3">
      <c r="A108" s="378" t="s">
        <v>834</v>
      </c>
      <c r="B108" s="220">
        <v>0</v>
      </c>
      <c r="C108" s="337">
        <v>0</v>
      </c>
      <c r="D108" s="268">
        <v>0</v>
      </c>
      <c r="E108" s="381">
        <f t="shared" si="8"/>
        <v>0</v>
      </c>
      <c r="F108" s="383" t="s">
        <v>834</v>
      </c>
      <c r="G108" s="222">
        <v>0</v>
      </c>
      <c r="H108" s="339">
        <v>0</v>
      </c>
      <c r="I108" s="270">
        <v>0</v>
      </c>
      <c r="J108" s="385">
        <f t="shared" si="9"/>
        <v>0</v>
      </c>
    </row>
    <row r="109" spans="1:10" ht="15.75" thickBot="1" x14ac:dyDescent="0.3">
      <c r="A109" s="378" t="s">
        <v>3</v>
      </c>
      <c r="B109" s="220">
        <f>SUM(B58:B108)</f>
        <v>35</v>
      </c>
      <c r="C109" s="337">
        <f>SUM(C58:C108)</f>
        <v>25</v>
      </c>
      <c r="D109" s="268">
        <f>SUM(D58:D108)</f>
        <v>12</v>
      </c>
      <c r="E109" s="381">
        <f t="shared" ref="E109" si="10">SUM(B109:D109)</f>
        <v>72</v>
      </c>
      <c r="F109" s="383" t="s">
        <v>3</v>
      </c>
      <c r="G109" s="222">
        <f>SUM(G58:G108)</f>
        <v>374</v>
      </c>
      <c r="H109" s="339">
        <f>SUM(H58:H108)</f>
        <v>200</v>
      </c>
      <c r="I109" s="270">
        <f>SUM(I58:I108)</f>
        <v>90</v>
      </c>
      <c r="J109" s="385">
        <f t="shared" ref="J109" si="11">SUM(G109:I109)</f>
        <v>664</v>
      </c>
    </row>
    <row r="110" spans="1:10" x14ac:dyDescent="0.25">
      <c r="A110" s="58" t="s">
        <v>130</v>
      </c>
    </row>
  </sheetData>
  <sortState xmlns:xlrd2="http://schemas.microsoft.com/office/spreadsheetml/2017/richdata2" ref="F58:J108">
    <sortCondition descending="1" ref="J58:J108"/>
  </sortState>
  <mergeCells count="29">
    <mergeCell ref="K30:W30"/>
    <mergeCell ref="K29:AQ29"/>
    <mergeCell ref="A1:J1"/>
    <mergeCell ref="AO1:AQ2"/>
    <mergeCell ref="K21:K22"/>
    <mergeCell ref="L21:N22"/>
    <mergeCell ref="AL1:AN2"/>
    <mergeCell ref="R1:S2"/>
    <mergeCell ref="K14:K15"/>
    <mergeCell ref="K1:K2"/>
    <mergeCell ref="L1:N2"/>
    <mergeCell ref="O1:Q2"/>
    <mergeCell ref="AI1:AK2"/>
    <mergeCell ref="L14:N15"/>
    <mergeCell ref="AF1:AH2"/>
    <mergeCell ref="R14:T15"/>
    <mergeCell ref="AH14:AJ15"/>
    <mergeCell ref="AC1:AE2"/>
    <mergeCell ref="O14:Q15"/>
    <mergeCell ref="O21:Q22"/>
    <mergeCell ref="AE14:AG15"/>
    <mergeCell ref="R21:T22"/>
    <mergeCell ref="AE21:AG22"/>
    <mergeCell ref="U14:W15"/>
    <mergeCell ref="U21:W22"/>
    <mergeCell ref="W1:Y2"/>
    <mergeCell ref="T1:V2"/>
    <mergeCell ref="AB14:AD15"/>
    <mergeCell ref="AB21:A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160"/>
  <sheetViews>
    <sheetView workbookViewId="0">
      <selection activeCell="AE14" sqref="AE14"/>
    </sheetView>
  </sheetViews>
  <sheetFormatPr defaultColWidth="8.85546875" defaultRowHeight="15" x14ac:dyDescent="0.25"/>
  <cols>
    <col min="1" max="1" width="16.42578125" customWidth="1"/>
    <col min="2" max="3" width="3.7109375" customWidth="1"/>
    <col min="4" max="5" width="4.7109375" customWidth="1"/>
    <col min="6" max="6" width="16.42578125" customWidth="1"/>
    <col min="7" max="10" width="5.28515625" customWidth="1"/>
    <col min="11" max="11" width="16.42578125" bestFit="1" customWidth="1"/>
    <col min="12" max="14" width="5.42578125" customWidth="1"/>
    <col min="15" max="26" width="5.7109375" customWidth="1"/>
    <col min="27" max="28" width="5.7109375" style="409" customWidth="1"/>
    <col min="29" max="45" width="5.7109375" customWidth="1"/>
  </cols>
  <sheetData>
    <row r="1" spans="1:51" ht="15" customHeight="1" thickBot="1" x14ac:dyDescent="0.3">
      <c r="A1" s="567" t="s">
        <v>909</v>
      </c>
      <c r="B1" s="568"/>
      <c r="C1" s="568"/>
      <c r="D1" s="568"/>
      <c r="E1" s="568"/>
      <c r="F1" s="568"/>
      <c r="G1" s="568"/>
      <c r="H1" s="568"/>
      <c r="I1" s="568"/>
      <c r="J1" s="569"/>
      <c r="K1" s="513" t="s">
        <v>1028</v>
      </c>
      <c r="L1" s="500" t="s">
        <v>42</v>
      </c>
      <c r="M1" s="501"/>
      <c r="N1" s="502"/>
      <c r="O1" s="500" t="s">
        <v>151</v>
      </c>
      <c r="P1" s="501"/>
      <c r="Q1" s="502"/>
      <c r="R1" s="500" t="s">
        <v>1027</v>
      </c>
      <c r="S1" s="502"/>
      <c r="T1" s="515" t="s">
        <v>100</v>
      </c>
      <c r="U1" s="516"/>
      <c r="V1" s="517"/>
      <c r="W1" s="515" t="s">
        <v>915</v>
      </c>
      <c r="X1" s="516"/>
      <c r="Y1" s="517"/>
      <c r="Z1" s="309"/>
      <c r="AA1" s="323"/>
      <c r="AB1" s="323"/>
      <c r="AC1" s="323"/>
      <c r="AD1" s="515" t="s">
        <v>303</v>
      </c>
      <c r="AE1" s="516"/>
      <c r="AF1" s="517"/>
      <c r="AG1" s="515" t="s">
        <v>205</v>
      </c>
      <c r="AH1" s="516"/>
      <c r="AI1" s="517"/>
      <c r="AJ1" s="515" t="s">
        <v>186</v>
      </c>
      <c r="AK1" s="516"/>
      <c r="AL1" s="517"/>
      <c r="AM1" s="515" t="s">
        <v>155</v>
      </c>
      <c r="AN1" s="516"/>
      <c r="AO1" s="517"/>
      <c r="AP1" s="515" t="s">
        <v>156</v>
      </c>
      <c r="AQ1" s="516"/>
      <c r="AR1" s="517"/>
      <c r="AT1" s="5"/>
      <c r="AU1" s="5"/>
      <c r="AV1" s="5"/>
      <c r="AY1" s="5"/>
    </row>
    <row r="2" spans="1:51" ht="15" customHeight="1" thickBot="1" x14ac:dyDescent="0.3">
      <c r="A2" s="412" t="s">
        <v>0</v>
      </c>
      <c r="B2" s="467" t="s">
        <v>305</v>
      </c>
      <c r="C2" s="371" t="s">
        <v>101</v>
      </c>
      <c r="D2" s="367" t="s">
        <v>306</v>
      </c>
      <c r="E2" s="350" t="s">
        <v>1</v>
      </c>
      <c r="F2" s="414" t="s">
        <v>2</v>
      </c>
      <c r="G2" s="160" t="s">
        <v>305</v>
      </c>
      <c r="H2" s="342" t="s">
        <v>101</v>
      </c>
      <c r="I2" s="260" t="s">
        <v>306</v>
      </c>
      <c r="J2" s="417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518"/>
      <c r="U2" s="519"/>
      <c r="V2" s="520"/>
      <c r="W2" s="518"/>
      <c r="X2" s="519"/>
      <c r="Y2" s="520"/>
      <c r="Z2" s="309"/>
      <c r="AA2" s="323"/>
      <c r="AB2" s="323"/>
      <c r="AC2" s="323"/>
      <c r="AD2" s="518"/>
      <c r="AE2" s="519"/>
      <c r="AF2" s="520"/>
      <c r="AG2" s="518"/>
      <c r="AH2" s="519"/>
      <c r="AI2" s="520"/>
      <c r="AJ2" s="518"/>
      <c r="AK2" s="519"/>
      <c r="AL2" s="520"/>
      <c r="AM2" s="518"/>
      <c r="AN2" s="519"/>
      <c r="AO2" s="520"/>
      <c r="AP2" s="518"/>
      <c r="AQ2" s="519"/>
      <c r="AR2" s="520"/>
    </row>
    <row r="3" spans="1:51" ht="15" customHeight="1" thickBot="1" x14ac:dyDescent="0.3">
      <c r="A3" s="413" t="s">
        <v>142</v>
      </c>
      <c r="B3" s="468">
        <v>0</v>
      </c>
      <c r="C3" s="372">
        <v>0</v>
      </c>
      <c r="D3" s="368">
        <v>0</v>
      </c>
      <c r="E3" s="351">
        <f t="shared" ref="E3:E51" si="0">SUM(B3:D3)</f>
        <v>0</v>
      </c>
      <c r="F3" s="415" t="s">
        <v>142</v>
      </c>
      <c r="G3" s="105">
        <v>7</v>
      </c>
      <c r="H3" s="343">
        <v>0</v>
      </c>
      <c r="I3" s="256">
        <v>0</v>
      </c>
      <c r="J3" s="418">
        <f t="shared" ref="J3:J51" si="1">SUM(G3:I3)</f>
        <v>7</v>
      </c>
      <c r="K3" s="35" t="s">
        <v>72</v>
      </c>
      <c r="L3" s="4" t="s">
        <v>176</v>
      </c>
      <c r="M3" s="4" t="s">
        <v>36</v>
      </c>
      <c r="N3" s="4" t="s">
        <v>37</v>
      </c>
      <c r="O3" s="4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422"/>
      <c r="AB3" s="422"/>
      <c r="AC3" s="127"/>
      <c r="AD3" s="283" t="s">
        <v>176</v>
      </c>
      <c r="AE3" s="8" t="s">
        <v>36</v>
      </c>
      <c r="AF3" s="8" t="s">
        <v>37</v>
      </c>
      <c r="AG3" s="283" t="s">
        <v>176</v>
      </c>
      <c r="AH3" s="8" t="s">
        <v>36</v>
      </c>
      <c r="AI3" s="8" t="s">
        <v>37</v>
      </c>
      <c r="AJ3" s="8" t="s">
        <v>176</v>
      </c>
      <c r="AK3" s="8" t="s">
        <v>36</v>
      </c>
      <c r="AL3" s="8" t="s">
        <v>37</v>
      </c>
      <c r="AM3" s="8" t="s">
        <v>176</v>
      </c>
      <c r="AN3" s="8" t="s">
        <v>36</v>
      </c>
      <c r="AO3" s="8" t="s">
        <v>37</v>
      </c>
      <c r="AP3" s="8" t="s">
        <v>176</v>
      </c>
      <c r="AQ3" s="8" t="s">
        <v>36</v>
      </c>
      <c r="AR3" s="8" t="s">
        <v>37</v>
      </c>
    </row>
    <row r="4" spans="1:51" ht="15" customHeight="1" thickBot="1" x14ac:dyDescent="0.3">
      <c r="A4" s="413" t="s">
        <v>919</v>
      </c>
      <c r="B4" s="468">
        <v>0</v>
      </c>
      <c r="C4" s="372">
        <v>0</v>
      </c>
      <c r="D4" s="368">
        <v>0</v>
      </c>
      <c r="E4" s="351">
        <f t="shared" si="0"/>
        <v>0</v>
      </c>
      <c r="F4" s="415" t="s">
        <v>919</v>
      </c>
      <c r="G4" s="105">
        <v>0</v>
      </c>
      <c r="H4" s="343">
        <v>0</v>
      </c>
      <c r="I4" s="256">
        <v>0</v>
      </c>
      <c r="J4" s="418">
        <f t="shared" si="1"/>
        <v>0</v>
      </c>
      <c r="K4" s="419" t="s">
        <v>142</v>
      </c>
      <c r="L4" s="420">
        <v>3</v>
      </c>
      <c r="M4" s="420">
        <v>5</v>
      </c>
      <c r="N4" s="421">
        <f>(L4/M4)*100</f>
        <v>60</v>
      </c>
      <c r="O4" s="420" t="s">
        <v>43</v>
      </c>
      <c r="P4" s="420" t="s">
        <v>43</v>
      </c>
      <c r="Q4" s="421" t="s">
        <v>43</v>
      </c>
      <c r="R4" s="420">
        <v>1</v>
      </c>
      <c r="S4" s="420">
        <v>1</v>
      </c>
      <c r="T4" s="8" t="s">
        <v>43</v>
      </c>
      <c r="U4" s="8" t="s">
        <v>43</v>
      </c>
      <c r="V4" s="294" t="s">
        <v>43</v>
      </c>
      <c r="W4" s="283" t="s">
        <v>43</v>
      </c>
      <c r="X4" s="8" t="s">
        <v>43</v>
      </c>
      <c r="Y4" s="8" t="s">
        <v>43</v>
      </c>
      <c r="Z4" s="352"/>
      <c r="AA4" s="423"/>
      <c r="AB4" s="423"/>
      <c r="AC4" s="127"/>
      <c r="AD4" s="283" t="s">
        <v>43</v>
      </c>
      <c r="AE4" s="8" t="s">
        <v>43</v>
      </c>
      <c r="AF4" s="8" t="s">
        <v>43</v>
      </c>
      <c r="AG4" s="283">
        <v>12</v>
      </c>
      <c r="AH4" s="8">
        <v>16</v>
      </c>
      <c r="AI4" s="294">
        <v>75</v>
      </c>
      <c r="AJ4" s="8" t="s">
        <v>43</v>
      </c>
      <c r="AK4" s="8" t="s">
        <v>43</v>
      </c>
      <c r="AL4" s="8" t="s">
        <v>43</v>
      </c>
      <c r="AM4" s="8" t="s">
        <v>43</v>
      </c>
      <c r="AN4" s="8" t="s">
        <v>43</v>
      </c>
      <c r="AO4" s="8" t="s">
        <v>43</v>
      </c>
      <c r="AP4" s="8" t="s">
        <v>43</v>
      </c>
      <c r="AQ4" s="8" t="s">
        <v>43</v>
      </c>
      <c r="AR4" s="8" t="s">
        <v>43</v>
      </c>
    </row>
    <row r="5" spans="1:51" ht="15" customHeight="1" thickBot="1" x14ac:dyDescent="0.3">
      <c r="A5" s="413" t="s">
        <v>920</v>
      </c>
      <c r="B5" s="468">
        <v>0</v>
      </c>
      <c r="C5" s="372">
        <v>0</v>
      </c>
      <c r="D5" s="368">
        <v>0</v>
      </c>
      <c r="E5" s="351">
        <f t="shared" si="0"/>
        <v>0</v>
      </c>
      <c r="F5" s="415" t="s">
        <v>920</v>
      </c>
      <c r="G5" s="105">
        <v>0</v>
      </c>
      <c r="H5" s="343">
        <v>0</v>
      </c>
      <c r="I5" s="256">
        <v>0</v>
      </c>
      <c r="J5" s="418">
        <f t="shared" si="1"/>
        <v>0</v>
      </c>
      <c r="K5" s="419" t="s">
        <v>920</v>
      </c>
      <c r="L5" s="420" t="s">
        <v>43</v>
      </c>
      <c r="M5" s="420" t="s">
        <v>43</v>
      </c>
      <c r="N5" s="421" t="s">
        <v>43</v>
      </c>
      <c r="O5" s="420" t="s">
        <v>43</v>
      </c>
      <c r="P5" s="420" t="s">
        <v>43</v>
      </c>
      <c r="Q5" s="421" t="s">
        <v>43</v>
      </c>
      <c r="R5" s="420" t="s">
        <v>43</v>
      </c>
      <c r="S5" s="420" t="s">
        <v>43</v>
      </c>
      <c r="T5" s="8" t="s">
        <v>43</v>
      </c>
      <c r="U5" s="8" t="s">
        <v>43</v>
      </c>
      <c r="V5" s="294" t="s">
        <v>43</v>
      </c>
      <c r="W5" s="283" t="s">
        <v>43</v>
      </c>
      <c r="X5" s="8" t="s">
        <v>43</v>
      </c>
      <c r="Y5" s="294" t="s">
        <v>43</v>
      </c>
      <c r="Z5" s="352"/>
      <c r="AA5" s="423"/>
      <c r="AB5" s="423"/>
      <c r="AC5" s="127"/>
      <c r="AD5" s="283" t="s">
        <v>43</v>
      </c>
      <c r="AE5" s="8" t="s">
        <v>43</v>
      </c>
      <c r="AF5" s="294" t="s">
        <v>43</v>
      </c>
      <c r="AG5" s="283" t="s">
        <v>43</v>
      </c>
      <c r="AH5" s="8" t="s">
        <v>43</v>
      </c>
      <c r="AI5" s="294" t="s">
        <v>43</v>
      </c>
      <c r="AJ5" s="8" t="s">
        <v>43</v>
      </c>
      <c r="AK5" s="8" t="s">
        <v>43</v>
      </c>
      <c r="AL5" s="294" t="s">
        <v>43</v>
      </c>
      <c r="AM5" s="8" t="s">
        <v>43</v>
      </c>
      <c r="AN5" s="8" t="s">
        <v>43</v>
      </c>
      <c r="AO5" s="294" t="s">
        <v>43</v>
      </c>
      <c r="AP5" s="8" t="s">
        <v>43</v>
      </c>
      <c r="AQ5" s="8" t="s">
        <v>43</v>
      </c>
      <c r="AR5" s="294" t="s">
        <v>43</v>
      </c>
    </row>
    <row r="6" spans="1:51" ht="15" customHeight="1" thickBot="1" x14ac:dyDescent="0.3">
      <c r="A6" s="413" t="s">
        <v>1023</v>
      </c>
      <c r="B6" s="468">
        <v>2</v>
      </c>
      <c r="C6" s="372">
        <v>0</v>
      </c>
      <c r="D6" s="368">
        <v>0</v>
      </c>
      <c r="E6" s="351">
        <f t="shared" ref="E6" si="2">SUM(B6:D6)</f>
        <v>2</v>
      </c>
      <c r="F6" s="415" t="s">
        <v>1023</v>
      </c>
      <c r="G6" s="105">
        <v>10</v>
      </c>
      <c r="H6" s="343">
        <v>0</v>
      </c>
      <c r="I6" s="256">
        <v>0</v>
      </c>
      <c r="J6" s="418">
        <f t="shared" ref="J6" si="3">SUM(G6:I6)</f>
        <v>10</v>
      </c>
      <c r="K6" s="413" t="s">
        <v>951</v>
      </c>
      <c r="L6" s="420">
        <v>21</v>
      </c>
      <c r="M6" s="420">
        <v>30</v>
      </c>
      <c r="N6" s="421">
        <f>(L6/M6)*100</f>
        <v>70</v>
      </c>
      <c r="O6" s="420">
        <v>1</v>
      </c>
      <c r="P6" s="420">
        <v>1</v>
      </c>
      <c r="Q6" s="421">
        <f>(O6/P6)*100</f>
        <v>100</v>
      </c>
      <c r="R6" s="420">
        <v>3</v>
      </c>
      <c r="S6" s="420">
        <v>3</v>
      </c>
      <c r="T6" s="294">
        <v>37</v>
      </c>
      <c r="U6" s="294">
        <v>53</v>
      </c>
      <c r="V6" s="294">
        <v>69.811320754716974</v>
      </c>
      <c r="W6" s="317" t="s">
        <v>43</v>
      </c>
      <c r="X6" s="294" t="s">
        <v>43</v>
      </c>
      <c r="Y6" s="294" t="s">
        <v>43</v>
      </c>
      <c r="Z6" s="352"/>
      <c r="AA6" s="423"/>
      <c r="AB6" s="423"/>
      <c r="AC6" s="127"/>
      <c r="AD6" s="317">
        <v>38</v>
      </c>
      <c r="AE6" s="294">
        <v>47</v>
      </c>
      <c r="AF6" s="294">
        <v>80.851063829787222</v>
      </c>
      <c r="AG6" s="317">
        <v>52</v>
      </c>
      <c r="AH6" s="294">
        <v>67</v>
      </c>
      <c r="AI6" s="294">
        <v>77.611940298507463</v>
      </c>
      <c r="AJ6" s="294">
        <v>25</v>
      </c>
      <c r="AK6" s="294">
        <v>33</v>
      </c>
      <c r="AL6" s="294">
        <v>75.757575757575751</v>
      </c>
      <c r="AM6" s="8" t="s">
        <v>43</v>
      </c>
      <c r="AN6" s="8" t="s">
        <v>43</v>
      </c>
      <c r="AO6" s="8" t="s">
        <v>43</v>
      </c>
      <c r="AP6" s="8" t="s">
        <v>43</v>
      </c>
      <c r="AQ6" s="8" t="s">
        <v>43</v>
      </c>
      <c r="AR6" s="8" t="s">
        <v>43</v>
      </c>
    </row>
    <row r="7" spans="1:51" ht="15" customHeight="1" thickBot="1" x14ac:dyDescent="0.3">
      <c r="A7" s="413" t="s">
        <v>921</v>
      </c>
      <c r="B7" s="468">
        <v>0</v>
      </c>
      <c r="C7" s="372">
        <v>1</v>
      </c>
      <c r="D7" s="368">
        <v>0</v>
      </c>
      <c r="E7" s="351">
        <f t="shared" si="0"/>
        <v>1</v>
      </c>
      <c r="F7" s="415" t="s">
        <v>921</v>
      </c>
      <c r="G7" s="105">
        <v>0</v>
      </c>
      <c r="H7" s="343">
        <v>5</v>
      </c>
      <c r="I7" s="256">
        <v>0</v>
      </c>
      <c r="J7" s="418">
        <f t="shared" si="1"/>
        <v>5</v>
      </c>
      <c r="K7" s="413" t="s">
        <v>1052</v>
      </c>
      <c r="L7" s="420">
        <v>1</v>
      </c>
      <c r="M7" s="420">
        <v>1</v>
      </c>
      <c r="N7" s="421">
        <f>(L7/M7)*100</f>
        <v>100</v>
      </c>
      <c r="O7" s="420" t="s">
        <v>43</v>
      </c>
      <c r="P7" s="420" t="s">
        <v>43</v>
      </c>
      <c r="Q7" s="421" t="s">
        <v>43</v>
      </c>
      <c r="R7" s="420">
        <v>1</v>
      </c>
      <c r="S7" s="420">
        <v>1</v>
      </c>
      <c r="T7" s="8" t="s">
        <v>43</v>
      </c>
      <c r="U7" s="8" t="s">
        <v>43</v>
      </c>
      <c r="V7" s="294" t="s">
        <v>43</v>
      </c>
      <c r="W7" s="283" t="s">
        <v>43</v>
      </c>
      <c r="X7" s="8" t="s">
        <v>43</v>
      </c>
      <c r="Y7" s="294" t="s">
        <v>43</v>
      </c>
      <c r="Z7" s="352"/>
      <c r="AA7" s="423"/>
      <c r="AB7" s="423"/>
      <c r="AC7" s="127"/>
      <c r="AD7" s="283" t="s">
        <v>43</v>
      </c>
      <c r="AE7" s="8" t="s">
        <v>43</v>
      </c>
      <c r="AF7" s="294" t="s">
        <v>43</v>
      </c>
      <c r="AG7" s="283" t="s">
        <v>43</v>
      </c>
      <c r="AH7" s="8" t="s">
        <v>43</v>
      </c>
      <c r="AI7" s="294" t="s">
        <v>43</v>
      </c>
      <c r="AJ7" s="8" t="s">
        <v>43</v>
      </c>
      <c r="AK7" s="8" t="s">
        <v>43</v>
      </c>
      <c r="AL7" s="294" t="s">
        <v>43</v>
      </c>
      <c r="AM7" s="8" t="s">
        <v>43</v>
      </c>
      <c r="AN7" s="8" t="s">
        <v>43</v>
      </c>
      <c r="AO7" s="294" t="s">
        <v>43</v>
      </c>
      <c r="AP7" s="8" t="s">
        <v>43</v>
      </c>
      <c r="AQ7" s="8" t="s">
        <v>43</v>
      </c>
      <c r="AR7" s="294" t="s">
        <v>43</v>
      </c>
    </row>
    <row r="8" spans="1:51" ht="16.5" customHeight="1" thickBot="1" x14ac:dyDescent="0.3">
      <c r="A8" s="413" t="s">
        <v>922</v>
      </c>
      <c r="B8" s="468">
        <v>0</v>
      </c>
      <c r="C8" s="372">
        <v>0</v>
      </c>
      <c r="D8" s="368">
        <v>0</v>
      </c>
      <c r="E8" s="351">
        <f t="shared" si="0"/>
        <v>0</v>
      </c>
      <c r="F8" s="415" t="s">
        <v>922</v>
      </c>
      <c r="G8" s="105">
        <v>0</v>
      </c>
      <c r="H8" s="343">
        <v>0</v>
      </c>
      <c r="I8" s="256">
        <v>0</v>
      </c>
      <c r="J8" s="418">
        <f t="shared" si="1"/>
        <v>0</v>
      </c>
      <c r="K8" s="413" t="s">
        <v>950</v>
      </c>
      <c r="L8" s="420">
        <v>32</v>
      </c>
      <c r="M8" s="420">
        <v>39</v>
      </c>
      <c r="N8" s="421">
        <f>(Hodgsonnewatt/hodgsonnewattcorrect)*100</f>
        <v>82.051282051282044</v>
      </c>
      <c r="O8" s="420" t="s">
        <v>43</v>
      </c>
      <c r="P8" s="420" t="s">
        <v>43</v>
      </c>
      <c r="Q8" s="421" t="s">
        <v>43</v>
      </c>
      <c r="R8" s="420">
        <v>1</v>
      </c>
      <c r="S8" s="420">
        <v>1</v>
      </c>
      <c r="T8" s="8" t="s">
        <v>43</v>
      </c>
      <c r="U8" s="8" t="s">
        <v>43</v>
      </c>
      <c r="V8" s="294" t="s">
        <v>43</v>
      </c>
      <c r="W8" s="283">
        <v>23</v>
      </c>
      <c r="X8" s="8">
        <v>26</v>
      </c>
      <c r="Y8" s="294">
        <v>88.461538461538453</v>
      </c>
      <c r="Z8" s="352"/>
      <c r="AA8" s="423"/>
      <c r="AB8" s="423"/>
      <c r="AC8" s="127"/>
      <c r="AD8" s="283">
        <v>74</v>
      </c>
      <c r="AE8" s="8">
        <v>93</v>
      </c>
      <c r="AF8" s="294">
        <v>79.569892473118273</v>
      </c>
      <c r="AG8" s="283">
        <v>64</v>
      </c>
      <c r="AH8" s="8">
        <v>79</v>
      </c>
      <c r="AI8" s="294">
        <v>81.012658227848107</v>
      </c>
      <c r="AJ8" s="294">
        <v>90</v>
      </c>
      <c r="AK8" s="294">
        <v>122</v>
      </c>
      <c r="AL8" s="294">
        <v>73.770491803278688</v>
      </c>
      <c r="AM8" s="294">
        <v>98</v>
      </c>
      <c r="AN8" s="294">
        <v>119</v>
      </c>
      <c r="AO8" s="294">
        <v>82.35294117647058</v>
      </c>
      <c r="AP8" s="294">
        <v>68</v>
      </c>
      <c r="AQ8" s="294">
        <v>104</v>
      </c>
      <c r="AR8" s="294">
        <v>65</v>
      </c>
    </row>
    <row r="9" spans="1:51" ht="15" customHeight="1" thickBot="1" x14ac:dyDescent="0.3">
      <c r="A9" s="413" t="s">
        <v>923</v>
      </c>
      <c r="B9" s="468">
        <v>0</v>
      </c>
      <c r="C9" s="372">
        <v>0</v>
      </c>
      <c r="D9" s="368">
        <v>0</v>
      </c>
      <c r="E9" s="351">
        <f t="shared" si="0"/>
        <v>0</v>
      </c>
      <c r="F9" s="415" t="s">
        <v>923</v>
      </c>
      <c r="G9" s="105">
        <v>0</v>
      </c>
      <c r="H9" s="343">
        <v>0</v>
      </c>
      <c r="I9" s="256">
        <v>0</v>
      </c>
      <c r="J9" s="418">
        <f t="shared" si="1"/>
        <v>0</v>
      </c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</row>
    <row r="10" spans="1:51" ht="15" customHeight="1" thickBot="1" x14ac:dyDescent="0.3">
      <c r="A10" s="413" t="s">
        <v>1097</v>
      </c>
      <c r="B10" s="468">
        <v>1</v>
      </c>
      <c r="C10" s="372">
        <v>0</v>
      </c>
      <c r="D10" s="368">
        <v>0</v>
      </c>
      <c r="E10" s="351">
        <f t="shared" si="0"/>
        <v>1</v>
      </c>
      <c r="F10" s="416" t="s">
        <v>1097</v>
      </c>
      <c r="G10" s="105">
        <v>5</v>
      </c>
      <c r="H10" s="343">
        <v>0</v>
      </c>
      <c r="I10" s="256">
        <v>0</v>
      </c>
      <c r="J10" s="418">
        <f t="shared" si="1"/>
        <v>5</v>
      </c>
      <c r="K10" s="556" t="s">
        <v>1041</v>
      </c>
      <c r="L10" s="561" t="s">
        <v>42</v>
      </c>
      <c r="M10" s="562"/>
      <c r="N10" s="563"/>
      <c r="O10" s="515" t="s">
        <v>100</v>
      </c>
      <c r="P10" s="516"/>
      <c r="Q10" s="517"/>
      <c r="R10" s="515" t="s">
        <v>915</v>
      </c>
      <c r="S10" s="516"/>
      <c r="T10" s="517"/>
      <c r="U10" s="515" t="s">
        <v>303</v>
      </c>
      <c r="V10" s="516"/>
      <c r="W10" s="517"/>
      <c r="X10" s="323"/>
      <c r="Y10" s="323"/>
      <c r="Z10" s="323"/>
      <c r="AA10" s="424"/>
      <c r="AB10" s="410"/>
      <c r="AC10" s="410"/>
      <c r="AD10" s="515" t="s">
        <v>205</v>
      </c>
      <c r="AE10" s="516"/>
      <c r="AF10" s="517"/>
      <c r="AG10" s="515" t="s">
        <v>186</v>
      </c>
      <c r="AH10" s="516"/>
      <c r="AI10" s="517"/>
      <c r="AJ10" s="515" t="s">
        <v>140</v>
      </c>
      <c r="AK10" s="516"/>
      <c r="AL10" s="517"/>
    </row>
    <row r="11" spans="1:51" ht="15" customHeight="1" thickBot="1" x14ac:dyDescent="0.3">
      <c r="A11" s="413" t="s">
        <v>1010</v>
      </c>
      <c r="B11" s="468">
        <v>0</v>
      </c>
      <c r="C11" s="372">
        <v>0</v>
      </c>
      <c r="D11" s="368">
        <v>1</v>
      </c>
      <c r="E11" s="351">
        <f t="shared" ref="E11:E12" si="4">SUM(B11:D11)</f>
        <v>1</v>
      </c>
      <c r="F11" s="416" t="s">
        <v>1010</v>
      </c>
      <c r="G11" s="105">
        <v>0</v>
      </c>
      <c r="H11" s="343">
        <v>0</v>
      </c>
      <c r="I11" s="256">
        <v>5</v>
      </c>
      <c r="J11" s="418">
        <f t="shared" ref="J11:J12" si="5">SUM(G11:I11)</f>
        <v>5</v>
      </c>
      <c r="K11" s="557"/>
      <c r="L11" s="564"/>
      <c r="M11" s="565"/>
      <c r="N11" s="566"/>
      <c r="O11" s="518"/>
      <c r="P11" s="519"/>
      <c r="Q11" s="520"/>
      <c r="R11" s="518"/>
      <c r="S11" s="519"/>
      <c r="T11" s="520"/>
      <c r="U11" s="518"/>
      <c r="V11" s="519"/>
      <c r="W11" s="520"/>
      <c r="X11" s="323"/>
      <c r="Y11" s="323"/>
      <c r="Z11" s="323"/>
      <c r="AA11" s="410"/>
      <c r="AB11" s="410"/>
      <c r="AC11" s="410"/>
      <c r="AD11" s="518"/>
      <c r="AE11" s="519"/>
      <c r="AF11" s="520"/>
      <c r="AG11" s="518"/>
      <c r="AH11" s="519"/>
      <c r="AI11" s="520"/>
      <c r="AJ11" s="518"/>
      <c r="AK11" s="519"/>
      <c r="AL11" s="520"/>
    </row>
    <row r="12" spans="1:51" ht="15" customHeight="1" thickBot="1" x14ac:dyDescent="0.3">
      <c r="A12" s="413" t="s">
        <v>1156</v>
      </c>
      <c r="B12" s="468">
        <v>2</v>
      </c>
      <c r="C12" s="372">
        <v>0</v>
      </c>
      <c r="D12" s="368">
        <v>0</v>
      </c>
      <c r="E12" s="351">
        <f t="shared" si="4"/>
        <v>2</v>
      </c>
      <c r="F12" s="415" t="s">
        <v>1156</v>
      </c>
      <c r="G12" s="105">
        <v>10</v>
      </c>
      <c r="H12" s="343">
        <v>0</v>
      </c>
      <c r="I12" s="256">
        <v>0</v>
      </c>
      <c r="J12" s="418">
        <f t="shared" si="5"/>
        <v>10</v>
      </c>
      <c r="K12" s="35" t="s">
        <v>72</v>
      </c>
      <c r="L12" s="353" t="s">
        <v>176</v>
      </c>
      <c r="M12" s="353" t="s">
        <v>36</v>
      </c>
      <c r="N12" s="353" t="s">
        <v>37</v>
      </c>
      <c r="O12" s="8" t="s">
        <v>176</v>
      </c>
      <c r="P12" s="8" t="s">
        <v>36</v>
      </c>
      <c r="Q12" s="8" t="s">
        <v>37</v>
      </c>
      <c r="R12" s="8" t="s">
        <v>176</v>
      </c>
      <c r="S12" s="8" t="s">
        <v>36</v>
      </c>
      <c r="T12" s="8" t="s">
        <v>37</v>
      </c>
      <c r="U12" s="283" t="s">
        <v>176</v>
      </c>
      <c r="V12" s="8" t="s">
        <v>36</v>
      </c>
      <c r="W12" s="8" t="s">
        <v>37</v>
      </c>
      <c r="X12" s="410"/>
      <c r="Y12" s="410"/>
      <c r="Z12" s="410"/>
      <c r="AA12" s="410"/>
      <c r="AB12" s="410"/>
      <c r="AC12" s="410"/>
      <c r="AD12" s="283" t="s">
        <v>176</v>
      </c>
      <c r="AE12" s="8" t="s">
        <v>36</v>
      </c>
      <c r="AF12" s="8" t="s">
        <v>37</v>
      </c>
      <c r="AG12" s="283" t="s">
        <v>176</v>
      </c>
      <c r="AH12" s="8" t="s">
        <v>36</v>
      </c>
      <c r="AI12" s="8" t="s">
        <v>37</v>
      </c>
      <c r="AJ12" s="7" t="s">
        <v>176</v>
      </c>
      <c r="AK12" s="8" t="s">
        <v>36</v>
      </c>
      <c r="AL12" s="8" t="s">
        <v>37</v>
      </c>
    </row>
    <row r="13" spans="1:51" ht="15" customHeight="1" thickBot="1" x14ac:dyDescent="0.3">
      <c r="A13" s="413" t="s">
        <v>924</v>
      </c>
      <c r="B13" s="468">
        <v>1</v>
      </c>
      <c r="C13" s="372">
        <v>0</v>
      </c>
      <c r="D13" s="368">
        <v>0</v>
      </c>
      <c r="E13" s="351">
        <f t="shared" si="0"/>
        <v>1</v>
      </c>
      <c r="F13" s="415" t="s">
        <v>924</v>
      </c>
      <c r="G13" s="105">
        <v>5</v>
      </c>
      <c r="H13" s="343">
        <v>0</v>
      </c>
      <c r="I13" s="256">
        <v>0</v>
      </c>
      <c r="J13" s="418">
        <f t="shared" si="1"/>
        <v>5</v>
      </c>
      <c r="K13" s="419" t="s">
        <v>142</v>
      </c>
      <c r="L13" s="420">
        <v>0</v>
      </c>
      <c r="M13" s="420">
        <v>2</v>
      </c>
      <c r="N13" s="421">
        <f>(L13/M13)*100</f>
        <v>0</v>
      </c>
      <c r="O13" s="8" t="s">
        <v>43</v>
      </c>
      <c r="P13" s="8" t="s">
        <v>43</v>
      </c>
      <c r="Q13" s="294" t="s">
        <v>43</v>
      </c>
      <c r="R13" s="8">
        <v>7</v>
      </c>
      <c r="S13" s="8">
        <v>10</v>
      </c>
      <c r="T13" s="294">
        <f>SUM(R13/S13)*100</f>
        <v>70</v>
      </c>
      <c r="U13" s="283" t="s">
        <v>43</v>
      </c>
      <c r="V13" s="8" t="s">
        <v>43</v>
      </c>
      <c r="W13" s="294" t="s">
        <v>43</v>
      </c>
      <c r="X13" s="410"/>
      <c r="Y13" s="410"/>
      <c r="Z13" s="410"/>
      <c r="AA13" s="410"/>
      <c r="AB13" s="410"/>
      <c r="AC13" s="410"/>
      <c r="AD13" s="283" t="s">
        <v>43</v>
      </c>
      <c r="AE13" s="8" t="s">
        <v>43</v>
      </c>
      <c r="AF13" s="294" t="s">
        <v>43</v>
      </c>
      <c r="AG13" s="7" t="s">
        <v>43</v>
      </c>
      <c r="AH13" s="8" t="s">
        <v>43</v>
      </c>
      <c r="AI13" s="294" t="s">
        <v>43</v>
      </c>
      <c r="AJ13" s="8" t="s">
        <v>43</v>
      </c>
      <c r="AK13" s="8" t="s">
        <v>43</v>
      </c>
      <c r="AL13" s="294" t="s">
        <v>43</v>
      </c>
    </row>
    <row r="14" spans="1:51" ht="15" customHeight="1" thickBot="1" x14ac:dyDescent="0.3">
      <c r="A14" s="413" t="s">
        <v>1190</v>
      </c>
      <c r="B14" s="468">
        <v>3</v>
      </c>
      <c r="C14" s="372">
        <v>0</v>
      </c>
      <c r="D14" s="368">
        <v>0</v>
      </c>
      <c r="E14" s="351">
        <f t="shared" si="0"/>
        <v>3</v>
      </c>
      <c r="F14" s="415" t="s">
        <v>1190</v>
      </c>
      <c r="G14" s="105">
        <v>15</v>
      </c>
      <c r="H14" s="343">
        <v>0</v>
      </c>
      <c r="I14" s="256">
        <v>0</v>
      </c>
      <c r="J14" s="418">
        <f t="shared" si="1"/>
        <v>15</v>
      </c>
      <c r="K14" s="419" t="s">
        <v>920</v>
      </c>
      <c r="L14" s="420" t="s">
        <v>43</v>
      </c>
      <c r="M14" s="420" t="s">
        <v>43</v>
      </c>
      <c r="N14" s="421" t="s">
        <v>43</v>
      </c>
      <c r="O14" s="8" t="s">
        <v>43</v>
      </c>
      <c r="P14" s="8" t="s">
        <v>43</v>
      </c>
      <c r="Q14" s="294" t="s">
        <v>43</v>
      </c>
      <c r="R14" s="8">
        <v>6</v>
      </c>
      <c r="S14" s="8">
        <v>13</v>
      </c>
      <c r="T14" s="294" t="s">
        <v>43</v>
      </c>
      <c r="U14" s="283" t="s">
        <v>43</v>
      </c>
      <c r="V14" s="8" t="s">
        <v>43</v>
      </c>
      <c r="W14" s="294" t="s">
        <v>43</v>
      </c>
      <c r="X14" s="410"/>
      <c r="Y14" s="410"/>
      <c r="Z14" s="410"/>
      <c r="AA14" s="410"/>
      <c r="AB14" s="410"/>
      <c r="AC14" s="410"/>
      <c r="AD14" s="283">
        <v>4</v>
      </c>
      <c r="AE14" s="8">
        <v>5</v>
      </c>
      <c r="AF14" s="294" t="s">
        <v>43</v>
      </c>
      <c r="AG14" s="7" t="s">
        <v>43</v>
      </c>
      <c r="AH14" s="8" t="s">
        <v>43</v>
      </c>
      <c r="AI14" s="294" t="s">
        <v>43</v>
      </c>
      <c r="AJ14" s="8" t="s">
        <v>43</v>
      </c>
      <c r="AK14" s="8" t="s">
        <v>43</v>
      </c>
      <c r="AL14" s="294" t="s">
        <v>43</v>
      </c>
      <c r="AM14" t="s">
        <v>72</v>
      </c>
    </row>
    <row r="15" spans="1:51" ht="15" customHeight="1" thickBot="1" x14ac:dyDescent="0.3">
      <c r="A15" s="413" t="s">
        <v>1207</v>
      </c>
      <c r="B15" s="468">
        <v>1</v>
      </c>
      <c r="C15" s="372">
        <v>0</v>
      </c>
      <c r="D15" s="368">
        <v>0</v>
      </c>
      <c r="E15" s="351">
        <f t="shared" si="0"/>
        <v>1</v>
      </c>
      <c r="F15" s="415" t="s">
        <v>1207</v>
      </c>
      <c r="G15" s="105">
        <v>5</v>
      </c>
      <c r="H15" s="343">
        <v>0</v>
      </c>
      <c r="I15" s="256">
        <v>0</v>
      </c>
      <c r="J15" s="418">
        <f t="shared" si="1"/>
        <v>5</v>
      </c>
      <c r="K15" s="413" t="s">
        <v>951</v>
      </c>
      <c r="L15" s="420">
        <v>9</v>
      </c>
      <c r="M15" s="420">
        <v>11</v>
      </c>
      <c r="N15" s="421">
        <f>(L15/M15)*100</f>
        <v>81.818181818181827</v>
      </c>
      <c r="O15" s="8">
        <v>9</v>
      </c>
      <c r="P15" s="8">
        <v>14</v>
      </c>
      <c r="Q15" s="294">
        <v>64.285714285714292</v>
      </c>
      <c r="R15" s="8" t="s">
        <v>43</v>
      </c>
      <c r="S15" s="8" t="s">
        <v>43</v>
      </c>
      <c r="T15" s="294" t="s">
        <v>43</v>
      </c>
      <c r="U15" s="283">
        <v>20</v>
      </c>
      <c r="V15" s="8">
        <v>26</v>
      </c>
      <c r="W15" s="294">
        <v>76.923076923076934</v>
      </c>
      <c r="X15" s="410"/>
      <c r="Y15" s="410"/>
      <c r="Z15" s="410"/>
      <c r="AA15" s="410"/>
      <c r="AB15" s="410"/>
      <c r="AC15" s="410"/>
      <c r="AD15" s="283">
        <v>22</v>
      </c>
      <c r="AE15" s="8">
        <v>25</v>
      </c>
      <c r="AF15" s="294">
        <v>88</v>
      </c>
      <c r="AG15" s="7">
        <v>6</v>
      </c>
      <c r="AH15" s="8">
        <v>11</v>
      </c>
      <c r="AI15" s="294">
        <v>54.54545454545454</v>
      </c>
      <c r="AJ15" s="8">
        <v>22</v>
      </c>
      <c r="AK15" s="8">
        <v>29</v>
      </c>
      <c r="AL15" s="294">
        <v>75.862068965517238</v>
      </c>
    </row>
    <row r="16" spans="1:51" ht="15" customHeight="1" thickBot="1" x14ac:dyDescent="0.3">
      <c r="A16" s="413" t="s">
        <v>925</v>
      </c>
      <c r="B16" s="468">
        <v>0</v>
      </c>
      <c r="C16" s="372">
        <v>0</v>
      </c>
      <c r="D16" s="368">
        <v>0</v>
      </c>
      <c r="E16" s="351">
        <f t="shared" si="0"/>
        <v>0</v>
      </c>
      <c r="F16" s="415" t="s">
        <v>925</v>
      </c>
      <c r="G16" s="105">
        <v>0</v>
      </c>
      <c r="H16" s="343">
        <v>0</v>
      </c>
      <c r="I16" s="256">
        <v>0</v>
      </c>
      <c r="J16" s="418">
        <f t="shared" si="1"/>
        <v>0</v>
      </c>
      <c r="K16" s="413" t="s">
        <v>950</v>
      </c>
      <c r="L16" s="420">
        <v>9</v>
      </c>
      <c r="M16" s="420">
        <v>10</v>
      </c>
      <c r="N16" s="421">
        <f>(L16/M16)*100</f>
        <v>90</v>
      </c>
      <c r="O16" s="8" t="s">
        <v>43</v>
      </c>
      <c r="P16" s="8" t="s">
        <v>43</v>
      </c>
      <c r="Q16" s="294" t="s">
        <v>43</v>
      </c>
      <c r="R16" s="8">
        <v>3</v>
      </c>
      <c r="S16" s="8">
        <v>3</v>
      </c>
      <c r="T16" s="294">
        <v>100</v>
      </c>
      <c r="U16" s="283">
        <v>14</v>
      </c>
      <c r="V16" s="8">
        <v>15</v>
      </c>
      <c r="W16" s="294">
        <v>93.333333333333329</v>
      </c>
      <c r="X16" s="410"/>
      <c r="Y16" s="410"/>
      <c r="Z16" s="410"/>
      <c r="AA16" s="410"/>
      <c r="AB16" s="410"/>
      <c r="AC16" s="410"/>
      <c r="AD16" s="283">
        <v>13</v>
      </c>
      <c r="AE16" s="8">
        <v>21</v>
      </c>
      <c r="AF16" s="294">
        <v>61.904761904761905</v>
      </c>
      <c r="AG16" s="7">
        <v>21</v>
      </c>
      <c r="AH16" s="8">
        <v>31</v>
      </c>
      <c r="AI16" s="294">
        <v>67.741935483870961</v>
      </c>
      <c r="AJ16" s="8">
        <v>17</v>
      </c>
      <c r="AK16" s="8">
        <v>24</v>
      </c>
      <c r="AL16" s="294">
        <v>70.833333333333343</v>
      </c>
    </row>
    <row r="17" spans="1:45" ht="15" customHeight="1" thickBot="1" x14ac:dyDescent="0.3">
      <c r="A17" s="413" t="s">
        <v>1009</v>
      </c>
      <c r="B17" s="468">
        <v>0</v>
      </c>
      <c r="C17" s="372">
        <v>0</v>
      </c>
      <c r="D17" s="368">
        <v>1</v>
      </c>
      <c r="E17" s="351">
        <f t="shared" ref="E17" si="6">SUM(B17:D17)</f>
        <v>1</v>
      </c>
      <c r="F17" s="415" t="s">
        <v>1009</v>
      </c>
      <c r="G17" s="105">
        <v>0</v>
      </c>
      <c r="H17" s="343">
        <v>0</v>
      </c>
      <c r="I17" s="256">
        <v>5</v>
      </c>
      <c r="J17" s="418">
        <f t="shared" ref="J17" si="7">SUM(G17:I17)</f>
        <v>5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410"/>
      <c r="Y17" s="410"/>
      <c r="Z17" s="410"/>
      <c r="AA17" s="410"/>
      <c r="AB17" s="410"/>
      <c r="AC17" s="410"/>
      <c r="AD17" s="289"/>
      <c r="AE17" s="289"/>
      <c r="AF17" s="289"/>
      <c r="AQ17" s="179"/>
    </row>
    <row r="18" spans="1:45" ht="15" customHeight="1" thickBot="1" x14ac:dyDescent="0.3">
      <c r="A18" s="413" t="s">
        <v>992</v>
      </c>
      <c r="B18" s="468">
        <v>0</v>
      </c>
      <c r="C18" s="372">
        <v>1</v>
      </c>
      <c r="D18" s="368">
        <v>2</v>
      </c>
      <c r="E18" s="351">
        <f t="shared" ref="E18" si="8">SUM(B18:D18)</f>
        <v>3</v>
      </c>
      <c r="F18" s="415" t="s">
        <v>992</v>
      </c>
      <c r="G18" s="105">
        <v>0</v>
      </c>
      <c r="H18" s="343">
        <v>5</v>
      </c>
      <c r="I18" s="256">
        <v>10</v>
      </c>
      <c r="J18" s="418">
        <f t="shared" ref="J18" si="9">SUM(G18:I18)</f>
        <v>15</v>
      </c>
      <c r="K18" s="509" t="s">
        <v>304</v>
      </c>
      <c r="L18" s="561" t="s">
        <v>42</v>
      </c>
      <c r="M18" s="562"/>
      <c r="N18" s="563"/>
      <c r="O18" s="515" t="s">
        <v>100</v>
      </c>
      <c r="P18" s="516"/>
      <c r="Q18" s="517"/>
      <c r="R18" s="515" t="s">
        <v>915</v>
      </c>
      <c r="S18" s="516"/>
      <c r="T18" s="517"/>
      <c r="U18" s="515" t="s">
        <v>303</v>
      </c>
      <c r="V18" s="516"/>
      <c r="W18" s="517"/>
      <c r="X18" s="410"/>
      <c r="Y18" s="410"/>
      <c r="Z18" s="410"/>
      <c r="AA18" s="410"/>
      <c r="AB18" s="410"/>
      <c r="AC18" s="410"/>
      <c r="AD18" s="515" t="s">
        <v>186</v>
      </c>
      <c r="AE18" s="516"/>
      <c r="AF18" s="517"/>
      <c r="AG18" s="515" t="s">
        <v>140</v>
      </c>
      <c r="AH18" s="516"/>
      <c r="AI18" s="517"/>
    </row>
    <row r="19" spans="1:45" ht="15" customHeight="1" thickBot="1" x14ac:dyDescent="0.3">
      <c r="A19" s="413" t="s">
        <v>926</v>
      </c>
      <c r="B19" s="468">
        <v>0</v>
      </c>
      <c r="C19" s="372">
        <v>1</v>
      </c>
      <c r="D19" s="368">
        <v>0</v>
      </c>
      <c r="E19" s="351">
        <f t="shared" si="0"/>
        <v>1</v>
      </c>
      <c r="F19" s="415" t="s">
        <v>926</v>
      </c>
      <c r="G19" s="105">
        <v>0</v>
      </c>
      <c r="H19" s="343">
        <v>5</v>
      </c>
      <c r="I19" s="256">
        <v>0</v>
      </c>
      <c r="J19" s="418">
        <f t="shared" si="1"/>
        <v>5</v>
      </c>
      <c r="K19" s="510"/>
      <c r="L19" s="564"/>
      <c r="M19" s="565"/>
      <c r="N19" s="566"/>
      <c r="O19" s="518"/>
      <c r="P19" s="519"/>
      <c r="Q19" s="520"/>
      <c r="R19" s="518"/>
      <c r="S19" s="519"/>
      <c r="T19" s="520"/>
      <c r="U19" s="518"/>
      <c r="V19" s="519"/>
      <c r="W19" s="520"/>
      <c r="X19" s="410"/>
      <c r="Y19" s="410"/>
      <c r="Z19" s="410"/>
      <c r="AA19" s="410"/>
      <c r="AB19" s="410"/>
      <c r="AC19" s="410"/>
      <c r="AD19" s="518"/>
      <c r="AE19" s="519"/>
      <c r="AF19" s="520"/>
      <c r="AG19" s="518"/>
      <c r="AH19" s="519"/>
      <c r="AI19" s="520"/>
    </row>
    <row r="20" spans="1:45" ht="15" customHeight="1" thickBot="1" x14ac:dyDescent="0.3">
      <c r="A20" s="413" t="s">
        <v>927</v>
      </c>
      <c r="B20" s="468">
        <v>0</v>
      </c>
      <c r="C20" s="372">
        <v>0</v>
      </c>
      <c r="D20" s="368">
        <v>0</v>
      </c>
      <c r="E20" s="351">
        <f t="shared" si="0"/>
        <v>0</v>
      </c>
      <c r="F20" s="415" t="s">
        <v>927</v>
      </c>
      <c r="G20" s="105">
        <v>0</v>
      </c>
      <c r="H20" s="343">
        <v>0</v>
      </c>
      <c r="I20" s="256">
        <v>0</v>
      </c>
      <c r="J20" s="418">
        <f t="shared" si="1"/>
        <v>0</v>
      </c>
      <c r="K20" s="35" t="s">
        <v>72</v>
      </c>
      <c r="L20" s="353" t="s">
        <v>176</v>
      </c>
      <c r="M20" s="353" t="s">
        <v>36</v>
      </c>
      <c r="N20" s="353" t="s">
        <v>37</v>
      </c>
      <c r="O20" s="8" t="s">
        <v>176</v>
      </c>
      <c r="P20" s="8" t="s">
        <v>36</v>
      </c>
      <c r="Q20" s="8" t="s">
        <v>37</v>
      </c>
      <c r="R20" s="8" t="s">
        <v>176</v>
      </c>
      <c r="S20" s="8" t="s">
        <v>36</v>
      </c>
      <c r="T20" s="8" t="s">
        <v>37</v>
      </c>
      <c r="U20" s="283" t="s">
        <v>176</v>
      </c>
      <c r="V20" s="8" t="s">
        <v>36</v>
      </c>
      <c r="W20" s="8" t="s">
        <v>37</v>
      </c>
      <c r="X20" s="410"/>
      <c r="Y20" s="410"/>
      <c r="Z20" s="410"/>
      <c r="AA20" s="410"/>
      <c r="AB20" s="410"/>
      <c r="AC20" s="410"/>
      <c r="AD20" s="283" t="s">
        <v>176</v>
      </c>
      <c r="AE20" s="8" t="s">
        <v>36</v>
      </c>
      <c r="AF20" s="8" t="s">
        <v>37</v>
      </c>
      <c r="AG20" s="283" t="s">
        <v>176</v>
      </c>
      <c r="AH20" s="8" t="s">
        <v>36</v>
      </c>
      <c r="AI20" s="8" t="s">
        <v>37</v>
      </c>
    </row>
    <row r="21" spans="1:45" ht="15" customHeight="1" thickBot="1" x14ac:dyDescent="0.3">
      <c r="A21" s="413" t="s">
        <v>928</v>
      </c>
      <c r="B21" s="468">
        <v>0</v>
      </c>
      <c r="C21" s="372">
        <v>0</v>
      </c>
      <c r="D21" s="368">
        <v>1</v>
      </c>
      <c r="E21" s="351">
        <f t="shared" si="0"/>
        <v>1</v>
      </c>
      <c r="F21" s="415" t="s">
        <v>928</v>
      </c>
      <c r="G21" s="105">
        <v>0</v>
      </c>
      <c r="H21" s="343">
        <v>0</v>
      </c>
      <c r="I21" s="256">
        <v>5</v>
      </c>
      <c r="J21" s="418">
        <f t="shared" si="1"/>
        <v>5</v>
      </c>
      <c r="K21" s="419" t="s">
        <v>142</v>
      </c>
      <c r="L21" s="420" t="s">
        <v>43</v>
      </c>
      <c r="M21" s="420" t="s">
        <v>43</v>
      </c>
      <c r="N21" s="421" t="s">
        <v>43</v>
      </c>
      <c r="O21" s="8" t="s">
        <v>43</v>
      </c>
      <c r="P21" s="8" t="s">
        <v>43</v>
      </c>
      <c r="Q21" s="294" t="s">
        <v>43</v>
      </c>
      <c r="R21" s="8" t="s">
        <v>43</v>
      </c>
      <c r="S21" s="8" t="s">
        <v>43</v>
      </c>
      <c r="T21" s="294" t="s">
        <v>43</v>
      </c>
      <c r="U21" s="283" t="s">
        <v>43</v>
      </c>
      <c r="V21" s="8" t="s">
        <v>43</v>
      </c>
      <c r="W21" s="294" t="s">
        <v>43</v>
      </c>
      <c r="X21" s="410"/>
      <c r="Y21" s="410"/>
      <c r="Z21" s="410"/>
      <c r="AA21" s="410"/>
      <c r="AB21" s="410"/>
      <c r="AC21" s="410"/>
      <c r="AD21" s="283" t="s">
        <v>43</v>
      </c>
      <c r="AE21" s="8" t="s">
        <v>43</v>
      </c>
      <c r="AF21" s="294" t="s">
        <v>43</v>
      </c>
      <c r="AG21" s="283" t="s">
        <v>43</v>
      </c>
      <c r="AH21" s="8" t="s">
        <v>43</v>
      </c>
      <c r="AI21" s="8" t="s">
        <v>43</v>
      </c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</row>
    <row r="22" spans="1:45" ht="15" customHeight="1" thickBot="1" x14ac:dyDescent="0.3">
      <c r="A22" s="413" t="s">
        <v>1021</v>
      </c>
      <c r="B22" s="468">
        <v>9</v>
      </c>
      <c r="C22" s="372">
        <v>0</v>
      </c>
      <c r="D22" s="368">
        <v>0</v>
      </c>
      <c r="E22" s="351">
        <f t="shared" ref="E22" si="10">SUM(B22:D22)</f>
        <v>9</v>
      </c>
      <c r="F22" s="415" t="s">
        <v>1021</v>
      </c>
      <c r="G22" s="105">
        <v>45</v>
      </c>
      <c r="H22" s="343">
        <v>0</v>
      </c>
      <c r="I22" s="256">
        <v>0</v>
      </c>
      <c r="J22" s="418">
        <f t="shared" ref="J22" si="11">SUM(G22:I22)</f>
        <v>45</v>
      </c>
      <c r="K22" s="419" t="s">
        <v>920</v>
      </c>
      <c r="L22" s="420" t="s">
        <v>43</v>
      </c>
      <c r="M22" s="420" t="s">
        <v>43</v>
      </c>
      <c r="N22" s="421" t="s">
        <v>43</v>
      </c>
      <c r="O22" s="8" t="s">
        <v>43</v>
      </c>
      <c r="P22" s="8" t="s">
        <v>43</v>
      </c>
      <c r="Q22" s="294" t="s">
        <v>43</v>
      </c>
      <c r="R22" s="8">
        <v>0</v>
      </c>
      <c r="S22" s="8">
        <v>2</v>
      </c>
      <c r="T22" s="294">
        <v>0</v>
      </c>
      <c r="U22" s="283" t="s">
        <v>43</v>
      </c>
      <c r="V22" s="8" t="s">
        <v>43</v>
      </c>
      <c r="W22" s="294" t="s">
        <v>43</v>
      </c>
      <c r="X22" s="410"/>
      <c r="Y22" s="410"/>
      <c r="Z22" s="410"/>
      <c r="AA22" s="410"/>
      <c r="AB22" s="410"/>
      <c r="AC22" s="410"/>
      <c r="AD22" s="283" t="s">
        <v>43</v>
      </c>
      <c r="AE22" s="8" t="s">
        <v>43</v>
      </c>
      <c r="AF22" s="294" t="s">
        <v>43</v>
      </c>
      <c r="AG22" s="283" t="s">
        <v>43</v>
      </c>
      <c r="AH22" s="8" t="s">
        <v>43</v>
      </c>
      <c r="AI22" s="8" t="s">
        <v>43</v>
      </c>
    </row>
    <row r="23" spans="1:45" ht="15" customHeight="1" thickBot="1" x14ac:dyDescent="0.3">
      <c r="A23" s="413" t="s">
        <v>929</v>
      </c>
      <c r="B23" s="468">
        <v>0</v>
      </c>
      <c r="C23" s="372">
        <v>0</v>
      </c>
      <c r="D23" s="368">
        <v>1</v>
      </c>
      <c r="E23" s="351">
        <f t="shared" si="0"/>
        <v>1</v>
      </c>
      <c r="F23" s="415" t="s">
        <v>929</v>
      </c>
      <c r="G23" s="105">
        <v>0</v>
      </c>
      <c r="H23" s="343">
        <v>0</v>
      </c>
      <c r="I23" s="256">
        <v>5</v>
      </c>
      <c r="J23" s="418">
        <f t="shared" si="1"/>
        <v>5</v>
      </c>
      <c r="K23" s="413" t="s">
        <v>932</v>
      </c>
      <c r="L23" s="420">
        <v>8</v>
      </c>
      <c r="M23" s="420">
        <v>12</v>
      </c>
      <c r="N23" s="421">
        <f>(L23/M23)*100</f>
        <v>66.666666666666657</v>
      </c>
      <c r="O23" s="8" t="s">
        <v>43</v>
      </c>
      <c r="P23" s="8" t="s">
        <v>43</v>
      </c>
      <c r="Q23" s="294" t="s">
        <v>43</v>
      </c>
      <c r="R23" s="8" t="s">
        <v>43</v>
      </c>
      <c r="S23" s="8" t="s">
        <v>43</v>
      </c>
      <c r="T23" s="294" t="s">
        <v>43</v>
      </c>
      <c r="U23" s="283" t="s">
        <v>43</v>
      </c>
      <c r="V23" s="8" t="s">
        <v>43</v>
      </c>
      <c r="W23" s="294" t="s">
        <v>43</v>
      </c>
      <c r="X23" s="410"/>
      <c r="Y23" s="410"/>
      <c r="Z23" s="410"/>
      <c r="AA23" s="410"/>
      <c r="AB23" s="410"/>
      <c r="AC23" s="410"/>
      <c r="AD23" s="283" t="s">
        <v>43</v>
      </c>
      <c r="AE23" s="8" t="s">
        <v>43</v>
      </c>
      <c r="AF23" s="294" t="s">
        <v>43</v>
      </c>
      <c r="AG23" s="283" t="s">
        <v>43</v>
      </c>
      <c r="AH23" s="8" t="s">
        <v>43</v>
      </c>
      <c r="AI23" s="8" t="s">
        <v>43</v>
      </c>
    </row>
    <row r="24" spans="1:45" ht="15" customHeight="1" thickBot="1" x14ac:dyDescent="0.3">
      <c r="A24" s="413" t="s">
        <v>827</v>
      </c>
      <c r="B24" s="468">
        <v>1</v>
      </c>
      <c r="C24" s="372">
        <v>0</v>
      </c>
      <c r="D24" s="368">
        <v>0</v>
      </c>
      <c r="E24" s="351">
        <f t="shared" si="0"/>
        <v>1</v>
      </c>
      <c r="F24" s="415" t="s">
        <v>827</v>
      </c>
      <c r="G24" s="105">
        <v>5</v>
      </c>
      <c r="H24" s="343">
        <v>0</v>
      </c>
      <c r="I24" s="256">
        <v>0</v>
      </c>
      <c r="J24" s="418">
        <f t="shared" si="1"/>
        <v>5</v>
      </c>
      <c r="K24" s="413" t="s">
        <v>938</v>
      </c>
      <c r="L24" s="420">
        <v>7</v>
      </c>
      <c r="M24" s="420">
        <v>10</v>
      </c>
      <c r="N24" s="421">
        <f>(L24/M24)*100</f>
        <v>70</v>
      </c>
      <c r="O24" s="8" t="s">
        <v>43</v>
      </c>
      <c r="P24" s="8" t="s">
        <v>43</v>
      </c>
      <c r="Q24" s="294" t="s">
        <v>43</v>
      </c>
      <c r="R24" s="8">
        <v>11</v>
      </c>
      <c r="S24" s="8">
        <v>12</v>
      </c>
      <c r="T24" s="294">
        <v>91.666666666666657</v>
      </c>
      <c r="U24" s="283">
        <v>5</v>
      </c>
      <c r="V24" s="8">
        <v>8</v>
      </c>
      <c r="W24" s="294">
        <v>62.5</v>
      </c>
      <c r="X24" s="410"/>
      <c r="Y24" s="410"/>
      <c r="Z24" s="410"/>
      <c r="AA24" s="410"/>
      <c r="AB24" s="410"/>
      <c r="AC24" s="410"/>
      <c r="AD24" s="283">
        <v>1</v>
      </c>
      <c r="AE24" s="8">
        <v>1</v>
      </c>
      <c r="AF24" s="294">
        <v>100</v>
      </c>
      <c r="AG24" s="283">
        <v>1</v>
      </c>
      <c r="AH24" s="8">
        <v>2</v>
      </c>
      <c r="AI24" s="8">
        <v>50</v>
      </c>
    </row>
    <row r="25" spans="1:45" ht="15" customHeight="1" thickBot="1" x14ac:dyDescent="0.3">
      <c r="A25" s="413" t="s">
        <v>930</v>
      </c>
      <c r="B25" s="468">
        <v>2</v>
      </c>
      <c r="C25" s="372">
        <v>0</v>
      </c>
      <c r="D25" s="368">
        <v>1</v>
      </c>
      <c r="E25" s="351">
        <f t="shared" si="0"/>
        <v>3</v>
      </c>
      <c r="F25" s="415" t="s">
        <v>930</v>
      </c>
      <c r="G25" s="105">
        <v>10</v>
      </c>
      <c r="H25" s="343">
        <v>0</v>
      </c>
      <c r="I25" s="256">
        <v>5</v>
      </c>
      <c r="J25" s="418">
        <f t="shared" si="1"/>
        <v>15</v>
      </c>
      <c r="K25" s="489" t="s">
        <v>1035</v>
      </c>
      <c r="L25" s="560"/>
      <c r="M25" s="560"/>
      <c r="N25" s="560"/>
      <c r="O25" s="560"/>
      <c r="P25" s="560"/>
      <c r="Q25" s="560"/>
      <c r="R25" s="560"/>
      <c r="S25" s="560"/>
      <c r="T25" s="560"/>
      <c r="U25" s="560"/>
      <c r="V25" s="560"/>
      <c r="W25" s="560"/>
    </row>
    <row r="26" spans="1:45" ht="15" customHeight="1" thickBot="1" x14ac:dyDescent="0.3">
      <c r="A26" s="413" t="s">
        <v>931</v>
      </c>
      <c r="B26" s="468">
        <v>0</v>
      </c>
      <c r="C26" s="372">
        <v>0</v>
      </c>
      <c r="D26" s="368">
        <v>0</v>
      </c>
      <c r="E26" s="351">
        <f t="shared" si="0"/>
        <v>0</v>
      </c>
      <c r="F26" s="415" t="s">
        <v>931</v>
      </c>
      <c r="G26" s="105">
        <v>0</v>
      </c>
      <c r="H26" s="343">
        <v>0</v>
      </c>
      <c r="I26" s="256">
        <v>0</v>
      </c>
      <c r="J26" s="418">
        <f t="shared" si="1"/>
        <v>0</v>
      </c>
      <c r="K26" s="559" t="s">
        <v>1036</v>
      </c>
      <c r="L26" s="526"/>
      <c r="M26" s="526"/>
      <c r="N26" s="526"/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6"/>
      <c r="Z26" s="526"/>
      <c r="AA26" s="526"/>
      <c r="AB26" s="526"/>
      <c r="AC26" s="526"/>
      <c r="AD26" s="526"/>
      <c r="AE26" s="526"/>
      <c r="AF26" s="526"/>
    </row>
    <row r="27" spans="1:45" ht="15.75" thickBot="1" x14ac:dyDescent="0.3">
      <c r="A27" s="413" t="s">
        <v>932</v>
      </c>
      <c r="B27" s="468">
        <v>0</v>
      </c>
      <c r="C27" s="372">
        <v>1</v>
      </c>
      <c r="D27" s="368">
        <v>0</v>
      </c>
      <c r="E27" s="351">
        <f t="shared" si="0"/>
        <v>1</v>
      </c>
      <c r="F27" s="415" t="s">
        <v>932</v>
      </c>
      <c r="G27" s="105">
        <v>53</v>
      </c>
      <c r="H27" s="343">
        <v>25</v>
      </c>
      <c r="I27" s="256">
        <v>20</v>
      </c>
      <c r="J27" s="418">
        <f t="shared" si="1"/>
        <v>98</v>
      </c>
      <c r="K27" s="558" t="s">
        <v>1215</v>
      </c>
      <c r="L27" s="533"/>
      <c r="M27" s="533"/>
      <c r="N27" s="533"/>
      <c r="O27" s="533"/>
      <c r="P27" s="533"/>
      <c r="Q27" s="533"/>
      <c r="R27" s="533"/>
      <c r="S27" s="533"/>
      <c r="T27" s="533"/>
      <c r="U27" s="533"/>
      <c r="V27" s="533"/>
      <c r="W27" s="533"/>
    </row>
    <row r="28" spans="1:45" ht="15.75" thickBot="1" x14ac:dyDescent="0.3">
      <c r="A28" s="413" t="s">
        <v>933</v>
      </c>
      <c r="B28" s="468">
        <v>3</v>
      </c>
      <c r="C28" s="372">
        <v>0</v>
      </c>
      <c r="D28" s="368">
        <v>3</v>
      </c>
      <c r="E28" s="351">
        <f t="shared" si="0"/>
        <v>6</v>
      </c>
      <c r="F28" s="415" t="s">
        <v>933</v>
      </c>
      <c r="G28" s="105">
        <v>15</v>
      </c>
      <c r="H28" s="343">
        <v>0</v>
      </c>
      <c r="I28" s="256">
        <v>15</v>
      </c>
      <c r="J28" s="418">
        <f t="shared" si="1"/>
        <v>30</v>
      </c>
    </row>
    <row r="29" spans="1:45" ht="15.75" thickBot="1" x14ac:dyDescent="0.3">
      <c r="A29" s="413" t="s">
        <v>934</v>
      </c>
      <c r="B29" s="468">
        <v>0</v>
      </c>
      <c r="C29" s="372">
        <v>0</v>
      </c>
      <c r="D29" s="368">
        <v>0</v>
      </c>
      <c r="E29" s="351">
        <f t="shared" si="0"/>
        <v>0</v>
      </c>
      <c r="F29" s="415" t="s">
        <v>934</v>
      </c>
      <c r="G29" s="105">
        <v>0</v>
      </c>
      <c r="H29" s="343">
        <v>0</v>
      </c>
      <c r="I29" s="256">
        <v>0</v>
      </c>
      <c r="J29" s="418">
        <f t="shared" si="1"/>
        <v>0</v>
      </c>
    </row>
    <row r="30" spans="1:45" ht="15.75" thickBot="1" x14ac:dyDescent="0.3">
      <c r="A30" s="413" t="s">
        <v>935</v>
      </c>
      <c r="B30" s="468">
        <v>0</v>
      </c>
      <c r="C30" s="372">
        <v>1</v>
      </c>
      <c r="D30" s="368">
        <v>0</v>
      </c>
      <c r="E30" s="351">
        <f t="shared" si="0"/>
        <v>1</v>
      </c>
      <c r="F30" s="415" t="s">
        <v>935</v>
      </c>
      <c r="G30" s="105">
        <v>0</v>
      </c>
      <c r="H30" s="343">
        <v>5</v>
      </c>
      <c r="I30" s="256">
        <v>0</v>
      </c>
      <c r="J30" s="418">
        <f t="shared" si="1"/>
        <v>5</v>
      </c>
    </row>
    <row r="31" spans="1:45" ht="15.75" thickBot="1" x14ac:dyDescent="0.3">
      <c r="A31" s="413" t="s">
        <v>1089</v>
      </c>
      <c r="B31" s="468">
        <v>1</v>
      </c>
      <c r="C31" s="372">
        <v>1</v>
      </c>
      <c r="D31" s="368">
        <v>0</v>
      </c>
      <c r="E31" s="351">
        <f t="shared" si="0"/>
        <v>2</v>
      </c>
      <c r="F31" s="415" t="s">
        <v>1089</v>
      </c>
      <c r="G31" s="105">
        <v>5</v>
      </c>
      <c r="H31" s="343">
        <v>5</v>
      </c>
      <c r="I31" s="256">
        <v>0</v>
      </c>
      <c r="J31" s="418">
        <f t="shared" si="1"/>
        <v>10</v>
      </c>
    </row>
    <row r="32" spans="1:45" ht="15.75" thickBot="1" x14ac:dyDescent="0.3">
      <c r="A32" s="413" t="s">
        <v>937</v>
      </c>
      <c r="B32" s="468">
        <v>1</v>
      </c>
      <c r="C32" s="372">
        <v>1</v>
      </c>
      <c r="D32" s="368">
        <v>0</v>
      </c>
      <c r="E32" s="351">
        <f t="shared" si="0"/>
        <v>2</v>
      </c>
      <c r="F32" s="415" t="s">
        <v>937</v>
      </c>
      <c r="G32" s="105">
        <v>5</v>
      </c>
      <c r="H32" s="343">
        <v>5</v>
      </c>
      <c r="I32" s="256">
        <v>0</v>
      </c>
      <c r="J32" s="418">
        <f t="shared" si="1"/>
        <v>10</v>
      </c>
    </row>
    <row r="33" spans="1:10" ht="15.75" thickBot="1" x14ac:dyDescent="0.3">
      <c r="A33" s="413" t="s">
        <v>964</v>
      </c>
      <c r="B33" s="468">
        <v>0</v>
      </c>
      <c r="C33" s="372">
        <v>0</v>
      </c>
      <c r="D33" s="368">
        <v>2</v>
      </c>
      <c r="E33" s="351">
        <f t="shared" si="0"/>
        <v>2</v>
      </c>
      <c r="F33" s="415" t="s">
        <v>964</v>
      </c>
      <c r="G33" s="105">
        <v>0</v>
      </c>
      <c r="H33" s="343">
        <v>0</v>
      </c>
      <c r="I33" s="256">
        <v>10</v>
      </c>
      <c r="J33" s="418">
        <f t="shared" si="1"/>
        <v>10</v>
      </c>
    </row>
    <row r="34" spans="1:10" ht="15.75" thickBot="1" x14ac:dyDescent="0.3">
      <c r="A34" s="413" t="s">
        <v>936</v>
      </c>
      <c r="B34" s="468">
        <v>4</v>
      </c>
      <c r="C34" s="372">
        <v>2</v>
      </c>
      <c r="D34" s="368">
        <v>0</v>
      </c>
      <c r="E34" s="351">
        <f t="shared" si="0"/>
        <v>6</v>
      </c>
      <c r="F34" s="415" t="s">
        <v>936</v>
      </c>
      <c r="G34" s="105">
        <v>20</v>
      </c>
      <c r="H34" s="343">
        <v>10</v>
      </c>
      <c r="I34" s="256">
        <v>0</v>
      </c>
      <c r="J34" s="418">
        <f t="shared" si="1"/>
        <v>30</v>
      </c>
    </row>
    <row r="35" spans="1:10" ht="15.75" thickBot="1" x14ac:dyDescent="0.3">
      <c r="A35" s="413" t="s">
        <v>938</v>
      </c>
      <c r="B35" s="468">
        <v>0</v>
      </c>
      <c r="C35" s="372">
        <v>0</v>
      </c>
      <c r="D35" s="368">
        <v>0</v>
      </c>
      <c r="E35" s="351">
        <f t="shared" si="0"/>
        <v>0</v>
      </c>
      <c r="F35" s="415" t="s">
        <v>938</v>
      </c>
      <c r="G35" s="105">
        <v>74</v>
      </c>
      <c r="H35" s="343">
        <v>22</v>
      </c>
      <c r="I35" s="256">
        <v>16</v>
      </c>
      <c r="J35" s="418">
        <f t="shared" si="1"/>
        <v>112</v>
      </c>
    </row>
    <row r="36" spans="1:10" ht="15.75" thickBot="1" x14ac:dyDescent="0.3">
      <c r="A36" s="413" t="s">
        <v>1050</v>
      </c>
      <c r="B36" s="468">
        <v>2</v>
      </c>
      <c r="C36" s="372">
        <v>0</v>
      </c>
      <c r="D36" s="368">
        <v>0</v>
      </c>
      <c r="E36" s="351">
        <f t="shared" si="0"/>
        <v>2</v>
      </c>
      <c r="F36" s="415" t="s">
        <v>1050</v>
      </c>
      <c r="G36" s="105">
        <v>10</v>
      </c>
      <c r="H36" s="343">
        <v>0</v>
      </c>
      <c r="I36" s="256">
        <v>0</v>
      </c>
      <c r="J36" s="418">
        <f t="shared" si="1"/>
        <v>10</v>
      </c>
    </row>
    <row r="37" spans="1:10" ht="15.75" thickBot="1" x14ac:dyDescent="0.3">
      <c r="A37" s="413" t="s">
        <v>1209</v>
      </c>
      <c r="B37" s="468">
        <v>1</v>
      </c>
      <c r="C37" s="372">
        <v>0</v>
      </c>
      <c r="D37" s="368">
        <v>0</v>
      </c>
      <c r="E37" s="351">
        <f t="shared" si="0"/>
        <v>1</v>
      </c>
      <c r="F37" s="415" t="s">
        <v>1209</v>
      </c>
      <c r="G37" s="105">
        <v>5</v>
      </c>
      <c r="H37" s="343">
        <v>0</v>
      </c>
      <c r="I37" s="256">
        <v>0</v>
      </c>
      <c r="J37" s="418">
        <f t="shared" si="1"/>
        <v>5</v>
      </c>
    </row>
    <row r="38" spans="1:10" ht="15.75" thickBot="1" x14ac:dyDescent="0.3">
      <c r="A38" s="413" t="s">
        <v>163</v>
      </c>
      <c r="B38" s="468">
        <v>0</v>
      </c>
      <c r="C38" s="372">
        <v>0</v>
      </c>
      <c r="D38" s="368">
        <v>1</v>
      </c>
      <c r="E38" s="351">
        <f t="shared" si="0"/>
        <v>1</v>
      </c>
      <c r="F38" s="415" t="s">
        <v>163</v>
      </c>
      <c r="G38" s="105">
        <v>0</v>
      </c>
      <c r="H38" s="343">
        <v>0</v>
      </c>
      <c r="I38" s="256">
        <v>5</v>
      </c>
      <c r="J38" s="418">
        <f t="shared" si="1"/>
        <v>5</v>
      </c>
    </row>
    <row r="39" spans="1:10" ht="15.75" thickBot="1" x14ac:dyDescent="0.3">
      <c r="A39" s="413" t="s">
        <v>939</v>
      </c>
      <c r="B39" s="468">
        <v>2</v>
      </c>
      <c r="C39" s="372">
        <v>0</v>
      </c>
      <c r="D39" s="368">
        <v>0</v>
      </c>
      <c r="E39" s="351">
        <f t="shared" si="0"/>
        <v>2</v>
      </c>
      <c r="F39" s="415" t="s">
        <v>939</v>
      </c>
      <c r="G39" s="105">
        <v>10</v>
      </c>
      <c r="H39" s="343">
        <v>0</v>
      </c>
      <c r="I39" s="256">
        <v>0</v>
      </c>
      <c r="J39" s="418">
        <f t="shared" si="1"/>
        <v>10</v>
      </c>
    </row>
    <row r="40" spans="1:10" ht="15.75" thickBot="1" x14ac:dyDescent="0.3">
      <c r="A40" s="413" t="s">
        <v>1052</v>
      </c>
      <c r="B40" s="468">
        <v>0</v>
      </c>
      <c r="C40" s="372">
        <v>0</v>
      </c>
      <c r="D40" s="368">
        <v>0</v>
      </c>
      <c r="E40" s="351">
        <f t="shared" si="0"/>
        <v>0</v>
      </c>
      <c r="F40" s="415" t="s">
        <v>1052</v>
      </c>
      <c r="G40" s="105">
        <v>2</v>
      </c>
      <c r="H40" s="343">
        <v>0</v>
      </c>
      <c r="I40" s="256">
        <v>0</v>
      </c>
      <c r="J40" s="418">
        <f t="shared" si="1"/>
        <v>2</v>
      </c>
    </row>
    <row r="41" spans="1:10" ht="15.75" thickBot="1" x14ac:dyDescent="0.3">
      <c r="A41" s="413" t="s">
        <v>1115</v>
      </c>
      <c r="B41" s="468">
        <v>1</v>
      </c>
      <c r="C41" s="372">
        <v>0</v>
      </c>
      <c r="D41" s="368">
        <v>0</v>
      </c>
      <c r="E41" s="351">
        <f t="shared" si="0"/>
        <v>1</v>
      </c>
      <c r="F41" s="415" t="s">
        <v>1115</v>
      </c>
      <c r="G41" s="105">
        <v>5</v>
      </c>
      <c r="H41" s="343">
        <v>0</v>
      </c>
      <c r="I41" s="256">
        <v>0</v>
      </c>
      <c r="J41" s="418">
        <f t="shared" si="1"/>
        <v>5</v>
      </c>
    </row>
    <row r="42" spans="1:10" ht="15" customHeight="1" thickBot="1" x14ac:dyDescent="0.3">
      <c r="A42" s="413" t="s">
        <v>940</v>
      </c>
      <c r="B42" s="468">
        <v>2</v>
      </c>
      <c r="C42" s="372">
        <v>0</v>
      </c>
      <c r="D42" s="368">
        <v>0</v>
      </c>
      <c r="E42" s="351">
        <f t="shared" si="0"/>
        <v>2</v>
      </c>
      <c r="F42" s="415" t="s">
        <v>940</v>
      </c>
      <c r="G42" s="105">
        <v>10</v>
      </c>
      <c r="H42" s="343">
        <v>0</v>
      </c>
      <c r="I42" s="256">
        <v>0</v>
      </c>
      <c r="J42" s="418">
        <f t="shared" si="1"/>
        <v>10</v>
      </c>
    </row>
    <row r="43" spans="1:10" ht="15.75" thickBot="1" x14ac:dyDescent="0.3">
      <c r="A43" s="413" t="s">
        <v>941</v>
      </c>
      <c r="B43" s="468">
        <v>4</v>
      </c>
      <c r="C43" s="372">
        <v>0</v>
      </c>
      <c r="D43" s="368">
        <v>0</v>
      </c>
      <c r="E43" s="351">
        <f t="shared" si="0"/>
        <v>4</v>
      </c>
      <c r="F43" s="415" t="s">
        <v>941</v>
      </c>
      <c r="G43" s="105">
        <v>20</v>
      </c>
      <c r="H43" s="343">
        <v>0</v>
      </c>
      <c r="I43" s="256">
        <v>0</v>
      </c>
      <c r="J43" s="418">
        <f t="shared" si="1"/>
        <v>20</v>
      </c>
    </row>
    <row r="44" spans="1:10" ht="15.75" thickBot="1" x14ac:dyDescent="0.3">
      <c r="A44" s="413" t="s">
        <v>6</v>
      </c>
      <c r="B44" s="468">
        <v>0</v>
      </c>
      <c r="C44" s="372">
        <v>0</v>
      </c>
      <c r="D44" s="368">
        <v>0</v>
      </c>
      <c r="E44" s="351">
        <f t="shared" si="0"/>
        <v>0</v>
      </c>
      <c r="F44" s="415" t="s">
        <v>6</v>
      </c>
      <c r="G44" s="105">
        <v>0</v>
      </c>
      <c r="H44" s="343">
        <v>0</v>
      </c>
      <c r="I44" s="256">
        <v>0</v>
      </c>
      <c r="J44" s="418">
        <f t="shared" si="1"/>
        <v>0</v>
      </c>
    </row>
    <row r="45" spans="1:10" ht="15.75" thickBot="1" x14ac:dyDescent="0.3">
      <c r="A45" s="413" t="s">
        <v>942</v>
      </c>
      <c r="B45" s="468">
        <v>0</v>
      </c>
      <c r="C45" s="372">
        <v>0</v>
      </c>
      <c r="D45" s="368">
        <v>3</v>
      </c>
      <c r="E45" s="351">
        <f t="shared" si="0"/>
        <v>3</v>
      </c>
      <c r="F45" s="415" t="s">
        <v>942</v>
      </c>
      <c r="G45" s="105">
        <v>0</v>
      </c>
      <c r="H45" s="343">
        <v>0</v>
      </c>
      <c r="I45" s="256">
        <v>15</v>
      </c>
      <c r="J45" s="418">
        <f t="shared" si="1"/>
        <v>15</v>
      </c>
    </row>
    <row r="46" spans="1:10" ht="15.75" thickBot="1" x14ac:dyDescent="0.3">
      <c r="A46" s="413" t="s">
        <v>943</v>
      </c>
      <c r="B46" s="468">
        <v>0</v>
      </c>
      <c r="C46" s="372">
        <v>1</v>
      </c>
      <c r="D46" s="368">
        <v>0</v>
      </c>
      <c r="E46" s="351">
        <f t="shared" si="0"/>
        <v>1</v>
      </c>
      <c r="F46" s="415" t="s">
        <v>943</v>
      </c>
      <c r="G46" s="105">
        <v>0</v>
      </c>
      <c r="H46" s="343">
        <v>5</v>
      </c>
      <c r="I46" s="256">
        <v>0</v>
      </c>
      <c r="J46" s="418">
        <f t="shared" si="1"/>
        <v>5</v>
      </c>
    </row>
    <row r="47" spans="1:10" ht="15.75" thickBot="1" x14ac:dyDescent="0.3">
      <c r="A47" s="413" t="s">
        <v>944</v>
      </c>
      <c r="B47" s="468">
        <v>4</v>
      </c>
      <c r="C47" s="372">
        <v>4</v>
      </c>
      <c r="D47" s="368">
        <v>0</v>
      </c>
      <c r="E47" s="351">
        <f t="shared" si="0"/>
        <v>8</v>
      </c>
      <c r="F47" s="415" t="s">
        <v>944</v>
      </c>
      <c r="G47" s="105">
        <v>20</v>
      </c>
      <c r="H47" s="343">
        <v>20</v>
      </c>
      <c r="I47" s="256">
        <v>0</v>
      </c>
      <c r="J47" s="418">
        <f t="shared" si="1"/>
        <v>40</v>
      </c>
    </row>
    <row r="48" spans="1:10" ht="15.75" thickBot="1" x14ac:dyDescent="0.3">
      <c r="A48" s="413" t="s">
        <v>1107</v>
      </c>
      <c r="B48" s="468">
        <v>1</v>
      </c>
      <c r="C48" s="372">
        <v>0</v>
      </c>
      <c r="D48" s="368">
        <v>0</v>
      </c>
      <c r="E48" s="351">
        <f t="shared" si="0"/>
        <v>1</v>
      </c>
      <c r="F48" s="415" t="s">
        <v>1107</v>
      </c>
      <c r="G48" s="105">
        <v>5</v>
      </c>
      <c r="H48" s="343">
        <v>0</v>
      </c>
      <c r="I48" s="256">
        <v>0</v>
      </c>
      <c r="J48" s="418">
        <f t="shared" si="1"/>
        <v>5</v>
      </c>
    </row>
    <row r="49" spans="1:10" ht="15.75" thickBot="1" x14ac:dyDescent="0.3">
      <c r="A49" s="413" t="s">
        <v>1117</v>
      </c>
      <c r="B49" s="468">
        <v>1</v>
      </c>
      <c r="C49" s="372">
        <v>0</v>
      </c>
      <c r="D49" s="368">
        <v>0</v>
      </c>
      <c r="E49" s="351">
        <f t="shared" si="0"/>
        <v>1</v>
      </c>
      <c r="F49" s="415" t="s">
        <v>1117</v>
      </c>
      <c r="G49" s="105">
        <v>5</v>
      </c>
      <c r="H49" s="343">
        <v>0</v>
      </c>
      <c r="I49" s="256">
        <v>0</v>
      </c>
      <c r="J49" s="418">
        <f t="shared" si="1"/>
        <v>5</v>
      </c>
    </row>
    <row r="50" spans="1:10" ht="15.75" thickBot="1" x14ac:dyDescent="0.3">
      <c r="A50" s="413" t="s">
        <v>945</v>
      </c>
      <c r="B50" s="468">
        <v>0</v>
      </c>
      <c r="C50" s="372">
        <v>1</v>
      </c>
      <c r="D50" s="368">
        <v>0</v>
      </c>
      <c r="E50" s="351">
        <f t="shared" si="0"/>
        <v>1</v>
      </c>
      <c r="F50" s="415" t="s">
        <v>945</v>
      </c>
      <c r="G50" s="105">
        <v>0</v>
      </c>
      <c r="H50" s="343">
        <v>5</v>
      </c>
      <c r="I50" s="256">
        <v>0</v>
      </c>
      <c r="J50" s="418">
        <f t="shared" si="1"/>
        <v>5</v>
      </c>
    </row>
    <row r="51" spans="1:10" ht="15.75" thickBot="1" x14ac:dyDescent="0.3">
      <c r="A51" s="413" t="s">
        <v>8</v>
      </c>
      <c r="B51" s="468">
        <v>1</v>
      </c>
      <c r="C51" s="372">
        <v>1</v>
      </c>
      <c r="D51" s="368">
        <v>0</v>
      </c>
      <c r="E51" s="351">
        <f t="shared" si="0"/>
        <v>2</v>
      </c>
      <c r="F51" s="415" t="s">
        <v>8</v>
      </c>
      <c r="G51" s="105">
        <v>5</v>
      </c>
      <c r="H51" s="343">
        <v>5</v>
      </c>
      <c r="I51" s="256">
        <v>0</v>
      </c>
      <c r="J51" s="418">
        <f t="shared" si="1"/>
        <v>10</v>
      </c>
    </row>
    <row r="52" spans="1:10" ht="15.75" thickBot="1" x14ac:dyDescent="0.3">
      <c r="A52" s="413" t="s">
        <v>3</v>
      </c>
      <c r="B52" s="468">
        <f>SUM(B3:B51)</f>
        <v>50</v>
      </c>
      <c r="C52" s="372">
        <f>SUM(C3:C51)</f>
        <v>16</v>
      </c>
      <c r="D52" s="368">
        <f>SUM(D3:D51)</f>
        <v>16</v>
      </c>
      <c r="E52" s="351">
        <f>SUM(E3:E51)</f>
        <v>82</v>
      </c>
      <c r="F52" s="415" t="s">
        <v>3</v>
      </c>
      <c r="G52" s="105">
        <f>SUM(G3:G51)</f>
        <v>386</v>
      </c>
      <c r="H52" s="343">
        <f>SUM(H3:H51)</f>
        <v>122</v>
      </c>
      <c r="I52" s="256">
        <f>SUM(I3:I51)</f>
        <v>116</v>
      </c>
      <c r="J52" s="418">
        <f>SUM(J3:J51)</f>
        <v>624</v>
      </c>
    </row>
    <row r="53" spans="1:10" x14ac:dyDescent="0.25">
      <c r="A53" s="5" t="s">
        <v>72</v>
      </c>
      <c r="B53" s="469"/>
      <c r="C53" s="373"/>
      <c r="D53" s="369"/>
      <c r="E53" s="5"/>
      <c r="F53" s="43"/>
      <c r="G53" s="204"/>
      <c r="H53" s="92"/>
      <c r="I53" s="92"/>
      <c r="J53" s="43"/>
    </row>
    <row r="54" spans="1:10" ht="15.75" thickBot="1" x14ac:dyDescent="0.3">
      <c r="A54" t="s">
        <v>39</v>
      </c>
      <c r="B54" s="470"/>
      <c r="C54" s="374"/>
      <c r="D54" s="370"/>
      <c r="F54" s="41"/>
      <c r="G54" s="203"/>
      <c r="H54" s="93"/>
      <c r="I54" s="93"/>
      <c r="J54" s="41"/>
    </row>
    <row r="55" spans="1:10" ht="15.75" thickBot="1" x14ac:dyDescent="0.3">
      <c r="A55" s="412" t="s">
        <v>0</v>
      </c>
      <c r="B55" s="467" t="s">
        <v>305</v>
      </c>
      <c r="C55" s="371" t="s">
        <v>101</v>
      </c>
      <c r="D55" s="367" t="s">
        <v>306</v>
      </c>
      <c r="E55" s="350" t="s">
        <v>1</v>
      </c>
      <c r="F55" s="414" t="s">
        <v>2</v>
      </c>
      <c r="G55" s="160" t="s">
        <v>305</v>
      </c>
      <c r="H55" s="342" t="s">
        <v>101</v>
      </c>
      <c r="I55" s="260" t="s">
        <v>306</v>
      </c>
      <c r="J55" s="417" t="s">
        <v>1</v>
      </c>
    </row>
    <row r="56" spans="1:10" ht="15.75" thickBot="1" x14ac:dyDescent="0.3">
      <c r="A56" s="413" t="s">
        <v>1021</v>
      </c>
      <c r="B56" s="468">
        <v>9</v>
      </c>
      <c r="C56" s="372">
        <v>0</v>
      </c>
      <c r="D56" s="368">
        <v>0</v>
      </c>
      <c r="E56" s="351">
        <f t="shared" ref="E56:E87" si="12">SUM(B56:D56)</f>
        <v>9</v>
      </c>
      <c r="F56" s="415" t="s">
        <v>938</v>
      </c>
      <c r="G56" s="105">
        <v>74</v>
      </c>
      <c r="H56" s="343">
        <v>22</v>
      </c>
      <c r="I56" s="256">
        <v>16</v>
      </c>
      <c r="J56" s="418">
        <f t="shared" ref="J56:J87" si="13">SUM(G56:I56)</f>
        <v>112</v>
      </c>
    </row>
    <row r="57" spans="1:10" ht="15.75" thickBot="1" x14ac:dyDescent="0.3">
      <c r="A57" s="413" t="s">
        <v>944</v>
      </c>
      <c r="B57" s="468">
        <v>4</v>
      </c>
      <c r="C57" s="372">
        <v>4</v>
      </c>
      <c r="D57" s="368">
        <v>0</v>
      </c>
      <c r="E57" s="351">
        <f t="shared" si="12"/>
        <v>8</v>
      </c>
      <c r="F57" s="415" t="s">
        <v>932</v>
      </c>
      <c r="G57" s="105">
        <v>53</v>
      </c>
      <c r="H57" s="343">
        <v>25</v>
      </c>
      <c r="I57" s="256">
        <v>20</v>
      </c>
      <c r="J57" s="418">
        <f t="shared" si="13"/>
        <v>98</v>
      </c>
    </row>
    <row r="58" spans="1:10" ht="15.75" thickBot="1" x14ac:dyDescent="0.3">
      <c r="A58" s="413" t="s">
        <v>933</v>
      </c>
      <c r="B58" s="468">
        <v>3</v>
      </c>
      <c r="C58" s="372">
        <v>0</v>
      </c>
      <c r="D58" s="368">
        <v>3</v>
      </c>
      <c r="E58" s="351">
        <f t="shared" si="12"/>
        <v>6</v>
      </c>
      <c r="F58" s="415" t="s">
        <v>1021</v>
      </c>
      <c r="G58" s="105">
        <v>45</v>
      </c>
      <c r="H58" s="343">
        <v>0</v>
      </c>
      <c r="I58" s="256">
        <v>0</v>
      </c>
      <c r="J58" s="418">
        <f t="shared" si="13"/>
        <v>45</v>
      </c>
    </row>
    <row r="59" spans="1:10" ht="15.75" thickBot="1" x14ac:dyDescent="0.3">
      <c r="A59" s="413" t="s">
        <v>936</v>
      </c>
      <c r="B59" s="468">
        <v>4</v>
      </c>
      <c r="C59" s="372">
        <v>2</v>
      </c>
      <c r="D59" s="368">
        <v>0</v>
      </c>
      <c r="E59" s="351">
        <f t="shared" si="12"/>
        <v>6</v>
      </c>
      <c r="F59" s="415" t="s">
        <v>944</v>
      </c>
      <c r="G59" s="105">
        <v>20</v>
      </c>
      <c r="H59" s="343">
        <v>20</v>
      </c>
      <c r="I59" s="256">
        <v>0</v>
      </c>
      <c r="J59" s="418">
        <f t="shared" si="13"/>
        <v>40</v>
      </c>
    </row>
    <row r="60" spans="1:10" ht="15.75" thickBot="1" x14ac:dyDescent="0.3">
      <c r="A60" s="413" t="s">
        <v>941</v>
      </c>
      <c r="B60" s="468">
        <v>4</v>
      </c>
      <c r="C60" s="372">
        <v>0</v>
      </c>
      <c r="D60" s="368">
        <v>0</v>
      </c>
      <c r="E60" s="351">
        <f t="shared" si="12"/>
        <v>4</v>
      </c>
      <c r="F60" s="415" t="s">
        <v>933</v>
      </c>
      <c r="G60" s="105">
        <v>15</v>
      </c>
      <c r="H60" s="343">
        <v>0</v>
      </c>
      <c r="I60" s="256">
        <v>15</v>
      </c>
      <c r="J60" s="418">
        <f t="shared" si="13"/>
        <v>30</v>
      </c>
    </row>
    <row r="61" spans="1:10" ht="15.75" thickBot="1" x14ac:dyDescent="0.3">
      <c r="A61" s="413" t="s">
        <v>1190</v>
      </c>
      <c r="B61" s="468">
        <v>3</v>
      </c>
      <c r="C61" s="372">
        <v>0</v>
      </c>
      <c r="D61" s="368">
        <v>0</v>
      </c>
      <c r="E61" s="351">
        <f t="shared" si="12"/>
        <v>3</v>
      </c>
      <c r="F61" s="415" t="s">
        <v>936</v>
      </c>
      <c r="G61" s="105">
        <v>20</v>
      </c>
      <c r="H61" s="343">
        <v>10</v>
      </c>
      <c r="I61" s="256">
        <v>0</v>
      </c>
      <c r="J61" s="418">
        <f t="shared" si="13"/>
        <v>30</v>
      </c>
    </row>
    <row r="62" spans="1:10" ht="15.75" thickBot="1" x14ac:dyDescent="0.3">
      <c r="A62" s="413" t="s">
        <v>992</v>
      </c>
      <c r="B62" s="468">
        <v>0</v>
      </c>
      <c r="C62" s="372">
        <v>1</v>
      </c>
      <c r="D62" s="368">
        <v>2</v>
      </c>
      <c r="E62" s="351">
        <f t="shared" si="12"/>
        <v>3</v>
      </c>
      <c r="F62" s="415" t="s">
        <v>941</v>
      </c>
      <c r="G62" s="105">
        <v>20</v>
      </c>
      <c r="H62" s="343">
        <v>0</v>
      </c>
      <c r="I62" s="256">
        <v>0</v>
      </c>
      <c r="J62" s="418">
        <f t="shared" si="13"/>
        <v>20</v>
      </c>
    </row>
    <row r="63" spans="1:10" ht="15.75" thickBot="1" x14ac:dyDescent="0.3">
      <c r="A63" s="413" t="s">
        <v>930</v>
      </c>
      <c r="B63" s="468">
        <v>2</v>
      </c>
      <c r="C63" s="372">
        <v>0</v>
      </c>
      <c r="D63" s="368">
        <v>1</v>
      </c>
      <c r="E63" s="351">
        <f t="shared" si="12"/>
        <v>3</v>
      </c>
      <c r="F63" s="416" t="s">
        <v>1190</v>
      </c>
      <c r="G63" s="105">
        <v>15</v>
      </c>
      <c r="H63" s="343">
        <v>0</v>
      </c>
      <c r="I63" s="256">
        <v>0</v>
      </c>
      <c r="J63" s="418">
        <f t="shared" si="13"/>
        <v>15</v>
      </c>
    </row>
    <row r="64" spans="1:10" ht="15.75" thickBot="1" x14ac:dyDescent="0.3">
      <c r="A64" s="413" t="s">
        <v>942</v>
      </c>
      <c r="B64" s="468">
        <v>0</v>
      </c>
      <c r="C64" s="372">
        <v>0</v>
      </c>
      <c r="D64" s="368">
        <v>3</v>
      </c>
      <c r="E64" s="351">
        <f t="shared" si="12"/>
        <v>3</v>
      </c>
      <c r="F64" s="416" t="s">
        <v>992</v>
      </c>
      <c r="G64" s="105">
        <v>0</v>
      </c>
      <c r="H64" s="343">
        <v>5</v>
      </c>
      <c r="I64" s="256">
        <v>10</v>
      </c>
      <c r="J64" s="418">
        <f t="shared" si="13"/>
        <v>15</v>
      </c>
    </row>
    <row r="65" spans="1:10" ht="15.75" thickBot="1" x14ac:dyDescent="0.3">
      <c r="A65" s="413" t="s">
        <v>1023</v>
      </c>
      <c r="B65" s="468">
        <v>2</v>
      </c>
      <c r="C65" s="372">
        <v>0</v>
      </c>
      <c r="D65" s="368">
        <v>0</v>
      </c>
      <c r="E65" s="351">
        <f t="shared" si="12"/>
        <v>2</v>
      </c>
      <c r="F65" s="415" t="s">
        <v>930</v>
      </c>
      <c r="G65" s="105">
        <v>10</v>
      </c>
      <c r="H65" s="343">
        <v>0</v>
      </c>
      <c r="I65" s="256">
        <v>5</v>
      </c>
      <c r="J65" s="418">
        <f t="shared" si="13"/>
        <v>15</v>
      </c>
    </row>
    <row r="66" spans="1:10" ht="15.75" thickBot="1" x14ac:dyDescent="0.3">
      <c r="A66" s="413" t="s">
        <v>1156</v>
      </c>
      <c r="B66" s="468">
        <v>2</v>
      </c>
      <c r="C66" s="372">
        <v>0</v>
      </c>
      <c r="D66" s="368">
        <v>0</v>
      </c>
      <c r="E66" s="351">
        <f t="shared" si="12"/>
        <v>2</v>
      </c>
      <c r="F66" s="415" t="s">
        <v>942</v>
      </c>
      <c r="G66" s="105">
        <v>0</v>
      </c>
      <c r="H66" s="343">
        <v>0</v>
      </c>
      <c r="I66" s="256">
        <v>15</v>
      </c>
      <c r="J66" s="418">
        <f t="shared" si="13"/>
        <v>15</v>
      </c>
    </row>
    <row r="67" spans="1:10" ht="15.75" thickBot="1" x14ac:dyDescent="0.3">
      <c r="A67" s="413" t="s">
        <v>1089</v>
      </c>
      <c r="B67" s="468">
        <v>1</v>
      </c>
      <c r="C67" s="372">
        <v>1</v>
      </c>
      <c r="D67" s="368">
        <v>0</v>
      </c>
      <c r="E67" s="351">
        <f t="shared" si="12"/>
        <v>2</v>
      </c>
      <c r="F67" s="415" t="s">
        <v>1023</v>
      </c>
      <c r="G67" s="105">
        <v>10</v>
      </c>
      <c r="H67" s="343">
        <v>0</v>
      </c>
      <c r="I67" s="256">
        <v>0</v>
      </c>
      <c r="J67" s="418">
        <f t="shared" si="13"/>
        <v>10</v>
      </c>
    </row>
    <row r="68" spans="1:10" ht="15.75" thickBot="1" x14ac:dyDescent="0.3">
      <c r="A68" s="413" t="s">
        <v>937</v>
      </c>
      <c r="B68" s="468">
        <v>1</v>
      </c>
      <c r="C68" s="372">
        <v>1</v>
      </c>
      <c r="D68" s="368">
        <v>0</v>
      </c>
      <c r="E68" s="351">
        <f t="shared" si="12"/>
        <v>2</v>
      </c>
      <c r="F68" s="415" t="s">
        <v>1156</v>
      </c>
      <c r="G68" s="105">
        <v>10</v>
      </c>
      <c r="H68" s="343">
        <v>0</v>
      </c>
      <c r="I68" s="256">
        <v>0</v>
      </c>
      <c r="J68" s="418">
        <f t="shared" si="13"/>
        <v>10</v>
      </c>
    </row>
    <row r="69" spans="1:10" ht="15.75" thickBot="1" x14ac:dyDescent="0.3">
      <c r="A69" s="413" t="s">
        <v>964</v>
      </c>
      <c r="B69" s="468">
        <v>0</v>
      </c>
      <c r="C69" s="372">
        <v>0</v>
      </c>
      <c r="D69" s="368">
        <v>2</v>
      </c>
      <c r="E69" s="351">
        <f t="shared" si="12"/>
        <v>2</v>
      </c>
      <c r="F69" s="415" t="s">
        <v>1089</v>
      </c>
      <c r="G69" s="105">
        <v>5</v>
      </c>
      <c r="H69" s="343">
        <v>5</v>
      </c>
      <c r="I69" s="256">
        <v>0</v>
      </c>
      <c r="J69" s="418">
        <f t="shared" si="13"/>
        <v>10</v>
      </c>
    </row>
    <row r="70" spans="1:10" ht="15.75" thickBot="1" x14ac:dyDescent="0.3">
      <c r="A70" s="413" t="s">
        <v>1050</v>
      </c>
      <c r="B70" s="468">
        <v>2</v>
      </c>
      <c r="C70" s="372">
        <v>0</v>
      </c>
      <c r="D70" s="368">
        <v>0</v>
      </c>
      <c r="E70" s="351">
        <f t="shared" si="12"/>
        <v>2</v>
      </c>
      <c r="F70" s="415" t="s">
        <v>937</v>
      </c>
      <c r="G70" s="105">
        <v>5</v>
      </c>
      <c r="H70" s="343">
        <v>5</v>
      </c>
      <c r="I70" s="256">
        <v>0</v>
      </c>
      <c r="J70" s="418">
        <f t="shared" si="13"/>
        <v>10</v>
      </c>
    </row>
    <row r="71" spans="1:10" ht="15.75" thickBot="1" x14ac:dyDescent="0.3">
      <c r="A71" s="413" t="s">
        <v>939</v>
      </c>
      <c r="B71" s="468">
        <v>2</v>
      </c>
      <c r="C71" s="372">
        <v>0</v>
      </c>
      <c r="D71" s="368">
        <v>0</v>
      </c>
      <c r="E71" s="351">
        <f t="shared" si="12"/>
        <v>2</v>
      </c>
      <c r="F71" s="415" t="s">
        <v>964</v>
      </c>
      <c r="G71" s="105">
        <v>0</v>
      </c>
      <c r="H71" s="343">
        <v>0</v>
      </c>
      <c r="I71" s="256">
        <v>10</v>
      </c>
      <c r="J71" s="418">
        <f t="shared" si="13"/>
        <v>10</v>
      </c>
    </row>
    <row r="72" spans="1:10" ht="15.75" thickBot="1" x14ac:dyDescent="0.3">
      <c r="A72" s="413" t="s">
        <v>940</v>
      </c>
      <c r="B72" s="468">
        <v>2</v>
      </c>
      <c r="C72" s="372">
        <v>0</v>
      </c>
      <c r="D72" s="368">
        <v>0</v>
      </c>
      <c r="E72" s="351">
        <f t="shared" si="12"/>
        <v>2</v>
      </c>
      <c r="F72" s="415" t="s">
        <v>1050</v>
      </c>
      <c r="G72" s="105">
        <v>10</v>
      </c>
      <c r="H72" s="343">
        <v>0</v>
      </c>
      <c r="I72" s="256">
        <v>0</v>
      </c>
      <c r="J72" s="418">
        <f t="shared" si="13"/>
        <v>10</v>
      </c>
    </row>
    <row r="73" spans="1:10" ht="15.75" thickBot="1" x14ac:dyDescent="0.3">
      <c r="A73" s="413" t="s">
        <v>8</v>
      </c>
      <c r="B73" s="468">
        <v>1</v>
      </c>
      <c r="C73" s="372">
        <v>1</v>
      </c>
      <c r="D73" s="368">
        <v>0</v>
      </c>
      <c r="E73" s="351">
        <f t="shared" si="12"/>
        <v>2</v>
      </c>
      <c r="F73" s="415" t="s">
        <v>939</v>
      </c>
      <c r="G73" s="105">
        <v>10</v>
      </c>
      <c r="H73" s="343">
        <v>0</v>
      </c>
      <c r="I73" s="256">
        <v>0</v>
      </c>
      <c r="J73" s="418">
        <f t="shared" si="13"/>
        <v>10</v>
      </c>
    </row>
    <row r="74" spans="1:10" ht="15.75" thickBot="1" x14ac:dyDescent="0.3">
      <c r="A74" s="413" t="s">
        <v>921</v>
      </c>
      <c r="B74" s="468">
        <v>0</v>
      </c>
      <c r="C74" s="372">
        <v>1</v>
      </c>
      <c r="D74" s="368">
        <v>0</v>
      </c>
      <c r="E74" s="351">
        <f t="shared" si="12"/>
        <v>1</v>
      </c>
      <c r="F74" s="415" t="s">
        <v>940</v>
      </c>
      <c r="G74" s="105">
        <v>10</v>
      </c>
      <c r="H74" s="343">
        <v>0</v>
      </c>
      <c r="I74" s="256">
        <v>0</v>
      </c>
      <c r="J74" s="418">
        <f t="shared" si="13"/>
        <v>10</v>
      </c>
    </row>
    <row r="75" spans="1:10" ht="15.75" thickBot="1" x14ac:dyDescent="0.3">
      <c r="A75" s="413" t="s">
        <v>1097</v>
      </c>
      <c r="B75" s="468">
        <v>1</v>
      </c>
      <c r="C75" s="372">
        <v>0</v>
      </c>
      <c r="D75" s="368">
        <v>0</v>
      </c>
      <c r="E75" s="351">
        <f t="shared" si="12"/>
        <v>1</v>
      </c>
      <c r="F75" s="415" t="s">
        <v>8</v>
      </c>
      <c r="G75" s="105">
        <v>5</v>
      </c>
      <c r="H75" s="343">
        <v>5</v>
      </c>
      <c r="I75" s="256">
        <v>0</v>
      </c>
      <c r="J75" s="418">
        <f t="shared" si="13"/>
        <v>10</v>
      </c>
    </row>
    <row r="76" spans="1:10" ht="15.75" thickBot="1" x14ac:dyDescent="0.3">
      <c r="A76" s="413" t="s">
        <v>1010</v>
      </c>
      <c r="B76" s="468">
        <v>0</v>
      </c>
      <c r="C76" s="372">
        <v>0</v>
      </c>
      <c r="D76" s="368">
        <v>1</v>
      </c>
      <c r="E76" s="351">
        <f t="shared" si="12"/>
        <v>1</v>
      </c>
      <c r="F76" s="415" t="s">
        <v>142</v>
      </c>
      <c r="G76" s="105">
        <v>7</v>
      </c>
      <c r="H76" s="343">
        <v>0</v>
      </c>
      <c r="I76" s="256">
        <v>0</v>
      </c>
      <c r="J76" s="418">
        <f t="shared" si="13"/>
        <v>7</v>
      </c>
    </row>
    <row r="77" spans="1:10" ht="15.75" thickBot="1" x14ac:dyDescent="0.3">
      <c r="A77" s="413" t="s">
        <v>924</v>
      </c>
      <c r="B77" s="468">
        <v>1</v>
      </c>
      <c r="C77" s="372">
        <v>0</v>
      </c>
      <c r="D77" s="368">
        <v>0</v>
      </c>
      <c r="E77" s="351">
        <f t="shared" si="12"/>
        <v>1</v>
      </c>
      <c r="F77" s="415" t="s">
        <v>921</v>
      </c>
      <c r="G77" s="105">
        <v>0</v>
      </c>
      <c r="H77" s="343">
        <v>5</v>
      </c>
      <c r="I77" s="256">
        <v>0</v>
      </c>
      <c r="J77" s="418">
        <f t="shared" si="13"/>
        <v>5</v>
      </c>
    </row>
    <row r="78" spans="1:10" ht="15.75" thickBot="1" x14ac:dyDescent="0.3">
      <c r="A78" s="413" t="s">
        <v>1207</v>
      </c>
      <c r="B78" s="468">
        <v>1</v>
      </c>
      <c r="C78" s="372">
        <v>0</v>
      </c>
      <c r="D78" s="368">
        <v>0</v>
      </c>
      <c r="E78" s="351">
        <f t="shared" si="12"/>
        <v>1</v>
      </c>
      <c r="F78" s="415" t="s">
        <v>1097</v>
      </c>
      <c r="G78" s="105">
        <v>5</v>
      </c>
      <c r="H78" s="343">
        <v>0</v>
      </c>
      <c r="I78" s="256">
        <v>0</v>
      </c>
      <c r="J78" s="418">
        <f t="shared" si="13"/>
        <v>5</v>
      </c>
    </row>
    <row r="79" spans="1:10" ht="15.75" thickBot="1" x14ac:dyDescent="0.3">
      <c r="A79" s="413" t="s">
        <v>1009</v>
      </c>
      <c r="B79" s="468">
        <v>0</v>
      </c>
      <c r="C79" s="372">
        <v>0</v>
      </c>
      <c r="D79" s="368">
        <v>1</v>
      </c>
      <c r="E79" s="351">
        <f t="shared" si="12"/>
        <v>1</v>
      </c>
      <c r="F79" s="415" t="s">
        <v>1010</v>
      </c>
      <c r="G79" s="105">
        <v>0</v>
      </c>
      <c r="H79" s="343">
        <v>0</v>
      </c>
      <c r="I79" s="256">
        <v>5</v>
      </c>
      <c r="J79" s="418">
        <f t="shared" si="13"/>
        <v>5</v>
      </c>
    </row>
    <row r="80" spans="1:10" ht="15.75" thickBot="1" x14ac:dyDescent="0.3">
      <c r="A80" s="413" t="s">
        <v>926</v>
      </c>
      <c r="B80" s="468">
        <v>0</v>
      </c>
      <c r="C80" s="372">
        <v>1</v>
      </c>
      <c r="D80" s="368">
        <v>0</v>
      </c>
      <c r="E80" s="351">
        <f t="shared" si="12"/>
        <v>1</v>
      </c>
      <c r="F80" s="415" t="s">
        <v>924</v>
      </c>
      <c r="G80" s="105">
        <v>5</v>
      </c>
      <c r="H80" s="343">
        <v>0</v>
      </c>
      <c r="I80" s="256">
        <v>0</v>
      </c>
      <c r="J80" s="418">
        <f t="shared" si="13"/>
        <v>5</v>
      </c>
    </row>
    <row r="81" spans="1:10" ht="15.75" thickBot="1" x14ac:dyDescent="0.3">
      <c r="A81" s="413" t="s">
        <v>928</v>
      </c>
      <c r="B81" s="468">
        <v>0</v>
      </c>
      <c r="C81" s="372">
        <v>0</v>
      </c>
      <c r="D81" s="368">
        <v>1</v>
      </c>
      <c r="E81" s="351">
        <f t="shared" si="12"/>
        <v>1</v>
      </c>
      <c r="F81" s="415" t="s">
        <v>1207</v>
      </c>
      <c r="G81" s="105">
        <v>5</v>
      </c>
      <c r="H81" s="343">
        <v>0</v>
      </c>
      <c r="I81" s="256">
        <v>0</v>
      </c>
      <c r="J81" s="418">
        <f t="shared" si="13"/>
        <v>5</v>
      </c>
    </row>
    <row r="82" spans="1:10" ht="15.75" thickBot="1" x14ac:dyDescent="0.3">
      <c r="A82" s="413" t="s">
        <v>929</v>
      </c>
      <c r="B82" s="468">
        <v>0</v>
      </c>
      <c r="C82" s="372">
        <v>0</v>
      </c>
      <c r="D82" s="368">
        <v>1</v>
      </c>
      <c r="E82" s="351">
        <f t="shared" si="12"/>
        <v>1</v>
      </c>
      <c r="F82" s="415" t="s">
        <v>1009</v>
      </c>
      <c r="G82" s="105">
        <v>0</v>
      </c>
      <c r="H82" s="343">
        <v>0</v>
      </c>
      <c r="I82" s="256">
        <v>5</v>
      </c>
      <c r="J82" s="418">
        <f t="shared" si="13"/>
        <v>5</v>
      </c>
    </row>
    <row r="83" spans="1:10" ht="15.75" thickBot="1" x14ac:dyDescent="0.3">
      <c r="A83" s="413" t="s">
        <v>827</v>
      </c>
      <c r="B83" s="468">
        <v>1</v>
      </c>
      <c r="C83" s="372">
        <v>0</v>
      </c>
      <c r="D83" s="368">
        <v>0</v>
      </c>
      <c r="E83" s="351">
        <f t="shared" si="12"/>
        <v>1</v>
      </c>
      <c r="F83" s="415" t="s">
        <v>926</v>
      </c>
      <c r="G83" s="105">
        <v>0</v>
      </c>
      <c r="H83" s="343">
        <v>5</v>
      </c>
      <c r="I83" s="256">
        <v>0</v>
      </c>
      <c r="J83" s="418">
        <f t="shared" si="13"/>
        <v>5</v>
      </c>
    </row>
    <row r="84" spans="1:10" ht="15.75" thickBot="1" x14ac:dyDescent="0.3">
      <c r="A84" s="413" t="s">
        <v>932</v>
      </c>
      <c r="B84" s="468">
        <v>0</v>
      </c>
      <c r="C84" s="372">
        <v>1</v>
      </c>
      <c r="D84" s="368">
        <v>0</v>
      </c>
      <c r="E84" s="351">
        <f t="shared" si="12"/>
        <v>1</v>
      </c>
      <c r="F84" s="415" t="s">
        <v>928</v>
      </c>
      <c r="G84" s="105">
        <v>0</v>
      </c>
      <c r="H84" s="343">
        <v>0</v>
      </c>
      <c r="I84" s="256">
        <v>5</v>
      </c>
      <c r="J84" s="418">
        <f t="shared" si="13"/>
        <v>5</v>
      </c>
    </row>
    <row r="85" spans="1:10" ht="15.75" thickBot="1" x14ac:dyDescent="0.3">
      <c r="A85" s="413" t="s">
        <v>935</v>
      </c>
      <c r="B85" s="468">
        <v>0</v>
      </c>
      <c r="C85" s="372">
        <v>1</v>
      </c>
      <c r="D85" s="368">
        <v>0</v>
      </c>
      <c r="E85" s="351">
        <f t="shared" si="12"/>
        <v>1</v>
      </c>
      <c r="F85" s="415" t="s">
        <v>929</v>
      </c>
      <c r="G85" s="105">
        <v>0</v>
      </c>
      <c r="H85" s="343">
        <v>0</v>
      </c>
      <c r="I85" s="256">
        <v>5</v>
      </c>
      <c r="J85" s="418">
        <f t="shared" si="13"/>
        <v>5</v>
      </c>
    </row>
    <row r="86" spans="1:10" ht="15.75" thickBot="1" x14ac:dyDescent="0.3">
      <c r="A86" s="413" t="s">
        <v>1209</v>
      </c>
      <c r="B86" s="468">
        <v>1</v>
      </c>
      <c r="C86" s="372">
        <v>0</v>
      </c>
      <c r="D86" s="368">
        <v>0</v>
      </c>
      <c r="E86" s="351">
        <f t="shared" si="12"/>
        <v>1</v>
      </c>
      <c r="F86" s="415" t="s">
        <v>827</v>
      </c>
      <c r="G86" s="105">
        <v>5</v>
      </c>
      <c r="H86" s="343">
        <v>0</v>
      </c>
      <c r="I86" s="256">
        <v>0</v>
      </c>
      <c r="J86" s="418">
        <f t="shared" si="13"/>
        <v>5</v>
      </c>
    </row>
    <row r="87" spans="1:10" ht="15.75" thickBot="1" x14ac:dyDescent="0.3">
      <c r="A87" s="413" t="s">
        <v>163</v>
      </c>
      <c r="B87" s="468">
        <v>0</v>
      </c>
      <c r="C87" s="372">
        <v>0</v>
      </c>
      <c r="D87" s="368">
        <v>1</v>
      </c>
      <c r="E87" s="351">
        <f t="shared" si="12"/>
        <v>1</v>
      </c>
      <c r="F87" s="415" t="s">
        <v>935</v>
      </c>
      <c r="G87" s="105">
        <v>0</v>
      </c>
      <c r="H87" s="343">
        <v>5</v>
      </c>
      <c r="I87" s="256">
        <v>0</v>
      </c>
      <c r="J87" s="418">
        <f t="shared" si="13"/>
        <v>5</v>
      </c>
    </row>
    <row r="88" spans="1:10" ht="15.75" thickBot="1" x14ac:dyDescent="0.3">
      <c r="A88" s="413" t="s">
        <v>1115</v>
      </c>
      <c r="B88" s="468">
        <v>1</v>
      </c>
      <c r="C88" s="372">
        <v>0</v>
      </c>
      <c r="D88" s="368">
        <v>0</v>
      </c>
      <c r="E88" s="351">
        <f t="shared" ref="E88:E104" si="14">SUM(B88:D88)</f>
        <v>1</v>
      </c>
      <c r="F88" s="415" t="s">
        <v>1209</v>
      </c>
      <c r="G88" s="105">
        <v>5</v>
      </c>
      <c r="H88" s="343">
        <v>0</v>
      </c>
      <c r="I88" s="256">
        <v>0</v>
      </c>
      <c r="J88" s="418">
        <f t="shared" ref="J88:J104" si="15">SUM(G88:I88)</f>
        <v>5</v>
      </c>
    </row>
    <row r="89" spans="1:10" ht="15.75" thickBot="1" x14ac:dyDescent="0.3">
      <c r="A89" s="413" t="s">
        <v>943</v>
      </c>
      <c r="B89" s="468">
        <v>0</v>
      </c>
      <c r="C89" s="372">
        <v>1</v>
      </c>
      <c r="D89" s="368">
        <v>0</v>
      </c>
      <c r="E89" s="351">
        <f t="shared" si="14"/>
        <v>1</v>
      </c>
      <c r="F89" s="415" t="s">
        <v>163</v>
      </c>
      <c r="G89" s="105">
        <v>0</v>
      </c>
      <c r="H89" s="343">
        <v>0</v>
      </c>
      <c r="I89" s="256">
        <v>5</v>
      </c>
      <c r="J89" s="418">
        <f t="shared" si="15"/>
        <v>5</v>
      </c>
    </row>
    <row r="90" spans="1:10" ht="15.75" thickBot="1" x14ac:dyDescent="0.3">
      <c r="A90" s="413" t="s">
        <v>1107</v>
      </c>
      <c r="B90" s="468">
        <v>1</v>
      </c>
      <c r="C90" s="372">
        <v>0</v>
      </c>
      <c r="D90" s="368">
        <v>0</v>
      </c>
      <c r="E90" s="351">
        <f t="shared" si="14"/>
        <v>1</v>
      </c>
      <c r="F90" s="415" t="s">
        <v>1115</v>
      </c>
      <c r="G90" s="105">
        <v>5</v>
      </c>
      <c r="H90" s="343">
        <v>0</v>
      </c>
      <c r="I90" s="256">
        <v>0</v>
      </c>
      <c r="J90" s="418">
        <f t="shared" si="15"/>
        <v>5</v>
      </c>
    </row>
    <row r="91" spans="1:10" ht="15.75" thickBot="1" x14ac:dyDescent="0.3">
      <c r="A91" s="413" t="s">
        <v>1117</v>
      </c>
      <c r="B91" s="468">
        <v>1</v>
      </c>
      <c r="C91" s="372">
        <v>0</v>
      </c>
      <c r="D91" s="368">
        <v>0</v>
      </c>
      <c r="E91" s="351">
        <f t="shared" si="14"/>
        <v>1</v>
      </c>
      <c r="F91" s="415" t="s">
        <v>943</v>
      </c>
      <c r="G91" s="105">
        <v>0</v>
      </c>
      <c r="H91" s="343">
        <v>5</v>
      </c>
      <c r="I91" s="256">
        <v>0</v>
      </c>
      <c r="J91" s="418">
        <f t="shared" si="15"/>
        <v>5</v>
      </c>
    </row>
    <row r="92" spans="1:10" ht="15.75" thickBot="1" x14ac:dyDescent="0.3">
      <c r="A92" s="413" t="s">
        <v>945</v>
      </c>
      <c r="B92" s="468">
        <v>0</v>
      </c>
      <c r="C92" s="372">
        <v>1</v>
      </c>
      <c r="D92" s="368">
        <v>0</v>
      </c>
      <c r="E92" s="351">
        <f t="shared" si="14"/>
        <v>1</v>
      </c>
      <c r="F92" s="415" t="s">
        <v>1107</v>
      </c>
      <c r="G92" s="105">
        <v>5</v>
      </c>
      <c r="H92" s="343">
        <v>0</v>
      </c>
      <c r="I92" s="256">
        <v>0</v>
      </c>
      <c r="J92" s="418">
        <f t="shared" si="15"/>
        <v>5</v>
      </c>
    </row>
    <row r="93" spans="1:10" ht="15.75" thickBot="1" x14ac:dyDescent="0.3">
      <c r="A93" s="413" t="s">
        <v>142</v>
      </c>
      <c r="B93" s="468">
        <v>0</v>
      </c>
      <c r="C93" s="372">
        <v>0</v>
      </c>
      <c r="D93" s="368">
        <v>0</v>
      </c>
      <c r="E93" s="351">
        <f t="shared" si="14"/>
        <v>0</v>
      </c>
      <c r="F93" s="415" t="s">
        <v>1117</v>
      </c>
      <c r="G93" s="105">
        <v>5</v>
      </c>
      <c r="H93" s="343">
        <v>0</v>
      </c>
      <c r="I93" s="256">
        <v>0</v>
      </c>
      <c r="J93" s="418">
        <f t="shared" si="15"/>
        <v>5</v>
      </c>
    </row>
    <row r="94" spans="1:10" ht="15.75" thickBot="1" x14ac:dyDescent="0.3">
      <c r="A94" s="413" t="s">
        <v>919</v>
      </c>
      <c r="B94" s="468">
        <v>0</v>
      </c>
      <c r="C94" s="372">
        <v>0</v>
      </c>
      <c r="D94" s="368">
        <v>0</v>
      </c>
      <c r="E94" s="351">
        <f t="shared" si="14"/>
        <v>0</v>
      </c>
      <c r="F94" s="415" t="s">
        <v>945</v>
      </c>
      <c r="G94" s="105">
        <v>0</v>
      </c>
      <c r="H94" s="343">
        <v>5</v>
      </c>
      <c r="I94" s="256">
        <v>0</v>
      </c>
      <c r="J94" s="418">
        <f t="shared" si="15"/>
        <v>5</v>
      </c>
    </row>
    <row r="95" spans="1:10" ht="15.75" thickBot="1" x14ac:dyDescent="0.3">
      <c r="A95" s="413" t="s">
        <v>920</v>
      </c>
      <c r="B95" s="468">
        <v>0</v>
      </c>
      <c r="C95" s="372">
        <v>0</v>
      </c>
      <c r="D95" s="368">
        <v>0</v>
      </c>
      <c r="E95" s="351">
        <f t="shared" si="14"/>
        <v>0</v>
      </c>
      <c r="F95" s="415" t="s">
        <v>1052</v>
      </c>
      <c r="G95" s="105">
        <v>2</v>
      </c>
      <c r="H95" s="343">
        <v>0</v>
      </c>
      <c r="I95" s="256">
        <v>0</v>
      </c>
      <c r="J95" s="418">
        <f t="shared" si="15"/>
        <v>2</v>
      </c>
    </row>
    <row r="96" spans="1:10" ht="15.75" thickBot="1" x14ac:dyDescent="0.3">
      <c r="A96" s="413" t="s">
        <v>922</v>
      </c>
      <c r="B96" s="468">
        <v>0</v>
      </c>
      <c r="C96" s="372">
        <v>0</v>
      </c>
      <c r="D96" s="368">
        <v>0</v>
      </c>
      <c r="E96" s="351">
        <f t="shared" si="14"/>
        <v>0</v>
      </c>
      <c r="F96" s="415" t="s">
        <v>919</v>
      </c>
      <c r="G96" s="105">
        <v>0</v>
      </c>
      <c r="H96" s="343">
        <v>0</v>
      </c>
      <c r="I96" s="256">
        <v>0</v>
      </c>
      <c r="J96" s="418">
        <f t="shared" si="15"/>
        <v>0</v>
      </c>
    </row>
    <row r="97" spans="1:10" ht="15.75" thickBot="1" x14ac:dyDescent="0.3">
      <c r="A97" s="413" t="s">
        <v>923</v>
      </c>
      <c r="B97" s="468">
        <v>0</v>
      </c>
      <c r="C97" s="372">
        <v>0</v>
      </c>
      <c r="D97" s="368">
        <v>0</v>
      </c>
      <c r="E97" s="351">
        <f t="shared" si="14"/>
        <v>0</v>
      </c>
      <c r="F97" s="415" t="s">
        <v>920</v>
      </c>
      <c r="G97" s="105">
        <v>0</v>
      </c>
      <c r="H97" s="343">
        <v>0</v>
      </c>
      <c r="I97" s="256">
        <v>0</v>
      </c>
      <c r="J97" s="418">
        <f t="shared" si="15"/>
        <v>0</v>
      </c>
    </row>
    <row r="98" spans="1:10" ht="15.75" thickBot="1" x14ac:dyDescent="0.3">
      <c r="A98" s="413" t="s">
        <v>925</v>
      </c>
      <c r="B98" s="468">
        <v>0</v>
      </c>
      <c r="C98" s="372">
        <v>0</v>
      </c>
      <c r="D98" s="368">
        <v>0</v>
      </c>
      <c r="E98" s="351">
        <f t="shared" si="14"/>
        <v>0</v>
      </c>
      <c r="F98" s="415" t="s">
        <v>922</v>
      </c>
      <c r="G98" s="105">
        <v>0</v>
      </c>
      <c r="H98" s="343">
        <v>0</v>
      </c>
      <c r="I98" s="256">
        <v>0</v>
      </c>
      <c r="J98" s="418">
        <f t="shared" si="15"/>
        <v>0</v>
      </c>
    </row>
    <row r="99" spans="1:10" ht="15.75" thickBot="1" x14ac:dyDescent="0.3">
      <c r="A99" s="413" t="s">
        <v>927</v>
      </c>
      <c r="B99" s="468">
        <v>0</v>
      </c>
      <c r="C99" s="372">
        <v>0</v>
      </c>
      <c r="D99" s="368">
        <v>0</v>
      </c>
      <c r="E99" s="351">
        <f t="shared" si="14"/>
        <v>0</v>
      </c>
      <c r="F99" s="415" t="s">
        <v>923</v>
      </c>
      <c r="G99" s="105">
        <v>0</v>
      </c>
      <c r="H99" s="343">
        <v>0</v>
      </c>
      <c r="I99" s="256">
        <v>0</v>
      </c>
      <c r="J99" s="418">
        <f t="shared" si="15"/>
        <v>0</v>
      </c>
    </row>
    <row r="100" spans="1:10" ht="15.75" thickBot="1" x14ac:dyDescent="0.3">
      <c r="A100" s="413" t="s">
        <v>931</v>
      </c>
      <c r="B100" s="468">
        <v>0</v>
      </c>
      <c r="C100" s="372">
        <v>0</v>
      </c>
      <c r="D100" s="368">
        <v>0</v>
      </c>
      <c r="E100" s="351">
        <f t="shared" si="14"/>
        <v>0</v>
      </c>
      <c r="F100" s="415" t="s">
        <v>925</v>
      </c>
      <c r="G100" s="105">
        <v>0</v>
      </c>
      <c r="H100" s="343">
        <v>0</v>
      </c>
      <c r="I100" s="256">
        <v>0</v>
      </c>
      <c r="J100" s="418">
        <f t="shared" si="15"/>
        <v>0</v>
      </c>
    </row>
    <row r="101" spans="1:10" ht="15.75" thickBot="1" x14ac:dyDescent="0.3">
      <c r="A101" s="413" t="s">
        <v>934</v>
      </c>
      <c r="B101" s="468">
        <v>0</v>
      </c>
      <c r="C101" s="372">
        <v>0</v>
      </c>
      <c r="D101" s="368">
        <v>0</v>
      </c>
      <c r="E101" s="351">
        <f t="shared" si="14"/>
        <v>0</v>
      </c>
      <c r="F101" s="415" t="s">
        <v>927</v>
      </c>
      <c r="G101" s="105">
        <v>0</v>
      </c>
      <c r="H101" s="343">
        <v>0</v>
      </c>
      <c r="I101" s="256">
        <v>0</v>
      </c>
      <c r="J101" s="418">
        <f t="shared" si="15"/>
        <v>0</v>
      </c>
    </row>
    <row r="102" spans="1:10" ht="15.75" thickBot="1" x14ac:dyDescent="0.3">
      <c r="A102" s="413" t="s">
        <v>938</v>
      </c>
      <c r="B102" s="468">
        <v>0</v>
      </c>
      <c r="C102" s="372">
        <v>0</v>
      </c>
      <c r="D102" s="368">
        <v>0</v>
      </c>
      <c r="E102" s="351">
        <f t="shared" si="14"/>
        <v>0</v>
      </c>
      <c r="F102" s="415" t="s">
        <v>931</v>
      </c>
      <c r="G102" s="105">
        <v>0</v>
      </c>
      <c r="H102" s="343">
        <v>0</v>
      </c>
      <c r="I102" s="256">
        <v>0</v>
      </c>
      <c r="J102" s="418">
        <f t="shared" si="15"/>
        <v>0</v>
      </c>
    </row>
    <row r="103" spans="1:10" ht="15.75" thickBot="1" x14ac:dyDescent="0.3">
      <c r="A103" s="413" t="s">
        <v>1052</v>
      </c>
      <c r="B103" s="468">
        <v>0</v>
      </c>
      <c r="C103" s="372">
        <v>0</v>
      </c>
      <c r="D103" s="368">
        <v>0</v>
      </c>
      <c r="E103" s="351">
        <f t="shared" si="14"/>
        <v>0</v>
      </c>
      <c r="F103" s="415" t="s">
        <v>934</v>
      </c>
      <c r="G103" s="105">
        <v>0</v>
      </c>
      <c r="H103" s="343">
        <v>0</v>
      </c>
      <c r="I103" s="256">
        <v>0</v>
      </c>
      <c r="J103" s="418">
        <f t="shared" si="15"/>
        <v>0</v>
      </c>
    </row>
    <row r="104" spans="1:10" ht="15.75" thickBot="1" x14ac:dyDescent="0.3">
      <c r="A104" s="413" t="s">
        <v>6</v>
      </c>
      <c r="B104" s="468">
        <v>0</v>
      </c>
      <c r="C104" s="372">
        <v>0</v>
      </c>
      <c r="D104" s="368">
        <v>0</v>
      </c>
      <c r="E104" s="351">
        <f t="shared" si="14"/>
        <v>0</v>
      </c>
      <c r="F104" s="415" t="s">
        <v>6</v>
      </c>
      <c r="G104" s="105">
        <v>0</v>
      </c>
      <c r="H104" s="343">
        <v>0</v>
      </c>
      <c r="I104" s="256">
        <v>0</v>
      </c>
      <c r="J104" s="418">
        <f t="shared" si="15"/>
        <v>0</v>
      </c>
    </row>
    <row r="105" spans="1:10" ht="15.75" thickBot="1" x14ac:dyDescent="0.3">
      <c r="A105" s="413" t="s">
        <v>3</v>
      </c>
      <c r="B105" s="468">
        <f>SUM(B56:B104)</f>
        <v>50</v>
      </c>
      <c r="C105" s="372">
        <f>SUM(C56:C104)</f>
        <v>16</v>
      </c>
      <c r="D105" s="368">
        <f>SUM(D56:D104)</f>
        <v>16</v>
      </c>
      <c r="E105" s="351">
        <f>SUM(E56:E104)</f>
        <v>82</v>
      </c>
      <c r="F105" s="415" t="s">
        <v>3</v>
      </c>
      <c r="G105" s="105">
        <f>SUM(G56:G104)</f>
        <v>386</v>
      </c>
      <c r="H105" s="343">
        <f>SUM(H56:H104)</f>
        <v>122</v>
      </c>
      <c r="I105" s="256">
        <f>SUM(I56:I104)</f>
        <v>116</v>
      </c>
      <c r="J105" s="418">
        <f>SUM(J56:J104)</f>
        <v>624</v>
      </c>
    </row>
    <row r="106" spans="1:10" x14ac:dyDescent="0.25">
      <c r="A106" s="58" t="s">
        <v>130</v>
      </c>
      <c r="B106" s="470"/>
      <c r="G106" s="199"/>
    </row>
    <row r="107" spans="1:10" x14ac:dyDescent="0.25">
      <c r="B107" s="470"/>
      <c r="G107" s="199"/>
    </row>
    <row r="108" spans="1:10" x14ac:dyDescent="0.25">
      <c r="G108" s="199"/>
    </row>
    <row r="109" spans="1:10" x14ac:dyDescent="0.25">
      <c r="G109" s="199"/>
    </row>
    <row r="110" spans="1:10" x14ac:dyDescent="0.25">
      <c r="G110" s="199"/>
    </row>
    <row r="111" spans="1:10" x14ac:dyDescent="0.25">
      <c r="G111" s="199"/>
    </row>
    <row r="112" spans="1:10" x14ac:dyDescent="0.25">
      <c r="G112" s="199"/>
    </row>
    <row r="113" spans="7:7" x14ac:dyDescent="0.25">
      <c r="G113" s="199"/>
    </row>
    <row r="114" spans="7:7" x14ac:dyDescent="0.25">
      <c r="G114" s="199"/>
    </row>
    <row r="115" spans="7:7" x14ac:dyDescent="0.25">
      <c r="G115" s="199"/>
    </row>
    <row r="116" spans="7:7" x14ac:dyDescent="0.25">
      <c r="G116" s="199"/>
    </row>
    <row r="117" spans="7:7" x14ac:dyDescent="0.25">
      <c r="G117" s="199"/>
    </row>
    <row r="118" spans="7:7" x14ac:dyDescent="0.25">
      <c r="G118" s="199"/>
    </row>
    <row r="119" spans="7:7" x14ac:dyDescent="0.25">
      <c r="G119" s="199"/>
    </row>
    <row r="120" spans="7:7" x14ac:dyDescent="0.25">
      <c r="G120" s="199"/>
    </row>
    <row r="121" spans="7:7" x14ac:dyDescent="0.25">
      <c r="G121" s="199"/>
    </row>
    <row r="122" spans="7:7" x14ac:dyDescent="0.25">
      <c r="G122" s="199"/>
    </row>
    <row r="123" spans="7:7" x14ac:dyDescent="0.25">
      <c r="G123" s="199"/>
    </row>
    <row r="124" spans="7:7" x14ac:dyDescent="0.25">
      <c r="G124" s="199"/>
    </row>
    <row r="125" spans="7:7" x14ac:dyDescent="0.25">
      <c r="G125" s="199"/>
    </row>
    <row r="126" spans="7:7" x14ac:dyDescent="0.25">
      <c r="G126" s="199"/>
    </row>
    <row r="127" spans="7:7" x14ac:dyDescent="0.25">
      <c r="G127" s="199"/>
    </row>
    <row r="128" spans="7:7" x14ac:dyDescent="0.25">
      <c r="G128" s="199"/>
    </row>
    <row r="129" spans="7:7" x14ac:dyDescent="0.25">
      <c r="G129" s="199"/>
    </row>
    <row r="130" spans="7:7" x14ac:dyDescent="0.25">
      <c r="G130" s="199"/>
    </row>
    <row r="131" spans="7:7" x14ac:dyDescent="0.25">
      <c r="G131" s="199"/>
    </row>
    <row r="132" spans="7:7" x14ac:dyDescent="0.25">
      <c r="G132" s="199"/>
    </row>
    <row r="133" spans="7:7" x14ac:dyDescent="0.25">
      <c r="G133" s="199"/>
    </row>
    <row r="134" spans="7:7" x14ac:dyDescent="0.25">
      <c r="G134" s="199"/>
    </row>
    <row r="135" spans="7:7" x14ac:dyDescent="0.25">
      <c r="G135" s="199"/>
    </row>
    <row r="136" spans="7:7" x14ac:dyDescent="0.25">
      <c r="G136" s="199"/>
    </row>
    <row r="137" spans="7:7" x14ac:dyDescent="0.25">
      <c r="G137" s="199"/>
    </row>
    <row r="138" spans="7:7" x14ac:dyDescent="0.25">
      <c r="G138" s="199"/>
    </row>
    <row r="139" spans="7:7" x14ac:dyDescent="0.25">
      <c r="G139" s="199"/>
    </row>
    <row r="140" spans="7:7" x14ac:dyDescent="0.25">
      <c r="G140" s="199"/>
    </row>
    <row r="141" spans="7:7" x14ac:dyDescent="0.25">
      <c r="G141" s="199"/>
    </row>
    <row r="142" spans="7:7" x14ac:dyDescent="0.25">
      <c r="G142" s="199"/>
    </row>
    <row r="143" spans="7:7" x14ac:dyDescent="0.25">
      <c r="G143" s="199"/>
    </row>
    <row r="144" spans="7:7" x14ac:dyDescent="0.25">
      <c r="G144" s="199"/>
    </row>
    <row r="145" spans="7:7" x14ac:dyDescent="0.25">
      <c r="G145" s="199"/>
    </row>
    <row r="146" spans="7:7" x14ac:dyDescent="0.25">
      <c r="G146" s="199"/>
    </row>
    <row r="147" spans="7:7" x14ac:dyDescent="0.25">
      <c r="G147" s="199"/>
    </row>
    <row r="148" spans="7:7" x14ac:dyDescent="0.25">
      <c r="G148" s="199"/>
    </row>
    <row r="149" spans="7:7" x14ac:dyDescent="0.25">
      <c r="G149" s="199"/>
    </row>
    <row r="150" spans="7:7" x14ac:dyDescent="0.25">
      <c r="G150" s="199"/>
    </row>
    <row r="151" spans="7:7" x14ac:dyDescent="0.25">
      <c r="G151" s="199"/>
    </row>
    <row r="152" spans="7:7" x14ac:dyDescent="0.25">
      <c r="G152" s="199"/>
    </row>
    <row r="153" spans="7:7" x14ac:dyDescent="0.25">
      <c r="G153" s="199"/>
    </row>
    <row r="154" spans="7:7" x14ac:dyDescent="0.25">
      <c r="G154" s="199"/>
    </row>
    <row r="155" spans="7:7" x14ac:dyDescent="0.25">
      <c r="G155" s="199"/>
    </row>
    <row r="156" spans="7:7" x14ac:dyDescent="0.25">
      <c r="G156" s="199"/>
    </row>
    <row r="157" spans="7:7" x14ac:dyDescent="0.25">
      <c r="G157" s="199"/>
    </row>
    <row r="158" spans="7:7" x14ac:dyDescent="0.25">
      <c r="G158" s="199"/>
    </row>
    <row r="159" spans="7:7" x14ac:dyDescent="0.25">
      <c r="G159" s="199"/>
    </row>
    <row r="160" spans="7:7" x14ac:dyDescent="0.25">
      <c r="G160" s="199"/>
    </row>
  </sheetData>
  <sortState xmlns:xlrd2="http://schemas.microsoft.com/office/spreadsheetml/2017/richdata2" ref="F56:J104">
    <sortCondition descending="1" ref="J56:J104"/>
  </sortState>
  <mergeCells count="30">
    <mergeCell ref="A1:J1"/>
    <mergeCell ref="AP1:AR2"/>
    <mergeCell ref="K18:K19"/>
    <mergeCell ref="L18:N19"/>
    <mergeCell ref="AM1:AO2"/>
    <mergeCell ref="R1:S2"/>
    <mergeCell ref="K10:K11"/>
    <mergeCell ref="K1:K2"/>
    <mergeCell ref="L1:N2"/>
    <mergeCell ref="O1:Q2"/>
    <mergeCell ref="AJ1:AL2"/>
    <mergeCell ref="U10:W11"/>
    <mergeCell ref="AG10:AI11"/>
    <mergeCell ref="R18:T19"/>
    <mergeCell ref="AG18:AI19"/>
    <mergeCell ref="K27:W27"/>
    <mergeCell ref="K26:AF26"/>
    <mergeCell ref="AG1:AI2"/>
    <mergeCell ref="AJ10:AL11"/>
    <mergeCell ref="W1:Y2"/>
    <mergeCell ref="K25:W25"/>
    <mergeCell ref="R10:T11"/>
    <mergeCell ref="L10:N11"/>
    <mergeCell ref="U18:W19"/>
    <mergeCell ref="T1:V2"/>
    <mergeCell ref="O10:Q11"/>
    <mergeCell ref="O18:Q19"/>
    <mergeCell ref="AD1:AF2"/>
    <mergeCell ref="AD10:AF11"/>
    <mergeCell ref="AD18:AF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103"/>
  <sheetViews>
    <sheetView zoomScale="90" zoomScaleNormal="90" workbookViewId="0">
      <selection activeCell="U23" sqref="U23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5" width="4.7109375" customWidth="1"/>
    <col min="6" max="6" width="16.42578125" customWidth="1"/>
    <col min="7" max="10" width="5.28515625" customWidth="1"/>
    <col min="11" max="11" width="16.7109375" customWidth="1"/>
    <col min="12" max="17" width="5.42578125" customWidth="1"/>
    <col min="18" max="43" width="5.7109375" customWidth="1"/>
  </cols>
  <sheetData>
    <row r="1" spans="1:50" ht="15" customHeight="1" thickBot="1" x14ac:dyDescent="0.3">
      <c r="A1" s="570" t="s">
        <v>910</v>
      </c>
      <c r="B1" s="571"/>
      <c r="C1" s="571"/>
      <c r="D1" s="571"/>
      <c r="E1" s="571"/>
      <c r="F1" s="571"/>
      <c r="G1" s="571"/>
      <c r="H1" s="571"/>
      <c r="I1" s="571"/>
      <c r="J1" s="572"/>
      <c r="K1" s="513" t="s">
        <v>1028</v>
      </c>
      <c r="L1" s="500" t="s">
        <v>42</v>
      </c>
      <c r="M1" s="501"/>
      <c r="N1" s="502"/>
      <c r="O1" s="500" t="s">
        <v>151</v>
      </c>
      <c r="P1" s="501"/>
      <c r="Q1" s="502"/>
      <c r="R1" s="500" t="s">
        <v>1027</v>
      </c>
      <c r="S1" s="502"/>
      <c r="T1" s="515" t="s">
        <v>100</v>
      </c>
      <c r="U1" s="516"/>
      <c r="V1" s="517"/>
      <c r="W1" s="515" t="s">
        <v>915</v>
      </c>
      <c r="X1" s="516"/>
      <c r="Y1" s="517"/>
      <c r="Z1" s="309"/>
      <c r="AA1" s="323"/>
      <c r="AB1" s="323"/>
      <c r="AC1" s="515" t="s">
        <v>303</v>
      </c>
      <c r="AD1" s="516"/>
      <c r="AE1" s="517"/>
      <c r="AF1" s="515" t="s">
        <v>205</v>
      </c>
      <c r="AG1" s="516"/>
      <c r="AH1" s="517"/>
      <c r="AI1" s="515" t="s">
        <v>186</v>
      </c>
      <c r="AJ1" s="516"/>
      <c r="AK1" s="517"/>
      <c r="AL1" s="515" t="s">
        <v>155</v>
      </c>
      <c r="AM1" s="516"/>
      <c r="AN1" s="517"/>
      <c r="AO1" s="515" t="s">
        <v>175</v>
      </c>
      <c r="AP1" s="516"/>
      <c r="AQ1" s="517"/>
      <c r="AS1" s="5"/>
      <c r="AT1" s="5"/>
      <c r="AU1" s="5"/>
      <c r="AX1" s="5"/>
    </row>
    <row r="2" spans="1:50" ht="15" customHeight="1" thickBot="1" x14ac:dyDescent="0.3">
      <c r="A2" s="185" t="s">
        <v>0</v>
      </c>
      <c r="B2" s="169" t="s">
        <v>305</v>
      </c>
      <c r="C2" s="153" t="s">
        <v>99</v>
      </c>
      <c r="D2" s="244" t="s">
        <v>306</v>
      </c>
      <c r="E2" s="194" t="s">
        <v>1</v>
      </c>
      <c r="F2" s="187" t="s">
        <v>2</v>
      </c>
      <c r="G2" s="212" t="s">
        <v>305</v>
      </c>
      <c r="H2" s="330" t="s">
        <v>99</v>
      </c>
      <c r="I2" s="246" t="s">
        <v>306</v>
      </c>
      <c r="J2" s="190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518"/>
      <c r="U2" s="519"/>
      <c r="V2" s="520"/>
      <c r="W2" s="518"/>
      <c r="X2" s="519"/>
      <c r="Y2" s="520"/>
      <c r="Z2" s="309"/>
      <c r="AA2" s="323"/>
      <c r="AB2" s="323"/>
      <c r="AC2" s="518"/>
      <c r="AD2" s="519"/>
      <c r="AE2" s="520"/>
      <c r="AF2" s="518"/>
      <c r="AG2" s="519"/>
      <c r="AH2" s="520"/>
      <c r="AI2" s="518"/>
      <c r="AJ2" s="519"/>
      <c r="AK2" s="520"/>
      <c r="AL2" s="518"/>
      <c r="AM2" s="519"/>
      <c r="AN2" s="520"/>
      <c r="AO2" s="518"/>
      <c r="AP2" s="519"/>
      <c r="AQ2" s="520"/>
    </row>
    <row r="3" spans="1:50" ht="15" customHeight="1" thickBot="1" x14ac:dyDescent="0.3">
      <c r="A3" s="186" t="s">
        <v>72</v>
      </c>
      <c r="B3" s="104">
        <v>0</v>
      </c>
      <c r="C3" s="47">
        <v>0</v>
      </c>
      <c r="D3" s="245">
        <v>0</v>
      </c>
      <c r="E3" s="195">
        <f>SUM(B3:D3)</f>
        <v>0</v>
      </c>
      <c r="F3" s="188" t="s">
        <v>72</v>
      </c>
      <c r="G3" s="208">
        <v>0</v>
      </c>
      <c r="H3" s="331">
        <v>0</v>
      </c>
      <c r="I3" s="247">
        <v>0</v>
      </c>
      <c r="J3" s="191">
        <f>SUM(G3:I3)</f>
        <v>0</v>
      </c>
      <c r="K3" s="35" t="s">
        <v>72</v>
      </c>
      <c r="L3" s="4" t="s">
        <v>176</v>
      </c>
      <c r="M3" s="4" t="s">
        <v>36</v>
      </c>
      <c r="N3" s="4" t="s">
        <v>37</v>
      </c>
      <c r="O3" s="4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127"/>
      <c r="AB3" s="127"/>
      <c r="AC3" s="283" t="s">
        <v>176</v>
      </c>
      <c r="AD3" s="8" t="s">
        <v>36</v>
      </c>
      <c r="AE3" s="8" t="s">
        <v>37</v>
      </c>
      <c r="AF3" s="283" t="s">
        <v>176</v>
      </c>
      <c r="AG3" s="8" t="s">
        <v>36</v>
      </c>
      <c r="AH3" s="8" t="s">
        <v>37</v>
      </c>
      <c r="AI3" s="8" t="s">
        <v>176</v>
      </c>
      <c r="AJ3" s="8" t="s">
        <v>36</v>
      </c>
      <c r="AK3" s="8" t="s">
        <v>37</v>
      </c>
      <c r="AL3" s="8" t="s">
        <v>176</v>
      </c>
      <c r="AM3" s="8" t="s">
        <v>36</v>
      </c>
      <c r="AN3" s="8" t="s">
        <v>37</v>
      </c>
      <c r="AO3" s="8" t="s">
        <v>176</v>
      </c>
      <c r="AP3" s="8" t="s">
        <v>36</v>
      </c>
      <c r="AQ3" s="8" t="s">
        <v>37</v>
      </c>
    </row>
    <row r="4" spans="1:50" ht="15" customHeight="1" thickBot="1" x14ac:dyDescent="0.3">
      <c r="A4" s="186" t="s">
        <v>428</v>
      </c>
      <c r="B4" s="104">
        <v>0</v>
      </c>
      <c r="C4" s="47">
        <v>1</v>
      </c>
      <c r="D4" s="245">
        <v>0</v>
      </c>
      <c r="E4" s="195">
        <f t="shared" ref="E4:E49" si="0">SUM(B4:D4)</f>
        <v>1</v>
      </c>
      <c r="F4" s="188" t="s">
        <v>428</v>
      </c>
      <c r="G4" s="208">
        <v>54</v>
      </c>
      <c r="H4" s="331">
        <v>73</v>
      </c>
      <c r="I4" s="247">
        <v>0</v>
      </c>
      <c r="J4" s="191">
        <f t="shared" ref="J4:J50" si="1">SUM(G4:I4)</f>
        <v>127</v>
      </c>
      <c r="K4" s="186" t="s">
        <v>432</v>
      </c>
      <c r="L4" s="195">
        <v>23</v>
      </c>
      <c r="M4" s="195">
        <v>27</v>
      </c>
      <c r="N4" s="196">
        <f t="shared" ref="N4:N5" si="2">SUM(L4/M4)*100</f>
        <v>85.18518518518519</v>
      </c>
      <c r="O4" s="195">
        <v>2</v>
      </c>
      <c r="P4" s="195">
        <v>2</v>
      </c>
      <c r="Q4" s="196">
        <v>66.666666666666657</v>
      </c>
      <c r="R4" s="195">
        <v>6</v>
      </c>
      <c r="S4" s="195">
        <v>2</v>
      </c>
      <c r="T4" s="8">
        <v>66</v>
      </c>
      <c r="U4" s="8">
        <v>78</v>
      </c>
      <c r="V4" s="294">
        <f t="shared" ref="V4:V5" si="3">SUM(T4/U4)*100</f>
        <v>84.615384615384613</v>
      </c>
      <c r="W4" s="283">
        <v>38</v>
      </c>
      <c r="X4" s="8">
        <v>52</v>
      </c>
      <c r="Y4" s="294">
        <f>SUM(W4/X4)*100</f>
        <v>73.076923076923066</v>
      </c>
      <c r="Z4" s="126"/>
      <c r="AA4" s="127"/>
      <c r="AB4" s="127"/>
      <c r="AC4" s="7">
        <v>24</v>
      </c>
      <c r="AD4" s="7">
        <v>31</v>
      </c>
      <c r="AE4" s="294">
        <f t="shared" ref="AE4" si="4">SUM(AC4/AD4)*100</f>
        <v>77.41935483870968</v>
      </c>
      <c r="AF4" s="7">
        <v>31</v>
      </c>
      <c r="AG4" s="7">
        <v>43</v>
      </c>
      <c r="AH4" s="294">
        <f t="shared" ref="AH4" si="5">SUM(AF4/AG4)*100</f>
        <v>72.093023255813947</v>
      </c>
      <c r="AI4" s="8">
        <v>63</v>
      </c>
      <c r="AJ4" s="8">
        <v>73</v>
      </c>
      <c r="AK4" s="294">
        <f t="shared" ref="AK4" si="6">SUM(AI4/AJ4)*100</f>
        <v>86.301369863013704</v>
      </c>
      <c r="AL4" s="8">
        <v>79</v>
      </c>
      <c r="AM4" s="8">
        <v>93</v>
      </c>
      <c r="AN4" s="294">
        <f>SUM(AL4/AM4)*100</f>
        <v>84.946236559139791</v>
      </c>
      <c r="AO4" s="8">
        <v>57</v>
      </c>
      <c r="AP4" s="8">
        <v>77</v>
      </c>
      <c r="AQ4" s="8">
        <v>65</v>
      </c>
    </row>
    <row r="5" spans="1:50" ht="15" customHeight="1" thickBot="1" x14ac:dyDescent="0.3">
      <c r="A5" s="186" t="s">
        <v>72</v>
      </c>
      <c r="B5" s="104">
        <v>0</v>
      </c>
      <c r="C5" s="47">
        <v>0</v>
      </c>
      <c r="D5" s="245">
        <v>0</v>
      </c>
      <c r="E5" s="195">
        <f t="shared" si="0"/>
        <v>0</v>
      </c>
      <c r="F5" s="188" t="s">
        <v>72</v>
      </c>
      <c r="G5" s="208">
        <v>0</v>
      </c>
      <c r="H5" s="331">
        <v>0</v>
      </c>
      <c r="I5" s="247">
        <v>0</v>
      </c>
      <c r="J5" s="191">
        <f t="shared" si="1"/>
        <v>0</v>
      </c>
      <c r="K5" s="186" t="s">
        <v>105</v>
      </c>
      <c r="L5" s="195">
        <v>4</v>
      </c>
      <c r="M5" s="195">
        <v>4</v>
      </c>
      <c r="N5" s="196">
        <f t="shared" si="2"/>
        <v>100</v>
      </c>
      <c r="O5" s="195" t="s">
        <v>43</v>
      </c>
      <c r="P5" s="195" t="s">
        <v>43</v>
      </c>
      <c r="Q5" s="196" t="s">
        <v>43</v>
      </c>
      <c r="R5" s="195">
        <v>5</v>
      </c>
      <c r="S5" s="195">
        <v>6</v>
      </c>
      <c r="T5" s="8">
        <v>12</v>
      </c>
      <c r="U5" s="8">
        <v>16</v>
      </c>
      <c r="V5" s="294">
        <f t="shared" si="3"/>
        <v>75</v>
      </c>
      <c r="W5" s="283">
        <v>23</v>
      </c>
      <c r="X5" s="8">
        <v>28</v>
      </c>
      <c r="Y5" s="294">
        <f>SUM(W5/X5)*100</f>
        <v>82.142857142857139</v>
      </c>
      <c r="Z5" s="126"/>
      <c r="AA5" s="127"/>
      <c r="AB5" s="127"/>
      <c r="AC5" s="283" t="s">
        <v>43</v>
      </c>
      <c r="AD5" s="8" t="s">
        <v>43</v>
      </c>
      <c r="AE5" s="8" t="s">
        <v>43</v>
      </c>
      <c r="AF5" s="283" t="s">
        <v>43</v>
      </c>
      <c r="AG5" s="8" t="s">
        <v>43</v>
      </c>
      <c r="AH5" s="8" t="s">
        <v>43</v>
      </c>
      <c r="AI5" s="8" t="s">
        <v>43</v>
      </c>
      <c r="AJ5" s="8" t="s">
        <v>43</v>
      </c>
      <c r="AK5" s="8" t="s">
        <v>43</v>
      </c>
      <c r="AL5" s="8" t="s">
        <v>43</v>
      </c>
      <c r="AM5" s="8" t="s">
        <v>43</v>
      </c>
      <c r="AN5" s="8" t="s">
        <v>43</v>
      </c>
      <c r="AO5" s="8" t="s">
        <v>43</v>
      </c>
      <c r="AP5" s="8" t="s">
        <v>43</v>
      </c>
      <c r="AQ5" s="8" t="s">
        <v>43</v>
      </c>
    </row>
    <row r="6" spans="1:50" ht="15" customHeight="1" thickBot="1" x14ac:dyDescent="0.3">
      <c r="A6" s="186" t="s">
        <v>72</v>
      </c>
      <c r="B6" s="104">
        <v>0</v>
      </c>
      <c r="C6" s="47">
        <v>0</v>
      </c>
      <c r="D6" s="245">
        <v>0</v>
      </c>
      <c r="E6" s="195">
        <f t="shared" si="0"/>
        <v>0</v>
      </c>
      <c r="F6" s="189" t="s">
        <v>72</v>
      </c>
      <c r="G6" s="208">
        <v>0</v>
      </c>
      <c r="H6" s="331">
        <v>0</v>
      </c>
      <c r="I6" s="247">
        <v>0</v>
      </c>
      <c r="J6" s="191">
        <f t="shared" si="1"/>
        <v>0</v>
      </c>
      <c r="K6" s="186" t="s">
        <v>273</v>
      </c>
      <c r="L6" s="195" t="s">
        <v>43</v>
      </c>
      <c r="M6" s="195" t="s">
        <v>43</v>
      </c>
      <c r="N6" s="195" t="s">
        <v>43</v>
      </c>
      <c r="O6" s="195" t="s">
        <v>43</v>
      </c>
      <c r="P6" s="195" t="s">
        <v>43</v>
      </c>
      <c r="Q6" s="196" t="s">
        <v>43</v>
      </c>
      <c r="R6" s="195" t="s">
        <v>53</v>
      </c>
      <c r="S6" s="195">
        <v>1</v>
      </c>
      <c r="T6" s="8" t="s">
        <v>43</v>
      </c>
      <c r="U6" s="8" t="s">
        <v>43</v>
      </c>
      <c r="V6" s="8" t="s">
        <v>43</v>
      </c>
      <c r="W6" s="283" t="s">
        <v>43</v>
      </c>
      <c r="X6" s="8" t="s">
        <v>43</v>
      </c>
      <c r="Y6" s="8" t="s">
        <v>43</v>
      </c>
      <c r="Z6" s="126"/>
      <c r="AA6" s="127"/>
      <c r="AB6" s="127"/>
      <c r="AC6" s="283" t="s">
        <v>43</v>
      </c>
      <c r="AD6" s="8" t="s">
        <v>43</v>
      </c>
      <c r="AE6" s="8" t="s">
        <v>43</v>
      </c>
      <c r="AF6" s="7" t="s">
        <v>43</v>
      </c>
      <c r="AG6" s="8" t="s">
        <v>43</v>
      </c>
      <c r="AH6" s="8" t="s">
        <v>43</v>
      </c>
      <c r="AI6" s="8" t="s">
        <v>43</v>
      </c>
      <c r="AJ6" s="8" t="s">
        <v>43</v>
      </c>
      <c r="AK6" s="8" t="s">
        <v>43</v>
      </c>
      <c r="AL6" s="8" t="s">
        <v>43</v>
      </c>
      <c r="AM6" s="8" t="s">
        <v>43</v>
      </c>
      <c r="AN6" s="8" t="s">
        <v>43</v>
      </c>
      <c r="AO6" s="8" t="s">
        <v>43</v>
      </c>
      <c r="AP6" s="8" t="s">
        <v>43</v>
      </c>
      <c r="AQ6" s="8" t="s">
        <v>43</v>
      </c>
    </row>
    <row r="7" spans="1:50" ht="15" customHeight="1" thickBot="1" x14ac:dyDescent="0.3">
      <c r="A7" s="186" t="s">
        <v>883</v>
      </c>
      <c r="B7" s="104">
        <v>0</v>
      </c>
      <c r="C7" s="47">
        <v>0</v>
      </c>
      <c r="D7" s="245">
        <v>1</v>
      </c>
      <c r="E7" s="195">
        <f t="shared" si="0"/>
        <v>1</v>
      </c>
      <c r="F7" s="189" t="s">
        <v>883</v>
      </c>
      <c r="G7" s="208">
        <v>0</v>
      </c>
      <c r="H7" s="331">
        <v>0</v>
      </c>
      <c r="I7" s="247">
        <v>5</v>
      </c>
      <c r="J7" s="191">
        <f t="shared" si="1"/>
        <v>5</v>
      </c>
      <c r="K7" s="186" t="s">
        <v>274</v>
      </c>
      <c r="L7" s="195">
        <v>38</v>
      </c>
      <c r="M7" s="195">
        <v>53</v>
      </c>
      <c r="N7" s="196">
        <f>(graysonnorgls/graysonnoratt)*100</f>
        <v>71.698113207547166</v>
      </c>
      <c r="O7" s="195" t="s">
        <v>43</v>
      </c>
      <c r="P7" s="195" t="s">
        <v>43</v>
      </c>
      <c r="Q7" s="196" t="s">
        <v>43</v>
      </c>
      <c r="R7" s="195">
        <v>5</v>
      </c>
      <c r="S7" s="195">
        <v>5</v>
      </c>
      <c r="T7" s="8">
        <v>10</v>
      </c>
      <c r="U7" s="8">
        <v>16</v>
      </c>
      <c r="V7" s="294">
        <f t="shared" ref="V7" si="7">SUM(T7/U7)*100</f>
        <v>62.5</v>
      </c>
      <c r="W7" s="283">
        <v>5</v>
      </c>
      <c r="X7" s="8">
        <v>8</v>
      </c>
      <c r="Y7" s="294">
        <f>SUM(W7/X7)*100</f>
        <v>62.5</v>
      </c>
      <c r="Z7" s="126"/>
      <c r="AA7" s="127"/>
      <c r="AB7" s="127"/>
      <c r="AC7" s="283" t="s">
        <v>43</v>
      </c>
      <c r="AD7" s="8" t="s">
        <v>43</v>
      </c>
      <c r="AE7" s="8" t="s">
        <v>43</v>
      </c>
      <c r="AF7" s="283" t="s">
        <v>43</v>
      </c>
      <c r="AG7" s="8" t="s">
        <v>43</v>
      </c>
      <c r="AH7" s="8" t="s">
        <v>43</v>
      </c>
      <c r="AI7" s="8" t="s">
        <v>43</v>
      </c>
      <c r="AJ7" s="8" t="s">
        <v>43</v>
      </c>
      <c r="AK7" s="8" t="s">
        <v>43</v>
      </c>
      <c r="AL7" s="8" t="s">
        <v>43</v>
      </c>
      <c r="AM7" s="8" t="s">
        <v>43</v>
      </c>
      <c r="AN7" s="8" t="s">
        <v>43</v>
      </c>
      <c r="AO7" s="8" t="s">
        <v>43</v>
      </c>
      <c r="AP7" s="8" t="s">
        <v>43</v>
      </c>
      <c r="AQ7" s="8" t="s">
        <v>43</v>
      </c>
    </row>
    <row r="8" spans="1:50" ht="15" customHeight="1" thickBot="1" x14ac:dyDescent="0.3">
      <c r="A8" s="186" t="s">
        <v>77</v>
      </c>
      <c r="B8" s="104">
        <v>3</v>
      </c>
      <c r="C8" s="47">
        <v>2</v>
      </c>
      <c r="D8" s="245">
        <v>1</v>
      </c>
      <c r="E8" s="195">
        <f t="shared" si="0"/>
        <v>6</v>
      </c>
      <c r="F8" s="189" t="s">
        <v>77</v>
      </c>
      <c r="G8" s="208">
        <v>15</v>
      </c>
      <c r="H8" s="331">
        <v>10</v>
      </c>
      <c r="I8" s="247">
        <v>5</v>
      </c>
      <c r="J8" s="191">
        <f t="shared" si="1"/>
        <v>30</v>
      </c>
      <c r="K8" s="186" t="s">
        <v>160</v>
      </c>
      <c r="L8" s="195" t="s">
        <v>43</v>
      </c>
      <c r="M8" s="195" t="s">
        <v>43</v>
      </c>
      <c r="N8" s="195" t="s">
        <v>43</v>
      </c>
      <c r="O8" s="195" t="s">
        <v>43</v>
      </c>
      <c r="P8" s="195" t="s">
        <v>43</v>
      </c>
      <c r="Q8" s="196" t="s">
        <v>43</v>
      </c>
      <c r="R8" s="195">
        <v>3</v>
      </c>
      <c r="S8" s="195">
        <v>10</v>
      </c>
      <c r="T8" s="8">
        <v>3</v>
      </c>
      <c r="U8" s="8">
        <v>3</v>
      </c>
      <c r="V8" s="8">
        <v>100</v>
      </c>
      <c r="W8" s="283" t="s">
        <v>43</v>
      </c>
      <c r="X8" s="8" t="s">
        <v>43</v>
      </c>
      <c r="Y8" s="8" t="s">
        <v>43</v>
      </c>
      <c r="Z8" s="126"/>
      <c r="AA8" s="127"/>
      <c r="AB8" s="127"/>
      <c r="AC8" s="283" t="s">
        <v>43</v>
      </c>
      <c r="AD8" s="8" t="s">
        <v>43</v>
      </c>
      <c r="AE8" s="8" t="s">
        <v>43</v>
      </c>
      <c r="AF8" s="7" t="s">
        <v>43</v>
      </c>
      <c r="AG8" s="8" t="s">
        <v>43</v>
      </c>
      <c r="AH8" s="8" t="s">
        <v>43</v>
      </c>
      <c r="AI8" s="8" t="s">
        <v>43</v>
      </c>
      <c r="AJ8" s="8" t="s">
        <v>43</v>
      </c>
      <c r="AK8" s="8" t="s">
        <v>43</v>
      </c>
      <c r="AL8" s="8" t="s">
        <v>43</v>
      </c>
      <c r="AM8" s="8" t="s">
        <v>43</v>
      </c>
      <c r="AN8" s="8" t="s">
        <v>43</v>
      </c>
      <c r="AO8" s="8" t="s">
        <v>43</v>
      </c>
      <c r="AP8" s="8" t="s">
        <v>43</v>
      </c>
      <c r="AQ8" s="8" t="s">
        <v>43</v>
      </c>
    </row>
    <row r="9" spans="1:50" ht="15" customHeight="1" thickBot="1" x14ac:dyDescent="0.3">
      <c r="A9" s="186" t="s">
        <v>72</v>
      </c>
      <c r="B9" s="104">
        <v>0</v>
      </c>
      <c r="C9" s="47">
        <v>0</v>
      </c>
      <c r="D9" s="245">
        <v>0</v>
      </c>
      <c r="E9" s="195">
        <f t="shared" si="0"/>
        <v>0</v>
      </c>
      <c r="F9" s="189" t="s">
        <v>72</v>
      </c>
      <c r="G9" s="208">
        <v>0</v>
      </c>
      <c r="H9" s="331">
        <v>0</v>
      </c>
      <c r="I9" s="247">
        <v>0</v>
      </c>
      <c r="J9" s="191">
        <f t="shared" si="1"/>
        <v>0</v>
      </c>
      <c r="K9" s="186" t="s">
        <v>247</v>
      </c>
      <c r="L9" s="195" t="s">
        <v>43</v>
      </c>
      <c r="M9" s="195" t="s">
        <v>43</v>
      </c>
      <c r="N9" s="195" t="s">
        <v>43</v>
      </c>
      <c r="O9" s="195" t="s">
        <v>43</v>
      </c>
      <c r="P9" s="195" t="s">
        <v>43</v>
      </c>
      <c r="Q9" s="196" t="s">
        <v>43</v>
      </c>
      <c r="R9" s="195" t="s">
        <v>43</v>
      </c>
      <c r="S9" s="195">
        <v>-1</v>
      </c>
      <c r="T9" s="8" t="s">
        <v>43</v>
      </c>
      <c r="U9" s="8" t="s">
        <v>43</v>
      </c>
      <c r="V9" s="8" t="s">
        <v>43</v>
      </c>
      <c r="W9" s="283" t="s">
        <v>43</v>
      </c>
      <c r="X9" s="8" t="s">
        <v>43</v>
      </c>
      <c r="Y9" s="8" t="s">
        <v>43</v>
      </c>
      <c r="Z9" s="126"/>
      <c r="AA9" s="127"/>
      <c r="AB9" s="127"/>
      <c r="AC9" s="283" t="s">
        <v>43</v>
      </c>
      <c r="AD9" s="8" t="s">
        <v>43</v>
      </c>
      <c r="AE9" s="8" t="s">
        <v>43</v>
      </c>
      <c r="AF9" s="283" t="s">
        <v>43</v>
      </c>
      <c r="AG9" s="8" t="s">
        <v>43</v>
      </c>
      <c r="AH9" s="8" t="s">
        <v>43</v>
      </c>
      <c r="AI9" s="8" t="s">
        <v>43</v>
      </c>
      <c r="AJ9" s="8" t="s">
        <v>43</v>
      </c>
      <c r="AK9" s="8" t="s">
        <v>43</v>
      </c>
      <c r="AL9" s="8" t="s">
        <v>43</v>
      </c>
      <c r="AM9" s="8" t="s">
        <v>43</v>
      </c>
      <c r="AN9" s="8" t="s">
        <v>43</v>
      </c>
      <c r="AO9" s="8" t="s">
        <v>43</v>
      </c>
      <c r="AP9" s="8" t="s">
        <v>43</v>
      </c>
      <c r="AQ9" s="8" t="s">
        <v>43</v>
      </c>
    </row>
    <row r="10" spans="1:50" ht="15" customHeight="1" thickBot="1" x14ac:dyDescent="0.3">
      <c r="A10" s="186" t="s">
        <v>72</v>
      </c>
      <c r="B10" s="104">
        <v>0</v>
      </c>
      <c r="C10" s="47">
        <v>0</v>
      </c>
      <c r="D10" s="245">
        <v>0</v>
      </c>
      <c r="E10" s="195">
        <f t="shared" si="0"/>
        <v>0</v>
      </c>
      <c r="F10" s="189" t="s">
        <v>72</v>
      </c>
      <c r="G10" s="208">
        <v>0</v>
      </c>
      <c r="H10" s="331">
        <v>0</v>
      </c>
      <c r="I10" s="247">
        <v>0</v>
      </c>
      <c r="J10" s="191">
        <f t="shared" si="1"/>
        <v>0</v>
      </c>
      <c r="K10" s="186" t="s">
        <v>178</v>
      </c>
      <c r="L10" s="195">
        <v>3</v>
      </c>
      <c r="M10" s="195">
        <v>3</v>
      </c>
      <c r="N10" s="196">
        <f t="shared" ref="N10" si="8">SUM(L10/M10)*100</f>
        <v>100</v>
      </c>
      <c r="O10" s="195" t="s">
        <v>43</v>
      </c>
      <c r="P10" s="195" t="s">
        <v>43</v>
      </c>
      <c r="Q10" s="196" t="s">
        <v>43</v>
      </c>
      <c r="R10" s="195">
        <v>7</v>
      </c>
      <c r="S10" s="195">
        <v>7</v>
      </c>
      <c r="T10" s="8">
        <v>2</v>
      </c>
      <c r="U10" s="8">
        <v>2</v>
      </c>
      <c r="V10" s="294">
        <f t="shared" ref="V10" si="9">SUM(T10/U10)*100</f>
        <v>100</v>
      </c>
      <c r="W10" s="283">
        <v>25</v>
      </c>
      <c r="X10" s="8">
        <v>38</v>
      </c>
      <c r="Y10" s="294">
        <f>SUM(W10/X10)*100</f>
        <v>65.789473684210535</v>
      </c>
      <c r="Z10" s="126"/>
      <c r="AA10" s="127"/>
      <c r="AB10" s="127"/>
      <c r="AC10" s="283">
        <v>9</v>
      </c>
      <c r="AD10" s="8">
        <v>14</v>
      </c>
      <c r="AE10" s="294">
        <f>SUM(AC10/AD10)*100</f>
        <v>64.285714285714292</v>
      </c>
      <c r="AF10" s="283">
        <v>0</v>
      </c>
      <c r="AG10" s="8">
        <v>1</v>
      </c>
      <c r="AH10" s="294">
        <f>SUM(AF10/AG10)*100</f>
        <v>0</v>
      </c>
      <c r="AI10" s="8" t="s">
        <v>43</v>
      </c>
      <c r="AJ10" s="8" t="s">
        <v>43</v>
      </c>
      <c r="AK10" s="8" t="s">
        <v>43</v>
      </c>
      <c r="AL10" s="8" t="s">
        <v>43</v>
      </c>
      <c r="AM10" s="8" t="s">
        <v>43</v>
      </c>
      <c r="AN10" s="8" t="s">
        <v>43</v>
      </c>
      <c r="AO10" s="8" t="s">
        <v>43</v>
      </c>
      <c r="AP10" s="8" t="s">
        <v>43</v>
      </c>
      <c r="AQ10" s="8" t="s">
        <v>43</v>
      </c>
    </row>
    <row r="11" spans="1:50" ht="15" customHeight="1" thickBot="1" x14ac:dyDescent="0.3">
      <c r="A11" s="186" t="s">
        <v>72</v>
      </c>
      <c r="B11" s="104">
        <v>0</v>
      </c>
      <c r="C11" s="47">
        <v>0</v>
      </c>
      <c r="D11" s="245">
        <v>0</v>
      </c>
      <c r="E11" s="195">
        <f t="shared" si="0"/>
        <v>0</v>
      </c>
      <c r="F11" s="189" t="s">
        <v>72</v>
      </c>
      <c r="G11" s="208">
        <v>0</v>
      </c>
      <c r="H11" s="331">
        <v>0</v>
      </c>
      <c r="I11" s="247">
        <v>0</v>
      </c>
      <c r="J11" s="191">
        <f t="shared" si="1"/>
        <v>0</v>
      </c>
    </row>
    <row r="12" spans="1:50" ht="15" customHeight="1" thickBot="1" x14ac:dyDescent="0.3">
      <c r="A12" s="186" t="s">
        <v>864</v>
      </c>
      <c r="B12" s="104">
        <v>2</v>
      </c>
      <c r="C12" s="47">
        <v>2</v>
      </c>
      <c r="D12" s="245">
        <v>2</v>
      </c>
      <c r="E12" s="195">
        <f t="shared" si="0"/>
        <v>6</v>
      </c>
      <c r="F12" s="189" t="s">
        <v>864</v>
      </c>
      <c r="G12" s="208">
        <v>10</v>
      </c>
      <c r="H12" s="331">
        <v>10</v>
      </c>
      <c r="I12" s="247">
        <v>10</v>
      </c>
      <c r="J12" s="191">
        <f t="shared" si="1"/>
        <v>30</v>
      </c>
      <c r="K12" s="550" t="s">
        <v>1029</v>
      </c>
      <c r="L12" s="500" t="s">
        <v>42</v>
      </c>
      <c r="M12" s="501"/>
      <c r="N12" s="502"/>
      <c r="O12" s="515" t="s">
        <v>1046</v>
      </c>
      <c r="P12" s="516"/>
      <c r="Q12" s="517"/>
      <c r="R12" s="515" t="s">
        <v>915</v>
      </c>
      <c r="S12" s="516"/>
      <c r="T12" s="517"/>
      <c r="U12" s="515" t="s">
        <v>303</v>
      </c>
      <c r="V12" s="516"/>
      <c r="W12" s="517"/>
      <c r="X12" s="323"/>
      <c r="Y12" s="323"/>
      <c r="Z12" s="323"/>
      <c r="AA12" s="407"/>
      <c r="AB12" s="407"/>
      <c r="AC12" s="515" t="s">
        <v>205</v>
      </c>
      <c r="AD12" s="516"/>
      <c r="AE12" s="517"/>
      <c r="AF12" s="515" t="s">
        <v>186</v>
      </c>
      <c r="AG12" s="516"/>
      <c r="AH12" s="517"/>
      <c r="AI12" s="515" t="s">
        <v>823</v>
      </c>
      <c r="AJ12" s="516"/>
      <c r="AK12" s="517"/>
    </row>
    <row r="13" spans="1:50" ht="15" customHeight="1" thickBot="1" x14ac:dyDescent="0.3">
      <c r="A13" s="186" t="s">
        <v>244</v>
      </c>
      <c r="B13" s="104">
        <v>0</v>
      </c>
      <c r="C13" s="47">
        <v>0</v>
      </c>
      <c r="D13" s="245">
        <v>1</v>
      </c>
      <c r="E13" s="195">
        <f t="shared" si="0"/>
        <v>1</v>
      </c>
      <c r="F13" s="189" t="s">
        <v>244</v>
      </c>
      <c r="G13" s="208">
        <v>0</v>
      </c>
      <c r="H13" s="331">
        <v>0</v>
      </c>
      <c r="I13" s="247">
        <v>5</v>
      </c>
      <c r="J13" s="191">
        <f t="shared" si="1"/>
        <v>5</v>
      </c>
      <c r="K13" s="551"/>
      <c r="L13" s="503"/>
      <c r="M13" s="504"/>
      <c r="N13" s="505"/>
      <c r="O13" s="518"/>
      <c r="P13" s="519"/>
      <c r="Q13" s="520"/>
      <c r="R13" s="518"/>
      <c r="S13" s="519"/>
      <c r="T13" s="520"/>
      <c r="U13" s="518"/>
      <c r="V13" s="519"/>
      <c r="W13" s="520"/>
      <c r="X13" s="323"/>
      <c r="Y13" s="323"/>
      <c r="Z13" s="323"/>
      <c r="AA13" s="407"/>
      <c r="AB13" s="407"/>
      <c r="AC13" s="518"/>
      <c r="AD13" s="519"/>
      <c r="AE13" s="520"/>
      <c r="AF13" s="518"/>
      <c r="AG13" s="519"/>
      <c r="AH13" s="520"/>
      <c r="AI13" s="518"/>
      <c r="AJ13" s="519"/>
      <c r="AK13" s="520"/>
    </row>
    <row r="14" spans="1:50" ht="15" customHeight="1" thickBot="1" x14ac:dyDescent="0.3">
      <c r="A14" s="186" t="s">
        <v>158</v>
      </c>
      <c r="B14" s="104">
        <v>0</v>
      </c>
      <c r="C14" s="47">
        <v>1</v>
      </c>
      <c r="D14" s="245">
        <v>1</v>
      </c>
      <c r="E14" s="195">
        <f t="shared" si="0"/>
        <v>2</v>
      </c>
      <c r="F14" s="189" t="s">
        <v>158</v>
      </c>
      <c r="G14" s="208">
        <v>0</v>
      </c>
      <c r="H14" s="331">
        <v>5</v>
      </c>
      <c r="I14" s="247">
        <v>5</v>
      </c>
      <c r="J14" s="191">
        <f t="shared" si="1"/>
        <v>10</v>
      </c>
      <c r="K14" s="35" t="s">
        <v>72</v>
      </c>
      <c r="L14" s="4" t="s">
        <v>176</v>
      </c>
      <c r="M14" s="4" t="s">
        <v>36</v>
      </c>
      <c r="N14" s="4" t="s">
        <v>37</v>
      </c>
      <c r="O14" s="8" t="s">
        <v>176</v>
      </c>
      <c r="P14" s="8" t="s">
        <v>36</v>
      </c>
      <c r="Q14" s="8" t="s">
        <v>37</v>
      </c>
      <c r="R14" s="8" t="s">
        <v>176</v>
      </c>
      <c r="S14" s="8" t="s">
        <v>36</v>
      </c>
      <c r="T14" s="8" t="s">
        <v>37</v>
      </c>
      <c r="U14" s="283" t="s">
        <v>176</v>
      </c>
      <c r="V14" s="8" t="s">
        <v>36</v>
      </c>
      <c r="W14" s="8" t="s">
        <v>37</v>
      </c>
      <c r="X14" s="407"/>
      <c r="Y14" s="407"/>
      <c r="Z14" s="407"/>
      <c r="AA14" s="407"/>
      <c r="AB14" s="407"/>
      <c r="AC14" s="283" t="s">
        <v>176</v>
      </c>
      <c r="AD14" s="8" t="s">
        <v>36</v>
      </c>
      <c r="AE14" s="8" t="s">
        <v>37</v>
      </c>
      <c r="AF14" s="283" t="s">
        <v>176</v>
      </c>
      <c r="AG14" s="8" t="s">
        <v>36</v>
      </c>
      <c r="AH14" s="8" t="s">
        <v>37</v>
      </c>
      <c r="AI14" s="283" t="s">
        <v>176</v>
      </c>
      <c r="AJ14" s="8" t="s">
        <v>36</v>
      </c>
      <c r="AK14" s="8" t="s">
        <v>37</v>
      </c>
    </row>
    <row r="15" spans="1:50" ht="15" customHeight="1" thickBot="1" x14ac:dyDescent="0.3">
      <c r="A15" s="186" t="s">
        <v>72</v>
      </c>
      <c r="B15" s="104">
        <v>0</v>
      </c>
      <c r="C15" s="47">
        <v>0</v>
      </c>
      <c r="D15" s="245">
        <v>0</v>
      </c>
      <c r="E15" s="195">
        <f t="shared" si="0"/>
        <v>0</v>
      </c>
      <c r="F15" s="188" t="s">
        <v>72</v>
      </c>
      <c r="G15" s="208">
        <v>0</v>
      </c>
      <c r="H15" s="331">
        <v>0</v>
      </c>
      <c r="I15" s="247">
        <v>0</v>
      </c>
      <c r="J15" s="191">
        <f t="shared" si="1"/>
        <v>0</v>
      </c>
      <c r="K15" s="186" t="s">
        <v>432</v>
      </c>
      <c r="L15" s="195">
        <v>27</v>
      </c>
      <c r="M15" s="195">
        <v>31</v>
      </c>
      <c r="N15" s="196">
        <f t="shared" ref="N15:N16" si="10">SUM(L15/M15)*100</f>
        <v>87.096774193548384</v>
      </c>
      <c r="O15" s="8">
        <v>10</v>
      </c>
      <c r="P15" s="8">
        <v>15</v>
      </c>
      <c r="Q15" s="294">
        <f t="shared" ref="Q15:Q17" si="11">SUM(O15/P15)*100</f>
        <v>66.666666666666657</v>
      </c>
      <c r="R15" s="8">
        <v>15</v>
      </c>
      <c r="S15" s="8">
        <v>16</v>
      </c>
      <c r="T15" s="294">
        <f>SUM(R15/S15)*100</f>
        <v>93.75</v>
      </c>
      <c r="U15" s="7">
        <v>30</v>
      </c>
      <c r="V15" s="7">
        <v>39</v>
      </c>
      <c r="W15" s="294">
        <f t="shared" ref="W15" si="12">SUM(U15/V15)*100</f>
        <v>76.923076923076934</v>
      </c>
      <c r="X15" s="407"/>
      <c r="Y15" s="407"/>
      <c r="Z15" s="407"/>
      <c r="AA15" s="407"/>
      <c r="AB15" s="407"/>
      <c r="AC15" s="7">
        <v>22</v>
      </c>
      <c r="AD15" s="7">
        <v>30</v>
      </c>
      <c r="AE15" s="294">
        <f t="shared" ref="AE15" si="13">SUM(AC15/AD15)*100</f>
        <v>73.333333333333329</v>
      </c>
      <c r="AF15" s="283">
        <v>19</v>
      </c>
      <c r="AG15" s="8">
        <v>24</v>
      </c>
      <c r="AH15" s="294">
        <f>SUM(AF15/AG15)*100</f>
        <v>79.166666666666657</v>
      </c>
      <c r="AI15" s="283">
        <v>21</v>
      </c>
      <c r="AJ15" s="8">
        <v>21</v>
      </c>
      <c r="AK15" s="294">
        <f>SUM(AI15/AJ15)*100</f>
        <v>100</v>
      </c>
    </row>
    <row r="16" spans="1:50" ht="15" customHeight="1" thickBot="1" x14ac:dyDescent="0.3">
      <c r="A16" s="186" t="s">
        <v>245</v>
      </c>
      <c r="B16" s="104">
        <v>0</v>
      </c>
      <c r="C16" s="47">
        <v>0</v>
      </c>
      <c r="D16" s="245">
        <v>0</v>
      </c>
      <c r="E16" s="195">
        <f t="shared" si="0"/>
        <v>0</v>
      </c>
      <c r="F16" s="188" t="s">
        <v>105</v>
      </c>
      <c r="G16" s="208">
        <v>10</v>
      </c>
      <c r="H16" s="331">
        <v>0</v>
      </c>
      <c r="I16" s="247">
        <v>0</v>
      </c>
      <c r="J16" s="191">
        <f t="shared" si="1"/>
        <v>10</v>
      </c>
      <c r="K16" s="186" t="s">
        <v>274</v>
      </c>
      <c r="L16" s="195">
        <v>4</v>
      </c>
      <c r="M16" s="195">
        <v>5</v>
      </c>
      <c r="N16" s="196">
        <f t="shared" si="10"/>
        <v>80</v>
      </c>
      <c r="O16" s="8">
        <v>19</v>
      </c>
      <c r="P16" s="8">
        <v>23</v>
      </c>
      <c r="Q16" s="294">
        <f t="shared" si="11"/>
        <v>82.608695652173907</v>
      </c>
      <c r="R16" s="293" t="s">
        <v>43</v>
      </c>
      <c r="S16" s="293" t="s">
        <v>43</v>
      </c>
      <c r="T16" s="293" t="s">
        <v>43</v>
      </c>
      <c r="U16" s="7" t="s">
        <v>43</v>
      </c>
      <c r="V16" s="293" t="s">
        <v>43</v>
      </c>
      <c r="W16" s="293" t="s">
        <v>43</v>
      </c>
      <c r="X16" s="407"/>
      <c r="Y16" s="407"/>
      <c r="Z16" s="407"/>
      <c r="AA16" s="407"/>
      <c r="AB16" s="407"/>
      <c r="AC16" s="7" t="s">
        <v>43</v>
      </c>
      <c r="AD16" s="293" t="s">
        <v>43</v>
      </c>
      <c r="AE16" s="293" t="s">
        <v>43</v>
      </c>
      <c r="AF16" s="7" t="s">
        <v>43</v>
      </c>
      <c r="AG16" s="293" t="s">
        <v>43</v>
      </c>
      <c r="AH16" s="293" t="s">
        <v>43</v>
      </c>
      <c r="AI16" s="293" t="s">
        <v>43</v>
      </c>
      <c r="AJ16" s="293" t="s">
        <v>43</v>
      </c>
      <c r="AK16" s="293" t="s">
        <v>43</v>
      </c>
    </row>
    <row r="17" spans="1:37" ht="15" customHeight="1" thickBot="1" x14ac:dyDescent="0.3">
      <c r="A17" s="186" t="s">
        <v>1060</v>
      </c>
      <c r="B17" s="104">
        <v>0</v>
      </c>
      <c r="C17" s="47">
        <v>0</v>
      </c>
      <c r="D17" s="245">
        <v>0</v>
      </c>
      <c r="E17" s="195">
        <f t="shared" si="0"/>
        <v>0</v>
      </c>
      <c r="F17" s="188" t="s">
        <v>430</v>
      </c>
      <c r="G17" s="208">
        <v>0</v>
      </c>
      <c r="H17" s="331">
        <v>0</v>
      </c>
      <c r="I17" s="247">
        <v>0</v>
      </c>
      <c r="J17" s="191">
        <f t="shared" si="1"/>
        <v>0</v>
      </c>
      <c r="K17" s="186" t="s">
        <v>160</v>
      </c>
      <c r="L17" s="195" t="s">
        <v>43</v>
      </c>
      <c r="M17" s="195" t="s">
        <v>43</v>
      </c>
      <c r="N17" s="196" t="s">
        <v>43</v>
      </c>
      <c r="O17" s="8">
        <v>7</v>
      </c>
      <c r="P17" s="8">
        <v>7</v>
      </c>
      <c r="Q17" s="294">
        <f t="shared" si="11"/>
        <v>100</v>
      </c>
      <c r="R17" s="293" t="s">
        <v>43</v>
      </c>
      <c r="S17" s="293" t="s">
        <v>43</v>
      </c>
      <c r="T17" s="293" t="s">
        <v>43</v>
      </c>
      <c r="U17" s="7" t="s">
        <v>43</v>
      </c>
      <c r="V17" s="293" t="s">
        <v>43</v>
      </c>
      <c r="W17" s="293" t="s">
        <v>43</v>
      </c>
      <c r="X17" s="407"/>
      <c r="Y17" s="407"/>
      <c r="Z17" s="407"/>
      <c r="AA17" s="407"/>
      <c r="AB17" s="407"/>
      <c r="AC17" s="7" t="s">
        <v>43</v>
      </c>
      <c r="AD17" s="293" t="s">
        <v>43</v>
      </c>
      <c r="AE17" s="293" t="s">
        <v>43</v>
      </c>
      <c r="AF17" s="7" t="s">
        <v>43</v>
      </c>
      <c r="AG17" s="293" t="s">
        <v>43</v>
      </c>
      <c r="AH17" s="293" t="s">
        <v>43</v>
      </c>
      <c r="AI17" s="293" t="s">
        <v>43</v>
      </c>
      <c r="AJ17" s="293" t="s">
        <v>43</v>
      </c>
      <c r="AK17" s="293" t="s">
        <v>43</v>
      </c>
    </row>
    <row r="18" spans="1:37" ht="15" customHeight="1" thickBot="1" x14ac:dyDescent="0.3">
      <c r="A18" s="186" t="s">
        <v>273</v>
      </c>
      <c r="B18" s="104">
        <v>2</v>
      </c>
      <c r="C18" s="47">
        <v>1</v>
      </c>
      <c r="D18" s="245">
        <v>0</v>
      </c>
      <c r="E18" s="195">
        <f t="shared" si="0"/>
        <v>3</v>
      </c>
      <c r="F18" s="188" t="s">
        <v>273</v>
      </c>
      <c r="G18" s="208">
        <v>10</v>
      </c>
      <c r="H18" s="331">
        <v>5</v>
      </c>
      <c r="I18" s="247">
        <v>0</v>
      </c>
      <c r="J18" s="191">
        <f t="shared" si="1"/>
        <v>15</v>
      </c>
      <c r="K18" s="185" t="s">
        <v>178</v>
      </c>
      <c r="L18" s="197" t="s">
        <v>43</v>
      </c>
      <c r="M18" s="197" t="s">
        <v>43</v>
      </c>
      <c r="N18" s="197" t="s">
        <v>43</v>
      </c>
      <c r="O18" s="293" t="s">
        <v>43</v>
      </c>
      <c r="P18" s="293" t="s">
        <v>43</v>
      </c>
      <c r="Q18" s="293" t="s">
        <v>43</v>
      </c>
      <c r="R18" s="293">
        <v>11</v>
      </c>
      <c r="S18" s="293">
        <v>16</v>
      </c>
      <c r="T18" s="292">
        <f>SUM(R18/S18)*100</f>
        <v>68.75</v>
      </c>
      <c r="U18" s="7">
        <v>0</v>
      </c>
      <c r="V18" s="293">
        <v>1</v>
      </c>
      <c r="W18" s="292">
        <f>SUM(U18/V18)*100</f>
        <v>0</v>
      </c>
      <c r="X18" s="407"/>
      <c r="Y18" s="407"/>
      <c r="Z18" s="407"/>
      <c r="AA18" s="407"/>
      <c r="AB18" s="407"/>
      <c r="AC18" s="7" t="s">
        <v>43</v>
      </c>
      <c r="AD18" s="293" t="s">
        <v>43</v>
      </c>
      <c r="AE18" s="293" t="s">
        <v>43</v>
      </c>
      <c r="AF18" s="283" t="s">
        <v>43</v>
      </c>
      <c r="AG18" s="8" t="s">
        <v>43</v>
      </c>
      <c r="AH18" s="8" t="s">
        <v>43</v>
      </c>
      <c r="AI18" s="283" t="s">
        <v>43</v>
      </c>
      <c r="AJ18" s="8" t="s">
        <v>43</v>
      </c>
      <c r="AK18" s="8" t="s">
        <v>43</v>
      </c>
    </row>
    <row r="19" spans="1:37" ht="15" customHeight="1" thickBot="1" x14ac:dyDescent="0.3">
      <c r="A19" s="186" t="s">
        <v>159</v>
      </c>
      <c r="B19" s="104">
        <v>0</v>
      </c>
      <c r="C19" s="47">
        <v>0</v>
      </c>
      <c r="D19" s="245">
        <v>0</v>
      </c>
      <c r="E19" s="195">
        <f t="shared" si="0"/>
        <v>0</v>
      </c>
      <c r="F19" s="188" t="s">
        <v>159</v>
      </c>
      <c r="G19" s="208">
        <v>0</v>
      </c>
      <c r="H19" s="331">
        <v>0</v>
      </c>
      <c r="I19" s="247">
        <v>0</v>
      </c>
      <c r="J19" s="191">
        <f t="shared" si="1"/>
        <v>0</v>
      </c>
      <c r="K19" s="186" t="s">
        <v>247</v>
      </c>
      <c r="L19" s="195" t="s">
        <v>43</v>
      </c>
      <c r="M19" s="195" t="s">
        <v>43</v>
      </c>
      <c r="N19" s="195" t="s">
        <v>43</v>
      </c>
      <c r="O19" s="8" t="s">
        <v>43</v>
      </c>
      <c r="P19" s="8" t="s">
        <v>43</v>
      </c>
      <c r="Q19" s="8" t="s">
        <v>43</v>
      </c>
      <c r="R19" s="8">
        <v>0</v>
      </c>
      <c r="S19" s="8">
        <v>1</v>
      </c>
      <c r="T19" s="294">
        <f>SUM(R19/S19)*100</f>
        <v>0</v>
      </c>
      <c r="U19" s="283" t="s">
        <v>43</v>
      </c>
      <c r="V19" s="8" t="s">
        <v>43</v>
      </c>
      <c r="W19" s="8" t="s">
        <v>43</v>
      </c>
      <c r="X19" s="407"/>
      <c r="Y19" s="407"/>
      <c r="Z19" s="407"/>
      <c r="AA19" s="407"/>
      <c r="AB19" s="407"/>
      <c r="AC19" s="283" t="s">
        <v>43</v>
      </c>
      <c r="AD19" s="8" t="s">
        <v>43</v>
      </c>
      <c r="AE19" s="8" t="s">
        <v>43</v>
      </c>
      <c r="AF19" s="283" t="s">
        <v>43</v>
      </c>
      <c r="AG19" s="8" t="s">
        <v>43</v>
      </c>
      <c r="AH19" s="8" t="s">
        <v>43</v>
      </c>
      <c r="AI19" s="283" t="s">
        <v>43</v>
      </c>
      <c r="AJ19" s="8" t="s">
        <v>43</v>
      </c>
      <c r="AK19" s="8" t="s">
        <v>43</v>
      </c>
    </row>
    <row r="20" spans="1:37" ht="15" customHeight="1" thickBot="1" x14ac:dyDescent="0.3">
      <c r="A20" s="186" t="s">
        <v>1201</v>
      </c>
      <c r="B20" s="104">
        <v>1</v>
      </c>
      <c r="C20" s="47">
        <v>0</v>
      </c>
      <c r="D20" s="245">
        <v>0</v>
      </c>
      <c r="E20" s="195">
        <f t="shared" si="0"/>
        <v>1</v>
      </c>
      <c r="F20" s="188" t="s">
        <v>1201</v>
      </c>
      <c r="G20" s="208">
        <v>5</v>
      </c>
      <c r="H20" s="331">
        <v>0</v>
      </c>
      <c r="I20" s="247">
        <v>0</v>
      </c>
      <c r="J20" s="191">
        <f t="shared" si="1"/>
        <v>5</v>
      </c>
      <c r="K20" s="186" t="s">
        <v>105</v>
      </c>
      <c r="L20" s="195" t="s">
        <v>43</v>
      </c>
      <c r="M20" s="195" t="s">
        <v>43</v>
      </c>
      <c r="N20" s="195" t="s">
        <v>43</v>
      </c>
      <c r="O20" s="8" t="s">
        <v>43</v>
      </c>
      <c r="P20" s="8" t="s">
        <v>43</v>
      </c>
      <c r="Q20" s="8" t="s">
        <v>43</v>
      </c>
      <c r="R20" s="8">
        <v>1</v>
      </c>
      <c r="S20" s="8">
        <v>2</v>
      </c>
      <c r="T20" s="294">
        <f>SUM(R20/S20)*100</f>
        <v>50</v>
      </c>
      <c r="U20" s="283" t="s">
        <v>43</v>
      </c>
      <c r="V20" s="8" t="s">
        <v>43</v>
      </c>
      <c r="W20" s="8" t="s">
        <v>43</v>
      </c>
      <c r="X20" s="407"/>
      <c r="Y20" s="407"/>
      <c r="Z20" s="407"/>
      <c r="AA20" s="407"/>
      <c r="AB20" s="407"/>
      <c r="AC20" s="283" t="s">
        <v>43</v>
      </c>
      <c r="AD20" s="8" t="s">
        <v>43</v>
      </c>
      <c r="AE20" s="8" t="s">
        <v>43</v>
      </c>
      <c r="AF20" s="283" t="s">
        <v>43</v>
      </c>
      <c r="AG20" s="8" t="s">
        <v>43</v>
      </c>
      <c r="AH20" s="8" t="s">
        <v>43</v>
      </c>
      <c r="AI20" s="283" t="s">
        <v>43</v>
      </c>
      <c r="AJ20" s="8" t="s">
        <v>43</v>
      </c>
      <c r="AK20" s="8" t="s">
        <v>43</v>
      </c>
    </row>
    <row r="21" spans="1:37" ht="15" customHeight="1" thickBot="1" x14ac:dyDescent="0.3">
      <c r="A21" s="186" t="s">
        <v>274</v>
      </c>
      <c r="B21" s="104">
        <v>1</v>
      </c>
      <c r="C21" s="47">
        <v>0</v>
      </c>
      <c r="D21" s="245">
        <v>0</v>
      </c>
      <c r="E21" s="195">
        <f t="shared" si="0"/>
        <v>1</v>
      </c>
      <c r="F21" s="188" t="s">
        <v>274</v>
      </c>
      <c r="G21" s="208">
        <v>104</v>
      </c>
      <c r="H21" s="331">
        <v>8</v>
      </c>
      <c r="I21" s="247">
        <v>30</v>
      </c>
      <c r="J21" s="191">
        <f t="shared" si="1"/>
        <v>142</v>
      </c>
      <c r="X21" s="407"/>
      <c r="Y21" s="407"/>
      <c r="Z21" s="407"/>
      <c r="AA21" s="407"/>
      <c r="AB21" s="407"/>
      <c r="AC21" s="406"/>
      <c r="AD21" s="406"/>
      <c r="AE21" s="406"/>
    </row>
    <row r="22" spans="1:37" ht="15" customHeight="1" thickBot="1" x14ac:dyDescent="0.3">
      <c r="A22" s="186" t="s">
        <v>64</v>
      </c>
      <c r="B22" s="104">
        <v>3</v>
      </c>
      <c r="C22" s="47">
        <v>2</v>
      </c>
      <c r="D22" s="245">
        <v>1</v>
      </c>
      <c r="E22" s="195">
        <f t="shared" si="0"/>
        <v>6</v>
      </c>
      <c r="F22" s="188" t="s">
        <v>64</v>
      </c>
      <c r="G22" s="208">
        <v>15</v>
      </c>
      <c r="H22" s="331">
        <v>10</v>
      </c>
      <c r="I22" s="247">
        <v>5</v>
      </c>
      <c r="J22" s="191">
        <f t="shared" si="1"/>
        <v>30</v>
      </c>
      <c r="K22" s="573" t="s">
        <v>231</v>
      </c>
      <c r="L22" s="494" t="s">
        <v>303</v>
      </c>
      <c r="M22" s="495"/>
      <c r="N22" s="496"/>
      <c r="O22" s="140"/>
      <c r="P22" s="140"/>
      <c r="Q22" s="140"/>
      <c r="X22" s="407"/>
      <c r="Y22" s="407"/>
      <c r="Z22" s="407"/>
      <c r="AA22" s="407"/>
      <c r="AB22" s="407"/>
      <c r="AC22" s="406"/>
      <c r="AD22" s="406"/>
      <c r="AE22" s="406"/>
    </row>
    <row r="23" spans="1:37" ht="15" customHeight="1" thickBot="1" x14ac:dyDescent="0.3">
      <c r="A23" s="186" t="s">
        <v>89</v>
      </c>
      <c r="B23" s="104">
        <v>3</v>
      </c>
      <c r="C23" s="47">
        <v>1</v>
      </c>
      <c r="D23" s="245">
        <v>0</v>
      </c>
      <c r="E23" s="195">
        <f t="shared" si="0"/>
        <v>4</v>
      </c>
      <c r="F23" s="188" t="s">
        <v>89</v>
      </c>
      <c r="G23" s="208">
        <v>15</v>
      </c>
      <c r="H23" s="331">
        <v>5</v>
      </c>
      <c r="I23" s="247">
        <v>0</v>
      </c>
      <c r="J23" s="192">
        <f t="shared" si="1"/>
        <v>20</v>
      </c>
      <c r="K23" s="574"/>
      <c r="L23" s="497"/>
      <c r="M23" s="498"/>
      <c r="N23" s="499"/>
      <c r="O23" s="140"/>
      <c r="P23" s="140"/>
      <c r="Q23" s="140"/>
      <c r="X23" s="407"/>
      <c r="Y23" s="407"/>
      <c r="Z23" s="407"/>
      <c r="AA23" s="407"/>
      <c r="AB23" s="407"/>
      <c r="AC23" s="406"/>
      <c r="AD23" s="406"/>
      <c r="AE23" s="406"/>
    </row>
    <row r="24" spans="1:37" ht="15" customHeight="1" thickBot="1" x14ac:dyDescent="0.3">
      <c r="A24" s="186" t="s">
        <v>96</v>
      </c>
      <c r="B24" s="104">
        <v>1</v>
      </c>
      <c r="C24" s="47">
        <v>0</v>
      </c>
      <c r="D24" s="245">
        <v>0</v>
      </c>
      <c r="E24" s="195">
        <f t="shared" si="0"/>
        <v>1</v>
      </c>
      <c r="F24" s="188" t="s">
        <v>96</v>
      </c>
      <c r="G24" s="208">
        <v>5</v>
      </c>
      <c r="H24" s="331">
        <v>0</v>
      </c>
      <c r="I24" s="247">
        <v>0</v>
      </c>
      <c r="J24" s="193">
        <f t="shared" si="1"/>
        <v>5</v>
      </c>
      <c r="K24" s="35" t="s">
        <v>72</v>
      </c>
      <c r="L24" s="132" t="s">
        <v>176</v>
      </c>
      <c r="M24" s="136" t="s">
        <v>36</v>
      </c>
      <c r="N24" s="136" t="s">
        <v>37</v>
      </c>
      <c r="X24" s="407"/>
      <c r="Y24" s="407"/>
      <c r="Z24" s="407"/>
      <c r="AA24" s="407"/>
      <c r="AB24" s="407"/>
      <c r="AC24" s="406"/>
      <c r="AD24" s="406"/>
      <c r="AE24" s="406"/>
    </row>
    <row r="25" spans="1:37" ht="15" customHeight="1" thickBot="1" x14ac:dyDescent="0.3">
      <c r="A25" s="186" t="s">
        <v>160</v>
      </c>
      <c r="B25" s="104">
        <v>3</v>
      </c>
      <c r="C25" s="47">
        <v>1</v>
      </c>
      <c r="D25" s="245">
        <v>0</v>
      </c>
      <c r="E25" s="195">
        <f t="shared" si="0"/>
        <v>4</v>
      </c>
      <c r="F25" s="188" t="s">
        <v>160</v>
      </c>
      <c r="G25" s="208">
        <v>15</v>
      </c>
      <c r="H25" s="331">
        <v>5</v>
      </c>
      <c r="I25" s="247">
        <v>0</v>
      </c>
      <c r="J25" s="191">
        <f t="shared" si="1"/>
        <v>20</v>
      </c>
      <c r="K25" s="186" t="s">
        <v>178</v>
      </c>
      <c r="L25" s="195">
        <v>9</v>
      </c>
      <c r="M25" s="195">
        <v>12</v>
      </c>
      <c r="N25" s="196">
        <f>SUM(L25/M25)*100</f>
        <v>75</v>
      </c>
      <c r="X25" s="407"/>
      <c r="Y25" s="407"/>
      <c r="Z25" s="407"/>
      <c r="AA25" s="407"/>
      <c r="AB25" s="407"/>
      <c r="AC25" s="406"/>
      <c r="AD25" s="406"/>
      <c r="AE25" s="406"/>
    </row>
    <row r="26" spans="1:37" ht="15" customHeight="1" thickBot="1" x14ac:dyDescent="0.3">
      <c r="A26" s="186" t="s">
        <v>72</v>
      </c>
      <c r="B26" s="104">
        <v>0</v>
      </c>
      <c r="C26" s="47">
        <v>0</v>
      </c>
      <c r="D26" s="245">
        <v>0</v>
      </c>
      <c r="E26" s="195">
        <f t="shared" si="0"/>
        <v>0</v>
      </c>
      <c r="F26" s="188" t="s">
        <v>72</v>
      </c>
      <c r="G26" s="208">
        <v>0</v>
      </c>
      <c r="H26" s="331">
        <v>0</v>
      </c>
      <c r="I26" s="247">
        <v>0</v>
      </c>
      <c r="J26" s="191">
        <f t="shared" si="1"/>
        <v>0</v>
      </c>
      <c r="K26" s="186" t="s">
        <v>105</v>
      </c>
      <c r="L26" s="195" t="s">
        <v>43</v>
      </c>
      <c r="M26" s="195" t="s">
        <v>43</v>
      </c>
      <c r="N26" s="195" t="s">
        <v>43</v>
      </c>
      <c r="X26" s="407"/>
      <c r="Y26" s="407"/>
      <c r="Z26" s="407"/>
      <c r="AA26" s="407"/>
      <c r="AB26" s="407"/>
      <c r="AC26" s="406"/>
      <c r="AD26" s="406"/>
      <c r="AE26" s="406"/>
    </row>
    <row r="27" spans="1:37" ht="15" customHeight="1" thickBot="1" x14ac:dyDescent="0.3">
      <c r="A27" s="186" t="s">
        <v>126</v>
      </c>
      <c r="B27" s="104">
        <v>0</v>
      </c>
      <c r="C27" s="47">
        <v>0</v>
      </c>
      <c r="D27" s="245">
        <v>0</v>
      </c>
      <c r="E27" s="195">
        <f t="shared" si="0"/>
        <v>0</v>
      </c>
      <c r="F27" s="188" t="s">
        <v>126</v>
      </c>
      <c r="G27" s="208">
        <v>0</v>
      </c>
      <c r="H27" s="331">
        <v>0</v>
      </c>
      <c r="I27" s="247">
        <v>0</v>
      </c>
      <c r="J27" s="191">
        <f t="shared" si="1"/>
        <v>0</v>
      </c>
      <c r="K27" s="139"/>
      <c r="L27" s="150"/>
      <c r="M27" s="150"/>
      <c r="N27" s="150"/>
      <c r="X27" s="407"/>
      <c r="Y27" s="407"/>
      <c r="Z27" s="407"/>
      <c r="AA27" s="407"/>
      <c r="AB27" s="407"/>
      <c r="AC27" s="406"/>
      <c r="AD27" s="406"/>
      <c r="AE27" s="406"/>
      <c r="AF27" s="41"/>
    </row>
    <row r="28" spans="1:37" ht="15" customHeight="1" thickBot="1" x14ac:dyDescent="0.3">
      <c r="A28" s="186" t="s">
        <v>161</v>
      </c>
      <c r="B28" s="104">
        <v>1</v>
      </c>
      <c r="C28" s="47">
        <v>0</v>
      </c>
      <c r="D28" s="245">
        <v>0</v>
      </c>
      <c r="E28" s="195">
        <f t="shared" si="0"/>
        <v>1</v>
      </c>
      <c r="F28" s="188" t="s">
        <v>161</v>
      </c>
      <c r="G28" s="208">
        <v>5</v>
      </c>
      <c r="H28" s="331">
        <v>0</v>
      </c>
      <c r="I28" s="247">
        <v>0</v>
      </c>
      <c r="J28" s="191">
        <f t="shared" si="1"/>
        <v>5</v>
      </c>
      <c r="K28" s="509" t="s">
        <v>304</v>
      </c>
      <c r="L28" s="500" t="s">
        <v>42</v>
      </c>
      <c r="M28" s="501"/>
      <c r="N28" s="502"/>
      <c r="O28" s="515" t="s">
        <v>100</v>
      </c>
      <c r="P28" s="516"/>
      <c r="Q28" s="517"/>
      <c r="R28" s="515" t="s">
        <v>915</v>
      </c>
      <c r="S28" s="516"/>
      <c r="T28" s="517"/>
      <c r="U28" s="515" t="s">
        <v>303</v>
      </c>
      <c r="V28" s="516"/>
      <c r="W28" s="517"/>
      <c r="X28" s="407"/>
      <c r="Y28" s="407"/>
      <c r="Z28" s="407"/>
      <c r="AA28" s="407"/>
      <c r="AB28" s="407"/>
      <c r="AC28" s="515" t="s">
        <v>186</v>
      </c>
      <c r="AD28" s="516"/>
      <c r="AE28" s="517"/>
      <c r="AF28" s="515" t="s">
        <v>140</v>
      </c>
      <c r="AG28" s="516"/>
      <c r="AH28" s="517"/>
    </row>
    <row r="29" spans="1:37" ht="15" customHeight="1" thickBot="1" x14ac:dyDescent="0.3">
      <c r="A29" s="186" t="s">
        <v>178</v>
      </c>
      <c r="B29" s="104">
        <v>2</v>
      </c>
      <c r="C29" s="47">
        <v>1</v>
      </c>
      <c r="D29" s="245">
        <v>0</v>
      </c>
      <c r="E29" s="195">
        <f t="shared" si="0"/>
        <v>3</v>
      </c>
      <c r="F29" s="188" t="s">
        <v>178</v>
      </c>
      <c r="G29" s="208">
        <v>19</v>
      </c>
      <c r="H29" s="331">
        <v>5</v>
      </c>
      <c r="I29" s="247">
        <v>0</v>
      </c>
      <c r="J29" s="191">
        <f t="shared" si="1"/>
        <v>24</v>
      </c>
      <c r="K29" s="510"/>
      <c r="L29" s="503"/>
      <c r="M29" s="504"/>
      <c r="N29" s="505"/>
      <c r="O29" s="518"/>
      <c r="P29" s="519"/>
      <c r="Q29" s="520"/>
      <c r="R29" s="518"/>
      <c r="S29" s="519"/>
      <c r="T29" s="520"/>
      <c r="U29" s="518"/>
      <c r="V29" s="519"/>
      <c r="W29" s="520"/>
      <c r="X29" s="407"/>
      <c r="Y29" s="407"/>
      <c r="Z29" s="407"/>
      <c r="AA29" s="407"/>
      <c r="AB29" s="407"/>
      <c r="AC29" s="518"/>
      <c r="AD29" s="519"/>
      <c r="AE29" s="520"/>
      <c r="AF29" s="518"/>
      <c r="AG29" s="519"/>
      <c r="AH29" s="520"/>
    </row>
    <row r="30" spans="1:37" ht="15" customHeight="1" thickBot="1" x14ac:dyDescent="0.3">
      <c r="A30" s="186" t="s">
        <v>150</v>
      </c>
      <c r="B30" s="104">
        <v>0</v>
      </c>
      <c r="C30" s="47">
        <v>0</v>
      </c>
      <c r="D30" s="245">
        <v>0</v>
      </c>
      <c r="E30" s="195">
        <f t="shared" si="0"/>
        <v>0</v>
      </c>
      <c r="F30" s="188" t="s">
        <v>150</v>
      </c>
      <c r="G30" s="208">
        <v>0</v>
      </c>
      <c r="H30" s="331">
        <v>0</v>
      </c>
      <c r="I30" s="247">
        <v>0</v>
      </c>
      <c r="J30" s="191">
        <f t="shared" si="1"/>
        <v>0</v>
      </c>
      <c r="K30" s="35" t="s">
        <v>72</v>
      </c>
      <c r="L30" s="4" t="s">
        <v>176</v>
      </c>
      <c r="M30" s="4" t="s">
        <v>36</v>
      </c>
      <c r="N30" s="4" t="s">
        <v>37</v>
      </c>
      <c r="O30" s="8" t="s">
        <v>176</v>
      </c>
      <c r="P30" s="8" t="s">
        <v>36</v>
      </c>
      <c r="Q30" s="8" t="s">
        <v>37</v>
      </c>
      <c r="R30" s="8" t="s">
        <v>176</v>
      </c>
      <c r="S30" s="8" t="s">
        <v>36</v>
      </c>
      <c r="T30" s="8" t="s">
        <v>37</v>
      </c>
      <c r="U30" s="283" t="s">
        <v>176</v>
      </c>
      <c r="V30" s="8" t="s">
        <v>36</v>
      </c>
      <c r="W30" s="8" t="s">
        <v>37</v>
      </c>
      <c r="X30" s="407"/>
      <c r="Y30" s="407"/>
      <c r="Z30" s="407"/>
      <c r="AA30" s="407"/>
      <c r="AB30" s="407"/>
      <c r="AC30" s="283" t="s">
        <v>176</v>
      </c>
      <c r="AD30" s="8" t="s">
        <v>36</v>
      </c>
      <c r="AE30" s="8" t="s">
        <v>37</v>
      </c>
      <c r="AF30" s="283" t="s">
        <v>176</v>
      </c>
      <c r="AG30" s="8" t="s">
        <v>36</v>
      </c>
      <c r="AH30" s="8" t="s">
        <v>37</v>
      </c>
    </row>
    <row r="31" spans="1:37" ht="15" customHeight="1" thickBot="1" x14ac:dyDescent="0.3">
      <c r="A31" s="186" t="s">
        <v>118</v>
      </c>
      <c r="B31" s="104">
        <v>0</v>
      </c>
      <c r="C31" s="47">
        <v>0</v>
      </c>
      <c r="D31" s="245">
        <v>0</v>
      </c>
      <c r="E31" s="195">
        <f t="shared" si="0"/>
        <v>0</v>
      </c>
      <c r="F31" s="188" t="s">
        <v>118</v>
      </c>
      <c r="G31" s="208">
        <v>0</v>
      </c>
      <c r="H31" s="331">
        <v>0</v>
      </c>
      <c r="I31" s="247">
        <v>2</v>
      </c>
      <c r="J31" s="191">
        <f t="shared" si="1"/>
        <v>2</v>
      </c>
      <c r="K31" s="198" t="s">
        <v>274</v>
      </c>
      <c r="L31" s="195">
        <v>14</v>
      </c>
      <c r="M31" s="195">
        <v>18</v>
      </c>
      <c r="N31" s="196">
        <f>(L31/M31)*100</f>
        <v>77.777777777777786</v>
      </c>
      <c r="O31" s="8">
        <v>24</v>
      </c>
      <c r="P31" s="8">
        <v>35</v>
      </c>
      <c r="Q31" s="294">
        <f>SUM(O31/P31)*100</f>
        <v>68.571428571428569</v>
      </c>
      <c r="R31" s="8">
        <v>7</v>
      </c>
      <c r="S31" s="8">
        <v>8</v>
      </c>
      <c r="T31" s="294">
        <f>SUM(R31/S31)*100</f>
        <v>87.5</v>
      </c>
      <c r="U31" s="283" t="s">
        <v>43</v>
      </c>
      <c r="V31" s="8" t="s">
        <v>43</v>
      </c>
      <c r="W31" s="8" t="s">
        <v>43</v>
      </c>
      <c r="X31" s="407"/>
      <c r="Y31" s="407"/>
      <c r="Z31" s="407"/>
      <c r="AA31" s="407"/>
      <c r="AB31" s="407"/>
      <c r="AC31" s="283" t="s">
        <v>43</v>
      </c>
      <c r="AD31" s="8" t="s">
        <v>43</v>
      </c>
      <c r="AE31" s="8" t="s">
        <v>43</v>
      </c>
      <c r="AF31" s="283" t="s">
        <v>43</v>
      </c>
      <c r="AG31" s="8" t="s">
        <v>43</v>
      </c>
      <c r="AH31" s="8" t="s">
        <v>43</v>
      </c>
    </row>
    <row r="32" spans="1:37" ht="15" customHeight="1" thickBot="1" x14ac:dyDescent="0.3">
      <c r="A32" s="186" t="s">
        <v>277</v>
      </c>
      <c r="B32" s="104">
        <v>2</v>
      </c>
      <c r="C32" s="47">
        <v>0</v>
      </c>
      <c r="D32" s="245">
        <v>0</v>
      </c>
      <c r="E32" s="195">
        <f t="shared" si="0"/>
        <v>2</v>
      </c>
      <c r="F32" s="188" t="s">
        <v>277</v>
      </c>
      <c r="G32" s="208">
        <v>10</v>
      </c>
      <c r="H32" s="331">
        <v>0</v>
      </c>
      <c r="I32" s="247">
        <v>0</v>
      </c>
      <c r="J32" s="191">
        <f t="shared" si="1"/>
        <v>10</v>
      </c>
      <c r="K32" s="198" t="s">
        <v>118</v>
      </c>
      <c r="L32" s="195">
        <v>1</v>
      </c>
      <c r="M32" s="195">
        <v>1</v>
      </c>
      <c r="N32" s="196">
        <f>(L32/M32)*100</f>
        <v>100</v>
      </c>
      <c r="O32" s="8"/>
      <c r="P32" s="8"/>
      <c r="Q32" s="294"/>
      <c r="R32" s="8"/>
      <c r="S32" s="8"/>
      <c r="T32" s="294"/>
      <c r="U32" s="283"/>
      <c r="V32" s="8"/>
      <c r="W32" s="8"/>
      <c r="X32" s="407"/>
      <c r="Y32" s="407"/>
      <c r="Z32" s="407"/>
      <c r="AA32" s="407"/>
      <c r="AB32" s="407"/>
      <c r="AC32" s="283"/>
      <c r="AD32" s="8"/>
      <c r="AE32" s="8"/>
      <c r="AF32" s="283" t="s">
        <v>43</v>
      </c>
      <c r="AG32" s="8" t="s">
        <v>43</v>
      </c>
      <c r="AH32" s="8" t="s">
        <v>43</v>
      </c>
    </row>
    <row r="33" spans="1:34" ht="15" customHeight="1" thickBot="1" x14ac:dyDescent="0.3">
      <c r="A33" s="186" t="s">
        <v>146</v>
      </c>
      <c r="B33" s="104">
        <v>0</v>
      </c>
      <c r="C33" s="47">
        <v>0</v>
      </c>
      <c r="D33" s="245">
        <v>0</v>
      </c>
      <c r="E33" s="195">
        <f t="shared" si="0"/>
        <v>0</v>
      </c>
      <c r="F33" s="188" t="s">
        <v>146</v>
      </c>
      <c r="G33" s="208">
        <v>0</v>
      </c>
      <c r="H33" s="331">
        <v>0</v>
      </c>
      <c r="I33" s="247">
        <v>0</v>
      </c>
      <c r="J33" s="191">
        <f t="shared" si="1"/>
        <v>0</v>
      </c>
      <c r="K33" s="198" t="s">
        <v>105</v>
      </c>
      <c r="L33" s="195" t="s">
        <v>43</v>
      </c>
      <c r="M33" s="195" t="s">
        <v>43</v>
      </c>
      <c r="N33" s="196" t="s">
        <v>43</v>
      </c>
      <c r="O33" s="8">
        <v>1</v>
      </c>
      <c r="P33" s="8">
        <v>1</v>
      </c>
      <c r="Q33" s="294">
        <f t="shared" ref="Q33:Q34" si="14">SUM(O33/P33)*100</f>
        <v>100</v>
      </c>
      <c r="R33" s="8">
        <v>4</v>
      </c>
      <c r="S33" s="8">
        <v>5</v>
      </c>
      <c r="T33" s="294">
        <f t="shared" ref="T33" si="15">SUM(R33/S33)*100</f>
        <v>80</v>
      </c>
      <c r="U33" s="283" t="s">
        <v>43</v>
      </c>
      <c r="V33" s="8" t="s">
        <v>43</v>
      </c>
      <c r="W33" s="8" t="s">
        <v>43</v>
      </c>
      <c r="X33" s="407"/>
      <c r="Y33" s="407"/>
      <c r="Z33" s="407"/>
      <c r="AA33" s="407"/>
      <c r="AB33" s="407"/>
      <c r="AC33" s="283" t="s">
        <v>43</v>
      </c>
      <c r="AD33" s="8" t="s">
        <v>43</v>
      </c>
      <c r="AE33" s="8" t="s">
        <v>43</v>
      </c>
      <c r="AF33" s="283" t="s">
        <v>43</v>
      </c>
      <c r="AG33" s="8" t="s">
        <v>43</v>
      </c>
      <c r="AH33" s="8" t="s">
        <v>43</v>
      </c>
    </row>
    <row r="34" spans="1:34" ht="15" customHeight="1" thickBot="1" x14ac:dyDescent="0.3">
      <c r="A34" s="186" t="s">
        <v>429</v>
      </c>
      <c r="B34" s="104">
        <v>4</v>
      </c>
      <c r="C34" s="47">
        <v>0</v>
      </c>
      <c r="D34" s="245">
        <v>1</v>
      </c>
      <c r="E34" s="195">
        <f t="shared" si="0"/>
        <v>5</v>
      </c>
      <c r="F34" s="188" t="s">
        <v>429</v>
      </c>
      <c r="G34" s="208">
        <v>20</v>
      </c>
      <c r="H34" s="331">
        <v>0</v>
      </c>
      <c r="I34" s="247">
        <v>5</v>
      </c>
      <c r="J34" s="191">
        <f t="shared" si="1"/>
        <v>25</v>
      </c>
      <c r="K34" s="198" t="s">
        <v>273</v>
      </c>
      <c r="L34" s="195" t="s">
        <v>43</v>
      </c>
      <c r="M34" s="195" t="s">
        <v>43</v>
      </c>
      <c r="N34" s="196" t="s">
        <v>43</v>
      </c>
      <c r="O34" s="8">
        <v>1</v>
      </c>
      <c r="P34" s="8">
        <v>1</v>
      </c>
      <c r="Q34" s="294">
        <f t="shared" si="14"/>
        <v>100</v>
      </c>
      <c r="R34" s="8" t="s">
        <v>43</v>
      </c>
      <c r="S34" s="8" t="s">
        <v>43</v>
      </c>
      <c r="T34" s="8" t="s">
        <v>43</v>
      </c>
      <c r="U34" s="283" t="s">
        <v>43</v>
      </c>
      <c r="V34" s="8" t="s">
        <v>43</v>
      </c>
      <c r="W34" s="8" t="s">
        <v>43</v>
      </c>
      <c r="X34" s="407"/>
      <c r="Y34" s="407"/>
      <c r="Z34" s="407"/>
      <c r="AA34" s="407"/>
      <c r="AB34" s="407"/>
      <c r="AC34" s="283" t="s">
        <v>43</v>
      </c>
      <c r="AD34" s="8" t="s">
        <v>43</v>
      </c>
      <c r="AE34" s="8" t="s">
        <v>43</v>
      </c>
    </row>
    <row r="35" spans="1:34" ht="15" customHeight="1" thickBot="1" x14ac:dyDescent="0.3">
      <c r="A35" s="186" t="s">
        <v>832</v>
      </c>
      <c r="B35" s="104">
        <v>1</v>
      </c>
      <c r="C35" s="47">
        <v>0</v>
      </c>
      <c r="D35" s="245">
        <v>0</v>
      </c>
      <c r="E35" s="195">
        <f t="shared" si="0"/>
        <v>1</v>
      </c>
      <c r="F35" s="188" t="s">
        <v>832</v>
      </c>
      <c r="G35" s="208">
        <v>5</v>
      </c>
      <c r="H35" s="331">
        <v>0</v>
      </c>
      <c r="I35" s="247">
        <v>0</v>
      </c>
      <c r="J35" s="191">
        <f t="shared" si="1"/>
        <v>5</v>
      </c>
      <c r="K35" t="s">
        <v>952</v>
      </c>
      <c r="R35" t="s">
        <v>72</v>
      </c>
    </row>
    <row r="36" spans="1:34" ht="15" customHeight="1" thickBot="1" x14ac:dyDescent="0.3">
      <c r="A36" s="186" t="s">
        <v>825</v>
      </c>
      <c r="B36" s="104">
        <v>0</v>
      </c>
      <c r="C36" s="47">
        <v>0</v>
      </c>
      <c r="D36" s="245">
        <v>0</v>
      </c>
      <c r="E36" s="195">
        <f t="shared" si="0"/>
        <v>0</v>
      </c>
      <c r="F36" s="188" t="s">
        <v>825</v>
      </c>
      <c r="G36" s="208">
        <v>0</v>
      </c>
      <c r="H36" s="331">
        <v>0</v>
      </c>
      <c r="I36" s="247">
        <v>0</v>
      </c>
      <c r="J36" s="191">
        <f t="shared" si="1"/>
        <v>0</v>
      </c>
      <c r="R36" t="s">
        <v>72</v>
      </c>
    </row>
    <row r="37" spans="1:34" ht="15" customHeight="1" thickBot="1" x14ac:dyDescent="0.3">
      <c r="A37" s="186" t="s">
        <v>6</v>
      </c>
      <c r="B37" s="104">
        <v>3</v>
      </c>
      <c r="C37" s="47">
        <v>0</v>
      </c>
      <c r="D37" s="245">
        <v>1</v>
      </c>
      <c r="E37" s="195">
        <f t="shared" si="0"/>
        <v>4</v>
      </c>
      <c r="F37" s="188" t="s">
        <v>6</v>
      </c>
      <c r="G37" s="208">
        <v>21</v>
      </c>
      <c r="H37" s="331">
        <v>0</v>
      </c>
      <c r="I37" s="247">
        <v>7</v>
      </c>
      <c r="J37" s="191">
        <f t="shared" si="1"/>
        <v>28</v>
      </c>
    </row>
    <row r="38" spans="1:34" ht="15" customHeight="1" thickBot="1" x14ac:dyDescent="0.3">
      <c r="A38" s="186" t="s">
        <v>72</v>
      </c>
      <c r="B38" s="104">
        <v>0</v>
      </c>
      <c r="C38" s="47">
        <v>0</v>
      </c>
      <c r="D38" s="245">
        <v>0</v>
      </c>
      <c r="E38" s="195">
        <f t="shared" si="0"/>
        <v>0</v>
      </c>
      <c r="F38" s="188" t="s">
        <v>72</v>
      </c>
      <c r="G38" s="208">
        <v>0</v>
      </c>
      <c r="H38" s="331">
        <v>0</v>
      </c>
      <c r="I38" s="247">
        <v>0</v>
      </c>
      <c r="J38" s="191">
        <f t="shared" si="1"/>
        <v>0</v>
      </c>
    </row>
    <row r="39" spans="1:34" ht="15" customHeight="1" thickBot="1" x14ac:dyDescent="0.3">
      <c r="A39" s="186" t="s">
        <v>1061</v>
      </c>
      <c r="B39" s="104">
        <v>2</v>
      </c>
      <c r="C39" s="47">
        <v>0</v>
      </c>
      <c r="D39" s="245">
        <v>0</v>
      </c>
      <c r="E39" s="195">
        <f t="shared" si="0"/>
        <v>2</v>
      </c>
      <c r="F39" s="188" t="s">
        <v>1061</v>
      </c>
      <c r="G39" s="208">
        <v>10</v>
      </c>
      <c r="H39" s="331">
        <v>0</v>
      </c>
      <c r="I39" s="247">
        <v>0</v>
      </c>
      <c r="J39" s="191">
        <f t="shared" si="1"/>
        <v>10</v>
      </c>
    </row>
    <row r="40" spans="1:34" ht="15" customHeight="1" thickBot="1" x14ac:dyDescent="0.3">
      <c r="A40" s="186" t="s">
        <v>208</v>
      </c>
      <c r="B40" s="104">
        <v>1</v>
      </c>
      <c r="C40" s="47">
        <v>0</v>
      </c>
      <c r="D40" s="245">
        <v>0</v>
      </c>
      <c r="E40" s="195">
        <f t="shared" si="0"/>
        <v>1</v>
      </c>
      <c r="F40" s="188" t="s">
        <v>208</v>
      </c>
      <c r="G40" s="208">
        <v>5</v>
      </c>
      <c r="H40" s="331">
        <v>0</v>
      </c>
      <c r="I40" s="247">
        <v>0</v>
      </c>
      <c r="J40" s="191">
        <f t="shared" si="1"/>
        <v>5</v>
      </c>
    </row>
    <row r="41" spans="1:34" ht="15" customHeight="1" thickBot="1" x14ac:dyDescent="0.3">
      <c r="A41" s="186" t="s">
        <v>247</v>
      </c>
      <c r="B41" s="104">
        <v>5</v>
      </c>
      <c r="C41" s="47">
        <v>2</v>
      </c>
      <c r="D41" s="245">
        <v>0</v>
      </c>
      <c r="E41" s="195">
        <f t="shared" si="0"/>
        <v>7</v>
      </c>
      <c r="F41" s="188" t="s">
        <v>247</v>
      </c>
      <c r="G41" s="208">
        <v>25</v>
      </c>
      <c r="H41" s="331">
        <v>10</v>
      </c>
      <c r="I41" s="247">
        <v>0</v>
      </c>
      <c r="J41" s="191">
        <f t="shared" si="1"/>
        <v>35</v>
      </c>
    </row>
    <row r="42" spans="1:34" ht="15" customHeight="1" thickBot="1" x14ac:dyDescent="0.3">
      <c r="A42" s="186" t="s">
        <v>246</v>
      </c>
      <c r="B42" s="104">
        <v>4</v>
      </c>
      <c r="C42" s="47">
        <v>0</v>
      </c>
      <c r="D42" s="245">
        <v>3</v>
      </c>
      <c r="E42" s="195">
        <f t="shared" si="0"/>
        <v>7</v>
      </c>
      <c r="F42" s="188" t="s">
        <v>246</v>
      </c>
      <c r="G42" s="208">
        <v>20</v>
      </c>
      <c r="H42" s="331">
        <v>0</v>
      </c>
      <c r="I42" s="247">
        <v>15</v>
      </c>
      <c r="J42" s="191">
        <f t="shared" si="1"/>
        <v>35</v>
      </c>
    </row>
    <row r="43" spans="1:34" ht="15" customHeight="1" thickBot="1" x14ac:dyDescent="0.3">
      <c r="A43" s="186" t="s">
        <v>866</v>
      </c>
      <c r="B43" s="104">
        <v>1</v>
      </c>
      <c r="C43" s="47">
        <v>2</v>
      </c>
      <c r="D43" s="245">
        <v>0</v>
      </c>
      <c r="E43" s="195">
        <f t="shared" si="0"/>
        <v>3</v>
      </c>
      <c r="F43" s="188" t="s">
        <v>866</v>
      </c>
      <c r="G43" s="208">
        <v>5</v>
      </c>
      <c r="H43" s="331">
        <v>10</v>
      </c>
      <c r="I43" s="247">
        <v>0</v>
      </c>
      <c r="J43" s="191">
        <f t="shared" si="1"/>
        <v>15</v>
      </c>
    </row>
    <row r="44" spans="1:34" ht="15" customHeight="1" thickBot="1" x14ac:dyDescent="0.3">
      <c r="A44" s="186" t="s">
        <v>152</v>
      </c>
      <c r="B44" s="104">
        <v>0</v>
      </c>
      <c r="C44" s="47">
        <v>1</v>
      </c>
      <c r="D44" s="245">
        <v>2</v>
      </c>
      <c r="E44" s="195">
        <f t="shared" si="0"/>
        <v>3</v>
      </c>
      <c r="F44" s="188" t="s">
        <v>152</v>
      </c>
      <c r="G44" s="208">
        <v>0</v>
      </c>
      <c r="H44" s="331">
        <v>5</v>
      </c>
      <c r="I44" s="247">
        <v>10</v>
      </c>
      <c r="J44" s="191">
        <f t="shared" si="1"/>
        <v>15</v>
      </c>
    </row>
    <row r="45" spans="1:34" ht="15" customHeight="1" thickBot="1" x14ac:dyDescent="0.3">
      <c r="A45" s="186" t="s">
        <v>200</v>
      </c>
      <c r="B45" s="104">
        <v>3</v>
      </c>
      <c r="C45" s="47">
        <v>1</v>
      </c>
      <c r="D45" s="245">
        <v>1</v>
      </c>
      <c r="E45" s="195">
        <f t="shared" ref="E45" si="16">SUM(B45:D45)</f>
        <v>5</v>
      </c>
      <c r="F45" s="188" t="s">
        <v>200</v>
      </c>
      <c r="G45" s="208">
        <v>15</v>
      </c>
      <c r="H45" s="331">
        <v>5</v>
      </c>
      <c r="I45" s="247">
        <v>5</v>
      </c>
      <c r="J45" s="191">
        <f t="shared" ref="J45" si="17">SUM(G45:I45)</f>
        <v>25</v>
      </c>
    </row>
    <row r="46" spans="1:34" ht="15" customHeight="1" thickBot="1" x14ac:dyDescent="0.3">
      <c r="A46" s="186" t="s">
        <v>134</v>
      </c>
      <c r="B46" s="104">
        <v>2</v>
      </c>
      <c r="C46" s="47">
        <v>2</v>
      </c>
      <c r="D46" s="245">
        <v>0</v>
      </c>
      <c r="E46" s="195">
        <f t="shared" si="0"/>
        <v>4</v>
      </c>
      <c r="F46" s="188" t="s">
        <v>134</v>
      </c>
      <c r="G46" s="208">
        <v>10</v>
      </c>
      <c r="H46" s="331">
        <v>10</v>
      </c>
      <c r="I46" s="247">
        <v>0</v>
      </c>
      <c r="J46" s="191">
        <f t="shared" si="1"/>
        <v>20</v>
      </c>
    </row>
    <row r="47" spans="1:34" ht="15" customHeight="1" thickBot="1" x14ac:dyDescent="0.3">
      <c r="A47" s="186" t="s">
        <v>72</v>
      </c>
      <c r="B47" s="104">
        <v>0</v>
      </c>
      <c r="C47" s="47">
        <v>0</v>
      </c>
      <c r="D47" s="245">
        <v>0</v>
      </c>
      <c r="E47" s="195">
        <f t="shared" si="0"/>
        <v>0</v>
      </c>
      <c r="F47" s="188" t="s">
        <v>72</v>
      </c>
      <c r="G47" s="208">
        <v>0</v>
      </c>
      <c r="H47" s="331">
        <v>0</v>
      </c>
      <c r="I47" s="247">
        <v>0</v>
      </c>
      <c r="J47" s="191">
        <f t="shared" si="1"/>
        <v>0</v>
      </c>
    </row>
    <row r="48" spans="1:34" ht="15" customHeight="1" thickBot="1" x14ac:dyDescent="0.3">
      <c r="A48" s="186" t="s">
        <v>248</v>
      </c>
      <c r="B48" s="104">
        <v>0</v>
      </c>
      <c r="C48" s="47">
        <v>1</v>
      </c>
      <c r="D48" s="245">
        <v>0</v>
      </c>
      <c r="E48" s="195">
        <f t="shared" si="0"/>
        <v>1</v>
      </c>
      <c r="F48" s="188" t="s">
        <v>248</v>
      </c>
      <c r="G48" s="208">
        <v>0</v>
      </c>
      <c r="H48" s="331">
        <v>5</v>
      </c>
      <c r="I48" s="247">
        <v>0</v>
      </c>
      <c r="J48" s="191">
        <f t="shared" si="1"/>
        <v>5</v>
      </c>
    </row>
    <row r="49" spans="1:10" ht="15" customHeight="1" thickBot="1" x14ac:dyDescent="0.3">
      <c r="A49" s="186" t="s">
        <v>250</v>
      </c>
      <c r="B49" s="104">
        <v>0</v>
      </c>
      <c r="C49" s="47">
        <v>0</v>
      </c>
      <c r="D49" s="245">
        <v>0</v>
      </c>
      <c r="E49" s="195">
        <f t="shared" si="0"/>
        <v>0</v>
      </c>
      <c r="F49" s="188" t="s">
        <v>250</v>
      </c>
      <c r="G49" s="208">
        <v>0</v>
      </c>
      <c r="H49" s="331">
        <v>0</v>
      </c>
      <c r="I49" s="247">
        <v>0</v>
      </c>
      <c r="J49" s="191">
        <f t="shared" si="1"/>
        <v>0</v>
      </c>
    </row>
    <row r="50" spans="1:10" ht="15" customHeight="1" thickBot="1" x14ac:dyDescent="0.3">
      <c r="A50" s="186" t="s">
        <v>5</v>
      </c>
      <c r="B50" s="104">
        <v>2</v>
      </c>
      <c r="C50" s="47">
        <v>0</v>
      </c>
      <c r="D50" s="245">
        <v>0</v>
      </c>
      <c r="E50" s="195">
        <f>SUM(B50:D50)</f>
        <v>2</v>
      </c>
      <c r="F50" s="188" t="s">
        <v>5</v>
      </c>
      <c r="G50" s="208">
        <v>10</v>
      </c>
      <c r="H50" s="331">
        <v>0</v>
      </c>
      <c r="I50" s="247">
        <v>0</v>
      </c>
      <c r="J50" s="191">
        <f t="shared" si="1"/>
        <v>10</v>
      </c>
    </row>
    <row r="51" spans="1:10" ht="15.75" thickBot="1" x14ac:dyDescent="0.3">
      <c r="A51" s="186" t="s">
        <v>3</v>
      </c>
      <c r="B51" s="104">
        <f>SUM(B3:B50)</f>
        <v>52</v>
      </c>
      <c r="C51" s="47">
        <f>SUM(C3:C50)</f>
        <v>21</v>
      </c>
      <c r="D51" s="245">
        <f>SUM(D3:D50)</f>
        <v>15</v>
      </c>
      <c r="E51" s="195">
        <f>SUM(B51:D51)</f>
        <v>88</v>
      </c>
      <c r="F51" s="188" t="s">
        <v>3</v>
      </c>
      <c r="G51" s="208">
        <f>SUM(G3:G50)</f>
        <v>438</v>
      </c>
      <c r="H51" s="331">
        <f>SUM(H3:H50)</f>
        <v>181</v>
      </c>
      <c r="I51" s="247">
        <f>SUM(I3:I50)</f>
        <v>109</v>
      </c>
      <c r="J51" s="191">
        <f>SUM(G51:I51)</f>
        <v>728</v>
      </c>
    </row>
    <row r="52" spans="1:10" ht="15.75" thickBot="1" x14ac:dyDescent="0.3">
      <c r="A52" s="96" t="s">
        <v>39</v>
      </c>
      <c r="B52" s="199"/>
      <c r="E52" s="280"/>
      <c r="G52" s="199"/>
    </row>
    <row r="53" spans="1:10" ht="15.75" thickBot="1" x14ac:dyDescent="0.3">
      <c r="A53" s="185" t="s">
        <v>0</v>
      </c>
      <c r="B53" s="169" t="s">
        <v>305</v>
      </c>
      <c r="C53" s="153" t="s">
        <v>99</v>
      </c>
      <c r="D53" s="244" t="s">
        <v>306</v>
      </c>
      <c r="E53" s="194" t="s">
        <v>1</v>
      </c>
      <c r="F53" s="187" t="s">
        <v>2</v>
      </c>
      <c r="G53" s="212" t="s">
        <v>305</v>
      </c>
      <c r="H53" s="330" t="s">
        <v>99</v>
      </c>
      <c r="I53" s="246" t="s">
        <v>306</v>
      </c>
      <c r="J53" s="190" t="s">
        <v>1</v>
      </c>
    </row>
    <row r="54" spans="1:10" ht="15.75" thickBot="1" x14ac:dyDescent="0.3">
      <c r="A54" s="186" t="s">
        <v>247</v>
      </c>
      <c r="B54" s="104">
        <v>5</v>
      </c>
      <c r="C54" s="47">
        <v>2</v>
      </c>
      <c r="D54" s="245">
        <v>0</v>
      </c>
      <c r="E54" s="195">
        <f t="shared" ref="E54:E85" si="18">SUM(B54:D54)</f>
        <v>7</v>
      </c>
      <c r="F54" s="188" t="s">
        <v>274</v>
      </c>
      <c r="G54" s="208">
        <v>104</v>
      </c>
      <c r="H54" s="331">
        <v>8</v>
      </c>
      <c r="I54" s="247">
        <v>30</v>
      </c>
      <c r="J54" s="191">
        <f t="shared" ref="J54:J85" si="19">SUM(G54:I54)</f>
        <v>142</v>
      </c>
    </row>
    <row r="55" spans="1:10" ht="15.75" thickBot="1" x14ac:dyDescent="0.3">
      <c r="A55" s="186" t="s">
        <v>246</v>
      </c>
      <c r="B55" s="104">
        <v>4</v>
      </c>
      <c r="C55" s="47">
        <v>0</v>
      </c>
      <c r="D55" s="245">
        <v>3</v>
      </c>
      <c r="E55" s="195">
        <f t="shared" si="18"/>
        <v>7</v>
      </c>
      <c r="F55" s="188" t="s">
        <v>428</v>
      </c>
      <c r="G55" s="208">
        <v>54</v>
      </c>
      <c r="H55" s="331">
        <v>73</v>
      </c>
      <c r="I55" s="247">
        <v>0</v>
      </c>
      <c r="J55" s="191">
        <f t="shared" si="19"/>
        <v>127</v>
      </c>
    </row>
    <row r="56" spans="1:10" ht="15.75" thickBot="1" x14ac:dyDescent="0.3">
      <c r="A56" s="186" t="s">
        <v>77</v>
      </c>
      <c r="B56" s="104">
        <v>3</v>
      </c>
      <c r="C56" s="47">
        <v>2</v>
      </c>
      <c r="D56" s="245">
        <v>1</v>
      </c>
      <c r="E56" s="195">
        <f t="shared" si="18"/>
        <v>6</v>
      </c>
      <c r="F56" s="188" t="s">
        <v>247</v>
      </c>
      <c r="G56" s="208">
        <v>25</v>
      </c>
      <c r="H56" s="331">
        <v>10</v>
      </c>
      <c r="I56" s="247">
        <v>0</v>
      </c>
      <c r="J56" s="191">
        <f t="shared" si="19"/>
        <v>35</v>
      </c>
    </row>
    <row r="57" spans="1:10" ht="15.75" thickBot="1" x14ac:dyDescent="0.3">
      <c r="A57" s="186" t="s">
        <v>864</v>
      </c>
      <c r="B57" s="104">
        <v>2</v>
      </c>
      <c r="C57" s="47">
        <v>2</v>
      </c>
      <c r="D57" s="245">
        <v>2</v>
      </c>
      <c r="E57" s="195">
        <f t="shared" si="18"/>
        <v>6</v>
      </c>
      <c r="F57" s="189" t="s">
        <v>246</v>
      </c>
      <c r="G57" s="208">
        <v>20</v>
      </c>
      <c r="H57" s="331">
        <v>0</v>
      </c>
      <c r="I57" s="247">
        <v>15</v>
      </c>
      <c r="J57" s="191">
        <f t="shared" si="19"/>
        <v>35</v>
      </c>
    </row>
    <row r="58" spans="1:10" ht="15.75" thickBot="1" x14ac:dyDescent="0.3">
      <c r="A58" s="186" t="s">
        <v>64</v>
      </c>
      <c r="B58" s="104">
        <v>3</v>
      </c>
      <c r="C58" s="47">
        <v>2</v>
      </c>
      <c r="D58" s="245">
        <v>1</v>
      </c>
      <c r="E58" s="195">
        <f t="shared" si="18"/>
        <v>6</v>
      </c>
      <c r="F58" s="189" t="s">
        <v>77</v>
      </c>
      <c r="G58" s="208">
        <v>15</v>
      </c>
      <c r="H58" s="331">
        <v>10</v>
      </c>
      <c r="I58" s="247">
        <v>5</v>
      </c>
      <c r="J58" s="191">
        <f t="shared" si="19"/>
        <v>30</v>
      </c>
    </row>
    <row r="59" spans="1:10" ht="15.75" thickBot="1" x14ac:dyDescent="0.3">
      <c r="A59" s="186" t="s">
        <v>429</v>
      </c>
      <c r="B59" s="104">
        <v>4</v>
      </c>
      <c r="C59" s="47">
        <v>0</v>
      </c>
      <c r="D59" s="245">
        <v>1</v>
      </c>
      <c r="E59" s="195">
        <f t="shared" si="18"/>
        <v>5</v>
      </c>
      <c r="F59" s="189" t="s">
        <v>864</v>
      </c>
      <c r="G59" s="208">
        <v>10</v>
      </c>
      <c r="H59" s="331">
        <v>10</v>
      </c>
      <c r="I59" s="247">
        <v>10</v>
      </c>
      <c r="J59" s="191">
        <f t="shared" si="19"/>
        <v>30</v>
      </c>
    </row>
    <row r="60" spans="1:10" ht="15.75" thickBot="1" x14ac:dyDescent="0.3">
      <c r="A60" s="186" t="s">
        <v>200</v>
      </c>
      <c r="B60" s="104">
        <v>3</v>
      </c>
      <c r="C60" s="47">
        <v>1</v>
      </c>
      <c r="D60" s="245">
        <v>1</v>
      </c>
      <c r="E60" s="195">
        <f t="shared" si="18"/>
        <v>5</v>
      </c>
      <c r="F60" s="189" t="s">
        <v>64</v>
      </c>
      <c r="G60" s="208">
        <v>15</v>
      </c>
      <c r="H60" s="331">
        <v>10</v>
      </c>
      <c r="I60" s="247">
        <v>5</v>
      </c>
      <c r="J60" s="191">
        <f t="shared" si="19"/>
        <v>30</v>
      </c>
    </row>
    <row r="61" spans="1:10" ht="15.75" thickBot="1" x14ac:dyDescent="0.3">
      <c r="A61" s="186" t="s">
        <v>89</v>
      </c>
      <c r="B61" s="104">
        <v>3</v>
      </c>
      <c r="C61" s="47">
        <v>1</v>
      </c>
      <c r="D61" s="245">
        <v>0</v>
      </c>
      <c r="E61" s="195">
        <f t="shared" si="18"/>
        <v>4</v>
      </c>
      <c r="F61" s="189" t="s">
        <v>6</v>
      </c>
      <c r="G61" s="208">
        <v>21</v>
      </c>
      <c r="H61" s="331">
        <v>0</v>
      </c>
      <c r="I61" s="247">
        <v>7</v>
      </c>
      <c r="J61" s="191">
        <f t="shared" si="19"/>
        <v>28</v>
      </c>
    </row>
    <row r="62" spans="1:10" ht="15.75" thickBot="1" x14ac:dyDescent="0.3">
      <c r="A62" s="186" t="s">
        <v>160</v>
      </c>
      <c r="B62" s="104">
        <v>3</v>
      </c>
      <c r="C62" s="47">
        <v>1</v>
      </c>
      <c r="D62" s="245">
        <v>0</v>
      </c>
      <c r="E62" s="195">
        <f t="shared" si="18"/>
        <v>4</v>
      </c>
      <c r="F62" s="189" t="s">
        <v>429</v>
      </c>
      <c r="G62" s="208">
        <v>20</v>
      </c>
      <c r="H62" s="331">
        <v>0</v>
      </c>
      <c r="I62" s="247">
        <v>5</v>
      </c>
      <c r="J62" s="191">
        <f t="shared" si="19"/>
        <v>25</v>
      </c>
    </row>
    <row r="63" spans="1:10" ht="15.75" thickBot="1" x14ac:dyDescent="0.3">
      <c r="A63" s="186" t="s">
        <v>6</v>
      </c>
      <c r="B63" s="104">
        <v>3</v>
      </c>
      <c r="C63" s="47">
        <v>0</v>
      </c>
      <c r="D63" s="245">
        <v>1</v>
      </c>
      <c r="E63" s="195">
        <f t="shared" si="18"/>
        <v>4</v>
      </c>
      <c r="F63" s="189" t="s">
        <v>200</v>
      </c>
      <c r="G63" s="208">
        <v>15</v>
      </c>
      <c r="H63" s="331">
        <v>5</v>
      </c>
      <c r="I63" s="247">
        <v>5</v>
      </c>
      <c r="J63" s="191">
        <f t="shared" si="19"/>
        <v>25</v>
      </c>
    </row>
    <row r="64" spans="1:10" ht="15.75" thickBot="1" x14ac:dyDescent="0.3">
      <c r="A64" s="186" t="s">
        <v>134</v>
      </c>
      <c r="B64" s="104">
        <v>2</v>
      </c>
      <c r="C64" s="47">
        <v>2</v>
      </c>
      <c r="D64" s="245">
        <v>0</v>
      </c>
      <c r="E64" s="195">
        <f t="shared" si="18"/>
        <v>4</v>
      </c>
      <c r="F64" s="189" t="s">
        <v>178</v>
      </c>
      <c r="G64" s="208">
        <v>19</v>
      </c>
      <c r="H64" s="331">
        <v>5</v>
      </c>
      <c r="I64" s="247">
        <v>0</v>
      </c>
      <c r="J64" s="191">
        <f t="shared" si="19"/>
        <v>24</v>
      </c>
    </row>
    <row r="65" spans="1:10" ht="15.75" thickBot="1" x14ac:dyDescent="0.3">
      <c r="A65" s="186" t="s">
        <v>273</v>
      </c>
      <c r="B65" s="104">
        <v>2</v>
      </c>
      <c r="C65" s="47">
        <v>1</v>
      </c>
      <c r="D65" s="245">
        <v>0</v>
      </c>
      <c r="E65" s="195">
        <f t="shared" si="18"/>
        <v>3</v>
      </c>
      <c r="F65" s="189" t="s">
        <v>89</v>
      </c>
      <c r="G65" s="208">
        <v>15</v>
      </c>
      <c r="H65" s="331">
        <v>5</v>
      </c>
      <c r="I65" s="247">
        <v>0</v>
      </c>
      <c r="J65" s="191">
        <f t="shared" si="19"/>
        <v>20</v>
      </c>
    </row>
    <row r="66" spans="1:10" ht="15.75" thickBot="1" x14ac:dyDescent="0.3">
      <c r="A66" s="186" t="s">
        <v>178</v>
      </c>
      <c r="B66" s="104">
        <v>2</v>
      </c>
      <c r="C66" s="47">
        <v>1</v>
      </c>
      <c r="D66" s="245">
        <v>0</v>
      </c>
      <c r="E66" s="195">
        <f t="shared" si="18"/>
        <v>3</v>
      </c>
      <c r="F66" s="188" t="s">
        <v>160</v>
      </c>
      <c r="G66" s="208">
        <v>15</v>
      </c>
      <c r="H66" s="331">
        <v>5</v>
      </c>
      <c r="I66" s="247">
        <v>0</v>
      </c>
      <c r="J66" s="191">
        <f t="shared" si="19"/>
        <v>20</v>
      </c>
    </row>
    <row r="67" spans="1:10" ht="15.75" thickBot="1" x14ac:dyDescent="0.3">
      <c r="A67" s="186" t="s">
        <v>866</v>
      </c>
      <c r="B67" s="104">
        <v>1</v>
      </c>
      <c r="C67" s="47">
        <v>2</v>
      </c>
      <c r="D67" s="245">
        <v>0</v>
      </c>
      <c r="E67" s="195">
        <f t="shared" si="18"/>
        <v>3</v>
      </c>
      <c r="F67" s="188" t="s">
        <v>134</v>
      </c>
      <c r="G67" s="208">
        <v>10</v>
      </c>
      <c r="H67" s="331">
        <v>10</v>
      </c>
      <c r="I67" s="247">
        <v>0</v>
      </c>
      <c r="J67" s="191">
        <f t="shared" si="19"/>
        <v>20</v>
      </c>
    </row>
    <row r="68" spans="1:10" ht="15.75" thickBot="1" x14ac:dyDescent="0.3">
      <c r="A68" s="186" t="s">
        <v>152</v>
      </c>
      <c r="B68" s="104">
        <v>0</v>
      </c>
      <c r="C68" s="47">
        <v>1</v>
      </c>
      <c r="D68" s="245">
        <v>2</v>
      </c>
      <c r="E68" s="195">
        <f t="shared" si="18"/>
        <v>3</v>
      </c>
      <c r="F68" s="188" t="s">
        <v>273</v>
      </c>
      <c r="G68" s="208">
        <v>10</v>
      </c>
      <c r="H68" s="331">
        <v>5</v>
      </c>
      <c r="I68" s="247">
        <v>0</v>
      </c>
      <c r="J68" s="191">
        <f t="shared" si="19"/>
        <v>15</v>
      </c>
    </row>
    <row r="69" spans="1:10" ht="15.75" thickBot="1" x14ac:dyDescent="0.3">
      <c r="A69" s="186" t="s">
        <v>158</v>
      </c>
      <c r="B69" s="104">
        <v>0</v>
      </c>
      <c r="C69" s="47">
        <v>1</v>
      </c>
      <c r="D69" s="245">
        <v>1</v>
      </c>
      <c r="E69" s="195">
        <f t="shared" si="18"/>
        <v>2</v>
      </c>
      <c r="F69" s="188" t="s">
        <v>866</v>
      </c>
      <c r="G69" s="208">
        <v>5</v>
      </c>
      <c r="H69" s="331">
        <v>10</v>
      </c>
      <c r="I69" s="247">
        <v>0</v>
      </c>
      <c r="J69" s="191">
        <f t="shared" si="19"/>
        <v>15</v>
      </c>
    </row>
    <row r="70" spans="1:10" ht="15.75" thickBot="1" x14ac:dyDescent="0.3">
      <c r="A70" s="186" t="s">
        <v>277</v>
      </c>
      <c r="B70" s="104">
        <v>2</v>
      </c>
      <c r="C70" s="47">
        <v>0</v>
      </c>
      <c r="D70" s="245">
        <v>0</v>
      </c>
      <c r="E70" s="195">
        <f t="shared" si="18"/>
        <v>2</v>
      </c>
      <c r="F70" s="188" t="s">
        <v>152</v>
      </c>
      <c r="G70" s="208">
        <v>0</v>
      </c>
      <c r="H70" s="331">
        <v>5</v>
      </c>
      <c r="I70" s="247">
        <v>10</v>
      </c>
      <c r="J70" s="191">
        <f t="shared" si="19"/>
        <v>15</v>
      </c>
    </row>
    <row r="71" spans="1:10" ht="15.75" thickBot="1" x14ac:dyDescent="0.3">
      <c r="A71" s="186" t="s">
        <v>1061</v>
      </c>
      <c r="B71" s="104">
        <v>2</v>
      </c>
      <c r="C71" s="47">
        <v>0</v>
      </c>
      <c r="D71" s="245">
        <v>0</v>
      </c>
      <c r="E71" s="195">
        <f t="shared" si="18"/>
        <v>2</v>
      </c>
      <c r="F71" s="188" t="s">
        <v>158</v>
      </c>
      <c r="G71" s="208">
        <v>0</v>
      </c>
      <c r="H71" s="331">
        <v>5</v>
      </c>
      <c r="I71" s="247">
        <v>5</v>
      </c>
      <c r="J71" s="191">
        <f t="shared" si="19"/>
        <v>10</v>
      </c>
    </row>
    <row r="72" spans="1:10" ht="15.75" thickBot="1" x14ac:dyDescent="0.3">
      <c r="A72" s="186" t="s">
        <v>5</v>
      </c>
      <c r="B72" s="104">
        <v>2</v>
      </c>
      <c r="C72" s="47">
        <v>0</v>
      </c>
      <c r="D72" s="245">
        <v>0</v>
      </c>
      <c r="E72" s="195">
        <f t="shared" si="18"/>
        <v>2</v>
      </c>
      <c r="F72" s="188" t="s">
        <v>105</v>
      </c>
      <c r="G72" s="208">
        <v>10</v>
      </c>
      <c r="H72" s="331">
        <v>0</v>
      </c>
      <c r="I72" s="247">
        <v>0</v>
      </c>
      <c r="J72" s="191">
        <f t="shared" si="19"/>
        <v>10</v>
      </c>
    </row>
    <row r="73" spans="1:10" ht="15.75" thickBot="1" x14ac:dyDescent="0.3">
      <c r="A73" s="186" t="s">
        <v>428</v>
      </c>
      <c r="B73" s="104">
        <v>0</v>
      </c>
      <c r="C73" s="47">
        <v>1</v>
      </c>
      <c r="D73" s="245">
        <v>0</v>
      </c>
      <c r="E73" s="195">
        <f t="shared" si="18"/>
        <v>1</v>
      </c>
      <c r="F73" s="188" t="s">
        <v>277</v>
      </c>
      <c r="G73" s="208">
        <v>10</v>
      </c>
      <c r="H73" s="331">
        <v>0</v>
      </c>
      <c r="I73" s="247">
        <v>0</v>
      </c>
      <c r="J73" s="191">
        <f t="shared" si="19"/>
        <v>10</v>
      </c>
    </row>
    <row r="74" spans="1:10" ht="15.75" thickBot="1" x14ac:dyDescent="0.3">
      <c r="A74" s="186" t="s">
        <v>883</v>
      </c>
      <c r="B74" s="104">
        <v>0</v>
      </c>
      <c r="C74" s="47">
        <v>0</v>
      </c>
      <c r="D74" s="245">
        <v>1</v>
      </c>
      <c r="E74" s="195">
        <f t="shared" si="18"/>
        <v>1</v>
      </c>
      <c r="F74" s="188" t="s">
        <v>1061</v>
      </c>
      <c r="G74" s="208">
        <v>10</v>
      </c>
      <c r="H74" s="331">
        <v>0</v>
      </c>
      <c r="I74" s="247">
        <v>0</v>
      </c>
      <c r="J74" s="192">
        <f t="shared" si="19"/>
        <v>10</v>
      </c>
    </row>
    <row r="75" spans="1:10" ht="15.75" thickBot="1" x14ac:dyDescent="0.3">
      <c r="A75" s="186" t="s">
        <v>244</v>
      </c>
      <c r="B75" s="104">
        <v>0</v>
      </c>
      <c r="C75" s="47">
        <v>0</v>
      </c>
      <c r="D75" s="245">
        <v>1</v>
      </c>
      <c r="E75" s="195">
        <f t="shared" si="18"/>
        <v>1</v>
      </c>
      <c r="F75" s="188" t="s">
        <v>5</v>
      </c>
      <c r="G75" s="208">
        <v>10</v>
      </c>
      <c r="H75" s="331">
        <v>0</v>
      </c>
      <c r="I75" s="247">
        <v>0</v>
      </c>
      <c r="J75" s="193">
        <f t="shared" si="19"/>
        <v>10</v>
      </c>
    </row>
    <row r="76" spans="1:10" ht="15.75" thickBot="1" x14ac:dyDescent="0.3">
      <c r="A76" s="186" t="s">
        <v>1201</v>
      </c>
      <c r="B76" s="104">
        <v>1</v>
      </c>
      <c r="C76" s="47">
        <v>0</v>
      </c>
      <c r="D76" s="245">
        <v>0</v>
      </c>
      <c r="E76" s="195">
        <f t="shared" si="18"/>
        <v>1</v>
      </c>
      <c r="F76" s="188" t="s">
        <v>883</v>
      </c>
      <c r="G76" s="208">
        <v>0</v>
      </c>
      <c r="H76" s="331">
        <v>0</v>
      </c>
      <c r="I76" s="247">
        <v>5</v>
      </c>
      <c r="J76" s="191">
        <f t="shared" si="19"/>
        <v>5</v>
      </c>
    </row>
    <row r="77" spans="1:10" ht="15.75" thickBot="1" x14ac:dyDescent="0.3">
      <c r="A77" s="186" t="s">
        <v>274</v>
      </c>
      <c r="B77" s="104">
        <v>1</v>
      </c>
      <c r="C77" s="47">
        <v>0</v>
      </c>
      <c r="D77" s="245">
        <v>0</v>
      </c>
      <c r="E77" s="195">
        <f t="shared" si="18"/>
        <v>1</v>
      </c>
      <c r="F77" s="188" t="s">
        <v>244</v>
      </c>
      <c r="G77" s="208">
        <v>0</v>
      </c>
      <c r="H77" s="331">
        <v>0</v>
      </c>
      <c r="I77" s="247">
        <v>5</v>
      </c>
      <c r="J77" s="191">
        <f t="shared" si="19"/>
        <v>5</v>
      </c>
    </row>
    <row r="78" spans="1:10" ht="15.75" thickBot="1" x14ac:dyDescent="0.3">
      <c r="A78" s="186" t="s">
        <v>96</v>
      </c>
      <c r="B78" s="104">
        <v>1</v>
      </c>
      <c r="C78" s="47">
        <v>0</v>
      </c>
      <c r="D78" s="245">
        <v>0</v>
      </c>
      <c r="E78" s="195">
        <f t="shared" si="18"/>
        <v>1</v>
      </c>
      <c r="F78" s="188" t="s">
        <v>1201</v>
      </c>
      <c r="G78" s="208">
        <v>5</v>
      </c>
      <c r="H78" s="331">
        <v>0</v>
      </c>
      <c r="I78" s="247">
        <v>0</v>
      </c>
      <c r="J78" s="191">
        <f t="shared" si="19"/>
        <v>5</v>
      </c>
    </row>
    <row r="79" spans="1:10" ht="15.75" thickBot="1" x14ac:dyDescent="0.3">
      <c r="A79" s="186" t="s">
        <v>161</v>
      </c>
      <c r="B79" s="104">
        <v>1</v>
      </c>
      <c r="C79" s="47">
        <v>0</v>
      </c>
      <c r="D79" s="245">
        <v>0</v>
      </c>
      <c r="E79" s="195">
        <f t="shared" si="18"/>
        <v>1</v>
      </c>
      <c r="F79" s="188" t="s">
        <v>96</v>
      </c>
      <c r="G79" s="208">
        <v>5</v>
      </c>
      <c r="H79" s="331">
        <v>0</v>
      </c>
      <c r="I79" s="247">
        <v>0</v>
      </c>
      <c r="J79" s="191">
        <f t="shared" si="19"/>
        <v>5</v>
      </c>
    </row>
    <row r="80" spans="1:10" ht="15.75" thickBot="1" x14ac:dyDescent="0.3">
      <c r="A80" s="186" t="s">
        <v>832</v>
      </c>
      <c r="B80" s="104">
        <v>1</v>
      </c>
      <c r="C80" s="47">
        <v>0</v>
      </c>
      <c r="D80" s="245">
        <v>0</v>
      </c>
      <c r="E80" s="195">
        <f t="shared" si="18"/>
        <v>1</v>
      </c>
      <c r="F80" s="188" t="s">
        <v>161</v>
      </c>
      <c r="G80" s="208">
        <v>5</v>
      </c>
      <c r="H80" s="331">
        <v>0</v>
      </c>
      <c r="I80" s="247">
        <v>0</v>
      </c>
      <c r="J80" s="191">
        <f t="shared" si="19"/>
        <v>5</v>
      </c>
    </row>
    <row r="81" spans="1:10" ht="15.75" thickBot="1" x14ac:dyDescent="0.3">
      <c r="A81" s="186" t="s">
        <v>208</v>
      </c>
      <c r="B81" s="104">
        <v>1</v>
      </c>
      <c r="C81" s="47">
        <v>0</v>
      </c>
      <c r="D81" s="245">
        <v>0</v>
      </c>
      <c r="E81" s="195">
        <f t="shared" si="18"/>
        <v>1</v>
      </c>
      <c r="F81" s="188" t="s">
        <v>832</v>
      </c>
      <c r="G81" s="208">
        <v>5</v>
      </c>
      <c r="H81" s="331">
        <v>0</v>
      </c>
      <c r="I81" s="247">
        <v>0</v>
      </c>
      <c r="J81" s="191">
        <f t="shared" si="19"/>
        <v>5</v>
      </c>
    </row>
    <row r="82" spans="1:10" ht="15.75" thickBot="1" x14ac:dyDescent="0.3">
      <c r="A82" s="186" t="s">
        <v>248</v>
      </c>
      <c r="B82" s="104">
        <v>0</v>
      </c>
      <c r="C82" s="47">
        <v>1</v>
      </c>
      <c r="D82" s="245">
        <v>0</v>
      </c>
      <c r="E82" s="195">
        <f t="shared" si="18"/>
        <v>1</v>
      </c>
      <c r="F82" s="188" t="s">
        <v>208</v>
      </c>
      <c r="G82" s="208">
        <v>5</v>
      </c>
      <c r="H82" s="331">
        <v>0</v>
      </c>
      <c r="I82" s="247">
        <v>0</v>
      </c>
      <c r="J82" s="191">
        <f t="shared" si="19"/>
        <v>5</v>
      </c>
    </row>
    <row r="83" spans="1:10" ht="15.75" thickBot="1" x14ac:dyDescent="0.3">
      <c r="A83" s="186" t="s">
        <v>72</v>
      </c>
      <c r="B83" s="104">
        <v>0</v>
      </c>
      <c r="C83" s="47">
        <v>0</v>
      </c>
      <c r="D83" s="245">
        <v>0</v>
      </c>
      <c r="E83" s="195">
        <f t="shared" si="18"/>
        <v>0</v>
      </c>
      <c r="F83" s="188" t="s">
        <v>248</v>
      </c>
      <c r="G83" s="208">
        <v>0</v>
      </c>
      <c r="H83" s="331">
        <v>5</v>
      </c>
      <c r="I83" s="247">
        <v>0</v>
      </c>
      <c r="J83" s="191">
        <f t="shared" si="19"/>
        <v>5</v>
      </c>
    </row>
    <row r="84" spans="1:10" ht="15.75" thickBot="1" x14ac:dyDescent="0.3">
      <c r="A84" s="186" t="s">
        <v>72</v>
      </c>
      <c r="B84" s="104">
        <v>0</v>
      </c>
      <c r="C84" s="47">
        <v>0</v>
      </c>
      <c r="D84" s="245">
        <v>0</v>
      </c>
      <c r="E84" s="195">
        <f t="shared" si="18"/>
        <v>0</v>
      </c>
      <c r="F84" s="188" t="s">
        <v>118</v>
      </c>
      <c r="G84" s="208">
        <v>0</v>
      </c>
      <c r="H84" s="331">
        <v>0</v>
      </c>
      <c r="I84" s="247">
        <v>2</v>
      </c>
      <c r="J84" s="191">
        <f t="shared" si="19"/>
        <v>2</v>
      </c>
    </row>
    <row r="85" spans="1:10" ht="15.75" thickBot="1" x14ac:dyDescent="0.3">
      <c r="A85" s="186" t="s">
        <v>72</v>
      </c>
      <c r="B85" s="104">
        <v>0</v>
      </c>
      <c r="C85" s="47">
        <v>0</v>
      </c>
      <c r="D85" s="245">
        <v>0</v>
      </c>
      <c r="E85" s="195">
        <f t="shared" si="18"/>
        <v>0</v>
      </c>
      <c r="F85" s="188" t="s">
        <v>72</v>
      </c>
      <c r="G85" s="208">
        <v>0</v>
      </c>
      <c r="H85" s="331">
        <v>0</v>
      </c>
      <c r="I85" s="247">
        <v>0</v>
      </c>
      <c r="J85" s="191">
        <f t="shared" si="19"/>
        <v>0</v>
      </c>
    </row>
    <row r="86" spans="1:10" ht="15.75" thickBot="1" x14ac:dyDescent="0.3">
      <c r="A86" s="186" t="s">
        <v>72</v>
      </c>
      <c r="B86" s="104">
        <v>0</v>
      </c>
      <c r="C86" s="47">
        <v>0</v>
      </c>
      <c r="D86" s="245">
        <v>0</v>
      </c>
      <c r="E86" s="195">
        <f t="shared" ref="E86:E102" si="20">SUM(B86:D86)</f>
        <v>0</v>
      </c>
      <c r="F86" s="188" t="s">
        <v>72</v>
      </c>
      <c r="G86" s="208">
        <v>0</v>
      </c>
      <c r="H86" s="331">
        <v>0</v>
      </c>
      <c r="I86" s="247">
        <v>0</v>
      </c>
      <c r="J86" s="191">
        <f t="shared" ref="J86:J102" si="21">SUM(G86:I86)</f>
        <v>0</v>
      </c>
    </row>
    <row r="87" spans="1:10" ht="15.75" thickBot="1" x14ac:dyDescent="0.3">
      <c r="A87" s="186" t="s">
        <v>72</v>
      </c>
      <c r="B87" s="104">
        <v>0</v>
      </c>
      <c r="C87" s="47">
        <v>0</v>
      </c>
      <c r="D87" s="245">
        <v>0</v>
      </c>
      <c r="E87" s="195">
        <f t="shared" si="20"/>
        <v>0</v>
      </c>
      <c r="F87" s="188" t="s">
        <v>72</v>
      </c>
      <c r="G87" s="208">
        <v>0</v>
      </c>
      <c r="H87" s="331">
        <v>0</v>
      </c>
      <c r="I87" s="247">
        <v>0</v>
      </c>
      <c r="J87" s="191">
        <f t="shared" si="21"/>
        <v>0</v>
      </c>
    </row>
    <row r="88" spans="1:10" ht="15.75" thickBot="1" x14ac:dyDescent="0.3">
      <c r="A88" s="186" t="s">
        <v>72</v>
      </c>
      <c r="B88" s="104">
        <v>0</v>
      </c>
      <c r="C88" s="47">
        <v>0</v>
      </c>
      <c r="D88" s="245">
        <v>0</v>
      </c>
      <c r="E88" s="195">
        <f t="shared" si="20"/>
        <v>0</v>
      </c>
      <c r="F88" s="188" t="s">
        <v>72</v>
      </c>
      <c r="G88" s="208">
        <v>0</v>
      </c>
      <c r="H88" s="331">
        <v>0</v>
      </c>
      <c r="I88" s="247">
        <v>0</v>
      </c>
      <c r="J88" s="191">
        <f t="shared" si="21"/>
        <v>0</v>
      </c>
    </row>
    <row r="89" spans="1:10" ht="15.75" thickBot="1" x14ac:dyDescent="0.3">
      <c r="A89" s="186" t="s">
        <v>72</v>
      </c>
      <c r="B89" s="104">
        <v>0</v>
      </c>
      <c r="C89" s="47">
        <v>0</v>
      </c>
      <c r="D89" s="245">
        <v>0</v>
      </c>
      <c r="E89" s="195">
        <f t="shared" si="20"/>
        <v>0</v>
      </c>
      <c r="F89" s="188" t="s">
        <v>72</v>
      </c>
      <c r="G89" s="208">
        <v>0</v>
      </c>
      <c r="H89" s="331">
        <v>0</v>
      </c>
      <c r="I89" s="247">
        <v>0</v>
      </c>
      <c r="J89" s="191">
        <f t="shared" si="21"/>
        <v>0</v>
      </c>
    </row>
    <row r="90" spans="1:10" ht="15.75" thickBot="1" x14ac:dyDescent="0.3">
      <c r="A90" s="186" t="s">
        <v>245</v>
      </c>
      <c r="B90" s="104">
        <v>0</v>
      </c>
      <c r="C90" s="47">
        <v>0</v>
      </c>
      <c r="D90" s="245">
        <v>0</v>
      </c>
      <c r="E90" s="195">
        <f t="shared" si="20"/>
        <v>0</v>
      </c>
      <c r="F90" s="188" t="s">
        <v>72</v>
      </c>
      <c r="G90" s="208">
        <v>0</v>
      </c>
      <c r="H90" s="331">
        <v>0</v>
      </c>
      <c r="I90" s="247">
        <v>0</v>
      </c>
      <c r="J90" s="191">
        <f t="shared" si="21"/>
        <v>0</v>
      </c>
    </row>
    <row r="91" spans="1:10" ht="15.75" thickBot="1" x14ac:dyDescent="0.3">
      <c r="A91" s="186" t="s">
        <v>1060</v>
      </c>
      <c r="B91" s="104">
        <v>0</v>
      </c>
      <c r="C91" s="47">
        <v>0</v>
      </c>
      <c r="D91" s="245">
        <v>0</v>
      </c>
      <c r="E91" s="195">
        <f t="shared" si="20"/>
        <v>0</v>
      </c>
      <c r="F91" s="188" t="s">
        <v>72</v>
      </c>
      <c r="G91" s="208">
        <v>0</v>
      </c>
      <c r="H91" s="331">
        <v>0</v>
      </c>
      <c r="I91" s="247">
        <v>0</v>
      </c>
      <c r="J91" s="191">
        <f t="shared" si="21"/>
        <v>0</v>
      </c>
    </row>
    <row r="92" spans="1:10" ht="15.75" thickBot="1" x14ac:dyDescent="0.3">
      <c r="A92" s="186" t="s">
        <v>159</v>
      </c>
      <c r="B92" s="104">
        <v>0</v>
      </c>
      <c r="C92" s="47">
        <v>0</v>
      </c>
      <c r="D92" s="245">
        <v>0</v>
      </c>
      <c r="E92" s="195">
        <f t="shared" si="20"/>
        <v>0</v>
      </c>
      <c r="F92" s="188" t="s">
        <v>430</v>
      </c>
      <c r="G92" s="208">
        <v>0</v>
      </c>
      <c r="H92" s="331">
        <v>0</v>
      </c>
      <c r="I92" s="247">
        <v>0</v>
      </c>
      <c r="J92" s="191">
        <f t="shared" si="21"/>
        <v>0</v>
      </c>
    </row>
    <row r="93" spans="1:10" ht="15.75" thickBot="1" x14ac:dyDescent="0.3">
      <c r="A93" s="186" t="s">
        <v>72</v>
      </c>
      <c r="B93" s="104">
        <v>0</v>
      </c>
      <c r="C93" s="47">
        <v>0</v>
      </c>
      <c r="D93" s="245">
        <v>0</v>
      </c>
      <c r="E93" s="195">
        <f t="shared" si="20"/>
        <v>0</v>
      </c>
      <c r="F93" s="188" t="s">
        <v>159</v>
      </c>
      <c r="G93" s="208">
        <v>0</v>
      </c>
      <c r="H93" s="331">
        <v>0</v>
      </c>
      <c r="I93" s="247">
        <v>0</v>
      </c>
      <c r="J93" s="191">
        <f t="shared" si="21"/>
        <v>0</v>
      </c>
    </row>
    <row r="94" spans="1:10" ht="15.75" thickBot="1" x14ac:dyDescent="0.3">
      <c r="A94" s="186" t="s">
        <v>126</v>
      </c>
      <c r="B94" s="104">
        <v>0</v>
      </c>
      <c r="C94" s="47">
        <v>0</v>
      </c>
      <c r="D94" s="245">
        <v>0</v>
      </c>
      <c r="E94" s="195">
        <f t="shared" si="20"/>
        <v>0</v>
      </c>
      <c r="F94" s="188" t="s">
        <v>72</v>
      </c>
      <c r="G94" s="208">
        <v>0</v>
      </c>
      <c r="H94" s="331">
        <v>0</v>
      </c>
      <c r="I94" s="247">
        <v>0</v>
      </c>
      <c r="J94" s="191">
        <f t="shared" si="21"/>
        <v>0</v>
      </c>
    </row>
    <row r="95" spans="1:10" ht="15.75" thickBot="1" x14ac:dyDescent="0.3">
      <c r="A95" s="186" t="s">
        <v>150</v>
      </c>
      <c r="B95" s="104">
        <v>0</v>
      </c>
      <c r="C95" s="47">
        <v>0</v>
      </c>
      <c r="D95" s="245">
        <v>0</v>
      </c>
      <c r="E95" s="195">
        <f t="shared" si="20"/>
        <v>0</v>
      </c>
      <c r="F95" s="188" t="s">
        <v>126</v>
      </c>
      <c r="G95" s="208">
        <v>0</v>
      </c>
      <c r="H95" s="331">
        <v>0</v>
      </c>
      <c r="I95" s="247">
        <v>0</v>
      </c>
      <c r="J95" s="191">
        <f t="shared" si="21"/>
        <v>0</v>
      </c>
    </row>
    <row r="96" spans="1:10" ht="15.75" thickBot="1" x14ac:dyDescent="0.3">
      <c r="A96" s="186" t="s">
        <v>118</v>
      </c>
      <c r="B96" s="104">
        <v>0</v>
      </c>
      <c r="C96" s="47">
        <v>0</v>
      </c>
      <c r="D96" s="245">
        <v>0</v>
      </c>
      <c r="E96" s="195">
        <f t="shared" si="20"/>
        <v>0</v>
      </c>
      <c r="F96" s="188" t="s">
        <v>150</v>
      </c>
      <c r="G96" s="208">
        <v>0</v>
      </c>
      <c r="H96" s="331">
        <v>0</v>
      </c>
      <c r="I96" s="247">
        <v>0</v>
      </c>
      <c r="J96" s="191">
        <f t="shared" si="21"/>
        <v>0</v>
      </c>
    </row>
    <row r="97" spans="1:10" ht="15.75" thickBot="1" x14ac:dyDescent="0.3">
      <c r="A97" s="186" t="s">
        <v>146</v>
      </c>
      <c r="B97" s="104">
        <v>0</v>
      </c>
      <c r="C97" s="47">
        <v>0</v>
      </c>
      <c r="D97" s="245">
        <v>0</v>
      </c>
      <c r="E97" s="195">
        <f t="shared" si="20"/>
        <v>0</v>
      </c>
      <c r="F97" s="188" t="s">
        <v>146</v>
      </c>
      <c r="G97" s="208">
        <v>0</v>
      </c>
      <c r="H97" s="331">
        <v>0</v>
      </c>
      <c r="I97" s="247">
        <v>0</v>
      </c>
      <c r="J97" s="191">
        <f t="shared" si="21"/>
        <v>0</v>
      </c>
    </row>
    <row r="98" spans="1:10" ht="15.75" thickBot="1" x14ac:dyDescent="0.3">
      <c r="A98" s="186" t="s">
        <v>825</v>
      </c>
      <c r="B98" s="104">
        <v>0</v>
      </c>
      <c r="C98" s="47">
        <v>0</v>
      </c>
      <c r="D98" s="245">
        <v>0</v>
      </c>
      <c r="E98" s="195">
        <f t="shared" si="20"/>
        <v>0</v>
      </c>
      <c r="F98" s="188" t="s">
        <v>825</v>
      </c>
      <c r="G98" s="208">
        <v>0</v>
      </c>
      <c r="H98" s="331">
        <v>0</v>
      </c>
      <c r="I98" s="247">
        <v>0</v>
      </c>
      <c r="J98" s="191">
        <f t="shared" si="21"/>
        <v>0</v>
      </c>
    </row>
    <row r="99" spans="1:10" ht="15.75" thickBot="1" x14ac:dyDescent="0.3">
      <c r="A99" s="186" t="s">
        <v>72</v>
      </c>
      <c r="B99" s="104">
        <v>0</v>
      </c>
      <c r="C99" s="47">
        <v>0</v>
      </c>
      <c r="D99" s="245">
        <v>0</v>
      </c>
      <c r="E99" s="195">
        <f t="shared" si="20"/>
        <v>0</v>
      </c>
      <c r="F99" s="188" t="s">
        <v>72</v>
      </c>
      <c r="G99" s="208">
        <v>0</v>
      </c>
      <c r="H99" s="331">
        <v>0</v>
      </c>
      <c r="I99" s="247">
        <v>0</v>
      </c>
      <c r="J99" s="191">
        <f t="shared" si="21"/>
        <v>0</v>
      </c>
    </row>
    <row r="100" spans="1:10" ht="15.75" thickBot="1" x14ac:dyDescent="0.3">
      <c r="A100" s="186" t="s">
        <v>72</v>
      </c>
      <c r="B100" s="104">
        <v>0</v>
      </c>
      <c r="C100" s="47">
        <v>0</v>
      </c>
      <c r="D100" s="245">
        <v>0</v>
      </c>
      <c r="E100" s="195">
        <f t="shared" si="20"/>
        <v>0</v>
      </c>
      <c r="F100" s="188" t="s">
        <v>72</v>
      </c>
      <c r="G100" s="208">
        <v>0</v>
      </c>
      <c r="H100" s="331">
        <v>0</v>
      </c>
      <c r="I100" s="247">
        <v>0</v>
      </c>
      <c r="J100" s="191">
        <f t="shared" si="21"/>
        <v>0</v>
      </c>
    </row>
    <row r="101" spans="1:10" ht="15.75" thickBot="1" x14ac:dyDescent="0.3">
      <c r="A101" s="186" t="s">
        <v>250</v>
      </c>
      <c r="B101" s="104">
        <v>0</v>
      </c>
      <c r="C101" s="47">
        <v>0</v>
      </c>
      <c r="D101" s="245">
        <v>0</v>
      </c>
      <c r="E101" s="195">
        <f t="shared" si="20"/>
        <v>0</v>
      </c>
      <c r="F101" s="188" t="s">
        <v>250</v>
      </c>
      <c r="G101" s="208">
        <v>0</v>
      </c>
      <c r="H101" s="331">
        <v>0</v>
      </c>
      <c r="I101" s="247">
        <v>0</v>
      </c>
      <c r="J101" s="191">
        <f t="shared" si="21"/>
        <v>0</v>
      </c>
    </row>
    <row r="102" spans="1:10" ht="15.75" thickBot="1" x14ac:dyDescent="0.3">
      <c r="A102" s="186" t="s">
        <v>3</v>
      </c>
      <c r="B102" s="104">
        <f>SUM(B54:B101)</f>
        <v>52</v>
      </c>
      <c r="C102" s="47">
        <f>SUM(C54:C101)</f>
        <v>21</v>
      </c>
      <c r="D102" s="245">
        <f>SUM(D54:D101)</f>
        <v>15</v>
      </c>
      <c r="E102" s="195">
        <f t="shared" si="20"/>
        <v>88</v>
      </c>
      <c r="F102" s="188" t="s">
        <v>3</v>
      </c>
      <c r="G102" s="208">
        <f>SUM(G54:G101)</f>
        <v>438</v>
      </c>
      <c r="H102" s="331">
        <f>SUM(H54:H101)</f>
        <v>181</v>
      </c>
      <c r="I102" s="247">
        <f>SUM(I54:I101)</f>
        <v>109</v>
      </c>
      <c r="J102" s="191">
        <f t="shared" si="21"/>
        <v>728</v>
      </c>
    </row>
    <row r="103" spans="1:10" x14ac:dyDescent="0.25">
      <c r="A103" s="58" t="s">
        <v>130</v>
      </c>
    </row>
  </sheetData>
  <sortState xmlns:xlrd2="http://schemas.microsoft.com/office/spreadsheetml/2017/richdata2" ref="F54:J101">
    <sortCondition descending="1" ref="J54:J101"/>
  </sortState>
  <mergeCells count="29">
    <mergeCell ref="AF28:AH29"/>
    <mergeCell ref="A1:J1"/>
    <mergeCell ref="K22:K23"/>
    <mergeCell ref="L22:N23"/>
    <mergeCell ref="U12:W13"/>
    <mergeCell ref="W1:Y2"/>
    <mergeCell ref="R12:T13"/>
    <mergeCell ref="T1:V2"/>
    <mergeCell ref="O12:Q13"/>
    <mergeCell ref="O28:Q29"/>
    <mergeCell ref="AC1:AE2"/>
    <mergeCell ref="AC12:AE13"/>
    <mergeCell ref="AC28:AE29"/>
    <mergeCell ref="AO1:AQ2"/>
    <mergeCell ref="K28:K29"/>
    <mergeCell ref="L28:N29"/>
    <mergeCell ref="AL1:AN2"/>
    <mergeCell ref="R1:S2"/>
    <mergeCell ref="K12:K13"/>
    <mergeCell ref="K1:K2"/>
    <mergeCell ref="L1:N2"/>
    <mergeCell ref="O1:Q2"/>
    <mergeCell ref="AI1:AK2"/>
    <mergeCell ref="L12:N13"/>
    <mergeCell ref="AF1:AH2"/>
    <mergeCell ref="U28:W29"/>
    <mergeCell ref="AI12:AK13"/>
    <mergeCell ref="R28:T29"/>
    <mergeCell ref="AF12:A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06"/>
  <sheetViews>
    <sheetView topLeftCell="A13" workbookViewId="0">
      <selection activeCell="O60" sqref="O60"/>
    </sheetView>
  </sheetViews>
  <sheetFormatPr defaultColWidth="8.85546875" defaultRowHeight="15" x14ac:dyDescent="0.25"/>
  <cols>
    <col min="1" max="1" width="18.42578125" bestFit="1" customWidth="1"/>
    <col min="2" max="2" width="3.7109375" customWidth="1"/>
    <col min="3" max="3" width="4.140625" customWidth="1"/>
    <col min="4" max="5" width="4.7109375" customWidth="1"/>
    <col min="6" max="6" width="18.42578125" bestFit="1" customWidth="1"/>
    <col min="7" max="10" width="5.28515625" customWidth="1"/>
    <col min="11" max="11" width="12.85546875" bestFit="1" customWidth="1"/>
    <col min="12" max="40" width="5.7109375" customWidth="1"/>
    <col min="43" max="43" width="17.42578125" bestFit="1" customWidth="1"/>
  </cols>
  <sheetData>
    <row r="1" spans="1:46" ht="15" customHeight="1" thickBot="1" x14ac:dyDescent="0.3">
      <c r="A1" s="575" t="s">
        <v>911</v>
      </c>
      <c r="B1" s="576"/>
      <c r="C1" s="576"/>
      <c r="D1" s="576"/>
      <c r="E1" s="576"/>
      <c r="F1" s="576"/>
      <c r="G1" s="576"/>
      <c r="H1" s="576"/>
      <c r="I1" s="576"/>
      <c r="J1" s="577"/>
      <c r="K1" s="513" t="s">
        <v>1028</v>
      </c>
      <c r="L1" s="500" t="s">
        <v>42</v>
      </c>
      <c r="M1" s="501"/>
      <c r="N1" s="502"/>
      <c r="O1" s="500" t="s">
        <v>151</v>
      </c>
      <c r="P1" s="501"/>
      <c r="Q1" s="502"/>
      <c r="R1" s="500" t="s">
        <v>1027</v>
      </c>
      <c r="S1" s="502"/>
      <c r="T1" s="515" t="s">
        <v>100</v>
      </c>
      <c r="U1" s="516"/>
      <c r="V1" s="517"/>
      <c r="W1" s="515" t="s">
        <v>915</v>
      </c>
      <c r="X1" s="516"/>
      <c r="Y1" s="517"/>
      <c r="Z1" s="309"/>
      <c r="AA1" s="323"/>
      <c r="AB1" s="340"/>
      <c r="AC1" s="515" t="s">
        <v>303</v>
      </c>
      <c r="AD1" s="516"/>
      <c r="AE1" s="517"/>
      <c r="AF1" s="515" t="s">
        <v>205</v>
      </c>
      <c r="AG1" s="516"/>
      <c r="AH1" s="517"/>
      <c r="AI1" s="515" t="s">
        <v>186</v>
      </c>
      <c r="AJ1" s="516"/>
      <c r="AK1" s="517"/>
      <c r="AL1" s="515" t="s">
        <v>140</v>
      </c>
      <c r="AM1" s="516"/>
      <c r="AN1" s="517"/>
      <c r="AO1" s="5"/>
      <c r="AP1" s="5"/>
      <c r="AQ1" s="5"/>
      <c r="AT1" s="5"/>
    </row>
    <row r="2" spans="1:46" ht="15" customHeight="1" thickBot="1" x14ac:dyDescent="0.3">
      <c r="A2" s="156" t="s">
        <v>0</v>
      </c>
      <c r="B2" s="223" t="s">
        <v>305</v>
      </c>
      <c r="C2" s="326" t="s">
        <v>99</v>
      </c>
      <c r="D2" s="248" t="s">
        <v>306</v>
      </c>
      <c r="E2" s="157" t="s">
        <v>1</v>
      </c>
      <c r="F2" s="158" t="s">
        <v>2</v>
      </c>
      <c r="G2" s="225" t="s">
        <v>305</v>
      </c>
      <c r="H2" s="328" t="s">
        <v>99</v>
      </c>
      <c r="I2" s="250" t="s">
        <v>306</v>
      </c>
      <c r="J2" s="159" t="s">
        <v>1</v>
      </c>
      <c r="K2" s="514"/>
      <c r="L2" s="503"/>
      <c r="M2" s="504"/>
      <c r="N2" s="505"/>
      <c r="O2" s="503"/>
      <c r="P2" s="504"/>
      <c r="Q2" s="505"/>
      <c r="R2" s="503"/>
      <c r="S2" s="505"/>
      <c r="T2" s="518"/>
      <c r="U2" s="519"/>
      <c r="V2" s="520"/>
      <c r="W2" s="518"/>
      <c r="X2" s="519"/>
      <c r="Y2" s="520"/>
      <c r="Z2" s="309"/>
      <c r="AA2" s="323"/>
      <c r="AB2" s="340"/>
      <c r="AC2" s="518"/>
      <c r="AD2" s="519"/>
      <c r="AE2" s="520"/>
      <c r="AF2" s="518"/>
      <c r="AG2" s="519"/>
      <c r="AH2" s="520"/>
      <c r="AI2" s="518"/>
      <c r="AJ2" s="519"/>
      <c r="AK2" s="520"/>
      <c r="AL2" s="518"/>
      <c r="AM2" s="519"/>
      <c r="AN2" s="520"/>
    </row>
    <row r="3" spans="1:46" ht="15" customHeight="1" thickBot="1" x14ac:dyDescent="0.3">
      <c r="A3" s="142" t="s">
        <v>807</v>
      </c>
      <c r="B3" s="224">
        <v>4</v>
      </c>
      <c r="C3" s="327">
        <v>1</v>
      </c>
      <c r="D3" s="249">
        <v>4</v>
      </c>
      <c r="E3" s="141">
        <f t="shared" ref="E3:E51" si="0">SUM(B3:D3)</f>
        <v>9</v>
      </c>
      <c r="F3" s="182" t="s">
        <v>807</v>
      </c>
      <c r="G3" s="226">
        <v>20</v>
      </c>
      <c r="H3" s="329">
        <v>5</v>
      </c>
      <c r="I3" s="251">
        <v>20</v>
      </c>
      <c r="J3" s="101">
        <f t="shared" ref="J3:J51" si="1">SUM(G3:I3)</f>
        <v>45</v>
      </c>
      <c r="K3" s="35" t="s">
        <v>72</v>
      </c>
      <c r="L3" s="4" t="s">
        <v>176</v>
      </c>
      <c r="M3" s="4" t="s">
        <v>36</v>
      </c>
      <c r="N3" s="4" t="s">
        <v>37</v>
      </c>
      <c r="O3" s="4" t="s">
        <v>176</v>
      </c>
      <c r="P3" s="4" t="s">
        <v>36</v>
      </c>
      <c r="Q3" s="4" t="s">
        <v>37</v>
      </c>
      <c r="R3" s="4" t="s">
        <v>52</v>
      </c>
      <c r="S3" s="4" t="s">
        <v>232</v>
      </c>
      <c r="T3" s="8" t="s">
        <v>176</v>
      </c>
      <c r="U3" s="8" t="s">
        <v>36</v>
      </c>
      <c r="V3" s="8" t="s">
        <v>37</v>
      </c>
      <c r="W3" s="283" t="s">
        <v>176</v>
      </c>
      <c r="X3" s="8" t="s">
        <v>36</v>
      </c>
      <c r="Y3" s="8" t="s">
        <v>37</v>
      </c>
      <c r="Z3" s="126"/>
      <c r="AA3" s="127"/>
      <c r="AB3" s="341"/>
      <c r="AC3" s="283" t="s">
        <v>176</v>
      </c>
      <c r="AD3" s="8" t="s">
        <v>36</v>
      </c>
      <c r="AE3" s="8" t="s">
        <v>37</v>
      </c>
      <c r="AF3" s="283" t="s">
        <v>176</v>
      </c>
      <c r="AG3" s="8" t="s">
        <v>36</v>
      </c>
      <c r="AH3" s="8" t="s">
        <v>37</v>
      </c>
      <c r="AI3" s="8" t="s">
        <v>176</v>
      </c>
      <c r="AJ3" s="8" t="s">
        <v>36</v>
      </c>
      <c r="AK3" s="8" t="s">
        <v>37</v>
      </c>
      <c r="AL3" s="8" t="s">
        <v>176</v>
      </c>
      <c r="AM3" s="8" t="s">
        <v>36</v>
      </c>
      <c r="AN3" s="8" t="s">
        <v>37</v>
      </c>
    </row>
    <row r="4" spans="1:46" ht="15" customHeight="1" thickBot="1" x14ac:dyDescent="0.3">
      <c r="A4" s="142" t="s">
        <v>127</v>
      </c>
      <c r="B4" s="224">
        <v>1</v>
      </c>
      <c r="C4" s="327">
        <v>0</v>
      </c>
      <c r="D4" s="249">
        <v>0</v>
      </c>
      <c r="E4" s="141">
        <f t="shared" si="0"/>
        <v>1</v>
      </c>
      <c r="F4" s="143" t="s">
        <v>127</v>
      </c>
      <c r="G4" s="226">
        <v>5</v>
      </c>
      <c r="H4" s="329">
        <v>0</v>
      </c>
      <c r="I4" s="251">
        <v>0</v>
      </c>
      <c r="J4" s="101">
        <f t="shared" si="1"/>
        <v>5</v>
      </c>
      <c r="K4" s="142" t="s">
        <v>188</v>
      </c>
      <c r="L4" s="146">
        <v>27</v>
      </c>
      <c r="M4" s="146">
        <v>34</v>
      </c>
      <c r="N4" s="147">
        <f t="shared" ref="N4:N5" si="2">SUM(L4/M4)*100</f>
        <v>79.411764705882348</v>
      </c>
      <c r="O4" s="146" t="s">
        <v>43</v>
      </c>
      <c r="P4" s="146" t="s">
        <v>43</v>
      </c>
      <c r="Q4" s="147" t="s">
        <v>43</v>
      </c>
      <c r="R4" s="146">
        <v>2</v>
      </c>
      <c r="S4" s="146">
        <v>2</v>
      </c>
      <c r="T4" s="8">
        <v>40</v>
      </c>
      <c r="U4" s="8">
        <v>48</v>
      </c>
      <c r="V4" s="294">
        <f t="shared" ref="V4" si="3">SUM(T4/U4)*100</f>
        <v>83.333333333333343</v>
      </c>
      <c r="W4" s="283">
        <v>58</v>
      </c>
      <c r="X4" s="8">
        <v>69</v>
      </c>
      <c r="Y4" s="294">
        <f t="shared" ref="Y4" si="4">SUM(W4/X4)*100</f>
        <v>84.05797101449275</v>
      </c>
      <c r="Z4" s="126"/>
      <c r="AA4" s="127"/>
      <c r="AB4" s="341"/>
      <c r="AC4" s="283">
        <v>40</v>
      </c>
      <c r="AD4" s="8">
        <v>48</v>
      </c>
      <c r="AE4" s="294">
        <f t="shared" ref="AE4" si="5">SUM(AC4/AD4)*100</f>
        <v>83.333333333333343</v>
      </c>
      <c r="AF4" s="283" t="s">
        <v>43</v>
      </c>
      <c r="AG4" s="8" t="s">
        <v>43</v>
      </c>
      <c r="AH4" s="8" t="s">
        <v>43</v>
      </c>
      <c r="AI4" s="8" t="s">
        <v>43</v>
      </c>
      <c r="AJ4" s="8" t="s">
        <v>43</v>
      </c>
      <c r="AK4" s="8" t="s">
        <v>43</v>
      </c>
      <c r="AL4" s="8" t="s">
        <v>43</v>
      </c>
      <c r="AM4" s="8" t="s">
        <v>43</v>
      </c>
      <c r="AN4" s="8" t="s">
        <v>43</v>
      </c>
    </row>
    <row r="5" spans="1:46" ht="15" customHeight="1" thickBot="1" x14ac:dyDescent="0.3">
      <c r="A5" s="142" t="s">
        <v>72</v>
      </c>
      <c r="B5" s="224">
        <v>0</v>
      </c>
      <c r="C5" s="327">
        <v>0</v>
      </c>
      <c r="D5" s="249">
        <v>0</v>
      </c>
      <c r="E5" s="141">
        <f t="shared" si="0"/>
        <v>0</v>
      </c>
      <c r="F5" s="143" t="s">
        <v>72</v>
      </c>
      <c r="G5" s="226">
        <v>0</v>
      </c>
      <c r="H5" s="329">
        <v>0</v>
      </c>
      <c r="I5" s="251">
        <v>0</v>
      </c>
      <c r="J5" s="101">
        <f t="shared" si="1"/>
        <v>0</v>
      </c>
      <c r="K5" s="142" t="s">
        <v>255</v>
      </c>
      <c r="L5" s="146">
        <v>1</v>
      </c>
      <c r="M5" s="146">
        <v>2</v>
      </c>
      <c r="N5" s="147">
        <f t="shared" si="2"/>
        <v>50</v>
      </c>
      <c r="O5" s="146">
        <v>0</v>
      </c>
      <c r="P5" s="146">
        <v>1</v>
      </c>
      <c r="Q5" s="147">
        <f t="shared" ref="Q5:Q6" si="6">SUM(O5/P5)*100</f>
        <v>0</v>
      </c>
      <c r="R5" s="146">
        <v>-1</v>
      </c>
      <c r="S5" s="146">
        <v>-1</v>
      </c>
      <c r="T5" s="8">
        <v>8</v>
      </c>
      <c r="U5" s="8">
        <v>17</v>
      </c>
      <c r="V5" s="294">
        <f t="shared" ref="V5:V8" si="7">SUM(T5/U5)*100</f>
        <v>47.058823529411761</v>
      </c>
      <c r="W5" s="283">
        <v>30</v>
      </c>
      <c r="X5" s="8">
        <v>40</v>
      </c>
      <c r="Y5" s="294">
        <f t="shared" ref="Y5:Y7" si="8">SUM(W5/X5)*100</f>
        <v>75</v>
      </c>
      <c r="Z5" s="126"/>
      <c r="AA5" s="127"/>
      <c r="AB5" s="341"/>
      <c r="AC5" s="283" t="s">
        <v>43</v>
      </c>
      <c r="AD5" s="8" t="s">
        <v>43</v>
      </c>
      <c r="AE5" s="8" t="s">
        <v>43</v>
      </c>
      <c r="AF5" s="283" t="s">
        <v>43</v>
      </c>
      <c r="AG5" s="8" t="s">
        <v>43</v>
      </c>
      <c r="AH5" s="8" t="s">
        <v>43</v>
      </c>
      <c r="AI5" s="8" t="s">
        <v>43</v>
      </c>
      <c r="AJ5" s="8" t="s">
        <v>43</v>
      </c>
      <c r="AK5" s="8" t="s">
        <v>43</v>
      </c>
      <c r="AL5" s="8" t="s">
        <v>43</v>
      </c>
      <c r="AM5" s="8" t="s">
        <v>43</v>
      </c>
      <c r="AN5" s="8" t="s">
        <v>43</v>
      </c>
    </row>
    <row r="6" spans="1:46" ht="15" customHeight="1" thickBot="1" x14ac:dyDescent="0.3">
      <c r="A6" s="142" t="s">
        <v>254</v>
      </c>
      <c r="B6" s="224">
        <v>0</v>
      </c>
      <c r="C6" s="327">
        <v>0</v>
      </c>
      <c r="D6" s="249">
        <v>1</v>
      </c>
      <c r="E6" s="141">
        <f t="shared" si="0"/>
        <v>1</v>
      </c>
      <c r="F6" s="143" t="s">
        <v>254</v>
      </c>
      <c r="G6" s="226">
        <v>0</v>
      </c>
      <c r="H6" s="329">
        <v>0</v>
      </c>
      <c r="I6" s="251">
        <v>5</v>
      </c>
      <c r="J6" s="101">
        <f t="shared" si="1"/>
        <v>5</v>
      </c>
      <c r="K6" s="142" t="s">
        <v>858</v>
      </c>
      <c r="L6" s="146">
        <v>52</v>
      </c>
      <c r="M6" s="146">
        <v>77</v>
      </c>
      <c r="N6" s="147">
        <f>(dupreezsalgls/dupreezsalatt)*100</f>
        <v>67.532467532467535</v>
      </c>
      <c r="O6" s="146">
        <v>1</v>
      </c>
      <c r="P6" s="146">
        <v>5</v>
      </c>
      <c r="Q6" s="147">
        <f t="shared" si="6"/>
        <v>20</v>
      </c>
      <c r="R6" s="146">
        <v>1</v>
      </c>
      <c r="S6" s="146">
        <v>1</v>
      </c>
      <c r="T6" s="8">
        <v>26</v>
      </c>
      <c r="U6" s="8">
        <v>34</v>
      </c>
      <c r="V6" s="294">
        <f t="shared" si="7"/>
        <v>76.470588235294116</v>
      </c>
      <c r="W6" s="283" t="s">
        <v>43</v>
      </c>
      <c r="X6" s="8" t="s">
        <v>43</v>
      </c>
      <c r="Y6" s="8" t="s">
        <v>43</v>
      </c>
      <c r="Z6" s="126"/>
      <c r="AA6" s="127"/>
      <c r="AB6" s="341"/>
      <c r="AC6" s="283" t="s">
        <v>43</v>
      </c>
      <c r="AD6" s="8" t="s">
        <v>43</v>
      </c>
      <c r="AE6" s="8" t="s">
        <v>43</v>
      </c>
      <c r="AF6" s="8" t="s">
        <v>43</v>
      </c>
      <c r="AG6" s="8" t="s">
        <v>43</v>
      </c>
      <c r="AH6" s="8" t="s">
        <v>43</v>
      </c>
      <c r="AI6" s="8" t="s">
        <v>43</v>
      </c>
      <c r="AJ6" s="8" t="s">
        <v>43</v>
      </c>
      <c r="AK6" s="8" t="s">
        <v>43</v>
      </c>
      <c r="AL6" s="8" t="s">
        <v>43</v>
      </c>
      <c r="AM6" s="8" t="s">
        <v>43</v>
      </c>
      <c r="AN6" s="8" t="s">
        <v>43</v>
      </c>
    </row>
    <row r="7" spans="1:46" ht="15" customHeight="1" thickBot="1" x14ac:dyDescent="0.3">
      <c r="A7" s="142" t="s">
        <v>28</v>
      </c>
      <c r="B7" s="224">
        <v>0</v>
      </c>
      <c r="C7" s="327">
        <v>1</v>
      </c>
      <c r="D7" s="249">
        <v>1</v>
      </c>
      <c r="E7" s="141">
        <f t="shared" ref="E7" si="9">SUM(B7:D7)</f>
        <v>2</v>
      </c>
      <c r="F7" s="143" t="s">
        <v>28</v>
      </c>
      <c r="G7" s="226">
        <v>0</v>
      </c>
      <c r="H7" s="329">
        <v>5</v>
      </c>
      <c r="I7" s="251">
        <v>5</v>
      </c>
      <c r="J7" s="101">
        <f t="shared" ref="J7" si="10">SUM(G7:I7)</f>
        <v>10</v>
      </c>
      <c r="K7" s="142" t="s">
        <v>254</v>
      </c>
      <c r="L7" s="146" t="s">
        <v>43</v>
      </c>
      <c r="M7" s="146" t="s">
        <v>43</v>
      </c>
      <c r="N7" s="147" t="s">
        <v>43</v>
      </c>
      <c r="O7" s="146" t="s">
        <v>43</v>
      </c>
      <c r="P7" s="146" t="s">
        <v>43</v>
      </c>
      <c r="Q7" s="147" t="s">
        <v>43</v>
      </c>
      <c r="R7" s="146">
        <v>-3</v>
      </c>
      <c r="S7" s="146">
        <v>3</v>
      </c>
      <c r="T7" s="8">
        <v>0</v>
      </c>
      <c r="U7" s="8">
        <v>3</v>
      </c>
      <c r="V7" s="294">
        <f t="shared" si="7"/>
        <v>0</v>
      </c>
      <c r="W7" s="283">
        <v>2</v>
      </c>
      <c r="X7" s="8">
        <v>4</v>
      </c>
      <c r="Y7" s="294">
        <f t="shared" si="8"/>
        <v>50</v>
      </c>
      <c r="Z7" s="126"/>
      <c r="AA7" s="127"/>
      <c r="AB7" s="341"/>
      <c r="AC7" s="283" t="s">
        <v>43</v>
      </c>
      <c r="AD7" s="8" t="s">
        <v>43</v>
      </c>
      <c r="AE7" s="8" t="s">
        <v>43</v>
      </c>
      <c r="AF7" s="283" t="s">
        <v>43</v>
      </c>
      <c r="AG7" s="8" t="s">
        <v>43</v>
      </c>
      <c r="AH7" s="8" t="s">
        <v>43</v>
      </c>
      <c r="AI7" s="8" t="s">
        <v>43</v>
      </c>
      <c r="AJ7" s="8" t="s">
        <v>43</v>
      </c>
      <c r="AK7" s="8" t="s">
        <v>43</v>
      </c>
      <c r="AL7" s="8" t="s">
        <v>43</v>
      </c>
      <c r="AM7" s="8" t="s">
        <v>43</v>
      </c>
      <c r="AN7" s="8" t="s">
        <v>43</v>
      </c>
    </row>
    <row r="8" spans="1:46" ht="15" customHeight="1" thickBot="1" x14ac:dyDescent="0.3">
      <c r="A8" s="142" t="s">
        <v>230</v>
      </c>
      <c r="B8" s="224">
        <v>0</v>
      </c>
      <c r="C8" s="327">
        <v>0</v>
      </c>
      <c r="D8" s="249">
        <v>1</v>
      </c>
      <c r="E8" s="141">
        <f t="shared" si="0"/>
        <v>1</v>
      </c>
      <c r="F8" s="143" t="s">
        <v>230</v>
      </c>
      <c r="G8" s="226">
        <v>0</v>
      </c>
      <c r="H8" s="329">
        <v>0</v>
      </c>
      <c r="I8" s="251">
        <v>5</v>
      </c>
      <c r="J8" s="101">
        <f t="shared" si="1"/>
        <v>5</v>
      </c>
      <c r="K8" s="142" t="s">
        <v>441</v>
      </c>
      <c r="L8" s="146">
        <v>0</v>
      </c>
      <c r="M8" s="146">
        <v>2</v>
      </c>
      <c r="N8" s="147">
        <v>0</v>
      </c>
      <c r="O8" s="146" t="s">
        <v>43</v>
      </c>
      <c r="P8" s="146" t="s">
        <v>43</v>
      </c>
      <c r="Q8" s="147" t="s">
        <v>43</v>
      </c>
      <c r="R8" s="146">
        <v>-2</v>
      </c>
      <c r="S8" s="146">
        <v>-2</v>
      </c>
      <c r="T8" s="8">
        <v>0</v>
      </c>
      <c r="U8" s="8">
        <v>1</v>
      </c>
      <c r="V8" s="294">
        <f t="shared" si="7"/>
        <v>0</v>
      </c>
      <c r="W8" s="283" t="s">
        <v>43</v>
      </c>
      <c r="X8" s="8" t="s">
        <v>43</v>
      </c>
      <c r="Y8" s="8" t="s">
        <v>43</v>
      </c>
      <c r="Z8" s="126"/>
      <c r="AA8" s="127"/>
      <c r="AB8" s="341"/>
      <c r="AC8" s="283" t="s">
        <v>43</v>
      </c>
      <c r="AD8" s="8" t="s">
        <v>43</v>
      </c>
      <c r="AE8" s="8" t="s">
        <v>43</v>
      </c>
      <c r="AF8" s="283" t="s">
        <v>43</v>
      </c>
      <c r="AG8" s="8" t="s">
        <v>43</v>
      </c>
      <c r="AH8" s="8" t="s">
        <v>43</v>
      </c>
      <c r="AI8" s="8" t="s">
        <v>43</v>
      </c>
      <c r="AJ8" s="8" t="s">
        <v>43</v>
      </c>
      <c r="AK8" s="8" t="s">
        <v>43</v>
      </c>
      <c r="AL8" s="8" t="s">
        <v>43</v>
      </c>
      <c r="AM8" s="8" t="s">
        <v>43</v>
      </c>
      <c r="AN8" s="8" t="s">
        <v>43</v>
      </c>
    </row>
    <row r="9" spans="1:46" ht="15" customHeight="1" thickBot="1" x14ac:dyDescent="0.3">
      <c r="A9" s="142" t="s">
        <v>212</v>
      </c>
      <c r="B9" s="224">
        <v>1</v>
      </c>
      <c r="C9" s="327">
        <v>0</v>
      </c>
      <c r="D9" s="249">
        <v>0</v>
      </c>
      <c r="E9" s="141">
        <f t="shared" si="0"/>
        <v>1</v>
      </c>
      <c r="F9" s="143" t="s">
        <v>212</v>
      </c>
      <c r="G9" s="226">
        <v>5</v>
      </c>
      <c r="H9" s="329">
        <v>0</v>
      </c>
      <c r="I9" s="251">
        <v>0</v>
      </c>
      <c r="J9" s="101">
        <f t="shared" si="1"/>
        <v>5</v>
      </c>
      <c r="K9" s="142" t="s">
        <v>284</v>
      </c>
      <c r="L9" s="146" t="s">
        <v>43</v>
      </c>
      <c r="M9" s="146" t="s">
        <v>43</v>
      </c>
      <c r="N9" s="146" t="s">
        <v>43</v>
      </c>
      <c r="O9" s="146" t="s">
        <v>43</v>
      </c>
      <c r="P9" s="146" t="s">
        <v>43</v>
      </c>
      <c r="Q9" s="147" t="s">
        <v>43</v>
      </c>
      <c r="R9" s="146">
        <v>1</v>
      </c>
      <c r="S9" s="146">
        <v>1</v>
      </c>
      <c r="T9" s="8">
        <v>1</v>
      </c>
      <c r="U9" s="8">
        <v>1</v>
      </c>
      <c r="V9" s="8">
        <v>100</v>
      </c>
      <c r="W9" s="283" t="s">
        <v>43</v>
      </c>
      <c r="X9" s="8" t="s">
        <v>43</v>
      </c>
      <c r="Y9" s="8" t="s">
        <v>43</v>
      </c>
      <c r="Z9" s="126"/>
      <c r="AA9" s="127"/>
      <c r="AB9" s="341"/>
      <c r="AC9" s="283">
        <v>1</v>
      </c>
      <c r="AD9" s="8">
        <v>2</v>
      </c>
      <c r="AE9" s="294">
        <f t="shared" ref="AE9" si="11">SUM(AC9/AD9)*100</f>
        <v>50</v>
      </c>
      <c r="AF9" s="283" t="s">
        <v>43</v>
      </c>
      <c r="AG9" s="8" t="s">
        <v>43</v>
      </c>
      <c r="AH9" s="8" t="s">
        <v>43</v>
      </c>
      <c r="AI9" s="8" t="s">
        <v>43</v>
      </c>
      <c r="AJ9" s="8" t="s">
        <v>43</v>
      </c>
      <c r="AK9" s="8" t="s">
        <v>43</v>
      </c>
      <c r="AL9" s="8" t="s">
        <v>43</v>
      </c>
      <c r="AM9" s="8" t="s">
        <v>43</v>
      </c>
      <c r="AN9" s="8" t="s">
        <v>43</v>
      </c>
    </row>
    <row r="10" spans="1:46" ht="15" customHeight="1" thickBot="1" x14ac:dyDescent="0.3">
      <c r="A10" s="142" t="s">
        <v>999</v>
      </c>
      <c r="B10" s="224">
        <v>0</v>
      </c>
      <c r="C10" s="327">
        <v>0</v>
      </c>
      <c r="D10" s="249">
        <v>0</v>
      </c>
      <c r="E10" s="141">
        <f t="shared" ref="E10" si="12">SUM(B10:D10)</f>
        <v>0</v>
      </c>
      <c r="F10" s="143" t="s">
        <v>441</v>
      </c>
      <c r="G10" s="226">
        <v>0</v>
      </c>
      <c r="H10" s="329">
        <v>2</v>
      </c>
      <c r="I10" s="251">
        <v>7</v>
      </c>
      <c r="J10" s="101">
        <f t="shared" ref="J10" si="13">SUM(G10:I10)</f>
        <v>9</v>
      </c>
      <c r="K10" s="142" t="s">
        <v>836</v>
      </c>
      <c r="L10" s="146" t="s">
        <v>43</v>
      </c>
      <c r="M10" s="146" t="s">
        <v>43</v>
      </c>
      <c r="N10" s="146" t="s">
        <v>43</v>
      </c>
      <c r="O10" s="146" t="s">
        <v>43</v>
      </c>
      <c r="P10" s="146" t="s">
        <v>43</v>
      </c>
      <c r="Q10" s="147" t="s">
        <v>43</v>
      </c>
      <c r="R10" s="146" t="s">
        <v>53</v>
      </c>
      <c r="S10" s="146">
        <v>-1</v>
      </c>
      <c r="T10" s="8" t="s">
        <v>43</v>
      </c>
      <c r="U10" s="8" t="s">
        <v>43</v>
      </c>
      <c r="V10" s="8" t="s">
        <v>43</v>
      </c>
      <c r="W10" s="283" t="s">
        <v>43</v>
      </c>
      <c r="X10" s="8" t="s">
        <v>43</v>
      </c>
      <c r="Y10" s="8" t="s">
        <v>43</v>
      </c>
      <c r="Z10" s="126"/>
      <c r="AA10" s="127"/>
      <c r="AB10" s="341"/>
      <c r="AC10" s="283" t="s">
        <v>43</v>
      </c>
      <c r="AD10" s="8" t="s">
        <v>43</v>
      </c>
      <c r="AE10" s="8" t="s">
        <v>43</v>
      </c>
      <c r="AF10" s="8" t="s">
        <v>43</v>
      </c>
      <c r="AG10" s="8" t="s">
        <v>43</v>
      </c>
      <c r="AH10" s="8" t="s">
        <v>43</v>
      </c>
      <c r="AI10" s="8" t="s">
        <v>43</v>
      </c>
      <c r="AJ10" s="8" t="s">
        <v>43</v>
      </c>
      <c r="AK10" s="8" t="s">
        <v>43</v>
      </c>
      <c r="AL10" s="8" t="s">
        <v>43</v>
      </c>
      <c r="AM10" s="8" t="s">
        <v>43</v>
      </c>
      <c r="AN10" s="8" t="s">
        <v>43</v>
      </c>
    </row>
    <row r="11" spans="1:46" ht="15" customHeight="1" thickBot="1" x14ac:dyDescent="0.3">
      <c r="A11" s="142" t="s">
        <v>255</v>
      </c>
      <c r="B11" s="224">
        <v>2</v>
      </c>
      <c r="C11" s="327">
        <v>0</v>
      </c>
      <c r="D11" s="249">
        <v>1</v>
      </c>
      <c r="E11" s="141">
        <f t="shared" si="0"/>
        <v>3</v>
      </c>
      <c r="F11" s="143" t="s">
        <v>255</v>
      </c>
      <c r="G11" s="226">
        <v>16</v>
      </c>
      <c r="H11" s="329">
        <v>0</v>
      </c>
      <c r="I11" s="251">
        <v>5</v>
      </c>
      <c r="J11" s="101">
        <f t="shared" si="1"/>
        <v>21</v>
      </c>
      <c r="K11" s="142" t="s">
        <v>8</v>
      </c>
      <c r="L11" s="146" t="s">
        <v>43</v>
      </c>
      <c r="M11" s="146" t="s">
        <v>43</v>
      </c>
      <c r="N11" s="146" t="s">
        <v>43</v>
      </c>
      <c r="O11" s="146" t="s">
        <v>43</v>
      </c>
      <c r="P11" s="146" t="s">
        <v>43</v>
      </c>
      <c r="Q11" s="147" t="s">
        <v>43</v>
      </c>
      <c r="R11" s="146" t="s">
        <v>53</v>
      </c>
      <c r="S11" s="146">
        <v>2</v>
      </c>
      <c r="T11" s="8" t="s">
        <v>43</v>
      </c>
      <c r="U11" s="8" t="s">
        <v>43</v>
      </c>
      <c r="V11" s="8" t="s">
        <v>43</v>
      </c>
      <c r="W11" s="283" t="s">
        <v>43</v>
      </c>
      <c r="X11" s="8" t="s">
        <v>43</v>
      </c>
      <c r="Y11" s="8" t="s">
        <v>43</v>
      </c>
      <c r="Z11" s="126"/>
      <c r="AA11" s="127"/>
      <c r="AB11" s="341"/>
      <c r="AC11" s="283" t="s">
        <v>43</v>
      </c>
      <c r="AD11" s="8" t="s">
        <v>43</v>
      </c>
      <c r="AE11" s="8" t="s">
        <v>43</v>
      </c>
      <c r="AF11" s="8" t="s">
        <v>43</v>
      </c>
      <c r="AG11" s="8" t="s">
        <v>43</v>
      </c>
      <c r="AH11" s="8" t="s">
        <v>43</v>
      </c>
      <c r="AI11" s="8" t="s">
        <v>43</v>
      </c>
      <c r="AJ11" s="8" t="s">
        <v>43</v>
      </c>
      <c r="AK11" s="8" t="s">
        <v>43</v>
      </c>
      <c r="AL11" s="8" t="s">
        <v>43</v>
      </c>
      <c r="AM11" s="8" t="s">
        <v>43</v>
      </c>
      <c r="AN11" s="8" t="s">
        <v>43</v>
      </c>
    </row>
    <row r="12" spans="1:46" ht="15" customHeight="1" thickBot="1" x14ac:dyDescent="0.3">
      <c r="A12" s="142" t="s">
        <v>995</v>
      </c>
      <c r="B12" s="224">
        <v>4</v>
      </c>
      <c r="C12" s="327">
        <v>0</v>
      </c>
      <c r="D12" s="249">
        <v>3</v>
      </c>
      <c r="E12" s="141">
        <f t="shared" ref="E12" si="14">SUM(B12:D12)</f>
        <v>7</v>
      </c>
      <c r="F12" s="143" t="s">
        <v>995</v>
      </c>
      <c r="G12" s="226">
        <v>20</v>
      </c>
      <c r="H12" s="329">
        <v>0</v>
      </c>
      <c r="I12" s="251">
        <v>15</v>
      </c>
      <c r="J12" s="101">
        <f t="shared" ref="J12" si="15">SUM(G12:I12)</f>
        <v>35</v>
      </c>
      <c r="K12" s="142" t="s">
        <v>296</v>
      </c>
      <c r="L12" s="146" t="s">
        <v>43</v>
      </c>
      <c r="M12" s="146" t="s">
        <v>43</v>
      </c>
      <c r="N12" s="146" t="s">
        <v>43</v>
      </c>
      <c r="O12" s="146" t="s">
        <v>43</v>
      </c>
      <c r="P12" s="146" t="s">
        <v>43</v>
      </c>
      <c r="Q12" s="147" t="s">
        <v>43</v>
      </c>
      <c r="R12" s="146">
        <v>-1</v>
      </c>
      <c r="S12" s="146">
        <v>-1</v>
      </c>
      <c r="T12" s="8">
        <v>0</v>
      </c>
      <c r="U12" s="8">
        <v>1</v>
      </c>
      <c r="V12" s="8" t="s">
        <v>43</v>
      </c>
      <c r="W12" s="283" t="s">
        <v>43</v>
      </c>
      <c r="X12" s="8" t="s">
        <v>43</v>
      </c>
      <c r="Y12" s="8" t="s">
        <v>43</v>
      </c>
      <c r="Z12" s="126"/>
      <c r="AA12" s="127"/>
      <c r="AB12" s="341"/>
      <c r="AC12" s="283" t="s">
        <v>43</v>
      </c>
      <c r="AD12" s="8" t="s">
        <v>43</v>
      </c>
      <c r="AE12" s="8" t="s">
        <v>43</v>
      </c>
      <c r="AF12" s="8" t="s">
        <v>43</v>
      </c>
      <c r="AG12" s="8" t="s">
        <v>43</v>
      </c>
      <c r="AH12" s="8" t="s">
        <v>43</v>
      </c>
      <c r="AI12" s="8" t="s">
        <v>43</v>
      </c>
      <c r="AJ12" s="8" t="s">
        <v>43</v>
      </c>
      <c r="AK12" s="8" t="s">
        <v>43</v>
      </c>
      <c r="AL12" s="8" t="s">
        <v>43</v>
      </c>
      <c r="AM12" s="8" t="s">
        <v>43</v>
      </c>
      <c r="AN12" s="8" t="s">
        <v>43</v>
      </c>
    </row>
    <row r="13" spans="1:46" ht="15" customHeight="1" thickBot="1" x14ac:dyDescent="0.3">
      <c r="A13" s="142" t="s">
        <v>871</v>
      </c>
      <c r="B13" s="224">
        <v>1</v>
      </c>
      <c r="C13" s="327">
        <v>1</v>
      </c>
      <c r="D13" s="249">
        <v>0</v>
      </c>
      <c r="E13" s="141">
        <f t="shared" si="0"/>
        <v>2</v>
      </c>
      <c r="F13" s="143" t="s">
        <v>871</v>
      </c>
      <c r="G13" s="226">
        <v>5</v>
      </c>
      <c r="H13" s="329">
        <v>5</v>
      </c>
      <c r="I13" s="251">
        <v>0</v>
      </c>
      <c r="J13" s="101">
        <f t="shared" si="1"/>
        <v>10</v>
      </c>
      <c r="K13" s="142" t="s">
        <v>93</v>
      </c>
      <c r="L13" s="146" t="s">
        <v>43</v>
      </c>
      <c r="M13" s="146" t="s">
        <v>43</v>
      </c>
      <c r="N13" s="147" t="s">
        <v>43</v>
      </c>
      <c r="O13" s="146" t="s">
        <v>43</v>
      </c>
      <c r="P13" s="146" t="s">
        <v>43</v>
      </c>
      <c r="Q13" s="147" t="s">
        <v>43</v>
      </c>
      <c r="R13" s="146">
        <v>-2</v>
      </c>
      <c r="S13" s="146">
        <v>-1</v>
      </c>
      <c r="T13" s="8">
        <v>0</v>
      </c>
      <c r="U13" s="8">
        <v>1</v>
      </c>
      <c r="V13" s="294">
        <f t="shared" ref="V13" si="16">SUM(T13/U13)*100</f>
        <v>0</v>
      </c>
      <c r="W13" s="283" t="s">
        <v>43</v>
      </c>
      <c r="X13" s="8" t="s">
        <v>43</v>
      </c>
      <c r="Y13" s="8" t="s">
        <v>43</v>
      </c>
      <c r="Z13" s="126"/>
      <c r="AA13" s="127"/>
      <c r="AB13" s="341"/>
      <c r="AC13" s="283">
        <v>2</v>
      </c>
      <c r="AD13" s="8">
        <v>5</v>
      </c>
      <c r="AE13" s="294">
        <f t="shared" ref="AE13" si="17">SUM(AC13/AD13)*100</f>
        <v>40</v>
      </c>
      <c r="AF13" s="283" t="s">
        <v>43</v>
      </c>
      <c r="AG13" s="8" t="s">
        <v>43</v>
      </c>
      <c r="AH13" s="8" t="s">
        <v>43</v>
      </c>
      <c r="AI13" s="8" t="s">
        <v>43</v>
      </c>
      <c r="AJ13" s="8" t="s">
        <v>43</v>
      </c>
      <c r="AK13" s="8" t="s">
        <v>43</v>
      </c>
      <c r="AL13" s="8" t="s">
        <v>43</v>
      </c>
      <c r="AM13" s="8" t="s">
        <v>43</v>
      </c>
      <c r="AN13" s="8" t="s">
        <v>43</v>
      </c>
    </row>
    <row r="14" spans="1:46" ht="15" customHeight="1" thickBot="1" x14ac:dyDescent="0.3">
      <c r="A14" s="142" t="s">
        <v>858</v>
      </c>
      <c r="B14" s="224">
        <v>3</v>
      </c>
      <c r="C14" s="327">
        <v>0</v>
      </c>
      <c r="D14" s="249">
        <v>0</v>
      </c>
      <c r="E14" s="141">
        <f t="shared" si="0"/>
        <v>3</v>
      </c>
      <c r="F14" s="143" t="s">
        <v>858</v>
      </c>
      <c r="G14" s="226">
        <v>141</v>
      </c>
      <c r="H14" s="329">
        <v>5</v>
      </c>
      <c r="I14" s="251">
        <v>43</v>
      </c>
      <c r="J14" s="101">
        <f t="shared" si="1"/>
        <v>189</v>
      </c>
    </row>
    <row r="15" spans="1:46" ht="15" customHeight="1" thickBot="1" x14ac:dyDescent="0.3">
      <c r="A15" s="142" t="s">
        <v>4</v>
      </c>
      <c r="B15" s="224">
        <v>2</v>
      </c>
      <c r="C15" s="327">
        <v>0</v>
      </c>
      <c r="D15" s="249">
        <v>0</v>
      </c>
      <c r="E15" s="141">
        <f t="shared" si="0"/>
        <v>2</v>
      </c>
      <c r="F15" s="143" t="s">
        <v>4</v>
      </c>
      <c r="G15" s="226">
        <v>10</v>
      </c>
      <c r="H15" s="329">
        <v>0</v>
      </c>
      <c r="I15" s="251">
        <v>0</v>
      </c>
      <c r="J15" s="101">
        <f t="shared" si="1"/>
        <v>10</v>
      </c>
      <c r="K15" s="550" t="s">
        <v>1029</v>
      </c>
      <c r="L15" s="500" t="s">
        <v>42</v>
      </c>
      <c r="M15" s="501"/>
      <c r="N15" s="502"/>
      <c r="O15" s="494" t="s">
        <v>1047</v>
      </c>
      <c r="P15" s="495"/>
      <c r="Q15" s="496"/>
      <c r="R15" s="494" t="s">
        <v>1136</v>
      </c>
      <c r="S15" s="495"/>
      <c r="T15" s="496"/>
      <c r="U15" s="494" t="s">
        <v>303</v>
      </c>
      <c r="V15" s="495"/>
      <c r="W15" s="496"/>
      <c r="X15" s="344"/>
      <c r="Y15" s="344"/>
      <c r="Z15" s="344"/>
      <c r="AA15" s="401"/>
      <c r="AB15" s="401"/>
      <c r="AC15" s="494" t="s">
        <v>1137</v>
      </c>
      <c r="AD15" s="495"/>
      <c r="AE15" s="496"/>
      <c r="AF15" s="494" t="s">
        <v>186</v>
      </c>
      <c r="AG15" s="495"/>
      <c r="AH15" s="496"/>
      <c r="AI15" s="494" t="s">
        <v>1138</v>
      </c>
      <c r="AJ15" s="495"/>
      <c r="AK15" s="496"/>
    </row>
    <row r="16" spans="1:46" ht="15" customHeight="1" thickBot="1" x14ac:dyDescent="0.3">
      <c r="A16" s="142" t="s">
        <v>72</v>
      </c>
      <c r="B16" s="224">
        <v>0</v>
      </c>
      <c r="C16" s="327">
        <v>0</v>
      </c>
      <c r="D16" s="249">
        <v>0</v>
      </c>
      <c r="E16" s="141">
        <f t="shared" si="0"/>
        <v>0</v>
      </c>
      <c r="F16" s="143" t="s">
        <v>72</v>
      </c>
      <c r="G16" s="226">
        <v>0</v>
      </c>
      <c r="H16" s="329">
        <v>0</v>
      </c>
      <c r="I16" s="251">
        <v>0</v>
      </c>
      <c r="J16" s="101">
        <f t="shared" si="1"/>
        <v>0</v>
      </c>
      <c r="K16" s="551"/>
      <c r="L16" s="503"/>
      <c r="M16" s="504"/>
      <c r="N16" s="505"/>
      <c r="O16" s="497"/>
      <c r="P16" s="498"/>
      <c r="Q16" s="499"/>
      <c r="R16" s="497"/>
      <c r="S16" s="498"/>
      <c r="T16" s="499"/>
      <c r="U16" s="497"/>
      <c r="V16" s="498"/>
      <c r="W16" s="499"/>
      <c r="X16" s="344"/>
      <c r="Y16" s="344"/>
      <c r="Z16" s="344"/>
      <c r="AA16" s="401"/>
      <c r="AB16" s="401"/>
      <c r="AC16" s="497"/>
      <c r="AD16" s="498"/>
      <c r="AE16" s="499"/>
      <c r="AF16" s="497"/>
      <c r="AG16" s="498"/>
      <c r="AH16" s="499"/>
      <c r="AI16" s="497"/>
      <c r="AJ16" s="498"/>
      <c r="AK16" s="499"/>
    </row>
    <row r="17" spans="1:40" ht="15" customHeight="1" thickBot="1" x14ac:dyDescent="0.3">
      <c r="A17" s="142" t="s">
        <v>965</v>
      </c>
      <c r="B17" s="224">
        <v>2</v>
      </c>
      <c r="C17" s="327">
        <v>0</v>
      </c>
      <c r="D17" s="249">
        <v>3</v>
      </c>
      <c r="E17" s="141">
        <f t="shared" si="0"/>
        <v>5</v>
      </c>
      <c r="F17" s="143" t="s">
        <v>965</v>
      </c>
      <c r="G17" s="226">
        <v>10</v>
      </c>
      <c r="H17" s="329">
        <v>0</v>
      </c>
      <c r="I17" s="251">
        <v>15</v>
      </c>
      <c r="J17" s="101">
        <f t="shared" si="1"/>
        <v>25</v>
      </c>
      <c r="K17" s="35" t="s">
        <v>72</v>
      </c>
      <c r="L17" s="4" t="s">
        <v>176</v>
      </c>
      <c r="M17" s="4" t="s">
        <v>36</v>
      </c>
      <c r="N17" s="4" t="s">
        <v>37</v>
      </c>
      <c r="O17" s="106" t="s">
        <v>176</v>
      </c>
      <c r="P17" s="106" t="s">
        <v>36</v>
      </c>
      <c r="Q17" s="106" t="s">
        <v>37</v>
      </c>
      <c r="R17" s="106" t="s">
        <v>176</v>
      </c>
      <c r="S17" s="106" t="s">
        <v>36</v>
      </c>
      <c r="T17" s="106" t="s">
        <v>37</v>
      </c>
      <c r="U17" s="111" t="s">
        <v>176</v>
      </c>
      <c r="V17" s="106" t="s">
        <v>36</v>
      </c>
      <c r="W17" s="106" t="s">
        <v>37</v>
      </c>
      <c r="X17" s="401"/>
      <c r="Y17" s="401"/>
      <c r="Z17" s="401"/>
      <c r="AA17" s="401"/>
      <c r="AB17" s="401"/>
      <c r="AC17" s="111" t="s">
        <v>176</v>
      </c>
      <c r="AD17" s="106" t="s">
        <v>36</v>
      </c>
      <c r="AE17" s="106" t="s">
        <v>37</v>
      </c>
      <c r="AF17" s="111" t="s">
        <v>176</v>
      </c>
      <c r="AG17" s="106" t="s">
        <v>36</v>
      </c>
      <c r="AH17" s="106" t="s">
        <v>37</v>
      </c>
      <c r="AI17" s="132" t="s">
        <v>176</v>
      </c>
      <c r="AJ17" s="136" t="s">
        <v>36</v>
      </c>
      <c r="AK17" s="136" t="s">
        <v>37</v>
      </c>
    </row>
    <row r="18" spans="1:40" ht="15" customHeight="1" thickBot="1" x14ac:dyDescent="0.3">
      <c r="A18" s="142" t="s">
        <v>64</v>
      </c>
      <c r="B18" s="224">
        <v>0</v>
      </c>
      <c r="C18" s="327">
        <v>0</v>
      </c>
      <c r="D18" s="249">
        <v>0</v>
      </c>
      <c r="E18" s="141">
        <f t="shared" si="0"/>
        <v>0</v>
      </c>
      <c r="F18" s="143" t="s">
        <v>64</v>
      </c>
      <c r="G18" s="226">
        <v>0</v>
      </c>
      <c r="H18" s="329">
        <v>0</v>
      </c>
      <c r="I18" s="251">
        <v>0</v>
      </c>
      <c r="J18" s="101">
        <f t="shared" si="1"/>
        <v>0</v>
      </c>
      <c r="K18" s="142" t="s">
        <v>188</v>
      </c>
      <c r="L18" s="146">
        <v>9</v>
      </c>
      <c r="M18" s="146">
        <v>12</v>
      </c>
      <c r="N18" s="147">
        <f t="shared" ref="N18" si="18">SUM(L18/M18)*100</f>
        <v>75</v>
      </c>
      <c r="O18" s="8">
        <v>4</v>
      </c>
      <c r="P18" s="8">
        <v>4</v>
      </c>
      <c r="Q18" s="8">
        <v>100</v>
      </c>
      <c r="R18" s="8">
        <v>5</v>
      </c>
      <c r="S18" s="8">
        <v>6</v>
      </c>
      <c r="T18" s="294">
        <f t="shared" ref="T18:T23" si="19">SUM(R18/S18)*100</f>
        <v>83.333333333333343</v>
      </c>
      <c r="U18" s="283">
        <v>8</v>
      </c>
      <c r="V18" s="8">
        <v>10</v>
      </c>
      <c r="W18" s="294">
        <f>SUM(U18/V18)*100</f>
        <v>80</v>
      </c>
      <c r="X18" s="401"/>
      <c r="Y18" s="401"/>
      <c r="Z18" s="401"/>
      <c r="AA18" s="401"/>
      <c r="AB18" s="401"/>
      <c r="AC18" s="7">
        <v>6</v>
      </c>
      <c r="AD18" s="8">
        <v>16</v>
      </c>
      <c r="AE18" s="294">
        <f>SUM(AC18/AD18)*100</f>
        <v>37.5</v>
      </c>
      <c r="AF18" s="283">
        <v>7</v>
      </c>
      <c r="AG18" s="8">
        <v>8</v>
      </c>
      <c r="AH18" s="294">
        <f>SUM(AF18/AG18)*100</f>
        <v>87.5</v>
      </c>
      <c r="AI18" s="283" t="s">
        <v>43</v>
      </c>
      <c r="AJ18" s="8" t="s">
        <v>43</v>
      </c>
      <c r="AK18" s="8" t="s">
        <v>43</v>
      </c>
      <c r="AL18" s="107"/>
      <c r="AM18" s="107"/>
    </row>
    <row r="19" spans="1:40" ht="15" customHeight="1" thickBot="1" x14ac:dyDescent="0.3">
      <c r="A19" s="142" t="s">
        <v>285</v>
      </c>
      <c r="B19" s="224">
        <v>8</v>
      </c>
      <c r="C19" s="327">
        <v>0</v>
      </c>
      <c r="D19" s="249">
        <v>0</v>
      </c>
      <c r="E19" s="141">
        <f t="shared" si="0"/>
        <v>8</v>
      </c>
      <c r="F19" s="143" t="s">
        <v>286</v>
      </c>
      <c r="G19" s="226">
        <v>40</v>
      </c>
      <c r="H19" s="329">
        <v>0</v>
      </c>
      <c r="I19" s="251">
        <v>0</v>
      </c>
      <c r="J19" s="101">
        <f t="shared" si="1"/>
        <v>40</v>
      </c>
      <c r="K19" s="142" t="s">
        <v>441</v>
      </c>
      <c r="L19" s="146">
        <v>1</v>
      </c>
      <c r="M19" s="146">
        <v>1</v>
      </c>
      <c r="N19" s="147">
        <v>100</v>
      </c>
      <c r="O19" s="8" t="s">
        <v>43</v>
      </c>
      <c r="P19" s="8" t="s">
        <v>43</v>
      </c>
      <c r="Q19" s="8" t="s">
        <v>43</v>
      </c>
      <c r="R19" s="8" t="s">
        <v>43</v>
      </c>
      <c r="S19" s="8" t="s">
        <v>43</v>
      </c>
      <c r="T19" s="8" t="s">
        <v>43</v>
      </c>
      <c r="U19" s="283" t="s">
        <v>43</v>
      </c>
      <c r="V19" s="8" t="s">
        <v>43</v>
      </c>
      <c r="W19" s="8" t="s">
        <v>43</v>
      </c>
      <c r="X19" s="401"/>
      <c r="Y19" s="401"/>
      <c r="Z19" s="401"/>
      <c r="AA19" s="401"/>
      <c r="AB19" s="401"/>
      <c r="AC19" s="7" t="s">
        <v>43</v>
      </c>
      <c r="AD19" s="8" t="s">
        <v>43</v>
      </c>
      <c r="AE19" s="8" t="s">
        <v>43</v>
      </c>
      <c r="AF19" s="7" t="s">
        <v>43</v>
      </c>
      <c r="AG19" s="8" t="s">
        <v>43</v>
      </c>
      <c r="AH19" s="8" t="s">
        <v>43</v>
      </c>
      <c r="AI19" s="7" t="s">
        <v>43</v>
      </c>
      <c r="AJ19" s="8" t="s">
        <v>43</v>
      </c>
      <c r="AK19" s="8" t="s">
        <v>43</v>
      </c>
      <c r="AL19" s="107"/>
      <c r="AM19" s="107"/>
      <c r="AN19" s="387"/>
    </row>
    <row r="20" spans="1:40" ht="15" customHeight="1" thickBot="1" x14ac:dyDescent="0.3">
      <c r="A20" s="142" t="s">
        <v>284</v>
      </c>
      <c r="B20" s="224">
        <v>4</v>
      </c>
      <c r="C20" s="327">
        <v>1</v>
      </c>
      <c r="D20" s="249">
        <v>0</v>
      </c>
      <c r="E20" s="141">
        <f t="shared" si="0"/>
        <v>5</v>
      </c>
      <c r="F20" s="143" t="s">
        <v>284</v>
      </c>
      <c r="G20" s="226">
        <v>20</v>
      </c>
      <c r="H20" s="329">
        <v>5</v>
      </c>
      <c r="I20" s="251">
        <v>0</v>
      </c>
      <c r="J20" s="101">
        <f t="shared" si="1"/>
        <v>25</v>
      </c>
      <c r="K20" s="142" t="s">
        <v>255</v>
      </c>
      <c r="L20" s="146" t="s">
        <v>43</v>
      </c>
      <c r="M20" s="146" t="s">
        <v>43</v>
      </c>
      <c r="N20" s="147" t="s">
        <v>43</v>
      </c>
      <c r="O20" s="8">
        <v>20</v>
      </c>
      <c r="P20" s="8">
        <v>27</v>
      </c>
      <c r="Q20" s="294">
        <f t="shared" ref="Q20:Q23" si="20">SUM(O20/P20)*100</f>
        <v>74.074074074074076</v>
      </c>
      <c r="R20" s="8">
        <v>8</v>
      </c>
      <c r="S20" s="8">
        <v>9</v>
      </c>
      <c r="T20" s="294">
        <f t="shared" si="19"/>
        <v>88.888888888888886</v>
      </c>
      <c r="U20" s="283" t="s">
        <v>43</v>
      </c>
      <c r="V20" s="8" t="s">
        <v>43</v>
      </c>
      <c r="W20" s="8" t="s">
        <v>43</v>
      </c>
      <c r="X20" s="401"/>
      <c r="Y20" s="401"/>
      <c r="Z20" s="401"/>
      <c r="AA20" s="401"/>
      <c r="AB20" s="401"/>
      <c r="AC20" s="283" t="s">
        <v>43</v>
      </c>
      <c r="AD20" s="8" t="s">
        <v>43</v>
      </c>
      <c r="AE20" s="8" t="s">
        <v>43</v>
      </c>
      <c r="AF20" s="7" t="s">
        <v>43</v>
      </c>
      <c r="AG20" s="8" t="s">
        <v>43</v>
      </c>
      <c r="AH20" s="8" t="s">
        <v>43</v>
      </c>
      <c r="AI20" s="283" t="s">
        <v>43</v>
      </c>
      <c r="AJ20" s="8" t="s">
        <v>43</v>
      </c>
      <c r="AK20" s="8" t="s">
        <v>43</v>
      </c>
      <c r="AL20" s="107"/>
      <c r="AM20" s="107"/>
    </row>
    <row r="21" spans="1:40" ht="15" customHeight="1" thickBot="1" x14ac:dyDescent="0.3">
      <c r="A21" s="142" t="s">
        <v>72</v>
      </c>
      <c r="B21" s="224">
        <v>0</v>
      </c>
      <c r="C21" s="327">
        <v>0</v>
      </c>
      <c r="D21" s="249">
        <v>0</v>
      </c>
      <c r="E21" s="141">
        <f t="shared" si="0"/>
        <v>0</v>
      </c>
      <c r="F21" s="143" t="s">
        <v>72</v>
      </c>
      <c r="G21" s="226">
        <v>0</v>
      </c>
      <c r="H21" s="329">
        <v>0</v>
      </c>
      <c r="I21" s="251">
        <v>0</v>
      </c>
      <c r="J21" s="101">
        <f t="shared" si="1"/>
        <v>0</v>
      </c>
      <c r="K21" s="142" t="s">
        <v>858</v>
      </c>
      <c r="L21" s="146">
        <v>2</v>
      </c>
      <c r="M21" s="146">
        <v>4</v>
      </c>
      <c r="N21" s="147">
        <v>50</v>
      </c>
      <c r="O21" s="8">
        <v>2</v>
      </c>
      <c r="P21" s="8">
        <v>2</v>
      </c>
      <c r="Q21" s="294">
        <f t="shared" si="20"/>
        <v>100</v>
      </c>
      <c r="R21" s="8" t="s">
        <v>43</v>
      </c>
      <c r="S21" s="8" t="s">
        <v>43</v>
      </c>
      <c r="T21" s="8" t="s">
        <v>43</v>
      </c>
      <c r="U21" s="283" t="s">
        <v>43</v>
      </c>
      <c r="V21" s="8" t="s">
        <v>43</v>
      </c>
      <c r="W21" s="8" t="s">
        <v>43</v>
      </c>
      <c r="X21" s="401"/>
      <c r="Y21" s="401"/>
      <c r="Z21" s="401"/>
      <c r="AA21" s="401"/>
      <c r="AB21" s="401"/>
      <c r="AC21" s="7" t="s">
        <v>43</v>
      </c>
      <c r="AD21" s="8" t="s">
        <v>43</v>
      </c>
      <c r="AE21" s="8" t="s">
        <v>43</v>
      </c>
      <c r="AF21" s="7" t="s">
        <v>43</v>
      </c>
      <c r="AG21" s="8" t="s">
        <v>43</v>
      </c>
      <c r="AH21" s="8" t="s">
        <v>43</v>
      </c>
      <c r="AI21" s="8" t="s">
        <v>43</v>
      </c>
      <c r="AJ21" s="8" t="s">
        <v>43</v>
      </c>
      <c r="AK21" s="8" t="s">
        <v>43</v>
      </c>
      <c r="AL21" s="107"/>
      <c r="AM21" s="107"/>
    </row>
    <row r="22" spans="1:40" ht="15" customHeight="1" thickBot="1" x14ac:dyDescent="0.3">
      <c r="A22" s="142" t="s">
        <v>256</v>
      </c>
      <c r="B22" s="224">
        <v>0</v>
      </c>
      <c r="C22" s="327">
        <v>0</v>
      </c>
      <c r="D22" s="249">
        <v>0</v>
      </c>
      <c r="E22" s="141">
        <f t="shared" si="0"/>
        <v>0</v>
      </c>
      <c r="F22" s="143" t="s">
        <v>256</v>
      </c>
      <c r="G22" s="226">
        <v>0</v>
      </c>
      <c r="H22" s="329">
        <v>0</v>
      </c>
      <c r="I22" s="251">
        <v>0</v>
      </c>
      <c r="J22" s="101">
        <f t="shared" si="1"/>
        <v>0</v>
      </c>
      <c r="K22" s="142" t="s">
        <v>8</v>
      </c>
      <c r="L22" s="146">
        <v>2</v>
      </c>
      <c r="M22" s="146">
        <v>2</v>
      </c>
      <c r="N22" s="147">
        <v>50</v>
      </c>
      <c r="O22" s="8" t="s">
        <v>43</v>
      </c>
      <c r="P22" s="8" t="s">
        <v>43</v>
      </c>
      <c r="Q22" s="8" t="s">
        <v>43</v>
      </c>
      <c r="R22" s="8" t="s">
        <v>43</v>
      </c>
      <c r="S22" s="8" t="s">
        <v>43</v>
      </c>
      <c r="T22" s="8" t="s">
        <v>43</v>
      </c>
      <c r="U22" s="283" t="s">
        <v>43</v>
      </c>
      <c r="V22" s="8" t="s">
        <v>43</v>
      </c>
      <c r="W22" s="8" t="s">
        <v>43</v>
      </c>
      <c r="X22" s="401"/>
      <c r="Y22" s="401"/>
      <c r="Z22" s="401"/>
      <c r="AA22" s="401"/>
      <c r="AB22" s="401"/>
      <c r="AC22" s="7" t="s">
        <v>43</v>
      </c>
      <c r="AD22" s="8" t="s">
        <v>43</v>
      </c>
      <c r="AE22" s="8" t="s">
        <v>43</v>
      </c>
      <c r="AF22" s="7" t="s">
        <v>43</v>
      </c>
      <c r="AG22" s="8" t="s">
        <v>43</v>
      </c>
      <c r="AH22" s="8" t="s">
        <v>43</v>
      </c>
      <c r="AI22" s="8" t="s">
        <v>43</v>
      </c>
      <c r="AJ22" s="8" t="s">
        <v>43</v>
      </c>
      <c r="AK22" s="8" t="s">
        <v>43</v>
      </c>
      <c r="AL22" s="107"/>
      <c r="AM22" s="107"/>
      <c r="AN22" s="362"/>
    </row>
    <row r="23" spans="1:40" ht="15" customHeight="1" thickBot="1" x14ac:dyDescent="0.3">
      <c r="A23" s="142" t="s">
        <v>1063</v>
      </c>
      <c r="B23" s="224">
        <v>0</v>
      </c>
      <c r="C23" s="327">
        <v>0</v>
      </c>
      <c r="D23" s="249">
        <v>0</v>
      </c>
      <c r="E23" s="141">
        <f t="shared" si="0"/>
        <v>0</v>
      </c>
      <c r="F23" s="143" t="s">
        <v>1063</v>
      </c>
      <c r="G23" s="226">
        <v>0</v>
      </c>
      <c r="H23" s="329">
        <v>0</v>
      </c>
      <c r="I23" s="251">
        <v>0</v>
      </c>
      <c r="J23" s="101">
        <f t="shared" si="1"/>
        <v>0</v>
      </c>
      <c r="K23" s="142" t="s">
        <v>254</v>
      </c>
      <c r="L23" s="146" t="s">
        <v>43</v>
      </c>
      <c r="M23" s="146" t="s">
        <v>43</v>
      </c>
      <c r="N23" s="147" t="s">
        <v>43</v>
      </c>
      <c r="O23" s="8">
        <v>7</v>
      </c>
      <c r="P23" s="8">
        <v>10</v>
      </c>
      <c r="Q23" s="294">
        <f t="shared" si="20"/>
        <v>70</v>
      </c>
      <c r="R23" s="8">
        <v>4</v>
      </c>
      <c r="S23" s="8">
        <v>6</v>
      </c>
      <c r="T23" s="294">
        <f t="shared" si="19"/>
        <v>66.666666666666657</v>
      </c>
      <c r="U23" s="283" t="s">
        <v>43</v>
      </c>
      <c r="V23" s="8" t="s">
        <v>43</v>
      </c>
      <c r="W23" s="8" t="s">
        <v>43</v>
      </c>
      <c r="X23" s="401"/>
      <c r="Y23" s="401"/>
      <c r="Z23" s="401"/>
      <c r="AA23" s="401"/>
      <c r="AB23" s="401"/>
      <c r="AC23" s="283" t="s">
        <v>43</v>
      </c>
      <c r="AD23" s="8" t="s">
        <v>43</v>
      </c>
      <c r="AE23" s="8" t="s">
        <v>43</v>
      </c>
      <c r="AF23" s="7" t="s">
        <v>43</v>
      </c>
      <c r="AG23" s="8" t="s">
        <v>43</v>
      </c>
      <c r="AH23" s="8" t="s">
        <v>43</v>
      </c>
      <c r="AI23" s="283" t="s">
        <v>43</v>
      </c>
      <c r="AJ23" s="8" t="s">
        <v>43</v>
      </c>
      <c r="AK23" s="8" t="s">
        <v>43</v>
      </c>
      <c r="AL23" s="107"/>
      <c r="AM23" s="107"/>
    </row>
    <row r="24" spans="1:40" ht="15" customHeight="1" thickBot="1" x14ac:dyDescent="0.3">
      <c r="A24" s="142" t="s">
        <v>72</v>
      </c>
      <c r="B24" s="224">
        <v>0</v>
      </c>
      <c r="C24" s="327">
        <v>0</v>
      </c>
      <c r="D24" s="249">
        <v>0</v>
      </c>
      <c r="E24" s="141">
        <f t="shared" si="0"/>
        <v>0</v>
      </c>
      <c r="F24" s="143" t="s">
        <v>72</v>
      </c>
      <c r="G24" s="226">
        <v>0</v>
      </c>
      <c r="H24" s="329">
        <v>0</v>
      </c>
      <c r="I24" s="251">
        <v>0</v>
      </c>
      <c r="J24" s="101">
        <f t="shared" si="1"/>
        <v>0</v>
      </c>
      <c r="X24" s="401"/>
      <c r="Y24" s="401"/>
      <c r="Z24" s="401"/>
      <c r="AA24" s="401"/>
      <c r="AB24" s="401"/>
      <c r="AC24" s="400"/>
      <c r="AD24" s="400"/>
      <c r="AE24" s="400"/>
      <c r="AF24" s="108" t="s">
        <v>72</v>
      </c>
      <c r="AG24" s="108" t="s">
        <v>72</v>
      </c>
    </row>
    <row r="25" spans="1:40" ht="15" customHeight="1" thickBot="1" x14ac:dyDescent="0.3">
      <c r="A25" s="142" t="s">
        <v>206</v>
      </c>
      <c r="B25" s="224">
        <v>0</v>
      </c>
      <c r="C25" s="327">
        <v>1</v>
      </c>
      <c r="D25" s="249">
        <v>1</v>
      </c>
      <c r="E25" s="141">
        <f t="shared" si="0"/>
        <v>2</v>
      </c>
      <c r="F25" s="143" t="s">
        <v>206</v>
      </c>
      <c r="G25" s="226">
        <v>0</v>
      </c>
      <c r="H25" s="329">
        <v>5</v>
      </c>
      <c r="I25" s="251">
        <v>5</v>
      </c>
      <c r="J25" s="101">
        <f t="shared" si="1"/>
        <v>10</v>
      </c>
      <c r="K25" s="509" t="s">
        <v>304</v>
      </c>
      <c r="L25" s="500" t="s">
        <v>42</v>
      </c>
      <c r="M25" s="501"/>
      <c r="N25" s="502"/>
      <c r="O25" s="494" t="s">
        <v>100</v>
      </c>
      <c r="P25" s="495"/>
      <c r="Q25" s="496"/>
      <c r="R25" s="494" t="s">
        <v>915</v>
      </c>
      <c r="S25" s="495"/>
      <c r="T25" s="496"/>
      <c r="U25" s="494" t="s">
        <v>303</v>
      </c>
      <c r="V25" s="495"/>
      <c r="W25" s="496"/>
      <c r="X25" s="401"/>
      <c r="Y25" s="401"/>
      <c r="Z25" s="401"/>
      <c r="AA25" s="401"/>
      <c r="AB25" s="401"/>
      <c r="AC25" s="494" t="s">
        <v>186</v>
      </c>
      <c r="AD25" s="495"/>
      <c r="AE25" s="496"/>
      <c r="AF25" s="494" t="s">
        <v>140</v>
      </c>
      <c r="AG25" s="495"/>
      <c r="AH25" s="496"/>
    </row>
    <row r="26" spans="1:40" ht="15" customHeight="1" thickBot="1" x14ac:dyDescent="0.3">
      <c r="A26" s="142" t="s">
        <v>72</v>
      </c>
      <c r="B26" s="224">
        <v>0</v>
      </c>
      <c r="C26" s="327">
        <v>0</v>
      </c>
      <c r="D26" s="249">
        <v>0</v>
      </c>
      <c r="E26" s="141">
        <f t="shared" si="0"/>
        <v>0</v>
      </c>
      <c r="F26" s="143" t="s">
        <v>72</v>
      </c>
      <c r="G26" s="226">
        <v>0</v>
      </c>
      <c r="H26" s="329">
        <v>0</v>
      </c>
      <c r="I26" s="251">
        <v>0</v>
      </c>
      <c r="J26" s="101">
        <f t="shared" si="1"/>
        <v>0</v>
      </c>
      <c r="K26" s="510"/>
      <c r="L26" s="503"/>
      <c r="M26" s="504"/>
      <c r="N26" s="505"/>
      <c r="O26" s="497"/>
      <c r="P26" s="498"/>
      <c r="Q26" s="499"/>
      <c r="R26" s="497"/>
      <c r="S26" s="498"/>
      <c r="T26" s="499"/>
      <c r="U26" s="497"/>
      <c r="V26" s="498"/>
      <c r="W26" s="499"/>
      <c r="X26" s="401"/>
      <c r="Y26" s="401"/>
      <c r="Z26" s="401"/>
      <c r="AA26" s="401"/>
      <c r="AB26" s="401"/>
      <c r="AC26" s="497"/>
      <c r="AD26" s="498"/>
      <c r="AE26" s="499"/>
      <c r="AF26" s="497"/>
      <c r="AG26" s="498"/>
      <c r="AH26" s="499"/>
    </row>
    <row r="27" spans="1:40" ht="15" customHeight="1" thickBot="1" x14ac:dyDescent="0.3">
      <c r="A27" s="142" t="s">
        <v>188</v>
      </c>
      <c r="B27" s="224">
        <v>1</v>
      </c>
      <c r="C27" s="327">
        <v>0</v>
      </c>
      <c r="D27" s="249">
        <v>0</v>
      </c>
      <c r="E27" s="141">
        <f t="shared" si="0"/>
        <v>1</v>
      </c>
      <c r="F27" s="143" t="s">
        <v>188</v>
      </c>
      <c r="G27" s="226">
        <v>72</v>
      </c>
      <c r="H27" s="329">
        <v>23</v>
      </c>
      <c r="I27" s="251">
        <v>0</v>
      </c>
      <c r="J27" s="101">
        <f t="shared" si="1"/>
        <v>95</v>
      </c>
      <c r="K27" s="35" t="s">
        <v>72</v>
      </c>
      <c r="L27" s="4" t="s">
        <v>176</v>
      </c>
      <c r="M27" s="4" t="s">
        <v>36</v>
      </c>
      <c r="N27" s="4" t="s">
        <v>37</v>
      </c>
      <c r="O27" s="106" t="s">
        <v>176</v>
      </c>
      <c r="P27" s="106" t="s">
        <v>36</v>
      </c>
      <c r="Q27" s="106" t="s">
        <v>37</v>
      </c>
      <c r="R27" s="106" t="s">
        <v>176</v>
      </c>
      <c r="S27" s="106" t="s">
        <v>36</v>
      </c>
      <c r="T27" s="106" t="s">
        <v>37</v>
      </c>
      <c r="U27" s="111" t="s">
        <v>176</v>
      </c>
      <c r="V27" s="106" t="s">
        <v>36</v>
      </c>
      <c r="W27" s="106" t="s">
        <v>37</v>
      </c>
      <c r="X27" s="401"/>
      <c r="Y27" s="401"/>
      <c r="Z27" s="401"/>
      <c r="AA27" s="401"/>
      <c r="AB27" s="401"/>
      <c r="AC27" s="111" t="s">
        <v>176</v>
      </c>
      <c r="AD27" s="106" t="s">
        <v>36</v>
      </c>
      <c r="AE27" s="106" t="s">
        <v>37</v>
      </c>
      <c r="AF27" s="111" t="s">
        <v>176</v>
      </c>
      <c r="AG27" s="106" t="s">
        <v>36</v>
      </c>
      <c r="AH27" s="106" t="s">
        <v>37</v>
      </c>
    </row>
    <row r="28" spans="1:40" ht="15" customHeight="1" thickBot="1" x14ac:dyDescent="0.3">
      <c r="A28" s="142" t="s">
        <v>93</v>
      </c>
      <c r="B28" s="224">
        <v>6</v>
      </c>
      <c r="C28" s="327">
        <v>0</v>
      </c>
      <c r="D28" s="249">
        <v>1</v>
      </c>
      <c r="E28" s="141">
        <f t="shared" si="0"/>
        <v>7</v>
      </c>
      <c r="F28" s="143" t="s">
        <v>93</v>
      </c>
      <c r="G28" s="226">
        <v>30</v>
      </c>
      <c r="H28" s="329">
        <v>0</v>
      </c>
      <c r="I28" s="251">
        <v>5</v>
      </c>
      <c r="J28" s="101">
        <f t="shared" si="1"/>
        <v>35</v>
      </c>
      <c r="K28" s="148" t="s">
        <v>255</v>
      </c>
      <c r="L28" s="146" t="s">
        <v>43</v>
      </c>
      <c r="M28" s="146" t="s">
        <v>43</v>
      </c>
      <c r="N28" s="146" t="s">
        <v>43</v>
      </c>
      <c r="O28" s="8" t="s">
        <v>43</v>
      </c>
      <c r="P28" s="8" t="s">
        <v>43</v>
      </c>
      <c r="Q28" s="8" t="s">
        <v>43</v>
      </c>
      <c r="R28" s="8">
        <v>1</v>
      </c>
      <c r="S28" s="8">
        <v>1</v>
      </c>
      <c r="T28" s="294">
        <f t="shared" ref="T28" si="21">SUM(R28/S28)*100</f>
        <v>100</v>
      </c>
      <c r="U28" s="283" t="s">
        <v>43</v>
      </c>
      <c r="V28" s="8" t="s">
        <v>43</v>
      </c>
      <c r="W28" s="8" t="s">
        <v>43</v>
      </c>
      <c r="X28" s="401"/>
      <c r="Y28" s="401"/>
      <c r="Z28" s="401"/>
      <c r="AA28" s="401"/>
      <c r="AB28" s="401"/>
      <c r="AC28" s="283" t="s">
        <v>43</v>
      </c>
      <c r="AD28" s="8" t="s">
        <v>43</v>
      </c>
      <c r="AE28" s="8" t="s">
        <v>43</v>
      </c>
      <c r="AF28" s="283" t="s">
        <v>43</v>
      </c>
      <c r="AG28" s="8" t="s">
        <v>43</v>
      </c>
      <c r="AH28" s="8" t="s">
        <v>43</v>
      </c>
    </row>
    <row r="29" spans="1:40" ht="15" customHeight="1" thickBot="1" x14ac:dyDescent="0.3">
      <c r="A29" s="142" t="s">
        <v>889</v>
      </c>
      <c r="B29" s="224">
        <v>2</v>
      </c>
      <c r="C29" s="327">
        <v>0</v>
      </c>
      <c r="D29" s="249">
        <v>0</v>
      </c>
      <c r="E29" s="141">
        <f t="shared" si="0"/>
        <v>2</v>
      </c>
      <c r="F29" s="143" t="s">
        <v>889</v>
      </c>
      <c r="G29" s="226">
        <v>10</v>
      </c>
      <c r="H29" s="329">
        <v>0</v>
      </c>
      <c r="I29" s="251">
        <v>0</v>
      </c>
      <c r="J29" s="101">
        <f t="shared" si="1"/>
        <v>10</v>
      </c>
      <c r="K29" s="148" t="s">
        <v>441</v>
      </c>
      <c r="L29" s="146">
        <v>3</v>
      </c>
      <c r="M29" s="146">
        <v>5</v>
      </c>
      <c r="N29" s="147">
        <f>(L29/M29)*100</f>
        <v>60</v>
      </c>
      <c r="O29" s="8" t="s">
        <v>43</v>
      </c>
      <c r="P29" s="8" t="s">
        <v>43</v>
      </c>
      <c r="Q29" s="8" t="s">
        <v>43</v>
      </c>
      <c r="R29" s="8"/>
      <c r="S29" s="8"/>
      <c r="T29" s="294"/>
      <c r="U29" s="283" t="s">
        <v>43</v>
      </c>
      <c r="V29" s="8" t="s">
        <v>43</v>
      </c>
      <c r="W29" s="8" t="s">
        <v>43</v>
      </c>
      <c r="X29" s="401"/>
      <c r="Y29" s="401"/>
      <c r="Z29" s="401"/>
      <c r="AA29" s="401"/>
      <c r="AB29" s="401"/>
      <c r="AC29" s="283" t="s">
        <v>43</v>
      </c>
      <c r="AD29" s="8" t="s">
        <v>43</v>
      </c>
      <c r="AE29" s="8" t="s">
        <v>43</v>
      </c>
      <c r="AF29" s="283" t="s">
        <v>43</v>
      </c>
      <c r="AG29" s="8" t="s">
        <v>43</v>
      </c>
      <c r="AH29" s="8" t="s">
        <v>43</v>
      </c>
    </row>
    <row r="30" spans="1:40" ht="15" customHeight="1" thickBot="1" x14ac:dyDescent="0.3">
      <c r="A30" s="142" t="s">
        <v>162</v>
      </c>
      <c r="B30" s="224">
        <v>1</v>
      </c>
      <c r="C30" s="327">
        <v>0</v>
      </c>
      <c r="D30" s="249">
        <v>0</v>
      </c>
      <c r="E30" s="141">
        <f t="shared" si="0"/>
        <v>1</v>
      </c>
      <c r="F30" s="143" t="s">
        <v>162</v>
      </c>
      <c r="G30" s="226">
        <v>5</v>
      </c>
      <c r="H30" s="329">
        <v>0</v>
      </c>
      <c r="I30" s="251">
        <v>0</v>
      </c>
      <c r="J30" s="101">
        <f t="shared" si="1"/>
        <v>5</v>
      </c>
      <c r="K30" s="148" t="s">
        <v>254</v>
      </c>
      <c r="L30" s="146" t="s">
        <v>43</v>
      </c>
      <c r="M30" s="146" t="s">
        <v>43</v>
      </c>
      <c r="N30" s="147" t="s">
        <v>43</v>
      </c>
      <c r="O30" s="8">
        <v>3</v>
      </c>
      <c r="P30" s="8">
        <v>4</v>
      </c>
      <c r="Q30" s="294">
        <f t="shared" ref="Q30:Q31" si="22">SUM(O30/P30)*100</f>
        <v>75</v>
      </c>
      <c r="R30" s="8">
        <v>5</v>
      </c>
      <c r="S30" s="8">
        <v>7</v>
      </c>
      <c r="T30" s="294">
        <f t="shared" ref="T30:T34" si="23">SUM(R30/S30)*100</f>
        <v>71.428571428571431</v>
      </c>
      <c r="U30" s="283" t="s">
        <v>43</v>
      </c>
      <c r="V30" s="8" t="s">
        <v>43</v>
      </c>
      <c r="W30" s="8" t="s">
        <v>43</v>
      </c>
      <c r="X30" s="401"/>
      <c r="Y30" s="401"/>
      <c r="Z30" s="401"/>
      <c r="AA30" s="401"/>
      <c r="AB30" s="401"/>
      <c r="AC30" s="283" t="s">
        <v>43</v>
      </c>
      <c r="AD30" s="8" t="s">
        <v>43</v>
      </c>
      <c r="AE30" s="8" t="s">
        <v>43</v>
      </c>
      <c r="AF30" s="7" t="s">
        <v>43</v>
      </c>
      <c r="AG30" s="8" t="s">
        <v>43</v>
      </c>
      <c r="AH30" s="8" t="s">
        <v>43</v>
      </c>
    </row>
    <row r="31" spans="1:40" ht="15" customHeight="1" thickBot="1" x14ac:dyDescent="0.3">
      <c r="A31" s="142" t="s">
        <v>72</v>
      </c>
      <c r="B31" s="224">
        <v>0</v>
      </c>
      <c r="C31" s="327">
        <v>0</v>
      </c>
      <c r="D31" s="249">
        <v>0</v>
      </c>
      <c r="E31" s="141">
        <f t="shared" si="0"/>
        <v>0</v>
      </c>
      <c r="F31" s="143" t="s">
        <v>72</v>
      </c>
      <c r="G31" s="226">
        <v>0</v>
      </c>
      <c r="H31" s="329">
        <v>0</v>
      </c>
      <c r="I31" s="251">
        <v>0</v>
      </c>
      <c r="J31" s="101">
        <f t="shared" si="1"/>
        <v>0</v>
      </c>
      <c r="K31" s="148" t="s">
        <v>858</v>
      </c>
      <c r="L31" s="146">
        <v>19</v>
      </c>
      <c r="M31" s="146">
        <v>25</v>
      </c>
      <c r="N31" s="147">
        <f>(L31/M31)*100</f>
        <v>76</v>
      </c>
      <c r="O31" s="8">
        <v>2</v>
      </c>
      <c r="P31" s="8">
        <v>4</v>
      </c>
      <c r="Q31" s="294">
        <f t="shared" si="22"/>
        <v>50</v>
      </c>
      <c r="R31" s="8" t="s">
        <v>43</v>
      </c>
      <c r="S31" s="8" t="s">
        <v>43</v>
      </c>
      <c r="T31" s="8" t="s">
        <v>43</v>
      </c>
      <c r="U31" s="283" t="s">
        <v>43</v>
      </c>
      <c r="V31" s="8" t="s">
        <v>43</v>
      </c>
      <c r="W31" s="8" t="s">
        <v>43</v>
      </c>
      <c r="X31" s="401"/>
      <c r="Y31" s="401"/>
      <c r="Z31" s="401"/>
      <c r="AA31" s="401"/>
      <c r="AB31" s="401"/>
      <c r="AC31" s="7" t="s">
        <v>43</v>
      </c>
      <c r="AD31" s="8" t="s">
        <v>43</v>
      </c>
      <c r="AE31" s="8" t="s">
        <v>43</v>
      </c>
      <c r="AF31" s="283" t="s">
        <v>43</v>
      </c>
      <c r="AG31" s="8" t="s">
        <v>43</v>
      </c>
      <c r="AH31" s="8" t="s">
        <v>43</v>
      </c>
    </row>
    <row r="32" spans="1:40" ht="15" customHeight="1" thickBot="1" x14ac:dyDescent="0.3">
      <c r="A32" s="142" t="s">
        <v>72</v>
      </c>
      <c r="B32" s="224">
        <v>0</v>
      </c>
      <c r="C32" s="327">
        <v>0</v>
      </c>
      <c r="D32" s="249">
        <v>0</v>
      </c>
      <c r="E32" s="141">
        <f t="shared" si="0"/>
        <v>0</v>
      </c>
      <c r="F32" s="143" t="s">
        <v>72</v>
      </c>
      <c r="G32" s="226">
        <v>0</v>
      </c>
      <c r="H32" s="329">
        <v>0</v>
      </c>
      <c r="I32" s="251">
        <v>0</v>
      </c>
      <c r="J32" s="101">
        <f t="shared" si="1"/>
        <v>0</v>
      </c>
      <c r="K32" s="148" t="s">
        <v>836</v>
      </c>
      <c r="L32" s="146" t="s">
        <v>43</v>
      </c>
      <c r="M32" s="146" t="s">
        <v>43</v>
      </c>
      <c r="N32" s="147" t="s">
        <v>43</v>
      </c>
      <c r="O32" s="8">
        <v>1</v>
      </c>
      <c r="P32" s="8">
        <v>2</v>
      </c>
      <c r="Q32" s="294">
        <f t="shared" ref="Q32" si="24">SUM(O32/P32)*100</f>
        <v>50</v>
      </c>
      <c r="R32" s="8" t="s">
        <v>43</v>
      </c>
      <c r="S32" s="8" t="s">
        <v>43</v>
      </c>
      <c r="T32" s="8" t="s">
        <v>43</v>
      </c>
      <c r="U32" s="283" t="s">
        <v>43</v>
      </c>
      <c r="V32" s="8" t="s">
        <v>43</v>
      </c>
      <c r="W32" s="8" t="s">
        <v>43</v>
      </c>
      <c r="X32" s="401"/>
      <c r="Y32" s="401"/>
      <c r="Z32" s="401"/>
      <c r="AA32" s="401"/>
      <c r="AB32" s="401"/>
      <c r="AC32" s="7" t="s">
        <v>43</v>
      </c>
      <c r="AD32" s="8" t="s">
        <v>43</v>
      </c>
      <c r="AE32" s="8" t="s">
        <v>43</v>
      </c>
      <c r="AF32" s="283" t="s">
        <v>43</v>
      </c>
      <c r="AG32" s="8" t="s">
        <v>43</v>
      </c>
      <c r="AH32" s="8" t="s">
        <v>43</v>
      </c>
    </row>
    <row r="33" spans="1:31" ht="15" customHeight="1" thickBot="1" x14ac:dyDescent="0.3">
      <c r="A33" s="142" t="s">
        <v>72</v>
      </c>
      <c r="B33" s="224">
        <v>0</v>
      </c>
      <c r="C33" s="327">
        <v>0</v>
      </c>
      <c r="D33" s="249">
        <v>0</v>
      </c>
      <c r="E33" s="141">
        <f t="shared" si="0"/>
        <v>0</v>
      </c>
      <c r="F33" s="143" t="s">
        <v>72</v>
      </c>
      <c r="G33" s="226">
        <v>0</v>
      </c>
      <c r="H33" s="329">
        <v>0</v>
      </c>
      <c r="I33" s="251">
        <v>0</v>
      </c>
      <c r="J33" s="101">
        <f t="shared" si="1"/>
        <v>0</v>
      </c>
      <c r="K33" s="148" t="s">
        <v>8</v>
      </c>
      <c r="L33" s="146">
        <v>2</v>
      </c>
      <c r="M33" s="146">
        <v>2</v>
      </c>
      <c r="N33" s="147">
        <f>(L33/M33)*100</f>
        <v>100</v>
      </c>
      <c r="O33" s="8"/>
      <c r="P33" s="8"/>
      <c r="Q33" s="294"/>
      <c r="R33" s="8" t="s">
        <v>43</v>
      </c>
      <c r="S33" s="8" t="s">
        <v>43</v>
      </c>
      <c r="T33" s="8" t="s">
        <v>43</v>
      </c>
      <c r="U33" s="283" t="s">
        <v>43</v>
      </c>
      <c r="V33" s="8" t="s">
        <v>43</v>
      </c>
      <c r="W33" s="8" t="s">
        <v>43</v>
      </c>
      <c r="X33" s="401"/>
      <c r="Y33" s="401"/>
      <c r="Z33" s="401"/>
      <c r="AA33" s="401"/>
      <c r="AB33" s="401"/>
      <c r="AC33" s="7" t="s">
        <v>43</v>
      </c>
      <c r="AD33" s="8" t="s">
        <v>43</v>
      </c>
      <c r="AE33" s="8" t="s">
        <v>43</v>
      </c>
    </row>
    <row r="34" spans="1:31" ht="15" customHeight="1" thickBot="1" x14ac:dyDescent="0.3">
      <c r="A34" s="142" t="s">
        <v>1057</v>
      </c>
      <c r="B34" s="224">
        <v>1</v>
      </c>
      <c r="C34" s="327">
        <v>1</v>
      </c>
      <c r="D34" s="249">
        <v>0</v>
      </c>
      <c r="E34" s="141">
        <f t="shared" si="0"/>
        <v>2</v>
      </c>
      <c r="F34" s="143" t="s">
        <v>1057</v>
      </c>
      <c r="G34" s="226">
        <v>5</v>
      </c>
      <c r="H34" s="329">
        <v>5</v>
      </c>
      <c r="I34" s="251">
        <v>0</v>
      </c>
      <c r="J34" s="101">
        <f t="shared" si="1"/>
        <v>10</v>
      </c>
      <c r="K34" s="142" t="s">
        <v>188</v>
      </c>
      <c r="L34" s="146" t="s">
        <v>43</v>
      </c>
      <c r="M34" s="146" t="s">
        <v>43</v>
      </c>
      <c r="N34" s="146" t="s">
        <v>43</v>
      </c>
      <c r="O34" s="8" t="s">
        <v>43</v>
      </c>
      <c r="P34" s="8" t="s">
        <v>43</v>
      </c>
      <c r="Q34" s="8" t="s">
        <v>43</v>
      </c>
      <c r="R34" s="8">
        <v>8</v>
      </c>
      <c r="S34" s="8">
        <v>10</v>
      </c>
      <c r="T34" s="294">
        <f t="shared" si="23"/>
        <v>80</v>
      </c>
      <c r="U34" s="283" t="s">
        <v>43</v>
      </c>
      <c r="V34" s="8" t="s">
        <v>43</v>
      </c>
      <c r="W34" s="8" t="s">
        <v>43</v>
      </c>
      <c r="X34" s="401"/>
      <c r="Y34" s="401"/>
      <c r="Z34" s="401"/>
      <c r="AA34" s="401"/>
      <c r="AB34" s="401"/>
      <c r="AC34" s="283" t="s">
        <v>43</v>
      </c>
      <c r="AD34" s="8" t="s">
        <v>43</v>
      </c>
      <c r="AE34" s="8" t="s">
        <v>43</v>
      </c>
    </row>
    <row r="35" spans="1:31" ht="15" customHeight="1" thickBot="1" x14ac:dyDescent="0.3">
      <c r="A35" s="142" t="s">
        <v>72</v>
      </c>
      <c r="B35" s="224">
        <v>0</v>
      </c>
      <c r="C35" s="327">
        <v>0</v>
      </c>
      <c r="D35" s="249">
        <v>0</v>
      </c>
      <c r="E35" s="141">
        <f t="shared" si="0"/>
        <v>0</v>
      </c>
      <c r="F35" s="143" t="s">
        <v>72</v>
      </c>
      <c r="G35" s="226">
        <v>0</v>
      </c>
      <c r="H35" s="329">
        <v>0</v>
      </c>
      <c r="I35" s="251">
        <v>0</v>
      </c>
      <c r="J35" s="101">
        <f t="shared" si="1"/>
        <v>0</v>
      </c>
    </row>
    <row r="36" spans="1:31" ht="15" customHeight="1" thickBot="1" x14ac:dyDescent="0.3">
      <c r="A36" s="142" t="s">
        <v>6</v>
      </c>
      <c r="B36" s="224">
        <v>1</v>
      </c>
      <c r="C36" s="327">
        <v>1</v>
      </c>
      <c r="D36" s="249">
        <v>1</v>
      </c>
      <c r="E36" s="141">
        <f t="shared" si="0"/>
        <v>3</v>
      </c>
      <c r="F36" s="143" t="s">
        <v>6</v>
      </c>
      <c r="G36" s="226">
        <v>7</v>
      </c>
      <c r="H36" s="329">
        <v>7</v>
      </c>
      <c r="I36" s="251">
        <v>7</v>
      </c>
      <c r="J36" s="101">
        <f t="shared" si="1"/>
        <v>21</v>
      </c>
    </row>
    <row r="37" spans="1:31" ht="15" customHeight="1" thickBot="1" x14ac:dyDescent="0.3">
      <c r="A37" s="142" t="s">
        <v>189</v>
      </c>
      <c r="B37" s="224">
        <v>0</v>
      </c>
      <c r="C37" s="327">
        <v>0</v>
      </c>
      <c r="D37" s="249">
        <v>0</v>
      </c>
      <c r="E37" s="141">
        <f t="shared" si="0"/>
        <v>0</v>
      </c>
      <c r="F37" s="143" t="s">
        <v>189</v>
      </c>
      <c r="G37" s="226">
        <v>0</v>
      </c>
      <c r="H37" s="329">
        <v>0</v>
      </c>
      <c r="I37" s="251">
        <v>0</v>
      </c>
      <c r="J37" s="101">
        <f t="shared" si="1"/>
        <v>0</v>
      </c>
    </row>
    <row r="38" spans="1:31" ht="15" customHeight="1" thickBot="1" x14ac:dyDescent="0.3">
      <c r="A38" s="142" t="s">
        <v>897</v>
      </c>
      <c r="B38" s="224">
        <v>1</v>
      </c>
      <c r="C38" s="327">
        <v>0</v>
      </c>
      <c r="D38" s="249">
        <v>0</v>
      </c>
      <c r="E38" s="141">
        <f t="shared" si="0"/>
        <v>1</v>
      </c>
      <c r="F38" s="143" t="s">
        <v>897</v>
      </c>
      <c r="G38" s="226">
        <v>5</v>
      </c>
      <c r="H38" s="329">
        <v>0</v>
      </c>
      <c r="I38" s="251">
        <v>0</v>
      </c>
      <c r="J38" s="101">
        <f t="shared" si="1"/>
        <v>5</v>
      </c>
    </row>
    <row r="39" spans="1:31" ht="15" customHeight="1" thickBot="1" x14ac:dyDescent="0.3">
      <c r="A39" s="142" t="s">
        <v>296</v>
      </c>
      <c r="B39" s="224">
        <v>0</v>
      </c>
      <c r="C39" s="327">
        <v>0</v>
      </c>
      <c r="D39" s="249">
        <v>0</v>
      </c>
      <c r="E39" s="141">
        <f t="shared" si="0"/>
        <v>0</v>
      </c>
      <c r="F39" s="143" t="s">
        <v>296</v>
      </c>
      <c r="G39" s="226">
        <v>0</v>
      </c>
      <c r="H39" s="329">
        <v>0</v>
      </c>
      <c r="I39" s="251">
        <v>0</v>
      </c>
      <c r="J39" s="101">
        <f t="shared" si="1"/>
        <v>0</v>
      </c>
    </row>
    <row r="40" spans="1:31" ht="15" customHeight="1" thickBot="1" x14ac:dyDescent="0.3">
      <c r="A40" s="142" t="s">
        <v>295</v>
      </c>
      <c r="B40" s="224">
        <v>0</v>
      </c>
      <c r="C40" s="327">
        <v>0</v>
      </c>
      <c r="D40" s="249">
        <v>0</v>
      </c>
      <c r="E40" s="141">
        <f t="shared" si="0"/>
        <v>0</v>
      </c>
      <c r="F40" s="143" t="s">
        <v>295</v>
      </c>
      <c r="G40" s="226">
        <v>0</v>
      </c>
      <c r="H40" s="329">
        <v>0</v>
      </c>
      <c r="I40" s="251">
        <v>0</v>
      </c>
      <c r="J40" s="101">
        <f t="shared" si="1"/>
        <v>0</v>
      </c>
    </row>
    <row r="41" spans="1:31" ht="15" customHeight="1" thickBot="1" x14ac:dyDescent="0.3">
      <c r="A41" s="142" t="s">
        <v>997</v>
      </c>
      <c r="B41" s="224">
        <v>0</v>
      </c>
      <c r="C41" s="327">
        <v>0</v>
      </c>
      <c r="D41" s="249">
        <v>1</v>
      </c>
      <c r="E41" s="141">
        <f t="shared" ref="E41" si="25">SUM(B41:D41)</f>
        <v>1</v>
      </c>
      <c r="F41" s="143" t="s">
        <v>997</v>
      </c>
      <c r="G41" s="226">
        <v>0</v>
      </c>
      <c r="H41" s="329">
        <v>0</v>
      </c>
      <c r="I41" s="251">
        <v>5</v>
      </c>
      <c r="J41" s="101">
        <f t="shared" ref="J41" si="26">SUM(G41:I41)</f>
        <v>5</v>
      </c>
    </row>
    <row r="42" spans="1:31" ht="15" customHeight="1" thickBot="1" x14ac:dyDescent="0.3">
      <c r="A42" s="142" t="s">
        <v>257</v>
      </c>
      <c r="B42" s="224">
        <v>1</v>
      </c>
      <c r="C42" s="327">
        <v>1</v>
      </c>
      <c r="D42" s="249">
        <v>0</v>
      </c>
      <c r="E42" s="141">
        <f t="shared" si="0"/>
        <v>2</v>
      </c>
      <c r="F42" s="143" t="s">
        <v>257</v>
      </c>
      <c r="G42" s="226">
        <v>5</v>
      </c>
      <c r="H42" s="329">
        <v>5</v>
      </c>
      <c r="I42" s="251">
        <v>0</v>
      </c>
      <c r="J42" s="101">
        <f t="shared" si="1"/>
        <v>10</v>
      </c>
    </row>
    <row r="43" spans="1:31" ht="15" customHeight="1" thickBot="1" x14ac:dyDescent="0.3">
      <c r="A43" s="142" t="s">
        <v>223</v>
      </c>
      <c r="B43" s="224">
        <v>5</v>
      </c>
      <c r="C43" s="327">
        <v>0</v>
      </c>
      <c r="D43" s="249">
        <v>3</v>
      </c>
      <c r="E43" s="141">
        <f t="shared" si="0"/>
        <v>8</v>
      </c>
      <c r="F43" s="143" t="s">
        <v>223</v>
      </c>
      <c r="G43" s="226">
        <v>25</v>
      </c>
      <c r="H43" s="329">
        <v>0</v>
      </c>
      <c r="I43" s="251">
        <v>15</v>
      </c>
      <c r="J43" s="101">
        <f t="shared" si="1"/>
        <v>40</v>
      </c>
    </row>
    <row r="44" spans="1:31" ht="15.75" thickBot="1" x14ac:dyDescent="0.3">
      <c r="A44" s="142" t="s">
        <v>72</v>
      </c>
      <c r="B44" s="224">
        <v>0</v>
      </c>
      <c r="C44" s="327">
        <v>0</v>
      </c>
      <c r="D44" s="249">
        <v>0</v>
      </c>
      <c r="E44" s="141">
        <f t="shared" si="0"/>
        <v>0</v>
      </c>
      <c r="F44" s="143" t="s">
        <v>72</v>
      </c>
      <c r="G44" s="226">
        <v>0</v>
      </c>
      <c r="H44" s="329">
        <v>0</v>
      </c>
      <c r="I44" s="251">
        <v>0</v>
      </c>
      <c r="J44" s="101">
        <f t="shared" si="1"/>
        <v>0</v>
      </c>
    </row>
    <row r="45" spans="1:31" ht="15.75" thickBot="1" x14ac:dyDescent="0.3">
      <c r="A45" s="142" t="s">
        <v>1197</v>
      </c>
      <c r="B45" s="224">
        <v>1</v>
      </c>
      <c r="C45" s="327">
        <v>0</v>
      </c>
      <c r="D45" s="249">
        <v>0</v>
      </c>
      <c r="E45" s="141">
        <f t="shared" si="0"/>
        <v>1</v>
      </c>
      <c r="F45" s="143" t="s">
        <v>1197</v>
      </c>
      <c r="G45" s="226">
        <v>5</v>
      </c>
      <c r="H45" s="329">
        <v>0</v>
      </c>
      <c r="I45" s="251">
        <v>0</v>
      </c>
      <c r="J45" s="101">
        <f t="shared" si="1"/>
        <v>5</v>
      </c>
    </row>
    <row r="46" spans="1:31" ht="15.75" thickBot="1" x14ac:dyDescent="0.3">
      <c r="A46" s="142" t="s">
        <v>829</v>
      </c>
      <c r="B46" s="224">
        <v>5</v>
      </c>
      <c r="C46" s="327">
        <v>1</v>
      </c>
      <c r="D46" s="249">
        <v>1</v>
      </c>
      <c r="E46" s="141">
        <f t="shared" si="0"/>
        <v>7</v>
      </c>
      <c r="F46" s="143" t="s">
        <v>829</v>
      </c>
      <c r="G46" s="226">
        <v>25</v>
      </c>
      <c r="H46" s="329">
        <v>5</v>
      </c>
      <c r="I46" s="251">
        <v>5</v>
      </c>
      <c r="J46" s="101">
        <f t="shared" si="1"/>
        <v>35</v>
      </c>
    </row>
    <row r="47" spans="1:31" ht="15.75" thickBot="1" x14ac:dyDescent="0.3">
      <c r="A47" s="142" t="s">
        <v>1005</v>
      </c>
      <c r="B47" s="224">
        <v>4</v>
      </c>
      <c r="C47" s="327">
        <v>2</v>
      </c>
      <c r="D47" s="249">
        <v>3</v>
      </c>
      <c r="E47" s="141">
        <f t="shared" ref="E47" si="27">SUM(B47:D47)</f>
        <v>9</v>
      </c>
      <c r="F47" s="143" t="s">
        <v>1005</v>
      </c>
      <c r="G47" s="226">
        <v>20</v>
      </c>
      <c r="H47" s="329">
        <v>10</v>
      </c>
      <c r="I47" s="251">
        <v>15</v>
      </c>
      <c r="J47" s="101">
        <f t="shared" ref="J47" si="28">SUM(G47:I47)</f>
        <v>45</v>
      </c>
    </row>
    <row r="48" spans="1:31" ht="15.75" thickBot="1" x14ac:dyDescent="0.3">
      <c r="A48" s="142" t="s">
        <v>190</v>
      </c>
      <c r="B48" s="224">
        <v>2</v>
      </c>
      <c r="C48" s="327">
        <v>0</v>
      </c>
      <c r="D48" s="249">
        <v>0</v>
      </c>
      <c r="E48" s="141">
        <f t="shared" si="0"/>
        <v>2</v>
      </c>
      <c r="F48" s="143" t="s">
        <v>190</v>
      </c>
      <c r="G48" s="226">
        <v>10</v>
      </c>
      <c r="H48" s="329">
        <v>0</v>
      </c>
      <c r="I48" s="251">
        <v>0</v>
      </c>
      <c r="J48" s="101">
        <f t="shared" si="1"/>
        <v>10</v>
      </c>
    </row>
    <row r="49" spans="1:10" ht="15.75" thickBot="1" x14ac:dyDescent="0.3">
      <c r="A49" s="142" t="s">
        <v>836</v>
      </c>
      <c r="B49" s="224">
        <v>0</v>
      </c>
      <c r="C49" s="327">
        <v>0</v>
      </c>
      <c r="D49" s="249">
        <v>0</v>
      </c>
      <c r="E49" s="141">
        <f t="shared" si="0"/>
        <v>0</v>
      </c>
      <c r="F49" s="143" t="s">
        <v>836</v>
      </c>
      <c r="G49" s="226">
        <v>0</v>
      </c>
      <c r="H49" s="329">
        <v>0</v>
      </c>
      <c r="I49" s="251">
        <v>0</v>
      </c>
      <c r="J49" s="101">
        <f t="shared" si="1"/>
        <v>0</v>
      </c>
    </row>
    <row r="50" spans="1:10" ht="15.75" thickBot="1" x14ac:dyDescent="0.3">
      <c r="A50" s="142" t="s">
        <v>8</v>
      </c>
      <c r="B50" s="224">
        <v>0</v>
      </c>
      <c r="C50" s="327">
        <v>0</v>
      </c>
      <c r="D50" s="249">
        <v>0</v>
      </c>
      <c r="E50" s="141">
        <f t="shared" ref="E50" si="29">SUM(B50:D50)</f>
        <v>0</v>
      </c>
      <c r="F50" s="143" t="s">
        <v>8</v>
      </c>
      <c r="G50" s="226">
        <v>0</v>
      </c>
      <c r="H50" s="329">
        <v>5</v>
      </c>
      <c r="I50" s="251">
        <v>4</v>
      </c>
      <c r="J50" s="101">
        <f t="shared" ref="J50" si="30">SUM(G50:I50)</f>
        <v>9</v>
      </c>
    </row>
    <row r="51" spans="1:10" ht="15.75" thickBot="1" x14ac:dyDescent="0.3">
      <c r="A51" s="142" t="s">
        <v>12</v>
      </c>
      <c r="B51" s="224">
        <v>6</v>
      </c>
      <c r="C51" s="327">
        <v>0</v>
      </c>
      <c r="D51" s="249">
        <v>0</v>
      </c>
      <c r="E51" s="141">
        <f t="shared" si="0"/>
        <v>6</v>
      </c>
      <c r="F51" s="143" t="s">
        <v>12</v>
      </c>
      <c r="G51" s="226">
        <v>30</v>
      </c>
      <c r="H51" s="329">
        <v>0</v>
      </c>
      <c r="I51" s="251">
        <v>0</v>
      </c>
      <c r="J51" s="101">
        <f t="shared" si="1"/>
        <v>30</v>
      </c>
    </row>
    <row r="52" spans="1:10" ht="15.75" thickBot="1" x14ac:dyDescent="0.3">
      <c r="A52" s="142" t="s">
        <v>3</v>
      </c>
      <c r="B52" s="224">
        <f>SUM(B3:B51)</f>
        <v>69</v>
      </c>
      <c r="C52" s="327">
        <f>SUM(C3:C51)</f>
        <v>11</v>
      </c>
      <c r="D52" s="249">
        <f>SUM(D3:D51)</f>
        <v>25</v>
      </c>
      <c r="E52" s="141">
        <f>SUM(E3:E51)</f>
        <v>105</v>
      </c>
      <c r="F52" s="143" t="s">
        <v>3</v>
      </c>
      <c r="G52" s="226">
        <f>SUM(G3:G51)</f>
        <v>546</v>
      </c>
      <c r="H52" s="329">
        <f>SUM(H3:H51)</f>
        <v>92</v>
      </c>
      <c r="I52" s="251">
        <f>SUM(I3:I51)</f>
        <v>181</v>
      </c>
      <c r="J52" s="101">
        <f>SUM(J3:J51)</f>
        <v>819</v>
      </c>
    </row>
    <row r="53" spans="1:10" x14ac:dyDescent="0.25">
      <c r="B53" s="199"/>
      <c r="C53" s="91"/>
      <c r="D53" s="91"/>
      <c r="F53" s="144"/>
      <c r="G53" s="199"/>
      <c r="H53" s="91"/>
      <c r="I53" s="91"/>
    </row>
    <row r="54" spans="1:10" ht="15.75" thickBot="1" x14ac:dyDescent="0.3">
      <c r="A54" t="s">
        <v>39</v>
      </c>
      <c r="B54" s="199"/>
      <c r="C54" s="91"/>
      <c r="D54" s="91"/>
      <c r="F54" s="145"/>
      <c r="G54" s="203"/>
      <c r="H54" s="93"/>
      <c r="I54" s="93"/>
      <c r="J54" s="41"/>
    </row>
    <row r="55" spans="1:10" ht="15.75" thickBot="1" x14ac:dyDescent="0.3">
      <c r="A55" s="156" t="s">
        <v>0</v>
      </c>
      <c r="B55" s="223" t="s">
        <v>305</v>
      </c>
      <c r="C55" s="326" t="s">
        <v>99</v>
      </c>
      <c r="D55" s="248" t="s">
        <v>306</v>
      </c>
      <c r="E55" s="157" t="s">
        <v>1</v>
      </c>
      <c r="F55" s="158" t="s">
        <v>2</v>
      </c>
      <c r="G55" s="225" t="s">
        <v>305</v>
      </c>
      <c r="H55" s="328" t="s">
        <v>99</v>
      </c>
      <c r="I55" s="250" t="s">
        <v>306</v>
      </c>
      <c r="J55" s="159" t="s">
        <v>1</v>
      </c>
    </row>
    <row r="56" spans="1:10" ht="15.75" thickBot="1" x14ac:dyDescent="0.3">
      <c r="A56" s="142" t="s">
        <v>807</v>
      </c>
      <c r="B56" s="224">
        <v>4</v>
      </c>
      <c r="C56" s="327">
        <v>1</v>
      </c>
      <c r="D56" s="249">
        <v>4</v>
      </c>
      <c r="E56" s="141">
        <f t="shared" ref="E56:E87" si="31">SUM(B56:D56)</f>
        <v>9</v>
      </c>
      <c r="F56" s="182" t="s">
        <v>858</v>
      </c>
      <c r="G56" s="226">
        <v>141</v>
      </c>
      <c r="H56" s="329">
        <v>5</v>
      </c>
      <c r="I56" s="251">
        <v>43</v>
      </c>
      <c r="J56" s="101">
        <f t="shared" ref="J56:J87" si="32">SUM(G56:I56)</f>
        <v>189</v>
      </c>
    </row>
    <row r="57" spans="1:10" ht="15.75" thickBot="1" x14ac:dyDescent="0.3">
      <c r="A57" s="142" t="s">
        <v>1005</v>
      </c>
      <c r="B57" s="224">
        <v>4</v>
      </c>
      <c r="C57" s="327">
        <v>2</v>
      </c>
      <c r="D57" s="249">
        <v>3</v>
      </c>
      <c r="E57" s="141">
        <f t="shared" si="31"/>
        <v>9</v>
      </c>
      <c r="F57" s="143" t="s">
        <v>188</v>
      </c>
      <c r="G57" s="226">
        <v>72</v>
      </c>
      <c r="H57" s="329">
        <v>23</v>
      </c>
      <c r="I57" s="251">
        <v>0</v>
      </c>
      <c r="J57" s="101">
        <f t="shared" si="32"/>
        <v>95</v>
      </c>
    </row>
    <row r="58" spans="1:10" ht="15.75" thickBot="1" x14ac:dyDescent="0.3">
      <c r="A58" s="142" t="s">
        <v>285</v>
      </c>
      <c r="B58" s="224">
        <v>8</v>
      </c>
      <c r="C58" s="327">
        <v>0</v>
      </c>
      <c r="D58" s="249">
        <v>0</v>
      </c>
      <c r="E58" s="141">
        <f t="shared" si="31"/>
        <v>8</v>
      </c>
      <c r="F58" s="143" t="s">
        <v>807</v>
      </c>
      <c r="G58" s="226">
        <v>20</v>
      </c>
      <c r="H58" s="329">
        <v>5</v>
      </c>
      <c r="I58" s="251">
        <v>20</v>
      </c>
      <c r="J58" s="101">
        <f t="shared" si="32"/>
        <v>45</v>
      </c>
    </row>
    <row r="59" spans="1:10" ht="15.75" thickBot="1" x14ac:dyDescent="0.3">
      <c r="A59" s="142" t="s">
        <v>223</v>
      </c>
      <c r="B59" s="224">
        <v>5</v>
      </c>
      <c r="C59" s="327">
        <v>0</v>
      </c>
      <c r="D59" s="249">
        <v>3</v>
      </c>
      <c r="E59" s="141">
        <f t="shared" si="31"/>
        <v>8</v>
      </c>
      <c r="F59" s="143" t="s">
        <v>1005</v>
      </c>
      <c r="G59" s="226">
        <v>20</v>
      </c>
      <c r="H59" s="329">
        <v>10</v>
      </c>
      <c r="I59" s="251">
        <v>15</v>
      </c>
      <c r="J59" s="101">
        <f t="shared" si="32"/>
        <v>45</v>
      </c>
    </row>
    <row r="60" spans="1:10" ht="15.75" thickBot="1" x14ac:dyDescent="0.3">
      <c r="A60" s="142" t="s">
        <v>995</v>
      </c>
      <c r="B60" s="224">
        <v>4</v>
      </c>
      <c r="C60" s="327">
        <v>0</v>
      </c>
      <c r="D60" s="249">
        <v>3</v>
      </c>
      <c r="E60" s="141">
        <f t="shared" si="31"/>
        <v>7</v>
      </c>
      <c r="F60" s="143" t="s">
        <v>286</v>
      </c>
      <c r="G60" s="226">
        <v>40</v>
      </c>
      <c r="H60" s="329">
        <v>0</v>
      </c>
      <c r="I60" s="251">
        <v>0</v>
      </c>
      <c r="J60" s="101">
        <f t="shared" si="32"/>
        <v>40</v>
      </c>
    </row>
    <row r="61" spans="1:10" ht="15.75" thickBot="1" x14ac:dyDescent="0.3">
      <c r="A61" s="142" t="s">
        <v>93</v>
      </c>
      <c r="B61" s="224">
        <v>6</v>
      </c>
      <c r="C61" s="327">
        <v>0</v>
      </c>
      <c r="D61" s="249">
        <v>1</v>
      </c>
      <c r="E61" s="141">
        <f t="shared" si="31"/>
        <v>7</v>
      </c>
      <c r="F61" s="143" t="s">
        <v>223</v>
      </c>
      <c r="G61" s="226">
        <v>25</v>
      </c>
      <c r="H61" s="329">
        <v>0</v>
      </c>
      <c r="I61" s="251">
        <v>15</v>
      </c>
      <c r="J61" s="101">
        <f t="shared" si="32"/>
        <v>40</v>
      </c>
    </row>
    <row r="62" spans="1:10" ht="15.75" thickBot="1" x14ac:dyDescent="0.3">
      <c r="A62" s="142" t="s">
        <v>829</v>
      </c>
      <c r="B62" s="224">
        <v>5</v>
      </c>
      <c r="C62" s="327">
        <v>1</v>
      </c>
      <c r="D62" s="249">
        <v>1</v>
      </c>
      <c r="E62" s="141">
        <f t="shared" si="31"/>
        <v>7</v>
      </c>
      <c r="F62" s="143" t="s">
        <v>995</v>
      </c>
      <c r="G62" s="226">
        <v>20</v>
      </c>
      <c r="H62" s="329">
        <v>0</v>
      </c>
      <c r="I62" s="251">
        <v>15</v>
      </c>
      <c r="J62" s="101">
        <f t="shared" si="32"/>
        <v>35</v>
      </c>
    </row>
    <row r="63" spans="1:10" ht="15.75" thickBot="1" x14ac:dyDescent="0.3">
      <c r="A63" s="142" t="s">
        <v>12</v>
      </c>
      <c r="B63" s="224">
        <v>6</v>
      </c>
      <c r="C63" s="327">
        <v>0</v>
      </c>
      <c r="D63" s="249">
        <v>0</v>
      </c>
      <c r="E63" s="141">
        <f t="shared" si="31"/>
        <v>6</v>
      </c>
      <c r="F63" s="143" t="s">
        <v>93</v>
      </c>
      <c r="G63" s="226">
        <v>30</v>
      </c>
      <c r="H63" s="329">
        <v>0</v>
      </c>
      <c r="I63" s="251">
        <v>5</v>
      </c>
      <c r="J63" s="101">
        <f t="shared" si="32"/>
        <v>35</v>
      </c>
    </row>
    <row r="64" spans="1:10" ht="15.75" thickBot="1" x14ac:dyDescent="0.3">
      <c r="A64" s="142" t="s">
        <v>965</v>
      </c>
      <c r="B64" s="224">
        <v>2</v>
      </c>
      <c r="C64" s="327">
        <v>0</v>
      </c>
      <c r="D64" s="249">
        <v>3</v>
      </c>
      <c r="E64" s="141">
        <f t="shared" si="31"/>
        <v>5</v>
      </c>
      <c r="F64" s="143" t="s">
        <v>829</v>
      </c>
      <c r="G64" s="226">
        <v>25</v>
      </c>
      <c r="H64" s="329">
        <v>5</v>
      </c>
      <c r="I64" s="251">
        <v>5</v>
      </c>
      <c r="J64" s="101">
        <f t="shared" si="32"/>
        <v>35</v>
      </c>
    </row>
    <row r="65" spans="1:10" ht="15.75" thickBot="1" x14ac:dyDescent="0.3">
      <c r="A65" s="142" t="s">
        <v>284</v>
      </c>
      <c r="B65" s="224">
        <v>4</v>
      </c>
      <c r="C65" s="327">
        <v>1</v>
      </c>
      <c r="D65" s="249">
        <v>0</v>
      </c>
      <c r="E65" s="141">
        <f t="shared" si="31"/>
        <v>5</v>
      </c>
      <c r="F65" s="143" t="s">
        <v>12</v>
      </c>
      <c r="G65" s="226">
        <v>30</v>
      </c>
      <c r="H65" s="329">
        <v>0</v>
      </c>
      <c r="I65" s="251">
        <v>0</v>
      </c>
      <c r="J65" s="101">
        <f t="shared" si="32"/>
        <v>30</v>
      </c>
    </row>
    <row r="66" spans="1:10" ht="15.75" thickBot="1" x14ac:dyDescent="0.3">
      <c r="A66" s="142" t="s">
        <v>255</v>
      </c>
      <c r="B66" s="224">
        <v>2</v>
      </c>
      <c r="C66" s="327">
        <v>0</v>
      </c>
      <c r="D66" s="249">
        <v>1</v>
      </c>
      <c r="E66" s="141">
        <f t="shared" si="31"/>
        <v>3</v>
      </c>
      <c r="F66" s="143" t="s">
        <v>965</v>
      </c>
      <c r="G66" s="226">
        <v>10</v>
      </c>
      <c r="H66" s="329">
        <v>0</v>
      </c>
      <c r="I66" s="251">
        <v>15</v>
      </c>
      <c r="J66" s="101">
        <f t="shared" si="32"/>
        <v>25</v>
      </c>
    </row>
    <row r="67" spans="1:10" ht="15.75" thickBot="1" x14ac:dyDescent="0.3">
      <c r="A67" s="142" t="s">
        <v>858</v>
      </c>
      <c r="B67" s="224">
        <v>3</v>
      </c>
      <c r="C67" s="327">
        <v>0</v>
      </c>
      <c r="D67" s="249">
        <v>0</v>
      </c>
      <c r="E67" s="141">
        <f t="shared" si="31"/>
        <v>3</v>
      </c>
      <c r="F67" s="143" t="s">
        <v>284</v>
      </c>
      <c r="G67" s="226">
        <v>20</v>
      </c>
      <c r="H67" s="329">
        <v>5</v>
      </c>
      <c r="I67" s="251">
        <v>0</v>
      </c>
      <c r="J67" s="101">
        <f t="shared" si="32"/>
        <v>25</v>
      </c>
    </row>
    <row r="68" spans="1:10" ht="15.75" thickBot="1" x14ac:dyDescent="0.3">
      <c r="A68" s="142" t="s">
        <v>6</v>
      </c>
      <c r="B68" s="224">
        <v>1</v>
      </c>
      <c r="C68" s="327">
        <v>1</v>
      </c>
      <c r="D68" s="249">
        <v>1</v>
      </c>
      <c r="E68" s="141">
        <f t="shared" si="31"/>
        <v>3</v>
      </c>
      <c r="F68" s="143" t="s">
        <v>255</v>
      </c>
      <c r="G68" s="226">
        <v>16</v>
      </c>
      <c r="H68" s="329">
        <v>0</v>
      </c>
      <c r="I68" s="251">
        <v>5</v>
      </c>
      <c r="J68" s="101">
        <f t="shared" si="32"/>
        <v>21</v>
      </c>
    </row>
    <row r="69" spans="1:10" ht="15.75" thickBot="1" x14ac:dyDescent="0.3">
      <c r="A69" s="142" t="s">
        <v>28</v>
      </c>
      <c r="B69" s="224">
        <v>0</v>
      </c>
      <c r="C69" s="327">
        <v>1</v>
      </c>
      <c r="D69" s="249">
        <v>1</v>
      </c>
      <c r="E69" s="141">
        <f t="shared" si="31"/>
        <v>2</v>
      </c>
      <c r="F69" s="143" t="s">
        <v>6</v>
      </c>
      <c r="G69" s="226">
        <v>7</v>
      </c>
      <c r="H69" s="329">
        <v>7</v>
      </c>
      <c r="I69" s="251">
        <v>7</v>
      </c>
      <c r="J69" s="101">
        <f t="shared" si="32"/>
        <v>21</v>
      </c>
    </row>
    <row r="70" spans="1:10" ht="15.75" thickBot="1" x14ac:dyDescent="0.3">
      <c r="A70" s="142" t="s">
        <v>871</v>
      </c>
      <c r="B70" s="224">
        <v>1</v>
      </c>
      <c r="C70" s="327">
        <v>1</v>
      </c>
      <c r="D70" s="249">
        <v>0</v>
      </c>
      <c r="E70" s="141">
        <f t="shared" si="31"/>
        <v>2</v>
      </c>
      <c r="F70" s="143" t="s">
        <v>28</v>
      </c>
      <c r="G70" s="226">
        <v>0</v>
      </c>
      <c r="H70" s="329">
        <v>5</v>
      </c>
      <c r="I70" s="251">
        <v>5</v>
      </c>
      <c r="J70" s="101">
        <f t="shared" si="32"/>
        <v>10</v>
      </c>
    </row>
    <row r="71" spans="1:10" ht="15.75" thickBot="1" x14ac:dyDescent="0.3">
      <c r="A71" s="142" t="s">
        <v>4</v>
      </c>
      <c r="B71" s="224">
        <v>2</v>
      </c>
      <c r="C71" s="327">
        <v>0</v>
      </c>
      <c r="D71" s="249">
        <v>0</v>
      </c>
      <c r="E71" s="141">
        <f t="shared" si="31"/>
        <v>2</v>
      </c>
      <c r="F71" s="143" t="s">
        <v>871</v>
      </c>
      <c r="G71" s="226">
        <v>5</v>
      </c>
      <c r="H71" s="329">
        <v>5</v>
      </c>
      <c r="I71" s="251">
        <v>0</v>
      </c>
      <c r="J71" s="101">
        <f t="shared" si="32"/>
        <v>10</v>
      </c>
    </row>
    <row r="72" spans="1:10" ht="15.75" thickBot="1" x14ac:dyDescent="0.3">
      <c r="A72" s="142" t="s">
        <v>206</v>
      </c>
      <c r="B72" s="224">
        <v>0</v>
      </c>
      <c r="C72" s="327">
        <v>1</v>
      </c>
      <c r="D72" s="249">
        <v>1</v>
      </c>
      <c r="E72" s="141">
        <f t="shared" si="31"/>
        <v>2</v>
      </c>
      <c r="F72" s="143" t="s">
        <v>4</v>
      </c>
      <c r="G72" s="226">
        <v>10</v>
      </c>
      <c r="H72" s="329">
        <v>0</v>
      </c>
      <c r="I72" s="251">
        <v>0</v>
      </c>
      <c r="J72" s="101">
        <f t="shared" si="32"/>
        <v>10</v>
      </c>
    </row>
    <row r="73" spans="1:10" ht="15.75" thickBot="1" x14ac:dyDescent="0.3">
      <c r="A73" s="142" t="s">
        <v>889</v>
      </c>
      <c r="B73" s="224">
        <v>2</v>
      </c>
      <c r="C73" s="327">
        <v>0</v>
      </c>
      <c r="D73" s="249">
        <v>0</v>
      </c>
      <c r="E73" s="141">
        <f t="shared" si="31"/>
        <v>2</v>
      </c>
      <c r="F73" s="143" t="s">
        <v>206</v>
      </c>
      <c r="G73" s="226">
        <v>0</v>
      </c>
      <c r="H73" s="329">
        <v>5</v>
      </c>
      <c r="I73" s="251">
        <v>5</v>
      </c>
      <c r="J73" s="101">
        <f t="shared" si="32"/>
        <v>10</v>
      </c>
    </row>
    <row r="74" spans="1:10" ht="15.75" thickBot="1" x14ac:dyDescent="0.3">
      <c r="A74" s="142" t="s">
        <v>1057</v>
      </c>
      <c r="B74" s="224">
        <v>1</v>
      </c>
      <c r="C74" s="327">
        <v>1</v>
      </c>
      <c r="D74" s="249">
        <v>0</v>
      </c>
      <c r="E74" s="141">
        <f t="shared" si="31"/>
        <v>2</v>
      </c>
      <c r="F74" s="143" t="s">
        <v>889</v>
      </c>
      <c r="G74" s="226">
        <v>10</v>
      </c>
      <c r="H74" s="329">
        <v>0</v>
      </c>
      <c r="I74" s="251">
        <v>0</v>
      </c>
      <c r="J74" s="101">
        <f t="shared" si="32"/>
        <v>10</v>
      </c>
    </row>
    <row r="75" spans="1:10" ht="15.75" thickBot="1" x14ac:dyDescent="0.3">
      <c r="A75" s="142" t="s">
        <v>257</v>
      </c>
      <c r="B75" s="224">
        <v>1</v>
      </c>
      <c r="C75" s="327">
        <v>1</v>
      </c>
      <c r="D75" s="249">
        <v>0</v>
      </c>
      <c r="E75" s="141">
        <f t="shared" si="31"/>
        <v>2</v>
      </c>
      <c r="F75" s="143" t="s">
        <v>1057</v>
      </c>
      <c r="G75" s="226">
        <v>5</v>
      </c>
      <c r="H75" s="329">
        <v>5</v>
      </c>
      <c r="I75" s="251">
        <v>0</v>
      </c>
      <c r="J75" s="101">
        <f t="shared" si="32"/>
        <v>10</v>
      </c>
    </row>
    <row r="76" spans="1:10" ht="15.75" thickBot="1" x14ac:dyDescent="0.3">
      <c r="A76" s="142" t="s">
        <v>190</v>
      </c>
      <c r="B76" s="224">
        <v>2</v>
      </c>
      <c r="C76" s="327">
        <v>0</v>
      </c>
      <c r="D76" s="249">
        <v>0</v>
      </c>
      <c r="E76" s="141">
        <f t="shared" si="31"/>
        <v>2</v>
      </c>
      <c r="F76" s="143" t="s">
        <v>257</v>
      </c>
      <c r="G76" s="226">
        <v>5</v>
      </c>
      <c r="H76" s="329">
        <v>5</v>
      </c>
      <c r="I76" s="251">
        <v>0</v>
      </c>
      <c r="J76" s="101">
        <f t="shared" si="32"/>
        <v>10</v>
      </c>
    </row>
    <row r="77" spans="1:10" ht="15.75" thickBot="1" x14ac:dyDescent="0.3">
      <c r="A77" s="142" t="s">
        <v>127</v>
      </c>
      <c r="B77" s="224">
        <v>1</v>
      </c>
      <c r="C77" s="327">
        <v>0</v>
      </c>
      <c r="D77" s="249">
        <v>0</v>
      </c>
      <c r="E77" s="141">
        <f t="shared" si="31"/>
        <v>1</v>
      </c>
      <c r="F77" s="143" t="s">
        <v>190</v>
      </c>
      <c r="G77" s="226">
        <v>10</v>
      </c>
      <c r="H77" s="329">
        <v>0</v>
      </c>
      <c r="I77" s="251">
        <v>0</v>
      </c>
      <c r="J77" s="101">
        <f t="shared" si="32"/>
        <v>10</v>
      </c>
    </row>
    <row r="78" spans="1:10" ht="15.75" thickBot="1" x14ac:dyDescent="0.3">
      <c r="A78" s="142" t="s">
        <v>254</v>
      </c>
      <c r="B78" s="224">
        <v>0</v>
      </c>
      <c r="C78" s="327">
        <v>0</v>
      </c>
      <c r="D78" s="249">
        <v>1</v>
      </c>
      <c r="E78" s="141">
        <f t="shared" si="31"/>
        <v>1</v>
      </c>
      <c r="F78" s="143" t="s">
        <v>441</v>
      </c>
      <c r="G78" s="226">
        <v>0</v>
      </c>
      <c r="H78" s="329">
        <v>2</v>
      </c>
      <c r="I78" s="251">
        <v>7</v>
      </c>
      <c r="J78" s="101">
        <f t="shared" si="32"/>
        <v>9</v>
      </c>
    </row>
    <row r="79" spans="1:10" ht="15.75" thickBot="1" x14ac:dyDescent="0.3">
      <c r="A79" s="142" t="s">
        <v>230</v>
      </c>
      <c r="B79" s="224">
        <v>0</v>
      </c>
      <c r="C79" s="327">
        <v>0</v>
      </c>
      <c r="D79" s="249">
        <v>1</v>
      </c>
      <c r="E79" s="141">
        <f t="shared" si="31"/>
        <v>1</v>
      </c>
      <c r="F79" s="143" t="s">
        <v>8</v>
      </c>
      <c r="G79" s="226">
        <v>0</v>
      </c>
      <c r="H79" s="329">
        <v>5</v>
      </c>
      <c r="I79" s="251">
        <v>4</v>
      </c>
      <c r="J79" s="101">
        <f t="shared" si="32"/>
        <v>9</v>
      </c>
    </row>
    <row r="80" spans="1:10" ht="15.75" thickBot="1" x14ac:dyDescent="0.3">
      <c r="A80" s="142" t="s">
        <v>212</v>
      </c>
      <c r="B80" s="224">
        <v>1</v>
      </c>
      <c r="C80" s="327">
        <v>0</v>
      </c>
      <c r="D80" s="249">
        <v>0</v>
      </c>
      <c r="E80" s="141">
        <f t="shared" si="31"/>
        <v>1</v>
      </c>
      <c r="F80" s="143" t="s">
        <v>127</v>
      </c>
      <c r="G80" s="226">
        <v>5</v>
      </c>
      <c r="H80" s="329">
        <v>0</v>
      </c>
      <c r="I80" s="251">
        <v>0</v>
      </c>
      <c r="J80" s="101">
        <f t="shared" si="32"/>
        <v>5</v>
      </c>
    </row>
    <row r="81" spans="1:10" ht="15.75" thickBot="1" x14ac:dyDescent="0.3">
      <c r="A81" s="142" t="s">
        <v>188</v>
      </c>
      <c r="B81" s="224">
        <v>1</v>
      </c>
      <c r="C81" s="327">
        <v>0</v>
      </c>
      <c r="D81" s="249">
        <v>0</v>
      </c>
      <c r="E81" s="141">
        <f t="shared" si="31"/>
        <v>1</v>
      </c>
      <c r="F81" s="143" t="s">
        <v>254</v>
      </c>
      <c r="G81" s="226">
        <v>0</v>
      </c>
      <c r="H81" s="329">
        <v>0</v>
      </c>
      <c r="I81" s="251">
        <v>5</v>
      </c>
      <c r="J81" s="101">
        <f t="shared" si="32"/>
        <v>5</v>
      </c>
    </row>
    <row r="82" spans="1:10" ht="15.75" thickBot="1" x14ac:dyDescent="0.3">
      <c r="A82" s="142" t="s">
        <v>162</v>
      </c>
      <c r="B82" s="224">
        <v>1</v>
      </c>
      <c r="C82" s="327">
        <v>0</v>
      </c>
      <c r="D82" s="249">
        <v>0</v>
      </c>
      <c r="E82" s="141">
        <f t="shared" si="31"/>
        <v>1</v>
      </c>
      <c r="F82" s="143" t="s">
        <v>230</v>
      </c>
      <c r="G82" s="226">
        <v>0</v>
      </c>
      <c r="H82" s="329">
        <v>0</v>
      </c>
      <c r="I82" s="251">
        <v>5</v>
      </c>
      <c r="J82" s="101">
        <f t="shared" si="32"/>
        <v>5</v>
      </c>
    </row>
    <row r="83" spans="1:10" ht="15.75" thickBot="1" x14ac:dyDescent="0.3">
      <c r="A83" s="142" t="s">
        <v>897</v>
      </c>
      <c r="B83" s="224">
        <v>1</v>
      </c>
      <c r="C83" s="327">
        <v>0</v>
      </c>
      <c r="D83" s="249">
        <v>0</v>
      </c>
      <c r="E83" s="141">
        <f t="shared" si="31"/>
        <v>1</v>
      </c>
      <c r="F83" s="143" t="s">
        <v>212</v>
      </c>
      <c r="G83" s="226">
        <v>5</v>
      </c>
      <c r="H83" s="329">
        <v>0</v>
      </c>
      <c r="I83" s="251">
        <v>0</v>
      </c>
      <c r="J83" s="101">
        <f t="shared" si="32"/>
        <v>5</v>
      </c>
    </row>
    <row r="84" spans="1:10" ht="15.75" thickBot="1" x14ac:dyDescent="0.3">
      <c r="A84" s="142" t="s">
        <v>997</v>
      </c>
      <c r="B84" s="224">
        <v>0</v>
      </c>
      <c r="C84" s="327">
        <v>0</v>
      </c>
      <c r="D84" s="249">
        <v>1</v>
      </c>
      <c r="E84" s="141">
        <f t="shared" si="31"/>
        <v>1</v>
      </c>
      <c r="F84" s="143" t="s">
        <v>162</v>
      </c>
      <c r="G84" s="226">
        <v>5</v>
      </c>
      <c r="H84" s="329">
        <v>0</v>
      </c>
      <c r="I84" s="251">
        <v>0</v>
      </c>
      <c r="J84" s="101">
        <f t="shared" si="32"/>
        <v>5</v>
      </c>
    </row>
    <row r="85" spans="1:10" ht="15.75" thickBot="1" x14ac:dyDescent="0.3">
      <c r="A85" s="142" t="s">
        <v>1197</v>
      </c>
      <c r="B85" s="224">
        <v>1</v>
      </c>
      <c r="C85" s="327">
        <v>0</v>
      </c>
      <c r="D85" s="249">
        <v>0</v>
      </c>
      <c r="E85" s="141">
        <f t="shared" si="31"/>
        <v>1</v>
      </c>
      <c r="F85" s="143" t="s">
        <v>897</v>
      </c>
      <c r="G85" s="226">
        <v>5</v>
      </c>
      <c r="H85" s="329">
        <v>0</v>
      </c>
      <c r="I85" s="251">
        <v>0</v>
      </c>
      <c r="J85" s="101">
        <f t="shared" si="32"/>
        <v>5</v>
      </c>
    </row>
    <row r="86" spans="1:10" ht="15.75" thickBot="1" x14ac:dyDescent="0.3">
      <c r="A86" s="142" t="s">
        <v>72</v>
      </c>
      <c r="B86" s="224">
        <v>0</v>
      </c>
      <c r="C86" s="327">
        <v>0</v>
      </c>
      <c r="D86" s="249">
        <v>0</v>
      </c>
      <c r="E86" s="141">
        <f t="shared" si="31"/>
        <v>0</v>
      </c>
      <c r="F86" s="143" t="s">
        <v>997</v>
      </c>
      <c r="G86" s="226">
        <v>0</v>
      </c>
      <c r="H86" s="329">
        <v>0</v>
      </c>
      <c r="I86" s="251">
        <v>5</v>
      </c>
      <c r="J86" s="101">
        <f t="shared" si="32"/>
        <v>5</v>
      </c>
    </row>
    <row r="87" spans="1:10" ht="15.75" thickBot="1" x14ac:dyDescent="0.3">
      <c r="A87" s="142" t="s">
        <v>999</v>
      </c>
      <c r="B87" s="224">
        <v>0</v>
      </c>
      <c r="C87" s="327">
        <v>0</v>
      </c>
      <c r="D87" s="249">
        <v>0</v>
      </c>
      <c r="E87" s="141">
        <f t="shared" si="31"/>
        <v>0</v>
      </c>
      <c r="F87" s="143" t="s">
        <v>1197</v>
      </c>
      <c r="G87" s="226">
        <v>5</v>
      </c>
      <c r="H87" s="329">
        <v>0</v>
      </c>
      <c r="I87" s="251">
        <v>0</v>
      </c>
      <c r="J87" s="101">
        <f t="shared" si="32"/>
        <v>5</v>
      </c>
    </row>
    <row r="88" spans="1:10" ht="15.75" thickBot="1" x14ac:dyDescent="0.3">
      <c r="A88" s="142" t="s">
        <v>72</v>
      </c>
      <c r="B88" s="224">
        <v>0</v>
      </c>
      <c r="C88" s="327">
        <v>0</v>
      </c>
      <c r="D88" s="249">
        <v>0</v>
      </c>
      <c r="E88" s="141">
        <f t="shared" ref="E88:E104" si="33">SUM(B88:D88)</f>
        <v>0</v>
      </c>
      <c r="F88" s="143" t="s">
        <v>72</v>
      </c>
      <c r="G88" s="226">
        <v>0</v>
      </c>
      <c r="H88" s="329">
        <v>0</v>
      </c>
      <c r="I88" s="251">
        <v>0</v>
      </c>
      <c r="J88" s="101">
        <f t="shared" ref="J88:J104" si="34">SUM(G88:I88)</f>
        <v>0</v>
      </c>
    </row>
    <row r="89" spans="1:10" ht="15.75" thickBot="1" x14ac:dyDescent="0.3">
      <c r="A89" s="142" t="s">
        <v>64</v>
      </c>
      <c r="B89" s="224">
        <v>0</v>
      </c>
      <c r="C89" s="327">
        <v>0</v>
      </c>
      <c r="D89" s="249">
        <v>0</v>
      </c>
      <c r="E89" s="141">
        <f t="shared" si="33"/>
        <v>0</v>
      </c>
      <c r="F89" s="143" t="s">
        <v>72</v>
      </c>
      <c r="G89" s="226">
        <v>0</v>
      </c>
      <c r="H89" s="329">
        <v>0</v>
      </c>
      <c r="I89" s="251">
        <v>0</v>
      </c>
      <c r="J89" s="101">
        <f t="shared" si="34"/>
        <v>0</v>
      </c>
    </row>
    <row r="90" spans="1:10" ht="15.75" thickBot="1" x14ac:dyDescent="0.3">
      <c r="A90" s="142" t="s">
        <v>72</v>
      </c>
      <c r="B90" s="224">
        <v>0</v>
      </c>
      <c r="C90" s="327">
        <v>0</v>
      </c>
      <c r="D90" s="249">
        <v>0</v>
      </c>
      <c r="E90" s="141">
        <f t="shared" si="33"/>
        <v>0</v>
      </c>
      <c r="F90" s="143" t="s">
        <v>64</v>
      </c>
      <c r="G90" s="226">
        <v>0</v>
      </c>
      <c r="H90" s="329">
        <v>0</v>
      </c>
      <c r="I90" s="251">
        <v>0</v>
      </c>
      <c r="J90" s="101">
        <f t="shared" si="34"/>
        <v>0</v>
      </c>
    </row>
    <row r="91" spans="1:10" ht="15.75" thickBot="1" x14ac:dyDescent="0.3">
      <c r="A91" s="142" t="s">
        <v>256</v>
      </c>
      <c r="B91" s="224">
        <v>0</v>
      </c>
      <c r="C91" s="327">
        <v>0</v>
      </c>
      <c r="D91" s="249">
        <v>0</v>
      </c>
      <c r="E91" s="141">
        <f t="shared" si="33"/>
        <v>0</v>
      </c>
      <c r="F91" s="143" t="s">
        <v>72</v>
      </c>
      <c r="G91" s="226">
        <v>0</v>
      </c>
      <c r="H91" s="329">
        <v>0</v>
      </c>
      <c r="I91" s="251">
        <v>0</v>
      </c>
      <c r="J91" s="101">
        <f t="shared" si="34"/>
        <v>0</v>
      </c>
    </row>
    <row r="92" spans="1:10" ht="15.75" thickBot="1" x14ac:dyDescent="0.3">
      <c r="A92" s="142" t="s">
        <v>1063</v>
      </c>
      <c r="B92" s="224">
        <v>0</v>
      </c>
      <c r="C92" s="327">
        <v>0</v>
      </c>
      <c r="D92" s="249">
        <v>0</v>
      </c>
      <c r="E92" s="141">
        <f t="shared" si="33"/>
        <v>0</v>
      </c>
      <c r="F92" s="143" t="s">
        <v>256</v>
      </c>
      <c r="G92" s="226">
        <v>0</v>
      </c>
      <c r="H92" s="329">
        <v>0</v>
      </c>
      <c r="I92" s="251">
        <v>0</v>
      </c>
      <c r="J92" s="101">
        <f t="shared" si="34"/>
        <v>0</v>
      </c>
    </row>
    <row r="93" spans="1:10" ht="15.75" thickBot="1" x14ac:dyDescent="0.3">
      <c r="A93" s="142" t="s">
        <v>72</v>
      </c>
      <c r="B93" s="224">
        <v>0</v>
      </c>
      <c r="C93" s="327">
        <v>0</v>
      </c>
      <c r="D93" s="249">
        <v>0</v>
      </c>
      <c r="E93" s="141">
        <f t="shared" si="33"/>
        <v>0</v>
      </c>
      <c r="F93" s="143" t="s">
        <v>1063</v>
      </c>
      <c r="G93" s="226">
        <v>0</v>
      </c>
      <c r="H93" s="329">
        <v>0</v>
      </c>
      <c r="I93" s="251">
        <v>0</v>
      </c>
      <c r="J93" s="101">
        <f t="shared" si="34"/>
        <v>0</v>
      </c>
    </row>
    <row r="94" spans="1:10" ht="15.75" thickBot="1" x14ac:dyDescent="0.3">
      <c r="A94" s="142" t="s">
        <v>72</v>
      </c>
      <c r="B94" s="224">
        <v>0</v>
      </c>
      <c r="C94" s="327">
        <v>0</v>
      </c>
      <c r="D94" s="249">
        <v>0</v>
      </c>
      <c r="E94" s="141">
        <f t="shared" si="33"/>
        <v>0</v>
      </c>
      <c r="F94" s="143" t="s">
        <v>72</v>
      </c>
      <c r="G94" s="226">
        <v>0</v>
      </c>
      <c r="H94" s="329">
        <v>0</v>
      </c>
      <c r="I94" s="251">
        <v>0</v>
      </c>
      <c r="J94" s="101">
        <f t="shared" si="34"/>
        <v>0</v>
      </c>
    </row>
    <row r="95" spans="1:10" ht="15.75" thickBot="1" x14ac:dyDescent="0.3">
      <c r="A95" s="142" t="s">
        <v>72</v>
      </c>
      <c r="B95" s="224">
        <v>0</v>
      </c>
      <c r="C95" s="327">
        <v>0</v>
      </c>
      <c r="D95" s="249">
        <v>0</v>
      </c>
      <c r="E95" s="141">
        <f t="shared" si="33"/>
        <v>0</v>
      </c>
      <c r="F95" s="143" t="s">
        <v>72</v>
      </c>
      <c r="G95" s="226">
        <v>0</v>
      </c>
      <c r="H95" s="329">
        <v>0</v>
      </c>
      <c r="I95" s="251">
        <v>0</v>
      </c>
      <c r="J95" s="101">
        <f t="shared" si="34"/>
        <v>0</v>
      </c>
    </row>
    <row r="96" spans="1:10" ht="15.75" thickBot="1" x14ac:dyDescent="0.3">
      <c r="A96" s="142" t="s">
        <v>72</v>
      </c>
      <c r="B96" s="224">
        <v>0</v>
      </c>
      <c r="C96" s="327">
        <v>0</v>
      </c>
      <c r="D96" s="249">
        <v>0</v>
      </c>
      <c r="E96" s="141">
        <f t="shared" si="33"/>
        <v>0</v>
      </c>
      <c r="F96" s="143" t="s">
        <v>72</v>
      </c>
      <c r="G96" s="226">
        <v>0</v>
      </c>
      <c r="H96" s="329">
        <v>0</v>
      </c>
      <c r="I96" s="251">
        <v>0</v>
      </c>
      <c r="J96" s="101">
        <f t="shared" si="34"/>
        <v>0</v>
      </c>
    </row>
    <row r="97" spans="1:10" ht="15.75" thickBot="1" x14ac:dyDescent="0.3">
      <c r="A97" s="142" t="s">
        <v>72</v>
      </c>
      <c r="B97" s="224">
        <v>0</v>
      </c>
      <c r="C97" s="327">
        <v>0</v>
      </c>
      <c r="D97" s="249">
        <v>0</v>
      </c>
      <c r="E97" s="141">
        <f t="shared" si="33"/>
        <v>0</v>
      </c>
      <c r="F97" s="143" t="s">
        <v>72</v>
      </c>
      <c r="G97" s="226">
        <v>0</v>
      </c>
      <c r="H97" s="329">
        <v>0</v>
      </c>
      <c r="I97" s="251">
        <v>0</v>
      </c>
      <c r="J97" s="101">
        <f t="shared" si="34"/>
        <v>0</v>
      </c>
    </row>
    <row r="98" spans="1:10" ht="15.75" thickBot="1" x14ac:dyDescent="0.3">
      <c r="A98" s="142" t="s">
        <v>72</v>
      </c>
      <c r="B98" s="224">
        <v>0</v>
      </c>
      <c r="C98" s="327">
        <v>0</v>
      </c>
      <c r="D98" s="249">
        <v>0</v>
      </c>
      <c r="E98" s="141">
        <f t="shared" si="33"/>
        <v>0</v>
      </c>
      <c r="F98" s="143" t="s">
        <v>72</v>
      </c>
      <c r="G98" s="226">
        <v>0</v>
      </c>
      <c r="H98" s="329">
        <v>0</v>
      </c>
      <c r="I98" s="251">
        <v>0</v>
      </c>
      <c r="J98" s="101">
        <f t="shared" si="34"/>
        <v>0</v>
      </c>
    </row>
    <row r="99" spans="1:10" ht="15.75" thickBot="1" x14ac:dyDescent="0.3">
      <c r="A99" s="142" t="s">
        <v>189</v>
      </c>
      <c r="B99" s="224">
        <v>0</v>
      </c>
      <c r="C99" s="327">
        <v>0</v>
      </c>
      <c r="D99" s="249">
        <v>0</v>
      </c>
      <c r="E99" s="141">
        <f t="shared" si="33"/>
        <v>0</v>
      </c>
      <c r="F99" s="143" t="s">
        <v>72</v>
      </c>
      <c r="G99" s="226">
        <v>0</v>
      </c>
      <c r="H99" s="329">
        <v>0</v>
      </c>
      <c r="I99" s="251">
        <v>0</v>
      </c>
      <c r="J99" s="101">
        <f t="shared" si="34"/>
        <v>0</v>
      </c>
    </row>
    <row r="100" spans="1:10" ht="15.75" thickBot="1" x14ac:dyDescent="0.3">
      <c r="A100" s="142" t="s">
        <v>296</v>
      </c>
      <c r="B100" s="224">
        <v>0</v>
      </c>
      <c r="C100" s="327">
        <v>0</v>
      </c>
      <c r="D100" s="249">
        <v>0</v>
      </c>
      <c r="E100" s="141">
        <f t="shared" si="33"/>
        <v>0</v>
      </c>
      <c r="F100" s="143" t="s">
        <v>189</v>
      </c>
      <c r="G100" s="226">
        <v>0</v>
      </c>
      <c r="H100" s="329">
        <v>0</v>
      </c>
      <c r="I100" s="251">
        <v>0</v>
      </c>
      <c r="J100" s="101">
        <f t="shared" si="34"/>
        <v>0</v>
      </c>
    </row>
    <row r="101" spans="1:10" ht="15.75" thickBot="1" x14ac:dyDescent="0.3">
      <c r="A101" s="142" t="s">
        <v>295</v>
      </c>
      <c r="B101" s="224">
        <v>0</v>
      </c>
      <c r="C101" s="327">
        <v>0</v>
      </c>
      <c r="D101" s="249">
        <v>0</v>
      </c>
      <c r="E101" s="141">
        <f t="shared" si="33"/>
        <v>0</v>
      </c>
      <c r="F101" s="143" t="s">
        <v>296</v>
      </c>
      <c r="G101" s="226">
        <v>0</v>
      </c>
      <c r="H101" s="329">
        <v>0</v>
      </c>
      <c r="I101" s="251">
        <v>0</v>
      </c>
      <c r="J101" s="101">
        <f t="shared" si="34"/>
        <v>0</v>
      </c>
    </row>
    <row r="102" spans="1:10" ht="15.75" thickBot="1" x14ac:dyDescent="0.3">
      <c r="A102" s="142" t="s">
        <v>72</v>
      </c>
      <c r="B102" s="224">
        <v>0</v>
      </c>
      <c r="C102" s="327">
        <v>0</v>
      </c>
      <c r="D102" s="249">
        <v>0</v>
      </c>
      <c r="E102" s="141">
        <f t="shared" si="33"/>
        <v>0</v>
      </c>
      <c r="F102" s="143" t="s">
        <v>295</v>
      </c>
      <c r="G102" s="226">
        <v>0</v>
      </c>
      <c r="H102" s="329">
        <v>0</v>
      </c>
      <c r="I102" s="251">
        <v>0</v>
      </c>
      <c r="J102" s="101">
        <f t="shared" si="34"/>
        <v>0</v>
      </c>
    </row>
    <row r="103" spans="1:10" ht="15.75" thickBot="1" x14ac:dyDescent="0.3">
      <c r="A103" s="142" t="s">
        <v>836</v>
      </c>
      <c r="B103" s="224">
        <v>0</v>
      </c>
      <c r="C103" s="327">
        <v>0</v>
      </c>
      <c r="D103" s="249">
        <v>0</v>
      </c>
      <c r="E103" s="141">
        <f t="shared" si="33"/>
        <v>0</v>
      </c>
      <c r="F103" s="143" t="s">
        <v>72</v>
      </c>
      <c r="G103" s="226">
        <v>0</v>
      </c>
      <c r="H103" s="329">
        <v>0</v>
      </c>
      <c r="I103" s="251">
        <v>0</v>
      </c>
      <c r="J103" s="101">
        <f t="shared" si="34"/>
        <v>0</v>
      </c>
    </row>
    <row r="104" spans="1:10" ht="15.75" thickBot="1" x14ac:dyDescent="0.3">
      <c r="A104" s="142" t="s">
        <v>8</v>
      </c>
      <c r="B104" s="224">
        <v>0</v>
      </c>
      <c r="C104" s="327">
        <v>0</v>
      </c>
      <c r="D104" s="249">
        <v>0</v>
      </c>
      <c r="E104" s="141">
        <f t="shared" si="33"/>
        <v>0</v>
      </c>
      <c r="F104" s="143" t="s">
        <v>836</v>
      </c>
      <c r="G104" s="226">
        <v>0</v>
      </c>
      <c r="H104" s="329">
        <v>0</v>
      </c>
      <c r="I104" s="251">
        <v>0</v>
      </c>
      <c r="J104" s="101">
        <f t="shared" si="34"/>
        <v>0</v>
      </c>
    </row>
    <row r="105" spans="1:10" ht="15.75" thickBot="1" x14ac:dyDescent="0.3">
      <c r="A105" s="142" t="s">
        <v>3</v>
      </c>
      <c r="B105" s="224">
        <f>SUM(B56:B104)</f>
        <v>69</v>
      </c>
      <c r="C105" s="327">
        <f>SUM(C56:C104)</f>
        <v>11</v>
      </c>
      <c r="D105" s="249">
        <f>SUM(D56:D104)</f>
        <v>25</v>
      </c>
      <c r="E105" s="141">
        <f>SUM(E56:E104)</f>
        <v>105</v>
      </c>
      <c r="F105" s="143" t="s">
        <v>3</v>
      </c>
      <c r="G105" s="226">
        <f>SUM(G56:G104)</f>
        <v>546</v>
      </c>
      <c r="H105" s="329">
        <f>SUM(H56:H104)</f>
        <v>92</v>
      </c>
      <c r="I105" s="251">
        <f>SUM(I56:I104)</f>
        <v>181</v>
      </c>
      <c r="J105" s="101">
        <f>SUM(J56:J104)</f>
        <v>819</v>
      </c>
    </row>
    <row r="106" spans="1:10" x14ac:dyDescent="0.25">
      <c r="A106" s="58" t="s">
        <v>130</v>
      </c>
    </row>
  </sheetData>
  <sortState xmlns:xlrd2="http://schemas.microsoft.com/office/spreadsheetml/2017/richdata2" ref="F56:J104">
    <sortCondition descending="1" ref="J56:J104"/>
  </sortState>
  <mergeCells count="26">
    <mergeCell ref="A1:J1"/>
    <mergeCell ref="R15:T16"/>
    <mergeCell ref="U15:W16"/>
    <mergeCell ref="K25:K26"/>
    <mergeCell ref="L25:N26"/>
    <mergeCell ref="R25:T26"/>
    <mergeCell ref="K15:K16"/>
    <mergeCell ref="U25:W26"/>
    <mergeCell ref="K1:K2"/>
    <mergeCell ref="L1:N2"/>
    <mergeCell ref="O1:Q2"/>
    <mergeCell ref="L15:N16"/>
    <mergeCell ref="T1:V2"/>
    <mergeCell ref="O15:Q16"/>
    <mergeCell ref="O25:Q26"/>
    <mergeCell ref="R1:S2"/>
    <mergeCell ref="W1:Y2"/>
    <mergeCell ref="AF25:AH26"/>
    <mergeCell ref="AC1:AE2"/>
    <mergeCell ref="AC25:AE26"/>
    <mergeCell ref="AL1:AN2"/>
    <mergeCell ref="AI1:AK2"/>
    <mergeCell ref="AI15:AK16"/>
    <mergeCell ref="AF15:AH16"/>
    <mergeCell ref="AC15:AE16"/>
    <mergeCell ref="AF1:A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1649</vt:i4>
      </vt:variant>
    </vt:vector>
  </HeadingPairs>
  <TitlesOfParts>
    <vt:vector size="1662" baseType="lpstr">
      <vt:lpstr>BTH</vt:lpstr>
      <vt:lpstr>BRI</vt:lpstr>
      <vt:lpstr>EXE</vt:lpstr>
      <vt:lpstr>GLO</vt:lpstr>
      <vt:lpstr>HAR</vt:lpstr>
      <vt:lpstr>LEIC</vt:lpstr>
      <vt:lpstr>LIR</vt:lpstr>
      <vt:lpstr>NOR</vt:lpstr>
      <vt:lpstr>SAL</vt:lpstr>
      <vt:lpstr>SAR</vt:lpstr>
      <vt:lpstr>WAS</vt:lpstr>
      <vt:lpstr>WOR</vt:lpstr>
      <vt:lpstr>OVERALL</vt:lpstr>
      <vt:lpstr>A_Wallerpts</vt:lpstr>
      <vt:lpstr>A_Wallertries</vt:lpstr>
      <vt:lpstr>Ackermannglopts</vt:lpstr>
      <vt:lpstr>Ackermannglotries</vt:lpstr>
      <vt:lpstr>Adams_Halesarpts</vt:lpstr>
      <vt:lpstr>Adams_Halesartries</vt:lpstr>
      <vt:lpstr>Adamsworpts</vt:lpstr>
      <vt:lpstr>Adamswortries</vt:lpstr>
      <vt:lpstr>afoabripts</vt:lpstr>
      <vt:lpstr>afoabritries</vt:lpstr>
      <vt:lpstr>Ah_Younewpts</vt:lpstr>
      <vt:lpstr>Ah_Younewtries</vt:lpstr>
      <vt:lpstr>Aholeleiwelshpts</vt:lpstr>
      <vt:lpstr>Aholeleiwelshtries</vt:lpstr>
      <vt:lpstr>Alemannoglopts</vt:lpstr>
      <vt:lpstr>Alemannoglotries</vt:lpstr>
      <vt:lpstr>allinsonliatt</vt:lpstr>
      <vt:lpstr>allinsonligoals</vt:lpstr>
      <vt:lpstr>Alofafartries</vt:lpstr>
      <vt:lpstr>Alofaharpts</vt:lpstr>
      <vt:lpstr>Armanddonpts</vt:lpstr>
      <vt:lpstr>Armanddontries</vt:lpstr>
      <vt:lpstr>Armitagewaspts</vt:lpstr>
      <vt:lpstr>Armitagewastries</vt:lpstr>
      <vt:lpstr>Armstrongbripts</vt:lpstr>
      <vt:lpstr>Armstrongbritries</vt:lpstr>
      <vt:lpstr>arscottnewatt</vt:lpstr>
      <vt:lpstr>arscottnewgls</vt:lpstr>
      <vt:lpstr>Arscottnewpts</vt:lpstr>
      <vt:lpstr>Arscottnewtries</vt:lpstr>
      <vt:lpstr>Ashtonsalpts</vt:lpstr>
      <vt:lpstr>Ashtonsaltries</vt:lpstr>
      <vt:lpstr>Atkinsbthatt</vt:lpstr>
      <vt:lpstr>Atkinsbthgls</vt:lpstr>
      <vt:lpstr>Atkinsbthpts</vt:lpstr>
      <vt:lpstr>Atkinsbthtries</vt:lpstr>
      <vt:lpstr>atkinsliratt</vt:lpstr>
      <vt:lpstr>atkinslirgls</vt:lpstr>
      <vt:lpstr>Atkinsonglopts</vt:lpstr>
      <vt:lpstr>Atkinsonglotries</vt:lpstr>
      <vt:lpstr>Attwooddavepts</vt:lpstr>
      <vt:lpstr>Attwooddavetries</vt:lpstr>
      <vt:lpstr>Attwoodpts</vt:lpstr>
      <vt:lpstr>Auteracharpts</vt:lpstr>
      <vt:lpstr>Auterachartries</vt:lpstr>
      <vt:lpstr>Baldwinharpts</vt:lpstr>
      <vt:lpstr>Baldwinhartries</vt:lpstr>
      <vt:lpstr>Balmainglopts</vt:lpstr>
      <vt:lpstr>Balmainglotries</vt:lpstr>
      <vt:lpstr>Banahanglopts</vt:lpstr>
      <vt:lpstr>Banahanglotries</vt:lpstr>
      <vt:lpstr>Banahantriescorrect</vt:lpstr>
      <vt:lpstr>Barbearywaspts</vt:lpstr>
      <vt:lpstr>Barbearywastrie</vt:lpstr>
      <vt:lpstr>Barbierileipts</vt:lpstr>
      <vt:lpstr>Barbierileitries</vt:lpstr>
      <vt:lpstr>Barkleyollypts</vt:lpstr>
      <vt:lpstr>Barkleyollytries</vt:lpstr>
      <vt:lpstr>barkleywelatt</vt:lpstr>
      <vt:lpstr>barkleywelgoals</vt:lpstr>
      <vt:lpstr>Barringtonrichardpts</vt:lpstr>
      <vt:lpstr>Barringtonrichardtries</vt:lpstr>
      <vt:lpstr>Barrittbradpts</vt:lpstr>
      <vt:lpstr>Barrittbradtries</vt:lpstr>
      <vt:lpstr>Barrownorpts</vt:lpstr>
      <vt:lpstr>Barrownortries</vt:lpstr>
      <vt:lpstr>Bartonglopts</vt:lpstr>
      <vt:lpstr>Bartonglotries</vt:lpstr>
      <vt:lpstr>Bashamnewpts</vt:lpstr>
      <vt:lpstr>Bashamnewtries</vt:lpstr>
      <vt:lpstr>Bassettwaspts</vt:lpstr>
      <vt:lpstr>Bassettwastries</vt:lpstr>
      <vt:lpstr>Batemangregpts</vt:lpstr>
      <vt:lpstr>Batemangregtries</vt:lpstr>
      <vt:lpstr>Batemanleipts</vt:lpstr>
      <vt:lpstr>Batemanleitries</vt:lpstr>
      <vt:lpstr>Batesbripts</vt:lpstr>
      <vt:lpstr>Batesbritries</vt:lpstr>
      <vt:lpstr>bathpentries</vt:lpstr>
      <vt:lpstr>bathpentriespts</vt:lpstr>
      <vt:lpstr>bathpentriesptsthisone</vt:lpstr>
      <vt:lpstr>bathpentriestriesthisone</vt:lpstr>
      <vt:lpstr>BathPts</vt:lpstr>
      <vt:lpstr>bathscorers</vt:lpstr>
      <vt:lpstr>BathTries</vt:lpstr>
      <vt:lpstr>Batleybripts</vt:lpstr>
      <vt:lpstr>Batleybritries</vt:lpstr>
      <vt:lpstr>Battyrosspts</vt:lpstr>
      <vt:lpstr>Battyrosstries</vt:lpstr>
      <vt:lpstr>Baylissbthpts</vt:lpstr>
      <vt:lpstr>Baylissbthtries</vt:lpstr>
      <vt:lpstr>Beaumontsalpts</vt:lpstr>
      <vt:lpstr>Beaumontsaltries</vt:lpstr>
      <vt:lpstr>Beckworpts</vt:lpstr>
      <vt:lpstr>Beckwortries</vt:lpstr>
      <vt:lpstr>bedlowbriatt</vt:lpstr>
      <vt:lpstr>Bedlowbrigls</vt:lpstr>
      <vt:lpstr>Bedlowbripts</vt:lpstr>
      <vt:lpstr>bedlowbritries</vt:lpstr>
      <vt:lpstr>bellleiatt</vt:lpstr>
      <vt:lpstr>Bellleigoals</vt:lpstr>
      <vt:lpstr>Bentleyjonnypts</vt:lpstr>
      <vt:lpstr>Bettencourtnewpts</vt:lpstr>
      <vt:lpstr>Bettencourtnewtries</vt:lpstr>
      <vt:lpstr>Bettysampts</vt:lpstr>
      <vt:lpstr>Bettysamtries</vt:lpstr>
      <vt:lpstr>Bevingtonbstpts</vt:lpstr>
      <vt:lpstr>Bevingtonbsttries</vt:lpstr>
      <vt:lpstr>Biggarnorpts</vt:lpstr>
      <vt:lpstr>Biggarnortries</vt:lpstr>
      <vt:lpstr>Blackworpts</vt:lpstr>
      <vt:lpstr>Blackwortries</vt:lpstr>
      <vt:lpstr>Blairnewpts</vt:lpstr>
      <vt:lpstr>Blairpts</vt:lpstr>
      <vt:lpstr>Blairtries</vt:lpstr>
      <vt:lpstr>Blamirenewpts</vt:lpstr>
      <vt:lpstr>Blamirenewtries</vt:lpstr>
      <vt:lpstr>Blommetjiesleicpts</vt:lpstr>
      <vt:lpstr>Blommetjiesleictries</vt:lpstr>
      <vt:lpstr>Bodillyexepts</vt:lpstr>
      <vt:lpstr>Bodillyexetries</vt:lpstr>
      <vt:lpstr>boschatt</vt:lpstr>
      <vt:lpstr>Boschgoals</vt:lpstr>
      <vt:lpstr>Boschmarcelopts</vt:lpstr>
      <vt:lpstr>Boschmarcelotries</vt:lpstr>
      <vt:lpstr>Bothalirpts</vt:lpstr>
      <vt:lpstr>Bothalirtries</vt:lpstr>
      <vt:lpstr>Bothmaharpts</vt:lpstr>
      <vt:lpstr>Bothmahartries</vt:lpstr>
      <vt:lpstr>boticaatt</vt:lpstr>
      <vt:lpstr>boticagoals</vt:lpstr>
      <vt:lpstr>Bowdendanpts</vt:lpstr>
      <vt:lpstr>Boycebthpts</vt:lpstr>
      <vt:lpstr>Boycebthtries</vt:lpstr>
      <vt:lpstr>Boyceharpts</vt:lpstr>
      <vt:lpstr>Boycehartries</vt:lpstr>
      <vt:lpstr>Braleyglopts</vt:lpstr>
      <vt:lpstr>Braleyglotries</vt:lpstr>
      <vt:lpstr>Breslerworpts</vt:lpstr>
      <vt:lpstr>Breslerwortries</vt:lpstr>
      <vt:lpstr>Brewbthpts</vt:lpstr>
      <vt:lpstr>Brewbthtries</vt:lpstr>
      <vt:lpstr>BristolPts</vt:lpstr>
      <vt:lpstr>BristolTries</vt:lpstr>
      <vt:lpstr>Bristowsalpts</vt:lpstr>
      <vt:lpstr>Bristowsaltries</vt:lpstr>
      <vt:lpstr>Brittonwelpts</vt:lpstr>
      <vt:lpstr>Brittonweltries</vt:lpstr>
      <vt:lpstr>Brookesnoprpts</vt:lpstr>
      <vt:lpstr>Brookesnortries</vt:lpstr>
      <vt:lpstr>Brookeswaspts</vt:lpstr>
      <vt:lpstr>Brookeswastries</vt:lpstr>
      <vt:lpstr>Brophy_Clewslirgoals</vt:lpstr>
      <vt:lpstr>brophyclewsliratt</vt:lpstr>
      <vt:lpstr>BrophyClewslirpts</vt:lpstr>
      <vt:lpstr>BrophyClewslirtries</vt:lpstr>
      <vt:lpstr>Brown</vt:lpstr>
      <vt:lpstr>brown2</vt:lpstr>
      <vt:lpstr>Brownedanielpts</vt:lpstr>
      <vt:lpstr>Brownedanieltries</vt:lpstr>
      <vt:lpstr>Brownharpts</vt:lpstr>
      <vt:lpstr>Brownhartries</vt:lpstr>
      <vt:lpstr>brownmikepts2</vt:lpstr>
      <vt:lpstr>Brownmiketries</vt:lpstr>
      <vt:lpstr>brownmiketriescorrect</vt:lpstr>
      <vt:lpstr>Brussownorpts</vt:lpstr>
      <vt:lpstr>Brussownortries</vt:lpstr>
      <vt:lpstr>bryantleiatt</vt:lpstr>
      <vt:lpstr>Bryantleigoals</vt:lpstr>
      <vt:lpstr>Buchananpts</vt:lpstr>
      <vt:lpstr>buchanantries</vt:lpstr>
      <vt:lpstr>Burgerjacquespts</vt:lpstr>
      <vt:lpstr>Burgerjacquestries</vt:lpstr>
      <vt:lpstr>burnsbthpts</vt:lpstr>
      <vt:lpstr>burnsbthtries</vt:lpstr>
      <vt:lpstr>burnsfreddieatt</vt:lpstr>
      <vt:lpstr>burnsfreddiegoals</vt:lpstr>
      <vt:lpstr>Burnsfreddiepts</vt:lpstr>
      <vt:lpstr>Burnsfreddietries</vt:lpstr>
      <vt:lpstr>burnsleiatt</vt:lpstr>
      <vt:lpstr>burnsleigoals</vt:lpstr>
      <vt:lpstr>Burrelllutherpts</vt:lpstr>
      <vt:lpstr>Burrellpts</vt:lpstr>
      <vt:lpstr>Burrelltries</vt:lpstr>
      <vt:lpstr>Burrelltriescorrect</vt:lpstr>
      <vt:lpstr>Burrowsnewpts</vt:lpstr>
      <vt:lpstr>Burrowsnewtries</vt:lpstr>
      <vt:lpstr>Byrnebripts</vt:lpstr>
      <vt:lpstr>Byrnebritries</vt:lpstr>
      <vt:lpstr>Caldwellexepts</vt:lpstr>
      <vt:lpstr>Caldwellexetries</vt:lpstr>
      <vt:lpstr>Campagnarowaspts</vt:lpstr>
      <vt:lpstr>Campagnarowastries</vt:lpstr>
      <vt:lpstr>Caponbripts</vt:lpstr>
      <vt:lpstr>Caponbritries</vt:lpstr>
      <vt:lpstr>Capstickexepts</vt:lpstr>
      <vt:lpstr>Capstickexetries</vt:lpstr>
      <vt:lpstr>Cardallwaspts</vt:lpstr>
      <vt:lpstr>Cardallwastries</vt:lpstr>
      <vt:lpstr>Care</vt:lpstr>
      <vt:lpstr>Carepts</vt:lpstr>
      <vt:lpstr>caretries</vt:lpstr>
      <vt:lpstr>Carrick_Smithexepts</vt:lpstr>
      <vt:lpstr>Carrick_Smithexetries</vt:lpstr>
      <vt:lpstr>Carrwaspts</vt:lpstr>
      <vt:lpstr>Carrwastries</vt:lpstr>
      <vt:lpstr>Catrakilisharpts</vt:lpstr>
      <vt:lpstr>Catrakilishartries</vt:lpstr>
      <vt:lpstr>Cattnathanpts</vt:lpstr>
      <vt:lpstr>Cattnathantries</vt:lpstr>
      <vt:lpstr>chapmangloatt</vt:lpstr>
      <vt:lpstr>chapmanglogls</vt:lpstr>
      <vt:lpstr>Chapmanglopts</vt:lpstr>
      <vt:lpstr>Chapmanglotries</vt:lpstr>
      <vt:lpstr>Charterisbthpts</vt:lpstr>
      <vt:lpstr>Charterisbthtries</vt:lpstr>
      <vt:lpstr>Cheesemanharpts</vt:lpstr>
      <vt:lpstr>Cheesemanhartries</vt:lpstr>
      <vt:lpstr>Chicknewpts</vt:lpstr>
      <vt:lpstr>Chicknewtries</vt:lpstr>
      <vt:lpstr>Chisholm_Rharpts</vt:lpstr>
      <vt:lpstr>Chisholm_Rhartries</vt:lpstr>
      <vt:lpstr>Chisholmjamesharpts</vt:lpstr>
      <vt:lpstr>Chisholmjameshartries</vt:lpstr>
      <vt:lpstr>Chudleybthpts</vt:lpstr>
      <vt:lpstr>Chudleybthtries</vt:lpstr>
      <vt:lpstr>ciprianiatt</vt:lpstr>
      <vt:lpstr>ciprianigloatt</vt:lpstr>
      <vt:lpstr>ciprianiglogls</vt:lpstr>
      <vt:lpstr>Ciprianiglopts</vt:lpstr>
      <vt:lpstr>Ciprianiglotries</vt:lpstr>
      <vt:lpstr>ciprianigoals</vt:lpstr>
      <vt:lpstr>Clarkbatpts</vt:lpstr>
      <vt:lpstr>Clarkbattries</vt:lpstr>
      <vt:lpstr>cleggatt</vt:lpstr>
      <vt:lpstr>clegggoals</vt:lpstr>
      <vt:lpstr>Cleggnewpts</vt:lpstr>
      <vt:lpstr>Cleggpts</vt:lpstr>
      <vt:lpstr>cleggrorytries</vt:lpstr>
      <vt:lpstr>Cleggworpts</vt:lpstr>
      <vt:lpstr>Cleggwortries</vt:lpstr>
      <vt:lpstr>Cliffordharpts</vt:lpstr>
      <vt:lpstr>Cliffordhartries</vt:lpstr>
      <vt:lpstr>cliffsalatt</vt:lpstr>
      <vt:lpstr>Cliffsalgls</vt:lpstr>
      <vt:lpstr>Cliffwillsalpts</vt:lpstr>
      <vt:lpstr>Cliffwillsaltries</vt:lpstr>
      <vt:lpstr>Coetzerglopts</vt:lpstr>
      <vt:lpstr>Coetzerglotries</vt:lpstr>
      <vt:lpstr>Cokanasigabthpts</vt:lpstr>
      <vt:lpstr>Cokanasigabthtries</vt:lpstr>
      <vt:lpstr>Coleleipts</vt:lpstr>
      <vt:lpstr>Coleleitries</vt:lpstr>
      <vt:lpstr>Colesnorpts</vt:lpstr>
      <vt:lpstr>Colesnortries</vt:lpstr>
      <vt:lpstr>Collettnewpts</vt:lpstr>
      <vt:lpstr>Collettnewtries</vt:lpstr>
      <vt:lpstr>Collierharpts</vt:lpstr>
      <vt:lpstr>Collierhartries</vt:lpstr>
      <vt:lpstr>Collinstompts</vt:lpstr>
      <vt:lpstr>Collinstomtries</vt:lpstr>
      <vt:lpstr>Comanlirpts</vt:lpstr>
      <vt:lpstr>Comanlirtries</vt:lpstr>
      <vt:lpstr>connonnewatt</vt:lpstr>
      <vt:lpstr>connonnewgoals</vt:lpstr>
      <vt:lpstr>Connonnewptscorrect</vt:lpstr>
      <vt:lpstr>Connonnewtriescorrect</vt:lpstr>
      <vt:lpstr>Cookbthpts</vt:lpstr>
      <vt:lpstr>Cookbthtries</vt:lpstr>
      <vt:lpstr>Cookchrispts</vt:lpstr>
      <vt:lpstr>Cookchristries</vt:lpstr>
      <vt:lpstr>Cookelirpts</vt:lpstr>
      <vt:lpstr>Cookelirtries</vt:lpstr>
      <vt:lpstr>Cooper_Woolleysalpts</vt:lpstr>
      <vt:lpstr>Cooper_Woolleysaltries</vt:lpstr>
      <vt:lpstr>Cooper_Woolleywaspts</vt:lpstr>
      <vt:lpstr>Cooper_Woolleywastries</vt:lpstr>
      <vt:lpstr>Coopernewpts</vt:lpstr>
      <vt:lpstr>Coopernewtries</vt:lpstr>
      <vt:lpstr>Cooperwelpts</vt:lpstr>
      <vt:lpstr>Cooperweltries</vt:lpstr>
      <vt:lpstr>Cornishlirpts</vt:lpstr>
      <vt:lpstr>Cornishlirtries</vt:lpstr>
      <vt:lpstr>Cosgrovebripts</vt:lpstr>
      <vt:lpstr>Cosgrovebritries</vt:lpstr>
      <vt:lpstr>Courtlipts</vt:lpstr>
      <vt:lpstr>Courtlitries</vt:lpstr>
      <vt:lpstr>Cowan_Dickie_Lukepts</vt:lpstr>
      <vt:lpstr>Cowan_Dickie_Luketries</vt:lpstr>
      <vt:lpstr>Cowanblairtries</vt:lpstr>
      <vt:lpstr>Cowanjimmypts</vt:lpstr>
      <vt:lpstr>Cowanjimmytries</vt:lpstr>
      <vt:lpstr>Cowanlipts</vt:lpstr>
      <vt:lpstr>Cowantries</vt:lpstr>
      <vt:lpstr>Coxworpts</vt:lpstr>
      <vt:lpstr>Coxwortries</vt:lpstr>
      <vt:lpstr>Craignorpts</vt:lpstr>
      <vt:lpstr>Craignortries</vt:lpstr>
      <vt:lpstr>cranebripts</vt:lpstr>
      <vt:lpstr>Cranebritries</vt:lpstr>
      <vt:lpstr>Croftleipts</vt:lpstr>
      <vt:lpstr>Croftleitries</vt:lpstr>
      <vt:lpstr>Crossdalesarpts</vt:lpstr>
      <vt:lpstr>Crossdalesarptscorrect</vt:lpstr>
      <vt:lpstr>Crossdalesartries</vt:lpstr>
      <vt:lpstr>Crossdalesartriescorrect</vt:lpstr>
      <vt:lpstr>Crosslipts</vt:lpstr>
      <vt:lpstr>Crosslitries</vt:lpstr>
      <vt:lpstr>Crumptonharpts</vt:lpstr>
      <vt:lpstr>Crumptonhartries</vt:lpstr>
      <vt:lpstr>Crusewaspts</vt:lpstr>
      <vt:lpstr>Crusewastries</vt:lpstr>
      <vt:lpstr>Curry_Bsalpts</vt:lpstr>
      <vt:lpstr>Curry_Bsaltries</vt:lpstr>
      <vt:lpstr>Curry_Tsalpts</vt:lpstr>
      <vt:lpstr>Curry_Tsaltries</vt:lpstr>
      <vt:lpstr>Curtissalpts</vt:lpstr>
      <vt:lpstr>Curtissaltries</vt:lpstr>
      <vt:lpstr>Curtiswaspts</vt:lpstr>
      <vt:lpstr>Curtiswastries</vt:lpstr>
      <vt:lpstr>Dalyelliottries</vt:lpstr>
      <vt:lpstr>Dalywaspts</vt:lpstr>
      <vt:lpstr>Danaherdeclanpts</vt:lpstr>
      <vt:lpstr>danielsbriatt</vt:lpstr>
      <vt:lpstr>Danielsbrigls</vt:lpstr>
      <vt:lpstr>Danielsbripts</vt:lpstr>
      <vt:lpstr>Danielsbritries</vt:lpstr>
      <vt:lpstr>dasdsa</vt:lpstr>
      <vt:lpstr>Davidsonnewpts</vt:lpstr>
      <vt:lpstr>Davidsonnewtries</vt:lpstr>
      <vt:lpstr>Davidworpts</vt:lpstr>
      <vt:lpstr>Davidwortries</vt:lpstr>
      <vt:lpstr>Daviesalexpts</vt:lpstr>
      <vt:lpstr>Daviesalextries</vt:lpstr>
      <vt:lpstr>daviesbthatt</vt:lpstr>
      <vt:lpstr>daviesbthgls</vt:lpstr>
      <vt:lpstr>Daviesbthpts</vt:lpstr>
      <vt:lpstr>Daviesbthtries</vt:lpstr>
      <vt:lpstr>Daviesexepts</vt:lpstr>
      <vt:lpstr>Daviesexetries</vt:lpstr>
      <vt:lpstr>Daviesnorpts</vt:lpstr>
      <vt:lpstr>Daviesnortries</vt:lpstr>
      <vt:lpstr>Davisbthpts</vt:lpstr>
      <vt:lpstr>Davisbthtries</vt:lpstr>
      <vt:lpstr>Davisexepts</vt:lpstr>
      <vt:lpstr>Davisexetries</vt:lpstr>
      <vt:lpstr>Davisnorpts</vt:lpstr>
      <vt:lpstr>Davisnortries</vt:lpstr>
      <vt:lpstr>Dawebripts</vt:lpstr>
      <vt:lpstr>Dawebritries</vt:lpstr>
      <vt:lpstr>Dawidiukglopts</vt:lpstr>
      <vt:lpstr>Dawidiukglotries</vt:lpstr>
      <vt:lpstr>Dawidiuklirpts</vt:lpstr>
      <vt:lpstr>Dawidiuklirtries</vt:lpstr>
      <vt:lpstr>de_Jonghwaspts</vt:lpstr>
      <vt:lpstr>de_Jonghwastries</vt:lpstr>
      <vt:lpstr>de_Klerksalgls</vt:lpstr>
      <vt:lpstr>de_Kockneilpts</vt:lpstr>
      <vt:lpstr>de_Kockneiltries</vt:lpstr>
      <vt:lpstr>deklerksalatt</vt:lpstr>
      <vt:lpstr>Delmasbthpts</vt:lpstr>
      <vt:lpstr>Delmasbthtries</vt:lpstr>
      <vt:lpstr>Denmangarethpts</vt:lpstr>
      <vt:lpstr>Denmangarethtries</vt:lpstr>
      <vt:lpstr>Denmanglopts</vt:lpstr>
      <vt:lpstr>Denmanglotries</vt:lpstr>
      <vt:lpstr>Dennisexepts</vt:lpstr>
      <vt:lpstr>Dennisexetries</vt:lpstr>
      <vt:lpstr>Dentonglopts</vt:lpstr>
      <vt:lpstr>Dentonglotries</vt:lpstr>
      <vt:lpstr>Dentonleicpts</vt:lpstr>
      <vt:lpstr>Dentonleictries</vt:lpstr>
      <vt:lpstr>Devotoexepts</vt:lpstr>
      <vt:lpstr>Devotoexetries</vt:lpstr>
      <vt:lpstr>Dingwallnorpts</vt:lpstr>
      <vt:lpstr>Dingwallnortries</vt:lpstr>
      <vt:lpstr>dollmanatt</vt:lpstr>
      <vt:lpstr>Dollmanexepts</vt:lpstr>
      <vt:lpstr>Dollmanexetries</vt:lpstr>
      <vt:lpstr>Dollmangoals</vt:lpstr>
      <vt:lpstr>Dombrandtharpts</vt:lpstr>
      <vt:lpstr>Dombrandthartries</vt:lpstr>
      <vt:lpstr>Donnelllirpts</vt:lpstr>
      <vt:lpstr>Donnelllirtries</vt:lpstr>
      <vt:lpstr>Dorrianlipts</vt:lpstr>
      <vt:lpstr>Dorrianlitries</vt:lpstr>
      <vt:lpstr>Douglasbthpts</vt:lpstr>
      <vt:lpstr>Douglasbthtries</vt:lpstr>
      <vt:lpstr>Dowsonpts</vt:lpstr>
      <vt:lpstr>Dowsontries</vt:lpstr>
      <vt:lpstr>du_Plessissarpts</vt:lpstr>
      <vt:lpstr>du_Plessissartries</vt:lpstr>
      <vt:lpstr>du_Preez_Dsalpts</vt:lpstr>
      <vt:lpstr>du_Preez_Dsaltries</vt:lpstr>
      <vt:lpstr>du_Preez_J_Lsalpts</vt:lpstr>
      <vt:lpstr>du_Preez_J_Lsaltries</vt:lpstr>
      <vt:lpstr>du_Preez_Rsalpts</vt:lpstr>
      <vt:lpstr>du_Preez_Rsaltries</vt:lpstr>
      <vt:lpstr>du_Preezworpts</vt:lpstr>
      <vt:lpstr>du_Preezwortries</vt:lpstr>
      <vt:lpstr>Dunnbattries</vt:lpstr>
      <vt:lpstr>Dunntompts</vt:lpstr>
      <vt:lpstr>dupreezsalatt</vt:lpstr>
      <vt:lpstr>dupreezsalgls</vt:lpstr>
      <vt:lpstr>dupreezsalpts</vt:lpstr>
      <vt:lpstr>Earleharpts</vt:lpstr>
      <vt:lpstr>Earlehartries</vt:lpstr>
      <vt:lpstr>Earlsarpts</vt:lpstr>
      <vt:lpstr>Earlsartries</vt:lpstr>
      <vt:lpstr>Eastgatewaspts</vt:lpstr>
      <vt:lpstr>Eastgatewastries</vt:lpstr>
      <vt:lpstr>Eastmondleictries</vt:lpstr>
      <vt:lpstr>Eastmondlicpts</vt:lpstr>
      <vt:lpstr>edenbriatt</vt:lpstr>
      <vt:lpstr>Edenbrigls</vt:lpstr>
      <vt:lpstr>Edenbripts</vt:lpstr>
      <vt:lpstr>Edenbritries</vt:lpstr>
      <vt:lpstr>Eliaharpts</vt:lpstr>
      <vt:lpstr>Eliahartries</vt:lpstr>
      <vt:lpstr>Englefieldlirpts</vt:lpstr>
      <vt:lpstr>Englefieldlirtries</vt:lpstr>
      <vt:lpstr>Evans_Lglopts</vt:lpstr>
      <vt:lpstr>Evans_Lglotries</vt:lpstr>
      <vt:lpstr>Evans_Oharpts</vt:lpstr>
      <vt:lpstr>Evans_Ohartries</vt:lpstr>
      <vt:lpstr>Evansbthpts</vt:lpstr>
      <vt:lpstr>Evansbthtries</vt:lpstr>
      <vt:lpstr>Evansgarethpts</vt:lpstr>
      <vt:lpstr>Evansgarethtries</vt:lpstr>
      <vt:lpstr>Evansleipts</vt:lpstr>
      <vt:lpstr>Evansleitries</vt:lpstr>
      <vt:lpstr>evanslgloatt</vt:lpstr>
      <vt:lpstr>evanslglogoals</vt:lpstr>
      <vt:lpstr>Evanssalpts</vt:lpstr>
      <vt:lpstr>Evanssaltries</vt:lpstr>
      <vt:lpstr>Ewelsbthpts</vt:lpstr>
      <vt:lpstr>ewelsbthtries</vt:lpstr>
      <vt:lpstr>Ewersexepts</vt:lpstr>
      <vt:lpstr>Ewersexetries</vt:lpstr>
      <vt:lpstr>ExeterPts</vt:lpstr>
      <vt:lpstr>ExeterTries</vt:lpstr>
      <vt:lpstr>Fainga_anukuofapts</vt:lpstr>
      <vt:lpstr>Faingaalirpts</vt:lpstr>
      <vt:lpstr>Faingaalirtries</vt:lpstr>
      <vt:lpstr>Faletaubripts</vt:lpstr>
      <vt:lpstr>Faletaubritries</vt:lpstr>
      <vt:lpstr>Faletaubthpts</vt:lpstr>
      <vt:lpstr>Faletaubthtries</vt:lpstr>
      <vt:lpstr>Faosilivaworpts</vt:lpstr>
      <vt:lpstr>Faosilivawortries</vt:lpstr>
      <vt:lpstr>farrellatt</vt:lpstr>
      <vt:lpstr>farrellgoals</vt:lpstr>
      <vt:lpstr>Farrellowentries</vt:lpstr>
      <vt:lpstr>Farrellsarpts</vt:lpstr>
      <vt:lpstr>Fatialofaworpts</vt:lpstr>
      <vt:lpstr>Fatialofawortries</vt:lpstr>
      <vt:lpstr>Feaoleicpts</vt:lpstr>
      <vt:lpstr>Feaoleictries</vt:lpstr>
      <vt:lpstr>Fearnsalpts</vt:lpstr>
      <vt:lpstr>Fearnsaltries</vt:lpstr>
      <vt:lpstr>Fenbylipts</vt:lpstr>
      <vt:lpstr>Fenbylitries</vt:lpstr>
      <vt:lpstr>Fenton_Wellsbripts</vt:lpstr>
      <vt:lpstr>Fenton_Wellsbritries</vt:lpstr>
      <vt:lpstr>Festucciacarlopts</vt:lpstr>
      <vt:lpstr>Festucciacarlotries</vt:lpstr>
      <vt:lpstr>Figallosarpts</vt:lpstr>
      <vt:lpstr>Figallosartries</vt:lpstr>
      <vt:lpstr>Fishnorpts</vt:lpstr>
      <vt:lpstr>Fishnortries</vt:lpstr>
      <vt:lpstr>Fitzgerald__Leitries</vt:lpstr>
      <vt:lpstr>Fitzgeraldleipts</vt:lpstr>
      <vt:lpstr>Flamentwaspts</vt:lpstr>
      <vt:lpstr>Flamentwastries</vt:lpstr>
      <vt:lpstr>floodatt</vt:lpstr>
      <vt:lpstr>floodgoals</vt:lpstr>
      <vt:lpstr>Floodnewpts</vt:lpstr>
      <vt:lpstr>Floodnewtries</vt:lpstr>
      <vt:lpstr>Floodpts</vt:lpstr>
      <vt:lpstr>Floodtobytries</vt:lpstr>
      <vt:lpstr>Flynnsalpts</vt:lpstr>
      <vt:lpstr>Flynnsaltries</vt:lpstr>
      <vt:lpstr>Ford_Jleicpts</vt:lpstr>
      <vt:lpstr>Ford_Jleictries</vt:lpstr>
      <vt:lpstr>Ford_Robinsonnorpts</vt:lpstr>
      <vt:lpstr>Ford_Robinsonnortries</vt:lpstr>
      <vt:lpstr>Fordgeorgeatt</vt:lpstr>
      <vt:lpstr>Fordgeorgegoals</vt:lpstr>
      <vt:lpstr>fordleicpts</vt:lpstr>
      <vt:lpstr>fordleictries</vt:lpstr>
      <vt:lpstr>Forsythleipts</vt:lpstr>
      <vt:lpstr>Forsythleitries</vt:lpstr>
      <vt:lpstr>Fosterwaspts</vt:lpstr>
      <vt:lpstr>Fosterwastries</vt:lpstr>
      <vt:lpstr>Fotuali_ibthpts</vt:lpstr>
      <vt:lpstr>Fotuali_ibthtries</vt:lpstr>
      <vt:lpstr>Fowlielipts</vt:lpstr>
      <vt:lpstr>Fowlietomtries</vt:lpstr>
      <vt:lpstr>Francisexepts</vt:lpstr>
      <vt:lpstr>Francisexetries</vt:lpstr>
      <vt:lpstr>Francisnorpts</vt:lpstr>
      <vt:lpstr>Francisnortries</vt:lpstr>
      <vt:lpstr>Frankslirpts</vt:lpstr>
      <vt:lpstr>Frankslirtries</vt:lpstr>
      <vt:lpstr>Franksnorpts</vt:lpstr>
      <vt:lpstr>Franksnortries</vt:lpstr>
      <vt:lpstr>Freemanexepts</vt:lpstr>
      <vt:lpstr>Freemanexetries</vt:lpstr>
      <vt:lpstr>furbanknoratt</vt:lpstr>
      <vt:lpstr>furbanknorgls</vt:lpstr>
      <vt:lpstr>Furbanknorpts</vt:lpstr>
      <vt:lpstr>Furbanknorptscorrect</vt:lpstr>
      <vt:lpstr>Furbanknortries</vt:lpstr>
      <vt:lpstr>Furbanknortriescorrect</vt:lpstr>
      <vt:lpstr>Furnonewpts</vt:lpstr>
      <vt:lpstr>Furnonewtries</vt:lpstr>
      <vt:lpstr>Galarzaglopts</vt:lpstr>
      <vt:lpstr>Galarzaglotries</vt:lpstr>
      <vt:lpstr>Galarzamarianopts</vt:lpstr>
      <vt:lpstr>Galarzamarianotries</vt:lpstr>
      <vt:lpstr>Gallaghersarpts</vt:lpstr>
      <vt:lpstr>Gallaghersartries</vt:lpstr>
      <vt:lpstr>Garveymattpts</vt:lpstr>
      <vt:lpstr>Garveymatttries</vt:lpstr>
      <vt:lpstr>Gaskellwaspts</vt:lpstr>
      <vt:lpstr>Gaskellwastries</vt:lpstr>
      <vt:lpstr>Georgesarpts</vt:lpstr>
      <vt:lpstr>Georgesartries</vt:lpstr>
      <vt:lpstr>Geraghtybripts</vt:lpstr>
      <vt:lpstr>Geraghtybritries</vt:lpstr>
      <vt:lpstr>Geraghtypts</vt:lpstr>
      <vt:lpstr>Geraghtytries</vt:lpstr>
      <vt:lpstr>Ghiraldinileipts</vt:lpstr>
      <vt:lpstr>Ghiraldinileitries</vt:lpstr>
      <vt:lpstr>Gibsonnorpts</vt:lpstr>
      <vt:lpstr>Gibsonnortries</vt:lpstr>
      <vt:lpstr>Gigenaleicpts</vt:lpstr>
      <vt:lpstr>Gigenaleictries</vt:lpstr>
      <vt:lpstr>Gillespienorpts</vt:lpstr>
      <vt:lpstr>Gillespienortries</vt:lpstr>
      <vt:lpstr>Gilsenanlipts</vt:lpstr>
      <vt:lpstr>Gilsenanlirpts</vt:lpstr>
      <vt:lpstr>Gilsenanlirtries</vt:lpstr>
      <vt:lpstr>Gilsenanlitries</vt:lpstr>
      <vt:lpstr>Gleavelirpts</vt:lpstr>
      <vt:lpstr>Gleavelirtries</vt:lpstr>
      <vt:lpstr>GloucesterPts</vt:lpstr>
      <vt:lpstr>GloucesterTries</vt:lpstr>
      <vt:lpstr>goodealexatt</vt:lpstr>
      <vt:lpstr>goodealexgoals</vt:lpstr>
      <vt:lpstr>Goodealexpts</vt:lpstr>
      <vt:lpstr>goodealextries</vt:lpstr>
      <vt:lpstr>goodeandyatt</vt:lpstr>
      <vt:lpstr>goodeandygoals</vt:lpstr>
      <vt:lpstr>Goodewaspts</vt:lpstr>
      <vt:lpstr>Goodewastries</vt:lpstr>
      <vt:lpstr>Graham__Guynewpts</vt:lpstr>
      <vt:lpstr>Graham__Guynewtries</vt:lpstr>
      <vt:lpstr>Grahambripts</vt:lpstr>
      <vt:lpstr>Grahambritries</vt:lpstr>
      <vt:lpstr>Grahamnewpts</vt:lpstr>
      <vt:lpstr>Grahamnewtries</vt:lpstr>
      <vt:lpstr>Grantbatpts</vt:lpstr>
      <vt:lpstr>Grantbattries</vt:lpstr>
      <vt:lpstr>graydannyatt</vt:lpstr>
      <vt:lpstr>graydannygoals</vt:lpstr>
      <vt:lpstr>Grayharpts</vt:lpstr>
      <vt:lpstr>Grayhartries</vt:lpstr>
      <vt:lpstr>Grayjoshglopts</vt:lpstr>
      <vt:lpstr>Grayjoshglotries</vt:lpstr>
      <vt:lpstr>graysonnoratt</vt:lpstr>
      <vt:lpstr>graysonnorgls</vt:lpstr>
      <vt:lpstr>Graysonnorpts</vt:lpstr>
      <vt:lpstr>Graysonnortries</vt:lpstr>
      <vt:lpstr>Greenbthpts</vt:lpstr>
      <vt:lpstr>Greenbthtries</vt:lpstr>
      <vt:lpstr>Griffithssarpts</vt:lpstr>
      <vt:lpstr>Griffithssartries</vt:lpstr>
      <vt:lpstr>Groblerglopts</vt:lpstr>
      <vt:lpstr>Groblerglotrie</vt:lpstr>
      <vt:lpstr>Hainingbripts</vt:lpstr>
      <vt:lpstr>Hainingbritries</vt:lpstr>
      <vt:lpstr>Halaifonuaglopts</vt:lpstr>
      <vt:lpstr>Halaifonuaglotries</vt:lpstr>
      <vt:lpstr>Halaiwaspts</vt:lpstr>
      <vt:lpstr>Halaiwastries</vt:lpstr>
      <vt:lpstr>Hammersleynewpts</vt:lpstr>
      <vt:lpstr>Hammersleynewtries</vt:lpstr>
      <vt:lpstr>Hammersleysalpts</vt:lpstr>
      <vt:lpstr>Hammersleysaltries</vt:lpstr>
      <vt:lpstr>Hammonddeanpts</vt:lpstr>
      <vt:lpstr>Hammonddeantries</vt:lpstr>
      <vt:lpstr>Hampsonwasptscorrect</vt:lpstr>
      <vt:lpstr>Hampsonwastriescorrect</vt:lpstr>
      <vt:lpstr>hanrahannoratt</vt:lpstr>
      <vt:lpstr>Hanrahannorgoals</vt:lpstr>
      <vt:lpstr>Hansonglopts</vt:lpstr>
      <vt:lpstr>Hansonglotries</vt:lpstr>
      <vt:lpstr>hardwickleicatt</vt:lpstr>
      <vt:lpstr>hardwickleicgls</vt:lpstr>
      <vt:lpstr>Hardwickleipts</vt:lpstr>
      <vt:lpstr>Hardwickleitries</vt:lpstr>
      <vt:lpstr>HarlequinsPts</vt:lpstr>
      <vt:lpstr>HarlequinsTries</vt:lpstr>
      <vt:lpstr>Harris_Bwaspts</vt:lpstr>
      <vt:lpstr>Harris_Bwastries</vt:lpstr>
      <vt:lpstr>Harrisglopts</vt:lpstr>
      <vt:lpstr>Harrisglotries</vt:lpstr>
      <vt:lpstr>Harrisnewpts</vt:lpstr>
      <vt:lpstr>Harrisnewtries</vt:lpstr>
      <vt:lpstr>Harrisonnorpts</vt:lpstr>
      <vt:lpstr>Harrisonnortries</vt:lpstr>
      <vt:lpstr>Harrisonsalpts</vt:lpstr>
      <vt:lpstr>Harrisonsaltris</vt:lpstr>
      <vt:lpstr>Harrisonsampts</vt:lpstr>
      <vt:lpstr>Harrisonsamtries</vt:lpstr>
      <vt:lpstr>Hartryscorers</vt:lpstr>
      <vt:lpstr>Hassell_Collinslirpts</vt:lpstr>
      <vt:lpstr>Hassell_Collinslirtries</vt:lpstr>
      <vt:lpstr>Hawkinsnewpts</vt:lpstr>
      <vt:lpstr>Hawkinsnewtries</vt:lpstr>
      <vt:lpstr>Haywoodmikepts</vt:lpstr>
      <vt:lpstr>Haywoodmiketries</vt:lpstr>
      <vt:lpstr>Heaneyworpts</vt:lpstr>
      <vt:lpstr>Heaneywortries</vt:lpstr>
      <vt:lpstr>Hearleworpts</vt:lpstr>
      <vt:lpstr>Hearlewortries</vt:lpstr>
      <vt:lpstr>Hearnlirpts</vt:lpstr>
      <vt:lpstr>Hearnlirtries</vt:lpstr>
      <vt:lpstr>Heinzglopts</vt:lpstr>
      <vt:lpstr>Heinzglotries</vt:lpstr>
      <vt:lpstr>Hendricksonexepts</vt:lpstr>
      <vt:lpstr>Hendricksonexetries</vt:lpstr>
      <vt:lpstr>Hendriksonexetries</vt:lpstr>
      <vt:lpstr>henryleicatt</vt:lpstr>
      <vt:lpstr>Henryleicgls</vt:lpstr>
      <vt:lpstr>Henryleicpts</vt:lpstr>
      <vt:lpstr>Henryleictries</vt:lpstr>
      <vt:lpstr>Hepburnexepts</vt:lpstr>
      <vt:lpstr>Hepburnexetries</vt:lpstr>
      <vt:lpstr>herronharatt</vt:lpstr>
      <vt:lpstr>Herronhargls</vt:lpstr>
      <vt:lpstr>Herronharpts</vt:lpstr>
      <vt:lpstr>Herronhartries</vt:lpstr>
      <vt:lpstr>Hicksglopts</vt:lpstr>
      <vt:lpstr>Hicksgloptscorrect</vt:lpstr>
      <vt:lpstr>Hicksglotries</vt:lpstr>
      <vt:lpstr>Hill_Jexepts</vt:lpstr>
      <vt:lpstr>Hill_Jexetries</vt:lpstr>
      <vt:lpstr>Hill_Samexetries</vt:lpstr>
      <vt:lpstr>Hill_Sexepts</vt:lpstr>
      <vt:lpstr>Hill_Ssamexepts</vt:lpstr>
      <vt:lpstr>Hillsampts</vt:lpstr>
      <vt:lpstr>Hillsamtries</vt:lpstr>
      <vt:lpstr>Hillworpts</vt:lpstr>
      <vt:lpstr>Hillwortries</vt:lpstr>
      <vt:lpstr>Hinkleyglopts</vt:lpstr>
      <vt:lpstr>Hinkleyglotries</vt:lpstr>
      <vt:lpstr>Hodgeexeatt</vt:lpstr>
      <vt:lpstr>Hodgeexegls</vt:lpstr>
      <vt:lpstr>hodgsoncharlieatt</vt:lpstr>
      <vt:lpstr>Hodgsoncharliegoals</vt:lpstr>
      <vt:lpstr>Hodgsonnewatt</vt:lpstr>
      <vt:lpstr>hodgsonnewattcorrect</vt:lpstr>
      <vt:lpstr>Hodgsonnewgoals</vt:lpstr>
      <vt:lpstr>Hodgsonnorpts</vt:lpstr>
      <vt:lpstr>Hodgsonnortries</vt:lpstr>
      <vt:lpstr>hoggexeatt</vt:lpstr>
      <vt:lpstr>hoggexegls</vt:lpstr>
      <vt:lpstr>Hoggexepts</vt:lpstr>
      <vt:lpstr>Hoggexetries</vt:lpstr>
      <vt:lpstr>Holmesexepts</vt:lpstr>
      <vt:lpstr>holmesexetries</vt:lpstr>
      <vt:lpstr>Holmesleicpts</vt:lpstr>
      <vt:lpstr>Holmesleictries</vt:lpstr>
      <vt:lpstr>Homer_Tombthgoals</vt:lpstr>
      <vt:lpstr>Homer_Tombthpts</vt:lpstr>
      <vt:lpstr>Homer_Tombthtries</vt:lpstr>
      <vt:lpstr>homertombthatt</vt:lpstr>
      <vt:lpstr>hookgloatt</vt:lpstr>
      <vt:lpstr>hookglogoals</vt:lpstr>
      <vt:lpstr>Horwillharpts</vt:lpstr>
      <vt:lpstr>Horwillhartries</vt:lpstr>
      <vt:lpstr>Hoskinslirpts</vt:lpstr>
      <vt:lpstr>Hoskinslirtries</vt:lpstr>
      <vt:lpstr>Hougaardworpts</vt:lpstr>
      <vt:lpstr>Hougaardwortries</vt:lpstr>
      <vt:lpstr>Howeworpts</vt:lpstr>
      <vt:lpstr>Howewortries</vt:lpstr>
      <vt:lpstr>Hudsonglopts</vt:lpstr>
      <vt:lpstr>Hudsonglotries</vt:lpstr>
      <vt:lpstr>Hughesbripts</vt:lpstr>
      <vt:lpstr>Hughesbritries</vt:lpstr>
      <vt:lpstr>Hugheswaspts</vt:lpstr>
      <vt:lpstr>Hugheswastries</vt:lpstr>
      <vt:lpstr>humphreysatt</vt:lpstr>
      <vt:lpstr>humphreysgoals</vt:lpstr>
      <vt:lpstr>Humphreysworpts</vt:lpstr>
      <vt:lpstr>Humphreyswortries</vt:lpstr>
      <vt:lpstr>hutchinsonnoratt</vt:lpstr>
      <vt:lpstr>hutchinsonnorgls</vt:lpstr>
      <vt:lpstr>Hutchinsonnorpts</vt:lpstr>
      <vt:lpstr>Hutchinsonnortries</vt:lpstr>
      <vt:lpstr>Ibitoyeharpts</vt:lpstr>
      <vt:lpstr>Ibitoyehartries</vt:lpstr>
      <vt:lpstr>Ibuanokpeharpts</vt:lpstr>
      <vt:lpstr>Ibuanokpehartries</vt:lpstr>
      <vt:lpstr>Isiekwesarpts</vt:lpstr>
      <vt:lpstr>Isiekwesartries</vt:lpstr>
      <vt:lpstr>Itojesarpts</vt:lpstr>
      <vt:lpstr>Itojesartries</vt:lpstr>
      <vt:lpstr>Jacksonlirpts</vt:lpstr>
      <vt:lpstr>Jacksonlirtries</vt:lpstr>
      <vt:lpstr>James_Lsalpts</vt:lpstr>
      <vt:lpstr>James_Lsaltries</vt:lpstr>
      <vt:lpstr>Jamespts</vt:lpstr>
      <vt:lpstr>Jamessalatt</vt:lpstr>
      <vt:lpstr>Jamessalgls</vt:lpstr>
      <vt:lpstr>Jamessalpts</vt:lpstr>
      <vt:lpstr>Jamessaltries</vt:lpstr>
      <vt:lpstr>jamestries</vt:lpstr>
      <vt:lpstr>Jameswaspts</vt:lpstr>
      <vt:lpstr>Jameswastries</vt:lpstr>
      <vt:lpstr>Jansevanrensburgsalpts</vt:lpstr>
      <vt:lpstr>Jansevanrensburgsaltries</vt:lpstr>
      <vt:lpstr>jardinewasatt</vt:lpstr>
      <vt:lpstr>jardinewasgls</vt:lpstr>
      <vt:lpstr>Jardinewaspts</vt:lpstr>
      <vt:lpstr>Jardinewastries</vt:lpstr>
      <vt:lpstr>Jeffriesbripts</vt:lpstr>
      <vt:lpstr>Jeffriesbritries</vt:lpstr>
      <vt:lpstr>Jeffriesbstpts</vt:lpstr>
      <vt:lpstr>Jeffriesbsttries</vt:lpstr>
      <vt:lpstr>Jenningssalpts</vt:lpstr>
      <vt:lpstr>Jenningssaltries</vt:lpstr>
      <vt:lpstr>Jewellsebpts</vt:lpstr>
      <vt:lpstr>Jewellsebtries</vt:lpstr>
      <vt:lpstr>Johnsalpts</vt:lpstr>
      <vt:lpstr>Johnsaltries</vt:lpstr>
      <vt:lpstr>Johnsonexepts</vt:lpstr>
      <vt:lpstr>Johnsonexetries</vt:lpstr>
      <vt:lpstr>Johnsonwaspts</vt:lpstr>
      <vt:lpstr>Johnsonwastries</vt:lpstr>
      <vt:lpstr>Jones_Jsalpts</vt:lpstr>
      <vt:lpstr>Jones_Jsaltries</vt:lpstr>
      <vt:lpstr>Jonesadamharpts</vt:lpstr>
      <vt:lpstr>Jonesadamhartries</vt:lpstr>
      <vt:lpstr>joneschristries</vt:lpstr>
      <vt:lpstr>Jonessalpts</vt:lpstr>
      <vt:lpstr>Jonessaltries</vt:lpstr>
      <vt:lpstr>Josephbatpts</vt:lpstr>
      <vt:lpstr>Josephbattries</vt:lpstr>
      <vt:lpstr>josephbthatt</vt:lpstr>
      <vt:lpstr>Josephbthgls</vt:lpstr>
      <vt:lpstr>Jouberternstpts</vt:lpstr>
      <vt:lpstr>Jouberternsttries</vt:lpstr>
      <vt:lpstr>Judgesarpts</vt:lpstr>
      <vt:lpstr>Judgesartries</vt:lpstr>
      <vt:lpstr>Kalamafonileipts</vt:lpstr>
      <vt:lpstr>Kalamafonileitries</vt:lpstr>
      <vt:lpstr>Kareaexepts</vt:lpstr>
      <vt:lpstr>Kareaexetries</vt:lpstr>
      <vt:lpstr>Keastexepts</vt:lpstr>
      <vt:lpstr>Keastexetries</vt:lpstr>
      <vt:lpstr>Kellawaynorpts</vt:lpstr>
      <vt:lpstr>Kellawaynortries</vt:lpstr>
      <vt:lpstr>Kerrleicpts</vt:lpstr>
      <vt:lpstr>Kerrleictries</vt:lpstr>
      <vt:lpstr>Kerrodworpts</vt:lpstr>
      <vt:lpstr>Kerrodwortries</vt:lpstr>
      <vt:lpstr>Kibirigezachpts</vt:lpstr>
      <vt:lpstr>Kibirigezachtries</vt:lpstr>
      <vt:lpstr>Kilbridgewaspts</vt:lpstr>
      <vt:lpstr>Kilbridgewastries</vt:lpstr>
      <vt:lpstr>Kirstenexepts</vt:lpstr>
      <vt:lpstr>Kirstenexetries</vt:lpstr>
      <vt:lpstr>Kirwancarlpts</vt:lpstr>
      <vt:lpstr>Kirwancarltries</vt:lpstr>
      <vt:lpstr>Kitchenergrahamptscorrect</vt:lpstr>
      <vt:lpstr>Kitchenergrahamtriescorrect</vt:lpstr>
      <vt:lpstr>Kpoku__Jonathansarpts</vt:lpstr>
      <vt:lpstr>Kpoku__Jonathansartries</vt:lpstr>
      <vt:lpstr>Kpokusarpts</vt:lpstr>
      <vt:lpstr>Kpokusartries</vt:lpstr>
      <vt:lpstr>Krielglopts</vt:lpstr>
      <vt:lpstr>Krielglotries</vt:lpstr>
      <vt:lpstr>Kruisgeorgepts</vt:lpstr>
      <vt:lpstr>Kruisgeorgetries</vt:lpstr>
      <vt:lpstr>Kunataniharpts</vt:lpstr>
      <vt:lpstr>Kunatanihartries</vt:lpstr>
      <vt:lpstr>Lahiffmaxbthpts</vt:lpstr>
      <vt:lpstr>lahiffmaxbthtries</vt:lpstr>
      <vt:lpstr>Lambertharpts</vt:lpstr>
      <vt:lpstr>Lamberthartries</vt:lpstr>
      <vt:lpstr>Lambripts</vt:lpstr>
      <vt:lpstr>Lambritries</vt:lpstr>
      <vt:lpstr>Lamositelesarpts</vt:lpstr>
      <vt:lpstr>Lamositelesartries</vt:lpstr>
      <vt:lpstr>lanceworatt</vt:lpstr>
      <vt:lpstr>lanceworgls</vt:lpstr>
      <vt:lpstr>Lanceworpts</vt:lpstr>
      <vt:lpstr>Lancewortries</vt:lpstr>
      <vt:lpstr>Landajoharpts</vt:lpstr>
      <vt:lpstr>Landajohartries</vt:lpstr>
      <vt:lpstr>Langdonsalpts</vt:lpstr>
      <vt:lpstr>Langdonsaltries</vt:lpstr>
      <vt:lpstr>langharatt</vt:lpstr>
      <vt:lpstr>Langhargls</vt:lpstr>
      <vt:lpstr>Langharpts</vt:lpstr>
      <vt:lpstr>Langhartries</vt:lpstr>
      <vt:lpstr>Langleywaspts</vt:lpstr>
      <vt:lpstr>Langleywastries</vt:lpstr>
      <vt:lpstr>lanharatt</vt:lpstr>
      <vt:lpstr>lanhargoals</vt:lpstr>
      <vt:lpstr>lanharpts</vt:lpstr>
      <vt:lpstr>Lasikeharpts</vt:lpstr>
      <vt:lpstr>Lasikehartries</vt:lpstr>
      <vt:lpstr>Launchburywaspts</vt:lpstr>
      <vt:lpstr>Launchburywastries</vt:lpstr>
      <vt:lpstr>Lawesnorpts</vt:lpstr>
      <vt:lpstr>Lawesnortries</vt:lpstr>
      <vt:lpstr>Lawrenceworpts</vt:lpstr>
      <vt:lpstr>Lawrencewortries</vt:lpstr>
      <vt:lpstr>Laybripts</vt:lpstr>
      <vt:lpstr>Laybritries</vt:lpstr>
      <vt:lpstr>Le_Bourgeoiswaspts</vt:lpstr>
      <vt:lpstr>Le_Bourgeoiswastries</vt:lpstr>
      <vt:lpstr>Le_Rouxwaspts</vt:lpstr>
      <vt:lpstr>Le_Rouxwastries</vt:lpstr>
      <vt:lpstr>LeicesterPts</vt:lpstr>
      <vt:lpstr>LeicesterTries</vt:lpstr>
      <vt:lpstr>leicspentriespts</vt:lpstr>
      <vt:lpstr>leicspentriestries</vt:lpstr>
      <vt:lpstr>Leiuaalapatiwaspts</vt:lpstr>
      <vt:lpstr>Leiuawastries</vt:lpstr>
      <vt:lpstr>Leotajohnnypts</vt:lpstr>
      <vt:lpstr>Leotajohnnytries</vt:lpstr>
      <vt:lpstr>Lewingtonalextries</vt:lpstr>
      <vt:lpstr>Lewingtonpts</vt:lpstr>
      <vt:lpstr>Lewingtonsarpts</vt:lpstr>
      <vt:lpstr>Lewingtonsartries</vt:lpstr>
      <vt:lpstr>Lewingtontries</vt:lpstr>
      <vt:lpstr>Lewis_</vt:lpstr>
      <vt:lpstr>Lewisdaveharpts</vt:lpstr>
      <vt:lpstr>Lewisdavehartries</vt:lpstr>
      <vt:lpstr>Lewisleicpts</vt:lpstr>
      <vt:lpstr>Lewisleictries</vt:lpstr>
      <vt:lpstr>Lewisrobpts</vt:lpstr>
      <vt:lpstr>Lewisrobtries</vt:lpstr>
      <vt:lpstr>Liebenbergleicpts</vt:lpstr>
      <vt:lpstr>Liebenbergleictries</vt:lpstr>
      <vt:lpstr>LloydBriAtt</vt:lpstr>
      <vt:lpstr>LloydBriGls</vt:lpstr>
      <vt:lpstr>LloydBriPts</vt:lpstr>
      <vt:lpstr>LloydBriTries</vt:lpstr>
      <vt:lpstr>Lloydlirpts</vt:lpstr>
      <vt:lpstr>Lloydlirtries</vt:lpstr>
      <vt:lpstr>Loaderlirpts</vt:lpstr>
      <vt:lpstr>Loaderlirtries</vt:lpstr>
      <vt:lpstr>Lomidzelirpts</vt:lpstr>
      <vt:lpstr>Lomidzelirtries</vt:lpstr>
      <vt:lpstr>londonirishpentriespts</vt:lpstr>
      <vt:lpstr>londonirishpentriestries</vt:lpstr>
      <vt:lpstr>LondonIrishPts</vt:lpstr>
      <vt:lpstr>LondonIrishTres</vt:lpstr>
      <vt:lpstr>LondonIrishTries</vt:lpstr>
      <vt:lpstr>Longbottomsarpts</vt:lpstr>
      <vt:lpstr>Longbottomsartries</vt:lpstr>
      <vt:lpstr>Lonsdaleexepts</vt:lpstr>
      <vt:lpstr>Lonsdaleexetries</vt:lpstr>
      <vt:lpstr>Louwfrancoispts</vt:lpstr>
      <vt:lpstr>Louwfrancoistris</vt:lpstr>
      <vt:lpstr>Lowkierantries</vt:lpstr>
      <vt:lpstr>Lowlipts</vt:lpstr>
      <vt:lpstr>Lowmoraypts</vt:lpstr>
      <vt:lpstr>Lowmoraytries</vt:lpstr>
      <vt:lpstr>Lowtriescorrect</vt:lpstr>
      <vt:lpstr>Ludlamnorpts</vt:lpstr>
      <vt:lpstr>Ludlamnortries</vt:lpstr>
      <vt:lpstr>Ludlowglopts</vt:lpstr>
      <vt:lpstr>Ludlowglotries</vt:lpstr>
      <vt:lpstr>Ma_afusalesipts</vt:lpstr>
      <vt:lpstr>Ma_afusalesitries</vt:lpstr>
      <vt:lpstr>MacKenziephilpts</vt:lpstr>
      <vt:lpstr>MacKenziephiltries</vt:lpstr>
      <vt:lpstr>MacLeodnewpts</vt:lpstr>
      <vt:lpstr>MacLeodnewtries</vt:lpstr>
      <vt:lpstr>Mafilirpts</vt:lpstr>
      <vt:lpstr>Mafilirtries</vt:lpstr>
      <vt:lpstr>Mafipts</vt:lpstr>
      <vt:lpstr>Maitlandsarpts</vt:lpstr>
      <vt:lpstr>Maitlandsartries</vt:lpstr>
      <vt:lpstr>malinsbriatt</vt:lpstr>
      <vt:lpstr>Malinsbrigls</vt:lpstr>
      <vt:lpstr>malinssaratt</vt:lpstr>
      <vt:lpstr>malinssargls</vt:lpstr>
      <vt:lpstr>Malinssarpts</vt:lpstr>
      <vt:lpstr>Malinssartries</vt:lpstr>
      <vt:lpstr>mallindernoratt</vt:lpstr>
      <vt:lpstr>Mallindernorgoals</vt:lpstr>
      <vt:lpstr>Mallindernorpts</vt:lpstr>
      <vt:lpstr>Mallindernortries</vt:lpstr>
      <vt:lpstr>Maraisglopts</vt:lpstr>
      <vt:lpstr>Maraisglotries</vt:lpstr>
      <vt:lpstr>Marchantharpts</vt:lpstr>
      <vt:lpstr>Marchanthartries</vt:lpstr>
      <vt:lpstr>Marfoharpts</vt:lpstr>
      <vt:lpstr>Marfohartries</vt:lpstr>
      <vt:lpstr>Marlerharpts</vt:lpstr>
      <vt:lpstr>marlertries</vt:lpstr>
      <vt:lpstr>Marshallglopts</vt:lpstr>
      <vt:lpstr>Marshalllirpts</vt:lpstr>
      <vt:lpstr>Marshalllirtries</vt:lpstr>
      <vt:lpstr>Marshallnorpts</vt:lpstr>
      <vt:lpstr>Marshallnortries</vt:lpstr>
      <vt:lpstr>Marshalltomglo</vt:lpstr>
      <vt:lpstr>Matavesi__Joshnewpts</vt:lpstr>
      <vt:lpstr>Matavesi__JoshnewptsCORRECT</vt:lpstr>
      <vt:lpstr>Matavesi__Joshnewtries</vt:lpstr>
      <vt:lpstr>matavesibthatt</vt:lpstr>
      <vt:lpstr>Matavesibthgoals</vt:lpstr>
      <vt:lpstr>Matthewsnorpts</vt:lpstr>
      <vt:lpstr>Matthewsnortries</vt:lpstr>
      <vt:lpstr>Matthewswaspts</vt:lpstr>
      <vt:lpstr>Matthewswastries</vt:lpstr>
      <vt:lpstr>Maunderexepts</vt:lpstr>
      <vt:lpstr>Maunderexetries</vt:lpstr>
      <vt:lpstr>Mayhewlipts</vt:lpstr>
      <vt:lpstr>Mayhewlitries</vt:lpstr>
      <vt:lpstr>Mayleicpts</vt:lpstr>
      <vt:lpstr>Mayleictries</vt:lpstr>
      <vt:lpstr>Maytompts</vt:lpstr>
      <vt:lpstr>Maytomtries</vt:lpstr>
      <vt:lpstr>McAllisterglopts</vt:lpstr>
      <vt:lpstr>McAllisterglotries</vt:lpstr>
      <vt:lpstr>McCabebripts</vt:lpstr>
      <vt:lpstr>McCabebritrie</vt:lpstr>
      <vt:lpstr>McCaffreywelshpts</vt:lpstr>
      <vt:lpstr>McCaffreywelshtries</vt:lpstr>
      <vt:lpstr>McConnochiebthpts</vt:lpstr>
      <vt:lpstr>McConnochiebthtries</vt:lpstr>
      <vt:lpstr>McGuigannewpts</vt:lpstr>
      <vt:lpstr>McGuigannewtries</vt:lpstr>
      <vt:lpstr>mcguigansalatt</vt:lpstr>
      <vt:lpstr>McGuigansalgoals</vt:lpstr>
      <vt:lpstr>McGuigansalpts</vt:lpstr>
      <vt:lpstr>McGuigansaltries</vt:lpstr>
      <vt:lpstr>McIntyresimonpts</vt:lpstr>
      <vt:lpstr>McIntyrewastries</vt:lpstr>
      <vt:lpstr>McKibbinlirpts</vt:lpstr>
      <vt:lpstr>McKibbinlirtries</vt:lpstr>
      <vt:lpstr>McLeanlirpts</vt:lpstr>
      <vt:lpstr>McLeanlirtries</vt:lpstr>
      <vt:lpstr>Mcmillanlirpts</vt:lpstr>
      <vt:lpstr>Mcmillanlirtries</vt:lpstr>
      <vt:lpstr>McNallybthpts</vt:lpstr>
      <vt:lpstr>McNallybthtries</vt:lpstr>
      <vt:lpstr>McNallyjoshpts</vt:lpstr>
      <vt:lpstr>McNallyjoshtries</vt:lpstr>
      <vt:lpstr>McNallylirpts</vt:lpstr>
      <vt:lpstr>McNallylirtries</vt:lpstr>
      <vt:lpstr>McNultyharpts</vt:lpstr>
      <vt:lpstr>McNultyhartries</vt:lpstr>
      <vt:lpstr>Mcphilipsleipts</vt:lpstr>
      <vt:lpstr>Mcphilipsleitries</vt:lpstr>
      <vt:lpstr>Mercerbatpts</vt:lpstr>
      <vt:lpstr>Mercerbattries</vt:lpstr>
      <vt:lpstr>Merrickharpts</vt:lpstr>
      <vt:lpstr>Merrickhartries</vt:lpstr>
      <vt:lpstr>Mierespts</vt:lpstr>
      <vt:lpstr>mikepts</vt:lpstr>
      <vt:lpstr>Milasinovichworpts</vt:lpstr>
      <vt:lpstr>Milasinovichwortries</vt:lpstr>
      <vt:lpstr>millerwasatt</vt:lpstr>
      <vt:lpstr>millerwasgoals</vt:lpstr>
      <vt:lpstr>Millerwaspts</vt:lpstr>
      <vt:lpstr>Millerwastries</vt:lpstr>
      <vt:lpstr>Millerworpts</vt:lpstr>
      <vt:lpstr>Millerwortries</vt:lpstr>
      <vt:lpstr>millsworatt</vt:lpstr>
      <vt:lpstr>millsworgoals</vt:lpstr>
      <vt:lpstr>Mitchellnorpts</vt:lpstr>
      <vt:lpstr>Mitchellnortries</vt:lpstr>
      <vt:lpstr>Montgomeryworpts</vt:lpstr>
      <vt:lpstr>Montgomerywortries</vt:lpstr>
      <vt:lpstr>Moon_Anortries</vt:lpstr>
      <vt:lpstr>Moonnorpts</vt:lpstr>
      <vt:lpstr>Mooresalpts</vt:lpstr>
      <vt:lpstr>Mooresaltries</vt:lpstr>
      <vt:lpstr>Morganbenpts</vt:lpstr>
      <vt:lpstr>Morganbentries</vt:lpstr>
      <vt:lpstr>Moriartyglopts</vt:lpstr>
      <vt:lpstr>Moriartyglotries</vt:lpstr>
      <vt:lpstr>morleyexeatt</vt:lpstr>
      <vt:lpstr>Morleyexegls</vt:lpstr>
      <vt:lpstr>Morrisbenwasgtries</vt:lpstr>
      <vt:lpstr>Morrisbenwaspts</vt:lpstr>
      <vt:lpstr>Morrisglopts</vt:lpstr>
      <vt:lpstr>Morrisglotries</vt:lpstr>
      <vt:lpstr>Morrisharpts</vt:lpstr>
      <vt:lpstr>Morrishartries</vt:lpstr>
      <vt:lpstr>Morrisworpts</vt:lpstr>
      <vt:lpstr>Morriswortries</vt:lpstr>
      <vt:lpstr>Mudarikiworpts</vt:lpstr>
      <vt:lpstr>Mudarikiwortries</vt:lpstr>
      <vt:lpstr>Mulchroneharpts</vt:lpstr>
      <vt:lpstr>Mulchronehartries</vt:lpstr>
      <vt:lpstr>Mulchronelipts</vt:lpstr>
      <vt:lpstr>MulchronelirtriesCORRECT</vt:lpstr>
      <vt:lpstr>Mulchronelitries</vt:lpstr>
      <vt:lpstr>Muldowneybripts</vt:lpstr>
      <vt:lpstr>Muldowneybritries</vt:lpstr>
      <vt:lpstr>Mulipolanewpts</vt:lpstr>
      <vt:lpstr>Mulipolanewtries</vt:lpstr>
      <vt:lpstr>Mullanwaspts</vt:lpstr>
      <vt:lpstr>Mullanwastries</vt:lpstr>
      <vt:lpstr>Mullennewpts</vt:lpstr>
      <vt:lpstr>Mullennewtries</vt:lpstr>
      <vt:lpstr>MullisGLOPTS</vt:lpstr>
      <vt:lpstr>MullisGLOTRIES</vt:lpstr>
      <vt:lpstr>Mummpts</vt:lpstr>
      <vt:lpstr>mummtries</vt:lpstr>
      <vt:lpstr>Murleyharpts</vt:lpstr>
      <vt:lpstr>Murleyhartries</vt:lpstr>
      <vt:lpstr>Myallpts</vt:lpstr>
      <vt:lpstr>Myalltries</vt:lpstr>
      <vt:lpstr>myleratt</vt:lpstr>
      <vt:lpstr>mylergoals</vt:lpstr>
      <vt:lpstr>Mylerlirpts</vt:lpstr>
      <vt:lpstr>Mylerlirtries</vt:lpstr>
      <vt:lpstr>Nagusanewpts</vt:lpstr>
      <vt:lpstr>Nagusanewtries</vt:lpstr>
      <vt:lpstr>Nahololirpts</vt:lpstr>
      <vt:lpstr>Nahololirtries</vt:lpstr>
      <vt:lpstr>Naiyaravoronorpts</vt:lpstr>
      <vt:lpstr>Naiyaravoronortries</vt:lpstr>
      <vt:lpstr>Nanaiworpts</vt:lpstr>
      <vt:lpstr>Nanaiwortries</vt:lpstr>
      <vt:lpstr>Narrawaylipts</vt:lpstr>
      <vt:lpstr>Naysarpts</vt:lpstr>
      <vt:lpstr>Naysartries</vt:lpstr>
      <vt:lpstr>Nealwaspts</vt:lpstr>
      <vt:lpstr>Nealwastries</vt:lpstr>
      <vt:lpstr>Neildsalpts</vt:lpstr>
      <vt:lpstr>Neildsaltries</vt:lpstr>
      <vt:lpstr>noakesliatt</vt:lpstr>
      <vt:lpstr>noakesligoals</vt:lpstr>
      <vt:lpstr>Noakeslipts</vt:lpstr>
      <vt:lpstr>Noakeslitries</vt:lpstr>
      <vt:lpstr>Noguerabthpts</vt:lpstr>
      <vt:lpstr>Noguerabthtries</vt:lpstr>
      <vt:lpstr>NorthamptonPts</vt:lpstr>
      <vt:lpstr>NorthamptonTries</vt:lpstr>
      <vt:lpstr>Northmoreharpts</vt:lpstr>
      <vt:lpstr>Northmorehartries</vt:lpstr>
      <vt:lpstr>Nortonlirpts</vt:lpstr>
      <vt:lpstr>Nortonlirtries</vt:lpstr>
      <vt:lpstr>Nottlirpts</vt:lpstr>
      <vt:lpstr>Nottlirtries</vt:lpstr>
      <vt:lpstr>Nottsalpts</vt:lpstr>
      <vt:lpstr>Nottsaltries</vt:lpstr>
      <vt:lpstr>Nowellexepts</vt:lpstr>
      <vt:lpstr>Nowellexetries</vt:lpstr>
      <vt:lpstr>O_Connorptssal</vt:lpstr>
      <vt:lpstr>O_Connortriessal</vt:lpstr>
      <vt:lpstr>O_Donnellrobtries</vt:lpstr>
      <vt:lpstr>O_Sullivanwaspts</vt:lpstr>
      <vt:lpstr>O_Sullivanwastries</vt:lpstr>
      <vt:lpstr>Obanobthpts</vt:lpstr>
      <vt:lpstr>Obanobthtries</vt:lpstr>
      <vt:lpstr>Obatoysarpts</vt:lpstr>
      <vt:lpstr>Obatoysartries</vt:lpstr>
      <vt:lpstr>Odogwusalpts</vt:lpstr>
      <vt:lpstr>Odogwusaltries</vt:lpstr>
      <vt:lpstr>Ojotopsypts</vt:lpstr>
      <vt:lpstr>Ojotopsytries</vt:lpstr>
      <vt:lpstr>Olowofela_Jleicpts</vt:lpstr>
      <vt:lpstr>Olowofela_Jleictries</vt:lpstr>
      <vt:lpstr>Olvernorpts</vt:lpstr>
      <vt:lpstr>Olvernortriescorrect</vt:lpstr>
      <vt:lpstr>Ostrikovandreitries</vt:lpstr>
      <vt:lpstr>OStrikovsalpts</vt:lpstr>
      <vt:lpstr>Owenleicpts</vt:lpstr>
      <vt:lpstr>Owenleictries</vt:lpstr>
      <vt:lpstr>PaiceDavidpts</vt:lpstr>
      <vt:lpstr>PaiceDavidptts</vt:lpstr>
      <vt:lpstr>Painternorpts</vt:lpstr>
      <vt:lpstr>Painternortries</vt:lpstr>
      <vt:lpstr>Palamobrispts</vt:lpstr>
      <vt:lpstr>Palamobristries</vt:lpstr>
      <vt:lpstr>Palframanworpts</vt:lpstr>
      <vt:lpstr>Palframanwortries</vt:lpstr>
      <vt:lpstr>Parlingexepts</vt:lpstr>
      <vt:lpstr>Parlingexetries</vt:lpstr>
      <vt:lpstr>Parlinggeoffexepts</vt:lpstr>
      <vt:lpstr>Parlingleipts</vt:lpstr>
      <vt:lpstr>Parlingleitries</vt:lpstr>
      <vt:lpstr>Paulolirpts</vt:lpstr>
      <vt:lpstr>paulolirtries</vt:lpstr>
      <vt:lpstr>Pearcesalpts</vt:lpstr>
      <vt:lpstr>Pearcesaltries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</vt:lpstr>
      <vt:lpstr>Penalty_Triesnewtries</vt:lpstr>
      <vt:lpstr>Penalty_Triessaintspts</vt:lpstr>
      <vt:lpstr>Penalty_Triessaintstries</vt:lpstr>
      <vt:lpstr>Penalty_Triessalpts</vt:lpstr>
      <vt:lpstr>Penalty_Triessaltries</vt:lpstr>
      <vt:lpstr>Penalty_Triessarpts</vt:lpstr>
      <vt:lpstr>Penalty_Triessartries</vt:lpstr>
      <vt:lpstr>Penalty_Trieswaspts</vt:lpstr>
      <vt:lpstr>Penalty_Trieswastries</vt:lpstr>
      <vt:lpstr>Penalty_Triesworpts</vt:lpstr>
      <vt:lpstr>Penalty_Trieswortries</vt:lpstr>
      <vt:lpstr>Pennellchristries</vt:lpstr>
      <vt:lpstr>pennellworatt</vt:lpstr>
      <vt:lpstr>Pennellworgls</vt:lpstr>
      <vt:lpstr>Pennynewtries</vt:lpstr>
      <vt:lpstr>Perenisebthpts</vt:lpstr>
      <vt:lpstr>Perenisebthtries</vt:lpstr>
      <vt:lpstr>Phillipsjamespts</vt:lpstr>
      <vt:lpstr>Phillipsjamessalpts</vt:lpstr>
      <vt:lpstr>Phillipsjamessaltries</vt:lpstr>
      <vt:lpstr>Phillipsjamestries</vt:lpstr>
      <vt:lpstr>Phillipsworpts</vt:lpstr>
      <vt:lpstr>Phillipswortries</vt:lpstr>
      <vt:lpstr>Picamolesnorpts</vt:lpstr>
      <vt:lpstr>Picamolesnortries</vt:lpstr>
      <vt:lpstr>Pincusbripts</vt:lpstr>
      <vt:lpstr>Pincusbritries</vt:lpstr>
      <vt:lpstr>Pisibripts</vt:lpstr>
      <vt:lpstr>Pisibritries</vt:lpstr>
      <vt:lpstr>Pisigeorgepts</vt:lpstr>
      <vt:lpstr>pisigeorgetries</vt:lpstr>
      <vt:lpstr>Pisikenptscorrect</vt:lpstr>
      <vt:lpstr>Pisikentriescorrect</vt:lpstr>
      <vt:lpstr>Piutau_Cbritriescorrect</vt:lpstr>
      <vt:lpstr>Piutaubripts</vt:lpstr>
      <vt:lpstr>Piutaubritries</vt:lpstr>
      <vt:lpstr>Polledriglopts</vt:lpstr>
      <vt:lpstr>Polledriglotries</vt:lpstr>
      <vt:lpstr>Poreckilirpts</vt:lpstr>
      <vt:lpstr>Poreckilirptscorrect</vt:lpstr>
      <vt:lpstr>Poreckilirtries</vt:lpstr>
      <vt:lpstr>Poreckilirtriescorrect</vt:lpstr>
      <vt:lpstr>Postlethwaitesalpts</vt:lpstr>
      <vt:lpstr>Postlethwaitesaltries</vt:lpstr>
      <vt:lpstr>Potgieterworpts</vt:lpstr>
      <vt:lpstr>Potgieterwortries</vt:lpstr>
      <vt:lpstr>Powellbripts</vt:lpstr>
      <vt:lpstr>Powellbritries</vt:lpstr>
      <vt:lpstr>priestlandbthatt</vt:lpstr>
      <vt:lpstr>Priestlandbthgoals</vt:lpstr>
      <vt:lpstr>Priestlandbthpts</vt:lpstr>
      <vt:lpstr>Priestlandbthtries</vt:lpstr>
      <vt:lpstr>Protheroebripts</vt:lpstr>
      <vt:lpstr>Protheroebritries</vt:lpstr>
      <vt:lpstr>pts</vt:lpstr>
      <vt:lpstr>Purdybripts</vt:lpstr>
      <vt:lpstr>Purdybritries</vt:lpstr>
      <vt:lpstr>Purdyglospts</vt:lpstr>
      <vt:lpstr>Purdyglotries</vt:lpstr>
      <vt:lpstr>quinspentriespts</vt:lpstr>
      <vt:lpstr>quinspentriestries</vt:lpstr>
      <vt:lpstr>Radradrabripts</vt:lpstr>
      <vt:lpstr>Radradrabritries</vt:lpstr>
      <vt:lpstr>Radwannewpts</vt:lpstr>
      <vt:lpstr>Radwannewtries</vt:lpstr>
      <vt:lpstr>Randallbripts</vt:lpstr>
      <vt:lpstr>Randallbritries</vt:lpstr>
      <vt:lpstr>Ransomlirpts</vt:lpstr>
      <vt:lpstr>Ransomlirtries</vt:lpstr>
      <vt:lpstr>Rapava_Ruskinglopts</vt:lpstr>
      <vt:lpstr>Rapava_Ruskinglotries</vt:lpstr>
      <vt:lpstr>Ratuniyarawanorpts</vt:lpstr>
      <vt:lpstr>Ratuniyarawanortries</vt:lpstr>
      <vt:lpstr>Readsalpts</vt:lpstr>
      <vt:lpstr>Readsaltries</vt:lpstr>
      <vt:lpstr>redpathbthatt</vt:lpstr>
      <vt:lpstr>redpathsalatt</vt:lpstr>
      <vt:lpstr>redpathsalegls</vt:lpstr>
      <vt:lpstr>Redpathsalpts</vt:lpstr>
      <vt:lpstr>Redpathsaltries</vt:lpstr>
      <vt:lpstr>Rees_Zammitglopts</vt:lpstr>
      <vt:lpstr>Rees_Zammitglotries</vt:lpstr>
      <vt:lpstr>Reevesrickypts</vt:lpstr>
      <vt:lpstr>Reevesrickytries</vt:lpstr>
      <vt:lpstr>Reffellsarpts</vt:lpstr>
      <vt:lpstr>Reffellsartries</vt:lpstr>
      <vt:lpstr>Reidleicatt</vt:lpstr>
      <vt:lpstr>Reidleicgls</vt:lpstr>
      <vt:lpstr>Reidleipts</vt:lpstr>
      <vt:lpstr>Reidleitries</vt:lpstr>
      <vt:lpstr>reinachnoratt</vt:lpstr>
      <vt:lpstr>reinachnorgls</vt:lpstr>
      <vt:lpstr>Reinachnorpts</vt:lpstr>
      <vt:lpstr>Reinachnortries</vt:lpstr>
      <vt:lpstr>repathbthgls</vt:lpstr>
      <vt:lpstr>Reynoldsnicpts</vt:lpstr>
      <vt:lpstr>Reynoldsnictries</vt:lpstr>
      <vt:lpstr>Rhodessarpts</vt:lpstr>
      <vt:lpstr>Rhodessartries</vt:lpstr>
      <vt:lpstr>Ribbansnorpts</vt:lpstr>
      <vt:lpstr>Ribbansnortries</vt:lpstr>
      <vt:lpstr>Riederwaspts</vt:lpstr>
      <vt:lpstr>Riederwastries</vt:lpstr>
      <vt:lpstr>Robertsbthpts</vt:lpstr>
      <vt:lpstr>Robertsbthtries</vt:lpstr>
      <vt:lpstr>Robinsonnewpts</vt:lpstr>
      <vt:lpstr>Robinsonnewtries</vt:lpstr>
      <vt:lpstr>Robshawharpts</vt:lpstr>
      <vt:lpstr>Robshawhartries</vt:lpstr>
      <vt:lpstr>robsobwasgoals</vt:lpstr>
      <vt:lpstr>Robsonharpts</vt:lpstr>
      <vt:lpstr>Robsonhartries</vt:lpstr>
      <vt:lpstr>robsonwasatt</vt:lpstr>
      <vt:lpstr>Robsonwaspts</vt:lpstr>
      <vt:lpstr>Robsonwastries</vt:lpstr>
      <vt:lpstr>Roebucksalpts</vt:lpstr>
      <vt:lpstr>Roebucksaltries</vt:lpstr>
      <vt:lpstr>Rokodugunibatpts</vt:lpstr>
      <vt:lpstr>Rokodugunibattries</vt:lpstr>
      <vt:lpstr>Rosssalpts</vt:lpstr>
      <vt:lpstr>Rosssaltries</vt:lpstr>
      <vt:lpstr>Rouselipts</vt:lpstr>
      <vt:lpstr>Rouselitries</vt:lpstr>
      <vt:lpstr>rousetries</vt:lpstr>
      <vt:lpstr>Rowlandswaspts</vt:lpstr>
      <vt:lpstr>Rowlandswastries</vt:lpstr>
      <vt:lpstr>Rowleypaulpts</vt:lpstr>
      <vt:lpstr>Rowleypaultries</vt:lpstr>
      <vt:lpstr>Safeglopts</vt:lpstr>
      <vt:lpstr>Safeglotries</vt:lpstr>
      <vt:lpstr>SalePts</vt:lpstr>
      <vt:lpstr>Saletries</vt:lpstr>
      <vt:lpstr>Salmonexepts</vt:lpstr>
      <vt:lpstr>Salmonexetries</vt:lpstr>
      <vt:lpstr>Salvijulianpts</vt:lpstr>
      <vt:lpstr>Salvijuliantries</vt:lpstr>
      <vt:lpstr>SaracensPts</vt:lpstr>
      <vt:lpstr>SaracensTries</vt:lpstr>
      <vt:lpstr>Saulolirpts</vt:lpstr>
      <vt:lpstr>Saulolirtries</vt:lpstr>
      <vt:lpstr>Savageglopts</vt:lpstr>
      <vt:lpstr>Savageglotries</vt:lpstr>
      <vt:lpstr>Schatzlirpts</vt:lpstr>
      <vt:lpstr>Schatzlirtries</vt:lpstr>
      <vt:lpstr>ScotlandWilliamsonchristianpts</vt:lpstr>
      <vt:lpstr>Scottleicpts</vt:lpstr>
      <vt:lpstr>Scottleictries</vt:lpstr>
      <vt:lpstr>Scullypts</vt:lpstr>
      <vt:lpstr>Seabrookglopts</vt:lpstr>
      <vt:lpstr>Seabrookglotries</vt:lpstr>
      <vt:lpstr>searlewasatt</vt:lpstr>
      <vt:lpstr>Searlewasgls</vt:lpstr>
      <vt:lpstr>Searlewaspts</vt:lpstr>
      <vt:lpstr>Searlewastries</vt:lpstr>
      <vt:lpstr>searleworatt</vt:lpstr>
      <vt:lpstr>Searleworgls</vt:lpstr>
      <vt:lpstr>Searleworpts</vt:lpstr>
      <vt:lpstr>Searlewortris</vt:lpstr>
      <vt:lpstr>Searlswaspts</vt:lpstr>
      <vt:lpstr>Searlswastries</vt:lpstr>
      <vt:lpstr>Segunsarpts</vt:lpstr>
      <vt:lpstr>Segunsartries</vt:lpstr>
      <vt:lpstr>Sharplesglopts</vt:lpstr>
      <vt:lpstr>Sharplesglotries</vt:lpstr>
      <vt:lpstr>Sheridaneamonnpts</vt:lpstr>
      <vt:lpstr>Sheridaneamonntries</vt:lpstr>
      <vt:lpstr>Shieldswaspts</vt:lpstr>
      <vt:lpstr>Shieldswastries</vt:lpstr>
      <vt:lpstr>Shillcockworpts</vt:lpstr>
      <vt:lpstr>Shillcockwortries</vt:lpstr>
      <vt:lpstr>shilllcockworatt</vt:lpstr>
      <vt:lpstr>shilllcockworgoals</vt:lpstr>
      <vt:lpstr>Shortexepts</vt:lpstr>
      <vt:lpstr>Shortexetries</vt:lpstr>
      <vt:lpstr>Simmonds_Sexepts</vt:lpstr>
      <vt:lpstr>Simmonds_Sexetries</vt:lpstr>
      <vt:lpstr>simmondsexeatt</vt:lpstr>
      <vt:lpstr>simmondsexegoals</vt:lpstr>
      <vt:lpstr>Simmondsexepts</vt:lpstr>
      <vt:lpstr>Simmondsexetries</vt:lpstr>
      <vt:lpstr>Simmonsleicpts</vt:lpstr>
      <vt:lpstr>Simmonsleictries</vt:lpstr>
      <vt:lpstr>Simpsonglopts</vt:lpstr>
      <vt:lpstr>Simpsonglotries</vt:lpstr>
      <vt:lpstr>Simpsonwaspts</vt:lpstr>
      <vt:lpstr>Simpsonwastries</vt:lpstr>
      <vt:lpstr>Sincklerharpts</vt:lpstr>
      <vt:lpstr>Sincklerhartries</vt:lpstr>
      <vt:lpstr>Sinclairjebbpts</vt:lpstr>
      <vt:lpstr>Sinclairjebbtries</vt:lpstr>
      <vt:lpstr>Singletonsarpts</vt:lpstr>
      <vt:lpstr>Singletonsartries</vt:lpstr>
      <vt:lpstr>Singletonworpts</vt:lpstr>
      <vt:lpstr>Singletonwortries</vt:lpstr>
      <vt:lpstr>Sinotisinotipts</vt:lpstr>
      <vt:lpstr>Sinotisinotitries</vt:lpstr>
      <vt:lpstr>Sirkerwaspts</vt:lpstr>
      <vt:lpstr>Sirkerwastries</vt:lpstr>
      <vt:lpstr>Skeltonsarpts</vt:lpstr>
      <vt:lpstr>Skeltonsartries</vt:lpstr>
      <vt:lpstr>Skinner_Hexepts</vt:lpstr>
      <vt:lpstr>Skinner_Hexetries</vt:lpstr>
      <vt:lpstr>Skinnerexeatt</vt:lpstr>
      <vt:lpstr>Skinnerexegls</vt:lpstr>
      <vt:lpstr>Skinnerexepts</vt:lpstr>
      <vt:lpstr>Skinnerexetries</vt:lpstr>
      <vt:lpstr>sladeatt</vt:lpstr>
      <vt:lpstr>Sladeexepts</vt:lpstr>
      <vt:lpstr>Sladeexetries</vt:lpstr>
      <vt:lpstr>sladegoals</vt:lpstr>
      <vt:lpstr>Slaterglopts</vt:lpstr>
      <vt:lpstr>Slaterglotries</vt:lpstr>
      <vt:lpstr>slatertries</vt:lpstr>
      <vt:lpstr>Sleightholmenorpts</vt:lpstr>
      <vt:lpstr>Sleightholmenortries</vt:lpstr>
      <vt:lpstr>Smithbripts</vt:lpstr>
      <vt:lpstr>Smithbritries</vt:lpstr>
      <vt:lpstr>Smithharpts</vt:lpstr>
      <vt:lpstr>Smithhartries</vt:lpstr>
      <vt:lpstr>Smithleipts</vt:lpstr>
      <vt:lpstr>Smithleitries</vt:lpstr>
      <vt:lpstr>Socino_Snewpts</vt:lpstr>
      <vt:lpstr>Socino_Snewtries</vt:lpstr>
      <vt:lpstr>Solomonasalpts</vt:lpstr>
      <vt:lpstr>Solomonasaltries</vt:lpstr>
      <vt:lpstr>SopoagaGLSWAS</vt:lpstr>
      <vt:lpstr>SOPOAGAWASATT</vt:lpstr>
      <vt:lpstr>Sopoagawaspts</vt:lpstr>
      <vt:lpstr>Sopoagawastries</vt:lpstr>
      <vt:lpstr>Southworthexepts</vt:lpstr>
      <vt:lpstr>Southworthexetries</vt:lpstr>
      <vt:lpstr>Sowreynewpts</vt:lpstr>
      <vt:lpstr>Sowreynewtries</vt:lpstr>
      <vt:lpstr>Spencer_Bbthpts</vt:lpstr>
      <vt:lpstr>Spencer_Bbthtries</vt:lpstr>
      <vt:lpstr>Spencer_Wbthpts</vt:lpstr>
      <vt:lpstr>Spencer_Wbthtries</vt:lpstr>
      <vt:lpstr>spencerbenatt</vt:lpstr>
      <vt:lpstr>spencerbengoals</vt:lpstr>
      <vt:lpstr>Spencerbentries</vt:lpstr>
      <vt:lpstr>Spencerleicpts</vt:lpstr>
      <vt:lpstr>Spencerleictries</vt:lpstr>
      <vt:lpstr>Spencersarpts</vt:lpstr>
      <vt:lpstr>Spencerwillpts</vt:lpstr>
      <vt:lpstr>Spencerwilltries</vt:lpstr>
      <vt:lpstr>Spurlingsarpts</vt:lpstr>
      <vt:lpstr>Spurlingsartries</vt:lpstr>
      <vt:lpstr>Stanleyglopts</vt:lpstr>
      <vt:lpstr>Stanleyglotries</vt:lpstr>
      <vt:lpstr>Steelelipts</vt:lpstr>
      <vt:lpstr>Steelelirpts</vt:lpstr>
      <vt:lpstr>Steelelirtries</vt:lpstr>
      <vt:lpstr>Steelelitries</vt:lpstr>
      <vt:lpstr>steensonatt</vt:lpstr>
      <vt:lpstr>Steensonexepts</vt:lpstr>
      <vt:lpstr>Steensonexetries</vt:lpstr>
      <vt:lpstr>steensongarethtries</vt:lpstr>
      <vt:lpstr>Steensongoals</vt:lpstr>
      <vt:lpstr>Stellingmaxpts</vt:lpstr>
      <vt:lpstr>Stephensonjamestries</vt:lpstr>
      <vt:lpstr>Stevensleicpts</vt:lpstr>
      <vt:lpstr>Stevensleictries</vt:lpstr>
      <vt:lpstr>stewardleicatt</vt:lpstr>
      <vt:lpstr>Stewardleicgls</vt:lpstr>
      <vt:lpstr>Stirzakerbripts</vt:lpstr>
      <vt:lpstr>Stirzakerbritries</vt:lpstr>
      <vt:lpstr>Streetexepts</vt:lpstr>
      <vt:lpstr>Streetexetries</vt:lpstr>
      <vt:lpstr>Strettlesarptscorrect</vt:lpstr>
      <vt:lpstr>Strettllesartries</vt:lpstr>
      <vt:lpstr>Stringersalpts</vt:lpstr>
      <vt:lpstr>Stringersaltries</vt:lpstr>
      <vt:lpstr>Strongexepts</vt:lpstr>
      <vt:lpstr>Strongexetries</vt:lpstr>
      <vt:lpstr>Stuartbthpts</vt:lpstr>
      <vt:lpstr>Stuartbthtries</vt:lpstr>
      <vt:lpstr>Stuartwaspts</vt:lpstr>
      <vt:lpstr>Stuartwastries</vt:lpstr>
      <vt:lpstr>suajeremypts</vt:lpstr>
      <vt:lpstr>suajeremytries</vt:lpstr>
      <vt:lpstr>Swainstonharpts</vt:lpstr>
      <vt:lpstr>Swainstonhartries</vt:lpstr>
      <vt:lpstr>Symonsandypts</vt:lpstr>
      <vt:lpstr>Symonsharpts</vt:lpstr>
      <vt:lpstr>Symonshartries</vt:lpstr>
      <vt:lpstr>Symonsnorpts</vt:lpstr>
      <vt:lpstr>Symonsnortries</vt:lpstr>
      <vt:lpstr>Taioneexepts</vt:lpstr>
      <vt:lpstr>Taioneexetries</vt:lpstr>
      <vt:lpstr>tapuaihargls</vt:lpstr>
      <vt:lpstr>tapuaiharglsatt</vt:lpstr>
      <vt:lpstr>tapuaiharglscorrect</vt:lpstr>
      <vt:lpstr>Tapuaiharpts</vt:lpstr>
      <vt:lpstr>Tapuaihartries</vt:lpstr>
      <vt:lpstr>Taufete_eworpts</vt:lpstr>
      <vt:lpstr>Taufete_ewortries</vt:lpstr>
      <vt:lpstr>Taulavasemisitries</vt:lpstr>
      <vt:lpstr>Taylornorpts</vt:lpstr>
      <vt:lpstr>Taylornortries</vt:lpstr>
      <vt:lpstr>Taylorsarpts</vt:lpstr>
      <vt:lpstr>Taylorsartries</vt:lpstr>
      <vt:lpstr>Taylortommywaspts</vt:lpstr>
      <vt:lpstr>Taylortommywastries</vt:lpstr>
      <vt:lpstr>Terryglopts</vt:lpstr>
      <vt:lpstr>Terryglotries</vt:lpstr>
      <vt:lpstr>Thacker_Cleicpts</vt:lpstr>
      <vt:lpstr>Thacker_Cleictries</vt:lpstr>
      <vt:lpstr>Thielsarpts</vt:lpstr>
      <vt:lpstr>Thielsartries</vt:lpstr>
      <vt:lpstr>Thomas_Dbripts</vt:lpstr>
      <vt:lpstr>Thomas_Dbritries</vt:lpstr>
      <vt:lpstr>Thomas_DBRITRIESCORRECT</vt:lpstr>
      <vt:lpstr>Thomashenrybatpts</vt:lpstr>
      <vt:lpstr>Thomashenrybattries</vt:lpstr>
      <vt:lpstr>Thompson_Stringersarpts</vt:lpstr>
      <vt:lpstr>Thompson_Stringersartries</vt:lpstr>
      <vt:lpstr>Thompsonleicpts</vt:lpstr>
      <vt:lpstr>Thompsonleictries</vt:lpstr>
      <vt:lpstr>Thompstoneleipts</vt:lpstr>
      <vt:lpstr>Thompstoneleitries</vt:lpstr>
      <vt:lpstr>Thompstoneptscorrect</vt:lpstr>
      <vt:lpstr>thompstonetries</vt:lpstr>
      <vt:lpstr>Thorleygloptscorrect</vt:lpstr>
      <vt:lpstr>Thorleyglotriescorrect</vt:lpstr>
      <vt:lpstr>Thorperichardpts</vt:lpstr>
      <vt:lpstr>Thorperichardtries</vt:lpstr>
      <vt:lpstr>Tincknelljamespts</vt:lpstr>
      <vt:lpstr>Tincknelljamestries</vt:lpstr>
      <vt:lpstr>tindallgloatt</vt:lpstr>
      <vt:lpstr>tindallglogoals</vt:lpstr>
      <vt:lpstr>Tolofuasarpts</vt:lpstr>
      <vt:lpstr>Tolofuasartries</vt:lpstr>
      <vt:lpstr>Tompkinssarpts</vt:lpstr>
      <vt:lpstr>Tompkinssarptscorrect</vt:lpstr>
      <vt:lpstr>Tompkinssartries</vt:lpstr>
      <vt:lpstr>Toomualeipts</vt:lpstr>
      <vt:lpstr>Toomualeitries</vt:lpstr>
      <vt:lpstr>Townsendexepts</vt:lpstr>
      <vt:lpstr>Townsendexetries</vt:lpstr>
      <vt:lpstr>Trinderglopts</vt:lpstr>
      <vt:lpstr>Trindertriestries</vt:lpstr>
      <vt:lpstr>Tualanorpts</vt:lpstr>
      <vt:lpstr>TualaNORTRIES</vt:lpstr>
      <vt:lpstr>Tuilagi_Fleicpts</vt:lpstr>
      <vt:lpstr>Tuilagi_Fleictries</vt:lpstr>
      <vt:lpstr>Tuilagimanupts</vt:lpstr>
      <vt:lpstr>Tuilagimanutries</vt:lpstr>
      <vt:lpstr>Tuitavakenorpts</vt:lpstr>
      <vt:lpstr>Tuitavakenortries</vt:lpstr>
      <vt:lpstr>Tuitupousampts</vt:lpstr>
      <vt:lpstr>Tuitupousamtries</vt:lpstr>
      <vt:lpstr>twelvetreesatt</vt:lpstr>
      <vt:lpstr>Twelvetreesglopts</vt:lpstr>
      <vt:lpstr>Twelvetreesglotries</vt:lpstr>
      <vt:lpstr>twelvetreesgoals</vt:lpstr>
      <vt:lpstr>Twomeyharpts</vt:lpstr>
      <vt:lpstr>Twomeyhartries</vt:lpstr>
      <vt:lpstr>umagawasatt</vt:lpstr>
      <vt:lpstr>umagawasgoals</vt:lpstr>
      <vt:lpstr>Umagawaspts</vt:lpstr>
      <vt:lpstr>Umagawastries</vt:lpstr>
      <vt:lpstr>Underhillbthpts</vt:lpstr>
      <vt:lpstr>Underhillbthtries</vt:lpstr>
      <vt:lpstr>UrenBRITRIES</vt:lpstr>
      <vt:lpstr>Vailanusarpts</vt:lpstr>
      <vt:lpstr>Vailanusartries</vt:lpstr>
      <vt:lpstr>Vailanuwaspts</vt:lpstr>
      <vt:lpstr>Vailanuwastries</vt:lpstr>
      <vt:lpstr>Van_Bredaworpts</vt:lpstr>
      <vt:lpstr>Van_Bredawortries</vt:lpstr>
      <vt:lpstr>Van_der_Merwe_Asalpts</vt:lpstr>
      <vt:lpstr>Van_der_Merwe_Asaltries</vt:lpstr>
      <vt:lpstr>van_der_Merwelirpts</vt:lpstr>
      <vt:lpstr>van_der_Merwelirtries</vt:lpstr>
      <vt:lpstr>van_der_Sluysexepts</vt:lpstr>
      <vt:lpstr>van_der_Sluysexetries</vt:lpstr>
      <vt:lpstr>van_Rensburgsalpts</vt:lpstr>
      <vt:lpstr>van_Rensburgsaltries</vt:lpstr>
      <vt:lpstr>van_Rooyenbthpts</vt:lpstr>
      <vt:lpstr>van_Rooyenbthtries</vt:lpstr>
      <vt:lpstr>van_Vuurenbthpts</vt:lpstr>
      <vt:lpstr>van_Vuurenbthtries</vt:lpstr>
      <vt:lpstr>van_Wyknorpts</vt:lpstr>
      <vt:lpstr>van_Wyknortries</vt:lpstr>
      <vt:lpstr>vanbredaworatt</vt:lpstr>
      <vt:lpstr>vanbredaworgls</vt:lpstr>
      <vt:lpstr>Veainuleipts</vt:lpstr>
      <vt:lpstr>Veainuleitries</vt:lpstr>
      <vt:lpstr>Vellacottglopts</vt:lpstr>
      <vt:lpstr>Vellacottglotries</vt:lpstr>
      <vt:lpstr>Vellacottwaspts</vt:lpstr>
      <vt:lpstr>Vellacottwastries</vt:lpstr>
      <vt:lpstr>Venterworpts</vt:lpstr>
      <vt:lpstr>Venterwortries</vt:lpstr>
      <vt:lpstr>Vermeulenexepts</vt:lpstr>
      <vt:lpstr>Vermeulenexetries</vt:lpstr>
      <vt:lpstr>Viljoen_EWleicatt</vt:lpstr>
      <vt:lpstr>Viljoen_EWleicgls</vt:lpstr>
      <vt:lpstr>Visagieglopts</vt:lpstr>
      <vt:lpstr>Visagieglotries</vt:lpstr>
      <vt:lpstr>Vossleicpts</vt:lpstr>
      <vt:lpstr>Vossleictries</vt:lpstr>
      <vt:lpstr>Vuibripts</vt:lpstr>
      <vt:lpstr>Vuibritries</vt:lpstr>
      <vt:lpstr>Vunabthpts</vt:lpstr>
      <vt:lpstr>Vunabthtries</vt:lpstr>
      <vt:lpstr>Vunipola__Makosarpts</vt:lpstr>
      <vt:lpstr>Vunipola__Makosartries</vt:lpstr>
      <vt:lpstr>Vunipola_Bsarpts</vt:lpstr>
      <vt:lpstr>Vunipola_Bsartries</vt:lpstr>
      <vt:lpstr>Vunipola_Msaratt</vt:lpstr>
      <vt:lpstr>Vunipola_Msargls</vt:lpstr>
      <vt:lpstr>Vunipola_Msarpts</vt:lpstr>
      <vt:lpstr>Vunipola_Msartries</vt:lpstr>
      <vt:lpstr>Walkerbthpts</vt:lpstr>
      <vt:lpstr>Walkerbthtries</vt:lpstr>
      <vt:lpstr>Walkercharliehqtries</vt:lpstr>
      <vt:lpstr>Walkercharliepts</vt:lpstr>
      <vt:lpstr>Wallacelukepts</vt:lpstr>
      <vt:lpstr>Wallaceluketries</vt:lpstr>
      <vt:lpstr>Wallerworpts</vt:lpstr>
      <vt:lpstr>Wallerwortries</vt:lpstr>
      <vt:lpstr>Warddavepts</vt:lpstr>
      <vt:lpstr>warddavetries</vt:lpstr>
      <vt:lpstr>Warwickpaultries</vt:lpstr>
      <vt:lpstr>WaspsPts</vt:lpstr>
      <vt:lpstr>WaspsTries</vt:lpstr>
      <vt:lpstr>Watersharpts</vt:lpstr>
      <vt:lpstr>Watershartries</vt:lpstr>
      <vt:lpstr>Watsonanthonypts</vt:lpstr>
      <vt:lpstr>Watsonanthonytries</vt:lpstr>
      <vt:lpstr>Watsonsarpts</vt:lpstr>
      <vt:lpstr>Watsonsartries</vt:lpstr>
      <vt:lpstr>Watsonwaspts</vt:lpstr>
      <vt:lpstr>Watsonwastries</vt:lpstr>
      <vt:lpstr>Webbersalpts</vt:lpstr>
      <vt:lpstr>Webbersaltries</vt:lpstr>
      <vt:lpstr>Weirworpts</vt:lpstr>
      <vt:lpstr>Weirwortries</vt:lpstr>
      <vt:lpstr>Wellsharrypts</vt:lpstr>
      <vt:lpstr>Wellsharrytries</vt:lpstr>
      <vt:lpstr>Wellsleicpts</vt:lpstr>
      <vt:lpstr>Wellsleictries</vt:lpstr>
      <vt:lpstr>Westwaspts</vt:lpstr>
      <vt:lpstr>Westwastries</vt:lpstr>
      <vt:lpstr>White_NexeptsCORRECT</vt:lpstr>
      <vt:lpstr>White_Nicexepts</vt:lpstr>
      <vt:lpstr>White_Nicexetries</vt:lpstr>
      <vt:lpstr>Whiteharpts</vt:lpstr>
      <vt:lpstr>Whitehartries</vt:lpstr>
      <vt:lpstr>Whiteleicpts</vt:lpstr>
      <vt:lpstr>Whiteleictries</vt:lpstr>
      <vt:lpstr>whiteleysaratt</vt:lpstr>
      <vt:lpstr>Whiteleysargls</vt:lpstr>
      <vt:lpstr>Whiteleysarpts</vt:lpstr>
      <vt:lpstr>Whiteleysartries</vt:lpstr>
      <vt:lpstr>Whittenpts</vt:lpstr>
      <vt:lpstr>Whittentries</vt:lpstr>
      <vt:lpstr>Wigglesworthrichardpts</vt:lpstr>
      <vt:lpstr>Wigglesworthrichardtries</vt:lpstr>
      <vt:lpstr>wigglesworthsaratt</vt:lpstr>
      <vt:lpstr>Wigglesworthsargoals</vt:lpstr>
      <vt:lpstr>wilkinsonsalatt</vt:lpstr>
      <vt:lpstr>wilkinsonsalgls</vt:lpstr>
      <vt:lpstr>Wilkinsonsalpts</vt:lpstr>
      <vt:lpstr>Wilkinsonsaltries</vt:lpstr>
      <vt:lpstr>Willemsesarpts</vt:lpstr>
      <vt:lpstr>Willemsesartries</vt:lpstr>
      <vt:lpstr>Williamsbenpts</vt:lpstr>
      <vt:lpstr>Williamsbentries</vt:lpstr>
      <vt:lpstr>Williamsexepts</vt:lpstr>
      <vt:lpstr>Williamsexetries</vt:lpstr>
      <vt:lpstr>williamsglopts</vt:lpstr>
      <vt:lpstr>williamsglotries</vt:lpstr>
      <vt:lpstr>Williamsowenpts</vt:lpstr>
      <vt:lpstr>williamssalatt</vt:lpstr>
      <vt:lpstr>williamssalgls</vt:lpstr>
      <vt:lpstr>Williamssalpts</vt:lpstr>
      <vt:lpstr>Williamssaltries</vt:lpstr>
      <vt:lpstr>Williamssarpts</vt:lpstr>
      <vt:lpstr>Williamssartries</vt:lpstr>
      <vt:lpstr>Williamstompts</vt:lpstr>
      <vt:lpstr>Williamstomtries</vt:lpstr>
      <vt:lpstr>Williamstomtriescorrect</vt:lpstr>
      <vt:lpstr>Williamsworpts</vt:lpstr>
      <vt:lpstr>Williamswortries</vt:lpstr>
      <vt:lpstr>Willis_Twaspts</vt:lpstr>
      <vt:lpstr>Willis_Twastries</vt:lpstr>
      <vt:lpstr>Willisonbthpts</vt:lpstr>
      <vt:lpstr>Willisonbthtries</vt:lpstr>
      <vt:lpstr>Williswaspts</vt:lpstr>
      <vt:lpstr>Williswastries</vt:lpstr>
      <vt:lpstr>Wilson__Jamesbthpts</vt:lpstr>
      <vt:lpstr>Wilson__Jamesbthptscorrect</vt:lpstr>
      <vt:lpstr>Wilson__Jamesbthtries</vt:lpstr>
      <vt:lpstr>Wilson__Jamesbthtriescorrect</vt:lpstr>
      <vt:lpstr>Wilsonbatpts</vt:lpstr>
      <vt:lpstr>Wilsonbattries</vt:lpstr>
      <vt:lpstr>Wittyexepts</vt:lpstr>
      <vt:lpstr>Wittyexetries</vt:lpstr>
      <vt:lpstr>Wolstenholmewaspts</vt:lpstr>
      <vt:lpstr>Wolstenholmewastries</vt:lpstr>
      <vt:lpstr>Wolstenhomewaspts</vt:lpstr>
      <vt:lpstr>Woodburnexepts</vt:lpstr>
      <vt:lpstr>Woodburnexetries</vt:lpstr>
      <vt:lpstr>Woodtomptscorrect</vt:lpstr>
      <vt:lpstr>Woodtomtriescorrect</vt:lpstr>
      <vt:lpstr>Woodwardglopts</vt:lpstr>
      <vt:lpstr>Woodwardglotries</vt:lpstr>
      <vt:lpstr>Woolstencroftsarpts</vt:lpstr>
      <vt:lpstr>Woolstencroftsartries</vt:lpstr>
      <vt:lpstr>Woolstencroftwaspts</vt:lpstr>
      <vt:lpstr>Woolstencroftwastries</vt:lpstr>
      <vt:lpstr>worcesterpentriespts</vt:lpstr>
      <vt:lpstr>WorcesterPts</vt:lpstr>
      <vt:lpstr>WorcesterTries</vt:lpstr>
      <vt:lpstr>worthleiatt</vt:lpstr>
      <vt:lpstr>worthleigoals</vt:lpstr>
      <vt:lpstr>Worthleipts</vt:lpstr>
      <vt:lpstr>Worthleitries</vt:lpstr>
      <vt:lpstr>Wrayjacksonpts</vt:lpstr>
      <vt:lpstr>Wrayjacksontries</vt:lpstr>
      <vt:lpstr>Wyattexepts</vt:lpstr>
      <vt:lpstr>Wyattexetries</vt:lpstr>
      <vt:lpstr>Yardesalpts</vt:lpstr>
      <vt:lpstr>Yardesaltries</vt:lpstr>
      <vt:lpstr>Yeandlejackpts</vt:lpstr>
      <vt:lpstr>Yeandlejacktries</vt:lpstr>
      <vt:lpstr>youngsbatt</vt:lpstr>
      <vt:lpstr>Youngsbenptscorrect</vt:lpstr>
      <vt:lpstr>youngsbentries</vt:lpstr>
      <vt:lpstr>youngsbgoals</vt:lpstr>
      <vt:lpstr>youngstompts</vt:lpstr>
      <vt:lpstr>youngstomtries</vt:lpstr>
      <vt:lpstr>Youngwaspts</vt:lpstr>
      <vt:lpstr>Youngwastries</vt:lpstr>
      <vt:lpstr>Zhvaniawaspts</vt:lpstr>
      <vt:lpstr>Zhvaniawastries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2021-08-31T13:39:18Z</dcterms:modified>
</cp:coreProperties>
</file>