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IERSHIP RUGBY/Season 2024-25/"/>
    </mc:Choice>
  </mc:AlternateContent>
  <xr:revisionPtr revIDLastSave="1333" documentId="8_{038774E9-348D-4260-868F-06F380B8E838}" xr6:coauthVersionLast="47" xr6:coauthVersionMax="47" xr10:uidLastSave="{881DBBF1-25E2-4934-AF99-68F545F997B2}"/>
  <bookViews>
    <workbookView xWindow="-26192" yWindow="747" windowWidth="26301" windowHeight="14169" tabRatio="952" activeTab="4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EW" sheetId="11" r:id="rId7"/>
    <sheet name="NOR" sheetId="9" r:id="rId8"/>
    <sheet name="SAL" sheetId="10" r:id="rId9"/>
    <sheet name="SAR" sheetId="14" r:id="rId10"/>
    <sheet name="PREM - OVERALL" sheetId="13" r:id="rId11"/>
    <sheet name="PRM CUP - OVERALL" sheetId="16" r:id="rId12"/>
    <sheet name="BED" sheetId="17" r:id="rId13"/>
    <sheet name="DON" sheetId="18" r:id="rId14"/>
    <sheet name="EAL" sheetId="15" r:id="rId15"/>
  </sheets>
  <externalReferences>
    <externalReference r:id="rId16"/>
  </externalReferences>
  <definedNames>
    <definedName name="A_Wallerpts">NOR!$G$50</definedName>
    <definedName name="A_Wallertries">NOR!$B$50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NEW!#REF!</definedName>
    <definedName name="Adams_Halesarptscorrect">SAR!#REF!</definedName>
    <definedName name="Adams_Halesartries">NEW!#REF!</definedName>
    <definedName name="Adams_Halesartriescorrect">SAR!#REF!</definedName>
    <definedName name="Adamsworpts">#REF!</definedName>
    <definedName name="Adamswortries">#REF!</definedName>
    <definedName name="Adderly_Jonesglopts">GLO!$G$4</definedName>
    <definedName name="Adderly_Jonesglotries">GLO!$B$4</definedName>
    <definedName name="Addisonsal2ndspellpts">SAL!$G$3</definedName>
    <definedName name="Addisonsal2ndspelltries">SAL!$B$3</definedName>
    <definedName name="Addisonsalpts">SAL!#REF!</definedName>
    <definedName name="Addisonsaltries">SAL!#REF!</definedName>
    <definedName name="Adejimisarpts">SAR!$G$3</definedName>
    <definedName name="Adejimisartries">SAR!$B$3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ts">GLO!$G$5</definedName>
    <definedName name="Alemannoglotries">GLO!$B$5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lportglopts">GLO!$G$6</definedName>
    <definedName name="Allportglotries">GLO!$B$6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ts">HAR!$G$4</definedName>
    <definedName name="Andersonhartries">HAR!$B$4</definedName>
    <definedName name="Andrewssalpts">SAL!$G$4</definedName>
    <definedName name="Andrewssaltries">SAL!$B$4</definedName>
    <definedName name="Annettbthpts">BTH!$H$3</definedName>
    <definedName name="Annettbthtries">BTH!$B$3</definedName>
    <definedName name="anscombegloatt">GLO!$M$5</definedName>
    <definedName name="anscombeglogls">GLO!$L$5</definedName>
    <definedName name="Anscombeglopts">GLO!$G$7</definedName>
    <definedName name="Anscombeglotries">GLO!$B$7</definedName>
    <definedName name="Anyanwuharpts">HAR!$G$3</definedName>
    <definedName name="Anyanwuhartries">HAR!$B$3</definedName>
    <definedName name="Armanddonpts">EXE!$G$4</definedName>
    <definedName name="Armanddontries">EXE!$B$4</definedName>
    <definedName name="Armitageguytries">BRI!#REF!</definedName>
    <definedName name="Armitagewaspts">#REF!</definedName>
    <definedName name="Armitagewastries">#REF!</definedName>
    <definedName name="Armstrongbripts">BRI!$G$3</definedName>
    <definedName name="Armstrongbritries">BRI!$B$3</definedName>
    <definedName name="ArmstrongEXEpts">EXE!$G$3</definedName>
    <definedName name="ArmstrongEXEtries">EXE!$B$3</definedName>
    <definedName name="Armstrongjakebripts">BRI!#REF!</definedName>
    <definedName name="Armstrongjakebritries">BRI!#REF!</definedName>
    <definedName name="Armtageguypts">BRI!#REF!</definedName>
    <definedName name="Arnoldnewpts">NEW!$G$3</definedName>
    <definedName name="Arnoldnewtries">NEW!$B$3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NEW!#REF!</definedName>
    <definedName name="Arscottnewtries">#REF!</definedName>
    <definedName name="Arscottnewtriescorrect">NEW!#REF!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BRI!#REF!</definedName>
    <definedName name="Ascherlbritries">BRI!#REF!</definedName>
    <definedName name="Ashmansalpts">SAL!#REF!</definedName>
    <definedName name="Ashmansaltries">SAL!#REF!</definedName>
    <definedName name="Ashtonchrisptscorrect">NEW!#REF!</definedName>
    <definedName name="Ashtonchristriescorrect">NEW!#REF!</definedName>
    <definedName name="Ashtonpts">NEW!#REF!</definedName>
    <definedName name="Ashtonsalpts">SAL!#REF!</definedName>
    <definedName name="Ashtonsaltries">SAL!#REF!</definedName>
    <definedName name="ashtontries">NEW!#REF!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BRI!#REF!</definedName>
    <definedName name="atkinslirgls">BRI!#REF!</definedName>
    <definedName name="Atkinson_Cglopts">GLO!$G$8</definedName>
    <definedName name="Atkinson_Cglotries">GLO!$B$8</definedName>
    <definedName name="Atkinson_Sglopts">GLO!$G$9</definedName>
    <definedName name="Atkinson_Sglotries">GLO!$B$9</definedName>
    <definedName name="atkinsonCgloatt">GLO!$M$6</definedName>
    <definedName name="atkinsonCglogls">GLO!$L$6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BTH!$H$35</definedName>
    <definedName name="attwoodtries">BTH!#REF!</definedName>
    <definedName name="Augustusnorpts">NOR!$G$3</definedName>
    <definedName name="Augustusnortries">NOR!$B$3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BTH!$O$4</definedName>
    <definedName name="Baileybthgls">BTH!$N$4</definedName>
    <definedName name="Baileybthpts">BTH!$H$4</definedName>
    <definedName name="Baileybthtries">BTH!$B$4</definedName>
    <definedName name="Bainessalpts">SAL!#REF!</definedName>
    <definedName name="Bainessaltries">SAL!#REF!</definedName>
    <definedName name="Bakerbripts">BRI!$G$4</definedName>
    <definedName name="Bakerbritries">BRI!$B$4</definedName>
    <definedName name="Baldwinharpts">HAR!#REF!</definedName>
    <definedName name="Baldwinhartries">HAR!#REF!</definedName>
    <definedName name="Balmainglopts">GLO!#REF!</definedName>
    <definedName name="Balmainglotries">GLO!#REF!</definedName>
    <definedName name="Balmainleipts">LEI!#REF!</definedName>
    <definedName name="Balmainleitries">LEI!#REF!</definedName>
    <definedName name="Balmainsarpts">SAR!$G$4</definedName>
    <definedName name="Balmainsartries">SAR!$B$4</definedName>
    <definedName name="BamberSALpts">SAL!$G$5</definedName>
    <definedName name="BamberSALtries">SAL!$B$5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BTH!$H$5</definedName>
    <definedName name="Barbearybthtries">BTH!$B$5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erbripts">BRI!$G$5</definedName>
    <definedName name="Barkerbritries">BRI!$B$5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HAR!$G$5</definedName>
    <definedName name="Barneshartries">HAR!$B$5</definedName>
    <definedName name="Barnesnewpts">#REF!</definedName>
    <definedName name="Barnesnewtries">#REF!</definedName>
    <definedName name="Barringtonrichardpts">NEW!$G$4</definedName>
    <definedName name="Barringtonrichardtries">NEW!$B$4</definedName>
    <definedName name="Barringtonsarptscorrect">SAR!#REF!</definedName>
    <definedName name="Barringtonsartriescorrect">SAR!#REF!</definedName>
    <definedName name="Barrittbradpts">NEW!$G$6</definedName>
    <definedName name="Barrittbradtries">NEW!$B$6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GLO!#REF!</definedName>
    <definedName name="Bartlettglotries">GLO!#REF!</definedName>
    <definedName name="Bartongloatt">GLO!$M$7</definedName>
    <definedName name="Bartonglogls">GLO!$L$7</definedName>
    <definedName name="Bartonglopts">GLO!$G$10</definedName>
    <definedName name="Bartonglotries">GLO!$B$10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BRI!$G$6</definedName>
    <definedName name="Batesbritries">BRI!$B$6</definedName>
    <definedName name="bathpentries">BTH!#REF!</definedName>
    <definedName name="bathpentriespts">BTH!#REF!</definedName>
    <definedName name="bathpentriesptscorrect">BTH!#REF!</definedName>
    <definedName name="bathpentriesptsthisone">BTH!$H$35</definedName>
    <definedName name="bathpentriestriescorrect">BTH!#REF!</definedName>
    <definedName name="bathpentriestriesthisone">BTH!$B$35</definedName>
    <definedName name="BathPts">BTH!$H$51</definedName>
    <definedName name="bathscorers">BTH!#REF!</definedName>
    <definedName name="BathTries">BTH!$B$51</definedName>
    <definedName name="Batleybripts">BRI!#REF!</definedName>
    <definedName name="Batleybriptscorrect">BRI!$G$7</definedName>
    <definedName name="Batleybritries">BRI!#REF!</definedName>
    <definedName name="Batleybritriescorrect">BRI!$B$7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HAR!$G$6</definedName>
    <definedName name="Baxterhartries">HAR!$B$6</definedName>
    <definedName name="Baylissbthpts">BTH!$H$6</definedName>
    <definedName name="Baylissbthtries">BTH!$B$6</definedName>
    <definedName name="bazalgettebribriatt">BRI!$M$4</definedName>
    <definedName name="bazalgettebrigls">BRI!$L$4</definedName>
    <definedName name="Bazalgettebripts">BRI!$G$8</definedName>
    <definedName name="Bazalgettebritries">BRI!$B$8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HAR!$G$7</definedName>
    <definedName name="Beardhartries">HAR!$B$7</definedName>
    <definedName name="Beatonsarpts">SAR!$G$7</definedName>
    <definedName name="Beatonsartries">SAR!$B$7</definedName>
    <definedName name="Beaumontsalpts">SAL!$G$6</definedName>
    <definedName name="Beaumontsaltries">SAL!$B$6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_Jsalpts">SAL!$G$7</definedName>
    <definedName name="Bedlow_Jsaltries">SAL!$B$7</definedName>
    <definedName name="bedlowbriatt">BRI!#REF!</definedName>
    <definedName name="Bedlowbrigls">BRI!#REF!</definedName>
    <definedName name="Bedlowbripts">BRI!$G$9</definedName>
    <definedName name="bedlowbritries">BRI!$B$9</definedName>
    <definedName name="BedlowSAL_pts">SAL!$G$8</definedName>
    <definedName name="BedlowSAL_tries">SAL!$B$8</definedName>
    <definedName name="bedlowsalatt">SAL!#REF!</definedName>
    <definedName name="bedlowsalattcorrect">SAL!$M$4</definedName>
    <definedName name="Bedlowsalgls">SAL!#REF!</definedName>
    <definedName name="bedlowsalglscorrect">SAL!$L$4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etsleicpts">LEI!$G$5</definedName>
    <definedName name="Beetsleictries">LEI!$B$5</definedName>
    <definedName name="Bell_C">#REF!</definedName>
    <definedName name="Bellchrispts">#REF!</definedName>
    <definedName name="Bellchristries">#REF!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NEW!$G$5</definedName>
    <definedName name="Bellonewtries">NEW!$B$5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HAR!$M$5</definedName>
    <definedName name="bensonhargls">HAR!$L$5</definedName>
    <definedName name="Bensonharpts">HAR!$G$8</definedName>
    <definedName name="Bensonhartries">HAR!$B$8</definedName>
    <definedName name="Bensonnorpts">NOR!$G$5</definedName>
    <definedName name="Bensonnortries">NOR!$B$5</definedName>
    <definedName name="Bentleyjonnypts">GLO!#REF!</definedName>
    <definedName name="Benz_Salomon_Jbripts">BRI!#REF!</definedName>
    <definedName name="Benz_Salomon_Jbritri">BRI!#REF!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ingtonbstpts">BRI!$G$3</definedName>
    <definedName name="Bevingtonbsttries">BRI!$B$3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SAL!$G$9</definedName>
    <definedName name="Birchsaltries">SAL!$B$9</definedName>
    <definedName name="blackettnewatt">NEW!#REF!</definedName>
    <definedName name="blackettnewgls">NEW!#REF!</definedName>
    <definedName name="Blackettnewpts">NEW!#REF!</definedName>
    <definedName name="Blackettnewtries">NEW!#REF!</definedName>
    <definedName name="Blackmoreglopts">GLO!$G$11</definedName>
    <definedName name="Blackmoreglotries">GLO!$B$11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GLO!$G$12</definedName>
    <definedName name="Blakeglotries">GLO!$B$12</definedName>
    <definedName name="Blamirenewpts">#REF!</definedName>
    <definedName name="Blamirenewtries">#REF!</definedName>
    <definedName name="Blommetjiesleicpts">LEI!$G$10</definedName>
    <definedName name="Blommetjiesleictries">LEI!$B$10</definedName>
    <definedName name="Bodillyexepts">EXE!#REF!</definedName>
    <definedName name="Bodillyexetries">EXE!#REF!</definedName>
    <definedName name="boschatt">NEW!#REF!</definedName>
    <definedName name="Boschgoals">NEW!#REF!</definedName>
    <definedName name="Boschmarcelopts">NEW!$G$7</definedName>
    <definedName name="Boschmarcelotries">NEW!$B$7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NEW!#REF!</definedName>
    <definedName name="Bothamouritztries">NEW!#REF!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BTH!#REF!</definedName>
    <definedName name="Boycebthtries">BTH!#REF!</definedName>
    <definedName name="Boyceharpts">HAR!#REF!</definedName>
    <definedName name="Boycehartries">HAR!#REF!</definedName>
    <definedName name="Bracken_CSARPTS">SAR!$G$5</definedName>
    <definedName name="Bracken_CSARTRIES">SAR!$B$5</definedName>
    <definedName name="Brackensarpts">SAR!$G$6</definedName>
    <definedName name="Brackensartries">SAR!$B$6</definedName>
    <definedName name="Bradburybripts">BRI!#REF!</definedName>
    <definedName name="Bradburybritries">BRI!#REF!</definedName>
    <definedName name="Bradleyharpts">HAR!$G$9</definedName>
    <definedName name="Bradleyhartries">HAR!$B$9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NOR!$G$4</definedName>
    <definedName name="Braleynortries">NOR!#REF!</definedName>
    <definedName name="Braleynortriescorrect">NOR!$B$4</definedName>
    <definedName name="Brantinghamsarpts">SAR!$G$8</definedName>
    <definedName name="Brantinghamsartries">SAR!$B$8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BRI!$G$63</definedName>
    <definedName name="BristolTries">BRI!$B$63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NEW!#REF!</definedName>
    <definedName name="britstris">NEW!#REF!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_Bampoeexepts">EXE!$G$6</definedName>
    <definedName name="Brown_Bampoeexetries">EXE!$B$6</definedName>
    <definedName name="brown2">HAR!#REF!</definedName>
    <definedName name="Brownedanielpts">#REF!</definedName>
    <definedName name="Brownedanieltries">#REF!</definedName>
    <definedName name="BrowneHARpts">HAR!$G$10</definedName>
    <definedName name="BrowneHARtries">HAR!$B$10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NEW!#REF!</definedName>
    <definedName name="brownkellytries">NEW!#REF!</definedName>
    <definedName name="brownleipts">LEI!$G$6</definedName>
    <definedName name="brownleitries">LEI!$B$6</definedName>
    <definedName name="brownmikepts2">HAR!#REF!</definedName>
    <definedName name="Brownmiketries">HAR!#REF!</definedName>
    <definedName name="brownmiketriescorrect">HAR!#REF!</definedName>
    <definedName name="brownnewpts">NEW!$G$8</definedName>
    <definedName name="brownnewtries">NEW!$B$8</definedName>
    <definedName name="brownnorpts">NOR!$G$6</definedName>
    <definedName name="brownnortries">NOR!$B$6</definedName>
    <definedName name="brownsarpts">NEW!#REF!</definedName>
    <definedName name="brownsartries">NEW!#REF!</definedName>
    <definedName name="Brussownorpts">NOR!#REF!</definedName>
    <definedName name="Brussownortries">NOR!#REF!</definedName>
    <definedName name="Bryansarpts">SAR!$G$9</definedName>
    <definedName name="Bryansartries">SAR!$B$9</definedName>
    <definedName name="bryantleiatt">LEI!#REF!</definedName>
    <definedName name="Bryantleigoals">LEI!#REF!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NEW!$G$11</definedName>
    <definedName name="Burgerjacquestries">NEW!$B$11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NEW!$G$9</definedName>
    <definedName name="Burrellnewtries">NEW!$B$9</definedName>
    <definedName name="Burrellpts">NOR!#REF!</definedName>
    <definedName name="Burrelltries">NOR!#REF!</definedName>
    <definedName name="Burrelltriescorrect">NOR!#REF!</definedName>
    <definedName name="Burrowsalpts">SAL!$G$10</definedName>
    <definedName name="Burrowsaltries">SAL!$B$10</definedName>
    <definedName name="BurrowsEXEpts">EXE!$G$5</definedName>
    <definedName name="BurrowsEXEtries">EXE!$B$5</definedName>
    <definedName name="Burrowsnewpts">#REF!</definedName>
    <definedName name="Burrowsnewtries">#REF!</definedName>
    <definedName name="Butlerglopts">GLO!$G$13</definedName>
    <definedName name="Butlerglotries">GLO!$B$13</definedName>
    <definedName name="Buttbthpts">BTH!$H$7</definedName>
    <definedName name="Buttbthtries">BTH!$B$7</definedName>
    <definedName name="byrnebriatt">BRI!$M$5</definedName>
    <definedName name="Byrnebrigls">BRI!$L$5</definedName>
    <definedName name="Byrnebripts">BRI!#REF!</definedName>
    <definedName name="Byrnebritries">BRI!#REF!</definedName>
    <definedName name="Byrnehbripts">BRI!$G$10</definedName>
    <definedName name="Byrnehbritries">BRI!$B$10</definedName>
    <definedName name="Cahillshanepts">#REF!</definedName>
    <definedName name="Cahillshanetries">#REF!</definedName>
    <definedName name="Cainesalpts">SAL!$G$11</definedName>
    <definedName name="Cainesaltries">SAL!$B$11</definedName>
    <definedName name="Cairnsexepts">EXE!$G$7</definedName>
    <definedName name="Cairnsexetries">EXE!$B$7</definedName>
    <definedName name="Caldwellexepts">EXE!$G$8</definedName>
    <definedName name="Caldwellexetries">EXE!$B$8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BRI!$G$11</definedName>
    <definedName name="Caponbritries">BRI!$B$11</definedName>
    <definedName name="Capstickexepts">EXE!$G$8</definedName>
    <definedName name="Capstickexetries">EXE!$B$8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HAR!$B$11</definedName>
    <definedName name="Carepts">HAR!$G$11</definedName>
    <definedName name="caretries" comment="constant">HAR!$B$11</definedName>
    <definedName name="carlisleatt">#REF!</definedName>
    <definedName name="carlislegoals">#REF!</definedName>
    <definedName name="Carlislejoetries">#REF!</definedName>
    <definedName name="Carlislepts">#REF!</definedName>
    <definedName name="Carnduffleipts">LEI!$G$7</definedName>
    <definedName name="Carnduffleitries">LEI!$B$7</definedName>
    <definedName name="Carpentersalpts">SAL!$G$12</definedName>
    <definedName name="Carpentersaltries">SAL!$B$12</definedName>
    <definedName name="carrerasgloatt">GLO!$M$8</definedName>
    <definedName name="Carrerasglogls">GLO!$L$8</definedName>
    <definedName name="Carrerasglopts">GLO!$G$14</definedName>
    <definedName name="Carrerasglotries">GLO!$B$14</definedName>
    <definedName name="Carrerasnewpts">NEW!$G$10</definedName>
    <definedName name="Carrerasnewtries">NEW!$B$10</definedName>
    <definedName name="Carresarpts">SAR!$G$10</definedName>
    <definedName name="Carresartries">SAR!$B$10</definedName>
    <definedName name="Carrharpts">HAR!$G$12</definedName>
    <definedName name="Carrhartries">HAR!$B$12</definedName>
    <definedName name="Carrick_Smithexepts">EXE!#REF!</definedName>
    <definedName name="Carrick_Smithexetries">EXE!#REF!</definedName>
    <definedName name="Carrnwaspts">#REF!</definedName>
    <definedName name="Carrnwastries">#REF!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BRI!$G$12</definedName>
    <definedName name="CaulfieldBRItries">BRI!$B$12</definedName>
    <definedName name="Challengerbripts">BRI!$G$13</definedName>
    <definedName name="Challengerbritries">BRI!$B$13</definedName>
    <definedName name="chapmangloatt">GLO!$M$9</definedName>
    <definedName name="chapmanglogls">GLO!$L$9</definedName>
    <definedName name="Chapmanglopts">GLO!$G$15</definedName>
    <definedName name="Chapmanglotries">GLO!$B$15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LEI!$G$8</definedName>
    <definedName name="Chessum_Lleitries">LEI!$B$8</definedName>
    <definedName name="Chessumleicpts">LEI!$G$9</definedName>
    <definedName name="Chessumleictries">LEI!$B$9</definedName>
    <definedName name="Chicknewpts">#REF!</definedName>
    <definedName name="Chicknewtries">#REF!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HAR!$G$13</definedName>
    <definedName name="Chisholmjameshartries">HAR!$B$13</definedName>
    <definedName name="Christiesarptscorrect">SAR!$G$11</definedName>
    <definedName name="Christiesartriescorrect">SAR!$B$11</definedName>
    <definedName name="Chudleybthpts">BTH!$H$7</definedName>
    <definedName name="Chudleybthtries">BTH!$B$7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SAR!$G$12</definedName>
    <definedName name="Cintisartries">SAR!$B$12</definedName>
    <definedName name="ciprianiatt">SAL!#REF!</definedName>
    <definedName name="ciprianibthatt">BTH!#REF!</definedName>
    <definedName name="ciprianibthgls">BTH!#REF!</definedName>
    <definedName name="ciprianibthpts">BTH!$H$8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NOR!#REF!</definedName>
    <definedName name="Clarenortries">NOR!#REF!</definedName>
    <definedName name="Clareysarptscorrect">SAR!$G$13</definedName>
    <definedName name="Clareysartriescorrect">SAR!$B$13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glopts">GLO!$G$16</definedName>
    <definedName name="Clarkglotries">GLO!$B$16</definedName>
    <definedName name="Clarknewpts">NEW!$G$12</definedName>
    <definedName name="Clarknewtries">NEW!$B$12</definedName>
    <definedName name="Cleavesharpts">HAR!$G$14</definedName>
    <definedName name="Cleaveshartries">HAR!$B$14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SAL!#REF!</definedName>
    <definedName name="Cliffwillsaltries">SAL!#REF!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tzeebthpts">BTH!#REF!</definedName>
    <definedName name="Coetzeebthtries">BTH!#REF!</definedName>
    <definedName name="Coetzerglopts">GLO!$G$18</definedName>
    <definedName name="Coetzerglotries">GLO!$B$18</definedName>
    <definedName name="Cokanasigabthpts">BTH!$H$9</definedName>
    <definedName name="Cokanasigabthtries">BTH!$B$9</definedName>
    <definedName name="CokanasigaLEIpts">LEI!$G$11</definedName>
    <definedName name="CokanasigaLEItries">LEI!$B$11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LEI!$G$12</definedName>
    <definedName name="Coleleitries">LEI!$B$12</definedName>
    <definedName name="Colesnorpts">NOR!$G$7</definedName>
    <definedName name="Colesnortries">NOR!$B$7</definedName>
    <definedName name="Collettnewpts">#REF!</definedName>
    <definedName name="Collettnewtries">#REF!</definedName>
    <definedName name="Collierharpts">HAR!#REF!</definedName>
    <definedName name="Collierhartries">HAR!#REF!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NEW!#REF!</definedName>
    <definedName name="Conlonsartries">NEW!#REF!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NEW!$G$13</definedName>
    <definedName name="Connonnewtries">#REF!</definedName>
    <definedName name="Connonnewtriescorrect">#REF!</definedName>
    <definedName name="Connonnewtriescorrectthsione">NEW!$B$13</definedName>
    <definedName name="cookatt">GLO!#REF!</definedName>
    <definedName name="Cookbthpts">BTH!$H$10</definedName>
    <definedName name="Cookbthtries">BTH!$B$10</definedName>
    <definedName name="Cookchrispts">BTH!$H$10</definedName>
    <definedName name="Cookchristries">BTH!$B$10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tgreaveglopts">GLO!$G$19</definedName>
    <definedName name="Cotgreaveglotries">GLO!$B$19</definedName>
    <definedName name="Courtlipts">BRI!$G$17</definedName>
    <definedName name="Courtlitries">BRI!$B$17</definedName>
    <definedName name="Cousinsnorpts">NOR!$G$8</definedName>
    <definedName name="Cousinsnortries">NOR!$B$8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SAL!$G$13</definedName>
    <definedName name="Cowan_Dickiesaltries">SAL!$B$13</definedName>
    <definedName name="Cowanblairtries">BRI!#REF!</definedName>
    <definedName name="Cowanbthpts">BTH!$H$11</definedName>
    <definedName name="Cowanbthtries">BTH!$B$11</definedName>
    <definedName name="Cowanjimmypts">GLO!$G$48</definedName>
    <definedName name="Cowanjimmytries">GLO!$B$48</definedName>
    <definedName name="Cowanlipts">BRI!#REF!</definedName>
    <definedName name="Cowanpts">BRI!#REF!</definedName>
    <definedName name="Cowansarpts">NEW!#REF!</definedName>
    <definedName name="Cowansartries">NEW!#REF!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LEI!$G$13</definedName>
    <definedName name="Cracknellleitries">LEI!$B$13</definedName>
    <definedName name="Craignorpts">NOR!#REF!</definedName>
    <definedName name="Craignortries">NOR!#REF!</definedName>
    <definedName name="cranebripts">BRI!$G$17</definedName>
    <definedName name="Cranebritries">BRI!$B$17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ansarpts">SAR!$G$14</definedName>
    <definedName name="Creansartries">SAR!$B$14</definedName>
    <definedName name="Creevyagustinpts">#REF!</definedName>
    <definedName name="Creevyagustintries">#REF!</definedName>
    <definedName name="Crippsbripts">BRI!$G$14</definedName>
    <definedName name="Crippsbritries">BRI!$B$14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LEI!$G$14</definedName>
    <definedName name="Croninleitrie">LEI!$B$14</definedName>
    <definedName name="Crossdalesarpts">NEW!#REF!</definedName>
    <definedName name="Crossdalesarptscorrect">NEW!$G$14</definedName>
    <definedName name="Crossdalesartries">NEW!#REF!</definedName>
    <definedName name="Crossdalesartriescorrect">NEW!$B$14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HAR!#REF!</definedName>
    <definedName name="Crumptonhartries">HAR!#REF!</definedName>
    <definedName name="CruseNORpts">NOR!#REF!</definedName>
    <definedName name="CruseNORtries">NOR!#REF!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HAR!$G$15</definedName>
    <definedName name="Cunningham_Sthhartries">HAR!$B$15</definedName>
    <definedName name="Curry_Bsalpts">SAL!$G$14</definedName>
    <definedName name="Curry_Bsaltries">SAL!$B$14</definedName>
    <definedName name="Curry_Tsalpts">SAL!$G$15</definedName>
    <definedName name="Curry_Tsaltries">SAL!$B$15</definedName>
    <definedName name="Curtis_Harrislirpts">#REF!</definedName>
    <definedName name="Curtis_Harrislirtries">#REF!</definedName>
    <definedName name="Curtissalpts">SAL!$G$16</definedName>
    <definedName name="Curtissaltries">SAL!$B$16</definedName>
    <definedName name="Curtiswaspts">#REF!</definedName>
    <definedName name="Curtiswastries">#REF!</definedName>
    <definedName name="Cusickbripts">BRI!$G$15</definedName>
    <definedName name="Cusickbritries">BRI!$B$15</definedName>
    <definedName name="Cusitersalpts">SAL!#REF!</definedName>
    <definedName name="Cusitersaltries">SAL!#REF!</definedName>
    <definedName name="Daltonnewpts">NEW!$G$15</definedName>
    <definedName name="Daltonnewtries">NEW!$B$15</definedName>
    <definedName name="Dalyelliotpts">#REF!</definedName>
    <definedName name="Dalyelliottries">#REF!</definedName>
    <definedName name="dalysarattcorrect">SAR!$M$9</definedName>
    <definedName name="dalysarglscorrect">SAR!$L$9</definedName>
    <definedName name="Dalysarptscorrect">SAR!$G$15</definedName>
    <definedName name="Dalysartriescorrect">SAR!$B$15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SAR!$G$16</definedName>
    <definedName name="Dansartries">SAR!$B$16</definedName>
    <definedName name="dasdsa">NEW!#REF!</definedName>
    <definedName name="Davidharpts">HAR!$G$16</definedName>
    <definedName name="Davidhartries">HAR!$B$16</definedName>
    <definedName name="Davidsonglopts">GLO!#REF!</definedName>
    <definedName name="Davidsonglotries">GLO!#REF!</definedName>
    <definedName name="Davidsonnewpts">#REF!</definedName>
    <definedName name="Davidsonnewtries">#REF!</definedName>
    <definedName name="DavidsonNORpts">NOR!$G$9</definedName>
    <definedName name="DavidsonNORtries">NOR!$B$9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BRI!$G$16</definedName>
    <definedName name="Daviesbritries">BRI!$B$16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EXE!$G$9</definedName>
    <definedName name="Davisexepts">EXE!#REF!</definedName>
    <definedName name="Davisexetrie">EXE!$B$9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GLO!$G$17</definedName>
    <definedName name="Dawidiukglotries">GLO!$B$17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Bruinnewpts">NEW!$G$16</definedName>
    <definedName name="de_Bruinnewtries">NEW!$B$16</definedName>
    <definedName name="De_Chavesleipts">LEI!#REF!</definedName>
    <definedName name="De_Chavesleitries">LEI!#REF!</definedName>
    <definedName name="de_ChavesNEWpts">NEW!$G$17</definedName>
    <definedName name="de_ChavesNEWtries">NEW!$B$17</definedName>
    <definedName name="de_Glanvillebthgls">BTH!$N$5</definedName>
    <definedName name="de_Haassarptscorrect">SAR!#REF!</definedName>
    <definedName name="de_Haassartriescorrect">SAR!#REF!</definedName>
    <definedName name="de_Jagersalpts">SAL!$G$17</definedName>
    <definedName name="de_Jagersaltries">SAL!$B$17</definedName>
    <definedName name="de_Jagersarpts">NEW!#REF!</definedName>
    <definedName name="de_Jagersartries">NEW!#REF!</definedName>
    <definedName name="de_Jonghwaspts">#REF!</definedName>
    <definedName name="de_Jonghwastries">#REF!</definedName>
    <definedName name="de_Klerksalgls">SAL!#REF!</definedName>
    <definedName name="de_Kockneilpts">NEW!#REF!</definedName>
    <definedName name="de_Kockneiltries">NEW!#REF!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BTH!$O$5</definedName>
    <definedName name="dehaassaratt">SAR!#REF!</definedName>
    <definedName name="dehaassargls">SAR!#REF!</definedName>
    <definedName name="deklerksalatt">SAL!#REF!</definedName>
    <definedName name="Delmasbthpts">BTH!$H$12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GLO!$G$20</definedName>
    <definedName name="Dentonglotries">GLO!$B$20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EXE!#REF!</definedName>
    <definedName name="Devotoexetries">EXE!#REF!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LEI!$G$15</definedName>
    <definedName name="Diaz_Bonilla_Jleictries">LEI!$B$15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NOR!$G$10</definedName>
    <definedName name="Dingwallnortries">NOR!$B$10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newpts">NEW!$G$18</definedName>
    <definedName name="Dohertynewtries">NEW!$B$18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HAR!$G$17</definedName>
    <definedName name="Dombrandthartries">HAR!$B$17</definedName>
    <definedName name="Donnelllirpts">#REF!</definedName>
    <definedName name="Donnelllirtries">#REF!</definedName>
    <definedName name="Donoghuebthpts">BTH!$H$13</definedName>
    <definedName name="Donoghuebthtries">BTH!$B$13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NEW!#REF!</definedName>
    <definedName name="DouglasNEWtries">NEW!#REF!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NEW!$G$19</definedName>
    <definedName name="du_Plessissartries">NEW!$B$19</definedName>
    <definedName name="du_Preez__JPsalpts">SAL!#REF!</definedName>
    <definedName name="du_Preez__JPsaltries">SAL!#REF!</definedName>
    <definedName name="du_Preez_Dsalpts">SAL!$G$18</definedName>
    <definedName name="du_Preez_Dsaltries">SAL!$B$18</definedName>
    <definedName name="du_Preez_J_Lsalpts">SAL!$G$19</definedName>
    <definedName name="du_Preez_J_Lsaltries">SAL!$B$19</definedName>
    <definedName name="du_Preez_Rsalpts">SAL!$G$20</definedName>
    <definedName name="du_Preez_Rsaltries">SAL!$B$20</definedName>
    <definedName name="du_Preezworpts">#REF!</definedName>
    <definedName name="du_Preezwortries">#REF!</definedName>
    <definedName name="du_Toitbthpts">BTH!$H$15</definedName>
    <definedName name="du_Toitbthtries">BTH!$B$15</definedName>
    <definedName name="Dugdalesalpts">SAL!$G$21</definedName>
    <definedName name="Dugdalesaltries">SAL!$B$21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GLO!#REF!</definedName>
    <definedName name="DunnGLOtries">GLO!#REF!</definedName>
    <definedName name="Dunntompts">BTH!$H$14</definedName>
    <definedName name="dupreezsalatt">SAL!$M$5</definedName>
    <definedName name="dupreezsalgls">SAL!$L$5</definedName>
    <definedName name="dupreezsalpts">SAL!$M$5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NEW!#REF!</definedName>
    <definedName name="Earlenathantries">NEW!#REF!</definedName>
    <definedName name="Earlsarpts">NEW!#REF!</definedName>
    <definedName name="Earlsarptscorrect">SAR!$G$17</definedName>
    <definedName name="Earlsartries">NEW!#REF!</definedName>
    <definedName name="Earlsartriescorrect">SAR!$B$17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BRI!$G$19</definedName>
    <definedName name="Edenbritries">BRI!$B$19</definedName>
    <definedName name="Edensarpts">SAR!$G$18</definedName>
    <definedName name="Edensartries">SAR!$B$18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HAR!#REF!</definedName>
    <definedName name="edwardshargls">HAR!#REF!</definedName>
    <definedName name="Edwardsharpts">HAR!$G$18</definedName>
    <definedName name="Edwardshartries">HAR!$B$18</definedName>
    <definedName name="Edwardsleicpts">LEI!#REF!</definedName>
    <definedName name="Edwardsleictries">LEI!#REF!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HAR!#REF!</definedName>
    <definedName name="Eliahartries">HAR!#REF!</definedName>
    <definedName name="elizaldebriatt">BRI!$M$6</definedName>
    <definedName name="elizaldebrigls">BRI!$L$6</definedName>
    <definedName name="Elizaldebritries">BRI!$B$18</definedName>
    <definedName name="Elizaldebtipts">BRI!$G$18</definedName>
    <definedName name="Ellerysarpts">NEW!#REF!</definedName>
    <definedName name="Ellerysartries">NEW!#REF!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SAR!$G$19</definedName>
    <definedName name="Elliottsartries">SAR!$B$19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mensbthpts">BTH!$H$16</definedName>
    <definedName name="Emensbthtries">BTH!$B$16</definedName>
    <definedName name="EneSALpts">SAL!$G$22</definedName>
    <definedName name="EneSALtries">SAL!$B$22</definedName>
    <definedName name="englefieldgloatt">GLO!$M$10</definedName>
    <definedName name="englefieldglogls">GLO!$L$10</definedName>
    <definedName name="Englefieldglopts">GLO!$G$21</definedName>
    <definedName name="Englefieldglotries">GLO!$B$21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HAR!#REF!</definedName>
    <definedName name="Esterhuizenhargls">HAR!#REF!</definedName>
    <definedName name="Esterhuizenharpts">HAR!#REF!</definedName>
    <definedName name="Esterhuizenhartries">HAR!#REF!</definedName>
    <definedName name="Evans_Jharpts">HAR!$B$20</definedName>
    <definedName name="Evans_Jharptscorrect">HAR!$G$20</definedName>
    <definedName name="Evans_Jhartries">HAR!$G$20</definedName>
    <definedName name="Evans_Jhartriescorrect">HAR!$B$20</definedName>
    <definedName name="Evans_Lglopts">GLO!$G$22</definedName>
    <definedName name="Evans_Lglotries">GLO!$B$22</definedName>
    <definedName name="Evans_Oharpts">HAR!$G$19</definedName>
    <definedName name="Evans_Ohartries">HAR!$B$19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HAR!$B$21</definedName>
    <definedName name="Evansleipts">LEI!#REF!</definedName>
    <definedName name="Evansleitries">LEI!#REF!</definedName>
    <definedName name="evanslgloatt">GLO!#REF!</definedName>
    <definedName name="evanslglogoals">GLO!#REF!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HAR!$G$21</definedName>
    <definedName name="Evanswillharpts">HAR!$G$21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BTH!$H$17</definedName>
    <definedName name="ewelsbthtries">BTH!$B$17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EXE!$G$48</definedName>
    <definedName name="ExeterTries">EXE!$B$48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NEW!#REF!</definedName>
    <definedName name="farrellgoals">NEW!#REF!</definedName>
    <definedName name="Farrellowentries">NEW!$B$23</definedName>
    <definedName name="Farrellpts">NEW!#REF!</definedName>
    <definedName name="farrellsarattcorrect">SAR!$M$6</definedName>
    <definedName name="farrellsarglscorrect">SAR!$L$6</definedName>
    <definedName name="Farrellsarpts">NEW!$G$23</definedName>
    <definedName name="Farrellsarptscorrect">SAR!$G$20</definedName>
    <definedName name="farrellsartriescorrect">SAR!$B$20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NEW!#REF!</definedName>
    <definedName name="Fearnsnewtries">NEW!#REF!</definedName>
    <definedName name="Fenbylipts">BRI!$G$27</definedName>
    <definedName name="Fenbylitries">BRI!$B$27</definedName>
    <definedName name="Fenbypts">BRI!#REF!</definedName>
    <definedName name="Fenbysarpts">NEW!#REF!</definedName>
    <definedName name="Fenbysartries">NEW!#REF!</definedName>
    <definedName name="Fenbytries">BRI!#REF!</definedName>
    <definedName name="Fenton_Wellsbripts">BRI!#REF!</definedName>
    <definedName name="Fenton_Wellsbritries">BRI!#REF!</definedName>
    <definedName name="Fercusarpts">NEW!#REF!</definedName>
    <definedName name="Fercusarptscorrect">NEW!#REF!</definedName>
    <definedName name="Fercusartries">NEW!#REF!</definedName>
    <definedName name="Fercusartriescorrect">NEW!#REF!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NEW!#REF!</definedName>
    <definedName name="Figallosartries">NEW!#REF!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NEW!#REF!</definedName>
    <definedName name="Flanagansartries">NEW!#REF!</definedName>
    <definedName name="floodatt">LEI!#REF!</definedName>
    <definedName name="floodgoals">LEI!#REF!</definedName>
    <definedName name="Floodnewpts">#REF!</definedName>
    <definedName name="Floodnewptscorrect">NEW!#REF!</definedName>
    <definedName name="Floodnewtries">#REF!</definedName>
    <definedName name="Floodnewtriescorrect">NEW!#REF!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GLO!$G$23</definedName>
    <definedName name="Ford_Robinsonglotries">GLO!$B$23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SAL!$G$23</definedName>
    <definedName name="Fordgeorgesaltries">SAL!$B$23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SAL!$M$7</definedName>
    <definedName name="fordsalgls">SAL!$L$7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BTH!$H$18</definedName>
    <definedName name="Fotuali_ibthtries">BTH!$B$18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BRI!$G$28</definedName>
    <definedName name="Fowlietompts">BRI!#REF!</definedName>
    <definedName name="Fowlietomtries">BRI!$B$28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BRI!#REF!</definedName>
    <definedName name="Frankslirtries">BRI!#REF!</definedName>
    <definedName name="Franksnorpts">NOR!#REF!</definedName>
    <definedName name="Franksnortries">NOR!#REF!</definedName>
    <definedName name="Frasersarpts">NEW!#REF!</definedName>
    <definedName name="Frasersartries">NEW!#REF!</definedName>
    <definedName name="Fraserwillpts">NEW!#REF!</definedName>
    <definedName name="Fraserwilltries">NEW!#REF!</definedName>
    <definedName name="Freemanexepts">EXE!#REF!</definedName>
    <definedName name="Freemanexetries">EXE!#REF!</definedName>
    <definedName name="Freemannorpts">NOR!$G$11</definedName>
    <definedName name="Freemannortries">NOR!$B$11</definedName>
    <definedName name="Frischbripts">BRI!$G$20</definedName>
    <definedName name="Frischbritries">BRI!$B$20</definedName>
    <definedName name="Frostexepts">EXE!$G$13</definedName>
    <definedName name="Frostexetries">EXE!$B$13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NOR!$M$4</definedName>
    <definedName name="furbanknorgls">NOR!$L$4</definedName>
    <definedName name="Furbanknorpts">NOR!#REF!</definedName>
    <definedName name="Furbanknorptscorrect">NOR!$G$12</definedName>
    <definedName name="Furbanknortries">NOR!#REF!</definedName>
    <definedName name="Furbanknortriescorrect">NOR!$B$12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NEW!$G$20</definedName>
    <definedName name="Fusernewtries">NEW!$B$20</definedName>
    <definedName name="Galarzaglopts">GLO!$G$23</definedName>
    <definedName name="Galarzaglotries">GLO!$B$23</definedName>
    <definedName name="Galarzamarianopts">#REF!</definedName>
    <definedName name="Galarzamarianotries">#REF!</definedName>
    <definedName name="Gallaghersarpts">NEW!#REF!</definedName>
    <definedName name="Gallaghersartries">NEW!#REF!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NOR!$G$13</definedName>
    <definedName name="Garsidenortries">NOR!$B$13</definedName>
    <definedName name="Garveyglopts">GLO!#REF!</definedName>
    <definedName name="Garveyglotries">GLO!#REF!</definedName>
    <definedName name="Garveymattpts">BTH!$H$19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NEW!#REF!</definedName>
    <definedName name="Georgejamietriescorrect">NEW!#REF!</definedName>
    <definedName name="Georgepts">NEW!#REF!</definedName>
    <definedName name="Georgesarpts">NEW!$G$27</definedName>
    <definedName name="Georgesarptscorrect">SAR!$G$21</definedName>
    <definedName name="Georgesartries">NEW!$B$27</definedName>
    <definedName name="Georgesartriescorrect">SAR!$B$21</definedName>
    <definedName name="georgetries">NEW!#REF!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BRI!$G$44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NOR!$G$15</definedName>
    <definedName name="Gillespienortries">NOR!$B$15</definedName>
    <definedName name="Gillsarpts">NEW!#REF!</definedName>
    <definedName name="Gillsartries">NEW!#REF!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HAR!$G$22</definedName>
    <definedName name="Gjaltemahartries">HAR!$B$22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NOR!$G$14</definedName>
    <definedName name="GlisterNORtries">NOR!$B$14</definedName>
    <definedName name="gloucesterpentriespts">GLO!#REF!</definedName>
    <definedName name="GloucesterPenTriestries">GLO!#REF!</definedName>
    <definedName name="GloucesterPts">GLO!$G$53</definedName>
    <definedName name="GloucesterTries">GLO!$B$53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SAR!$G$22</definedName>
    <definedName name="Gonzalezsartries">SAR!$B$22</definedName>
    <definedName name="goodealexatt">NEW!#REF!</definedName>
    <definedName name="goodealexgoals">NEW!#REF!</definedName>
    <definedName name="Goodealexpts">NEW!#REF!</definedName>
    <definedName name="goodealextries">NEW!#REF!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SAR!$M$8</definedName>
    <definedName name="goodesarglscorrect">SAR!$L$8</definedName>
    <definedName name="Goodesarptscorrect">SAR!$G$23</definedName>
    <definedName name="Goodesartriescorrect">SAR!$B$23</definedName>
    <definedName name="Goodewaspts">#REF!</definedName>
    <definedName name="Goodewastries">#REF!</definedName>
    <definedName name="Goodhuecampts">#REF!</definedName>
    <definedName name="Goodhuecamtries">#REF!</definedName>
    <definedName name="Gordonnewpts">NEW!$G$21</definedName>
    <definedName name="Gordonnewtries">NEW!$B$21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BTH!#REF!</definedName>
    <definedName name="Grahambthtres">BTH!#REF!</definedName>
    <definedName name="Grahamnewpts">#REF!</definedName>
    <definedName name="Grahamnewtries">#REF!</definedName>
    <definedName name="Grahamslawbripts">BRI!$G$21</definedName>
    <definedName name="Grahamslawbritries">BRI!$B$21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EXE!$C$14</definedName>
    <definedName name="Grayexepts">EXE!$G$14</definedName>
    <definedName name="Grayexetries">EXE!$B$14</definedName>
    <definedName name="Grayharpts">HAR!#REF!</definedName>
    <definedName name="Grayhartries">HAR!#REF!</definedName>
    <definedName name="Grayjoeharpts">HAR!$G$23</definedName>
    <definedName name="Grayjoehartries">HAR!$B$23</definedName>
    <definedName name="Grayjoshglopts">GLO!#REF!</definedName>
    <definedName name="Grayjoshglotries">GLO!#REF!</definedName>
    <definedName name="Graypts">#REF!</definedName>
    <definedName name="Graysonnewatt">NEW!$M$5</definedName>
    <definedName name="Graysonnewgls">NEW!$L$5</definedName>
    <definedName name="Graysonnewpts">NEW!$G$22</definedName>
    <definedName name="Graysonnewtries">NEW!$B$22</definedName>
    <definedName name="graysonnoratt">NOR!#REF!</definedName>
    <definedName name="graysonnorgls">NOR!#REF!</definedName>
    <definedName name="Graysonnorpts">NOR!$G$17</definedName>
    <definedName name="Graysonnortries">NOR!$B$17</definedName>
    <definedName name="Greenbthpts">BTH!#REF!</definedName>
    <definedName name="Greenbthptscorrect">BTH!$H$20</definedName>
    <definedName name="Greenbthtries">BTH!#REF!</definedName>
    <definedName name="Greenbthtriescorrect">BTH!$B$20</definedName>
    <definedName name="Greenharpts">HAR!$G$24</definedName>
    <definedName name="Greenhartries">HAR!$B$24</definedName>
    <definedName name="Greennorpts">NOR!$G$16</definedName>
    <definedName name="Greennortries">NOR!$B$16</definedName>
    <definedName name="Griffinbthpts">BTH!$H$21</definedName>
    <definedName name="Griffinbthtries">BTH!$B$21</definedName>
    <definedName name="Griffinlipts">BRI!#REF!</definedName>
    <definedName name="Griffinlitries">BRI!#REF!</definedName>
    <definedName name="Griffithssarpts">NEW!#REF!</definedName>
    <definedName name="Griffithssartries">NEW!#REF!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_Bbripts">BRI!$G$22</definedName>
    <definedName name="Grondona_Bbritries">BRI!$B$22</definedName>
    <definedName name="Grondona_Sbripts">BRI!$G$23</definedName>
    <definedName name="Grondona_Sbritries">BRI!$B$23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Gwilliambripts">BRI!$G$24</definedName>
    <definedName name="Gwilliambritries">BRI!$B$24</definedName>
    <definedName name="Hadfieldsarpts">SAR!$G$24</definedName>
    <definedName name="Hadfieldsartries">SAR!$B$24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BRI!$G$27</definedName>
    <definedName name="Hainingbritries">BRI!$B$27</definedName>
    <definedName name="Hala_ufiachrispts">BRI!#REF!</definedName>
    <definedName name="Hala_ufiachristries">BRI!#REF!</definedName>
    <definedName name="Halaifonuaglopts">GLO!$G$24</definedName>
    <definedName name="Halaifonuaglotries">GLO!$B$24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lfpennyharatt">HAR!$M$7</definedName>
    <definedName name="Halfpennyhargls">HAR!$L$7</definedName>
    <definedName name="Halfpennyharpts">HAR!$G$25</definedName>
    <definedName name="Halfpennyhartries">HAR!$B$25</definedName>
    <definedName name="Halliwellbripts">BRI!$G$25</definedName>
    <definedName name="Halliwellbritries">BRI!$B$25</definedName>
    <definedName name="Hallsarpts">SAR!$G$25</definedName>
    <definedName name="Hallsartries">SAR!$B$25</definedName>
    <definedName name="Hamiltonleipts">LEI!#REF!</definedName>
    <definedName name="Hamiltonleitries">LEI!#REF!</definedName>
    <definedName name="Hamiltonsarpts">NEW!#REF!</definedName>
    <definedName name="Hamiltonsartries">NEW!#REF!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SAL!$G$24</definedName>
    <definedName name="Hammersleysaltries">SAL!$B$24</definedName>
    <definedName name="Hammicksarpts">SAR!$G$27</definedName>
    <definedName name="Hammicksartries">SAR!$B$27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NEW!#REF!</definedName>
    <definedName name="Hankinmatttries">NEW!#REF!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rdingbripts">BRI!$G$26</definedName>
    <definedName name="Hardingbritries">BRI!$B$26</definedName>
    <definedName name="Hardingwaspts">#REF!</definedName>
    <definedName name="Hardingwastries">#REF!</definedName>
    <definedName name="hardwickleicatt">LEI!#REF!</definedName>
    <definedName name="hardwickleicgls">LEI!#REF!</definedName>
    <definedName name="Hardwickleipts">LEI!#REF!</definedName>
    <definedName name="Hardwickleitries">LEI!#REF!</definedName>
    <definedName name="Hargreavessarpts">NEW!#REF!</definedName>
    <definedName name="Hargreavessartries">NEW!#REF!</definedName>
    <definedName name="harisbthatt">BTH!$O$6</definedName>
    <definedName name="HarlequinsPts">HAR!$G$58</definedName>
    <definedName name="HarlequinsTries">HAR!$B$58</definedName>
    <definedName name="Harpersalpts">SAL!$G$26</definedName>
    <definedName name="Harpersaltries">SAL!$B$26</definedName>
    <definedName name="Harris_Bwaspts">#REF!</definedName>
    <definedName name="Harris_Bwastries">#REF!</definedName>
    <definedName name="Harrisbthgls">BTH!$N$6</definedName>
    <definedName name="Harrisbthpts">BTH!$H$22</definedName>
    <definedName name="Harrisbthtries">BTH!$B$22</definedName>
    <definedName name="Harrisglopts">GLO!$G$25</definedName>
    <definedName name="Harrisglotries">GLO!$B$25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SAL!$G$25</definedName>
    <definedName name="Harrisonsaltris">SAL!$B$25</definedName>
    <definedName name="Harrisonsampts">LEI!$G$18</definedName>
    <definedName name="Harrisonsamtries">LEI!$B$18</definedName>
    <definedName name="Harrissarpts">SAR!$G$26</definedName>
    <definedName name="Harrissarptscorrect">SAR!#REF!</definedName>
    <definedName name="Harrissartries">SAR!$B$26</definedName>
    <definedName name="Harrissartriescorrect">SAR!#REF!</definedName>
    <definedName name="Hartleypts">NOR!#REF!</definedName>
    <definedName name="Hartleyptscorrect">NOR!#REF!</definedName>
    <definedName name="Hartleysarpts">SAR!$G$28</definedName>
    <definedName name="Hartleysartries">SAR!$B$28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HAR!$A$2:$E$58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LEI!$G$16</definedName>
    <definedName name="Hassell_CollinsLEItries">LEI!$B$16</definedName>
    <definedName name="Hassell_Collinslirpts">#REF!</definedName>
    <definedName name="Hassell_Collinslirtries">#REF!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GLO!#REF!</definedName>
    <definedName name="Hastingsglogls">GLO!#REF!</definedName>
    <definedName name="HathawayGLOpts">GLO!$G$26</definedName>
    <definedName name="HathawayGLOtries">GLO!$B$26</definedName>
    <definedName name="HatherellLEIpts">LEI!$G$17</definedName>
    <definedName name="HatherellLEItries">LEI!$B$17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EXEtries">EXE!$B$16</definedName>
    <definedName name="Haydon_Woodnewgls">NEW!#REF!</definedName>
    <definedName name="Haydon_Woodnewpts">NEW!$G$24</definedName>
    <definedName name="Haydon_Woodnewtries">NEW!$B$24</definedName>
    <definedName name="HAYDONWOODEXEATT">EXE!$M$5</definedName>
    <definedName name="HAYDONWOODEXEGLS">EXE!$L$5</definedName>
    <definedName name="haydonwoodnewatt">NEW!#REF!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neyworpts">#REF!</definedName>
    <definedName name="Heaneywortries">#REF!</definedName>
    <definedName name="HearleGLOpts">GLO!#REF!</definedName>
    <definedName name="HearleGLOtries">GLO!#REF!</definedName>
    <definedName name="Hearlenewpts">NEW!$G$25</definedName>
    <definedName name="Hearlenewtries">NEW!$B$25</definedName>
    <definedName name="Hearleworpts">#REF!</definedName>
    <definedName name="Hearlewortries">#REF!</definedName>
    <definedName name="Hearnlirpts">BRI!$G$33</definedName>
    <definedName name="Hearnlirtries">BRI!$B$33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EXE!#REF!</definedName>
    <definedName name="Hendricksonexetries">EXE!#REF!</definedName>
    <definedName name="Hendriksonexetries">EXE!#REF!</definedName>
    <definedName name="Hendynorpts">NOR!$G$18</definedName>
    <definedName name="Hendynortries">NOR!$B$18</definedName>
    <definedName name="HennesseyBTHpts">BTH!$H$23</definedName>
    <definedName name="HennesseyBTHtries">BTH!$B$23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EXE!#REF!</definedName>
    <definedName name="Hepburnexetries">EXE!#REF!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HAR!$G$28</definedName>
    <definedName name="Herbsthartries">HAR!$B$28</definedName>
    <definedName name="herronharatt">HAR!#REF!</definedName>
    <definedName name="Herronhargls">HAR!#REF!</definedName>
    <definedName name="Herronharpts">HAR!$G$26</definedName>
    <definedName name="Herronhartries">HAR!$B$26</definedName>
    <definedName name="Hewardbripts">BRI!$G$29</definedName>
    <definedName name="Hewardbritries">BRI!$B$29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SAL!$G$27</definedName>
    <definedName name="Hill_Jsaltries">SAL!$B$27</definedName>
    <definedName name="Hill_Samexetries">EXE!#REF!</definedName>
    <definedName name="Hill_Sexepts">EXE!#REF!</definedName>
    <definedName name="Hill_Ssamexepts">EXE!#REF!</definedName>
    <definedName name="Hillbthpts">BTH!$H$24</definedName>
    <definedName name="Hillbthtries">BTH!$B$24</definedName>
    <definedName name="Hillman_Cooperglopts">GLO!$G$27</definedName>
    <definedName name="Hillman_Cooperglotries">GLO!$B$27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bsonharpts">HAR!$G$29</definedName>
    <definedName name="Hobsonhartries">HAR!$B$29</definedName>
    <definedName name="Hodgeexeatt">EXE!$M$6</definedName>
    <definedName name="Hodgeexegls">EXE!$L$6</definedName>
    <definedName name="Hodgeexepts">EXE!$G$17</definedName>
    <definedName name="Hodgeexetries">EXE!$B$17</definedName>
    <definedName name="hodgsoncharlieatt">NEW!$M$4</definedName>
    <definedName name="Hodgsoncharliegoals">NEW!$L$4</definedName>
    <definedName name="Hodgsoncharliepts">NEW!#REF!</definedName>
    <definedName name="Hodgsoncharlietries">NEW!#REF!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NEW!$G$26</definedName>
    <definedName name="Hodgsonnewtriescorrect">NEW!$B$26</definedName>
    <definedName name="hodgsonnoratt">NOR!#REF!</definedName>
    <definedName name="hodgsonnorgoals">NOR!#REF!</definedName>
    <definedName name="Hodgsonnorpts">NOR!$G$19</definedName>
    <definedName name="Hodgsonnortries">NOR!$B$19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EXE!$G$18</definedName>
    <definedName name="holmesexetries">EXE!$B$18</definedName>
    <definedName name="Holmesjonahpts">#REF!</definedName>
    <definedName name="Holmesjonahtries">#REF!</definedName>
    <definedName name="Holmesleicpts">LEI!$G$19</definedName>
    <definedName name="Holmesleictries">LEI!$B$19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LEI!$G$20</definedName>
    <definedName name="Hortonleitries">LEI!$B$20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GLO!#REF!</definedName>
    <definedName name="Hudsonglotries">GLO!#REF!</definedName>
    <definedName name="Hudsonjamespts">GLO!#REF!</definedName>
    <definedName name="hudsonjamestries">GLO!#REF!</definedName>
    <definedName name="Hughesbripts">BRI!$G$30</definedName>
    <definedName name="Hughesbritries">BRI!$B$30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SAR!$G$29</definedName>
    <definedName name="Hunter_Hillsartriescorrect">SAR!$B$29</definedName>
    <definedName name="Hurdleicpts">LEI!$G$21</definedName>
    <definedName name="Hurdleictries">LEI!$B$21</definedName>
    <definedName name="Hurrellbstpts">BRI!#REF!</definedName>
    <definedName name="Hurrellbsttries">BRI!#REF!</definedName>
    <definedName name="hutchinsonnoratt">NOR!$M$5</definedName>
    <definedName name="hutchinsonnorgls">NOR!$L$5</definedName>
    <definedName name="Hutchinsonnorpts">NOR!$G$20</definedName>
    <definedName name="Hutchinsonnortries">NOR!$B$20</definedName>
    <definedName name="Hydeharpts">HAR!$G$30</definedName>
    <definedName name="Hydehartries">HAR!$B$30</definedName>
    <definedName name="ibitoyebriatt">BRI!$M$7</definedName>
    <definedName name="Ibitoyebrigls">BRI!$L$7</definedName>
    <definedName name="Ibitoyeharpts">HAR!$G$37</definedName>
    <definedName name="Ibitoyehartries">HAR!$B$37</definedName>
    <definedName name="Ibuanokpeharpts">HAR!#REF!</definedName>
    <definedName name="Ibuanokpehartries">HAR!#REF!</definedName>
    <definedName name="Ilioneleipts">LEI!$G$22</definedName>
    <definedName name="Ilioneleitries">LEI!$B$22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osefa_Scottexepts">EXE!$G$19</definedName>
    <definedName name="Iosefa_Scottexetries">EXE!$B$19</definedName>
    <definedName name="Irvinenorpts">NOR!$G$21</definedName>
    <definedName name="Irvinenortries">NOR!$B$21</definedName>
    <definedName name="Isaacsglopts">GLO!#REF!</definedName>
    <definedName name="Isaacsglotries">GLO!#REF!</definedName>
    <definedName name="Isgroharpts">HAR!$G$31</definedName>
    <definedName name="Isgrohartries">HAR!$B$31</definedName>
    <definedName name="isiekwenorpts">NOR!#REF!</definedName>
    <definedName name="Isiekwenortries">NOR!#REF!</definedName>
    <definedName name="Isiekwesarpts">NEW!#REF!</definedName>
    <definedName name="Isiekwesarptscorrect">SAR!$G$30</definedName>
    <definedName name="Isiekwesartries">NEW!#REF!</definedName>
    <definedName name="Isiekwesartriescorrect">SAR!$B$30</definedName>
    <definedName name="Itojesarpts">NEW!$G$35</definedName>
    <definedName name="Itojesarptscorrect">SAR!$G$31</definedName>
    <definedName name="Itojesartries">NEW!$B$35</definedName>
    <definedName name="Itojesartriescorrect">SAR!$B$31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SAR!$G$32</definedName>
    <definedName name="Jacksonsartries">SAR!$B$32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SAL!$G$28</definedName>
    <definedName name="James_Lsaltries">SAL!$B$28</definedName>
    <definedName name="jamesnoratt">NOR!$M$6</definedName>
    <definedName name="Jamesnorgls">NOR!$L$6</definedName>
    <definedName name="Jamesnorpts">NOR!$G$22</definedName>
    <definedName name="Jamesnortries">NOR!$B$22</definedName>
    <definedName name="Jamespaulpts">BTH!#REF!</definedName>
    <definedName name="Jamespaultries">BTH!#REF!</definedName>
    <definedName name="Jamespts">EXE!#REF!</definedName>
    <definedName name="Jamessalatt">SAL!#REF!</definedName>
    <definedName name="Jamessalgls">SAL!#REF!</definedName>
    <definedName name="Jamessalpts">SAL!$G$30</definedName>
    <definedName name="Jamessaltries">SAL!$B$30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LEI!$G$24</definedName>
    <definedName name="Jansenleitries">LEI!$B$24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BRI!$G$31</definedName>
    <definedName name="Jeffriesbritries">BRI!#REF!</definedName>
    <definedName name="Jeffriesbritriescorrect">BRI!$B$31</definedName>
    <definedName name="Jeffriesbstpts">BRI!#REF!</definedName>
    <definedName name="Jeffriesbsttries">BRI!#REF!</definedName>
    <definedName name="Jenkins_Dexepts">EXE!$G$20</definedName>
    <definedName name="Jenkins_Dexetries">EXE!$B$20</definedName>
    <definedName name="Jenkins_Iexepts">EXE!$G$21</definedName>
    <definedName name="Jenkins_Iexetries">EXE!$B$21</definedName>
    <definedName name="Jenkinsbripts">BRI!$G$32</definedName>
    <definedName name="Jenkinsbritries">BRI!$B$32</definedName>
    <definedName name="jenkinsiexeatt">EXE!$M$7</definedName>
    <definedName name="jenkinsiexegls">EXE!$L$7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NEW!#REF!</definedName>
    <definedName name="Jenningsnewgls">NEW!#REF!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HAR!$G$32</definedName>
    <definedName name="Jibuluhartries">HAR!$B$32</definedName>
    <definedName name="Johnexepts">EXE!$G$22</definedName>
    <definedName name="Johnexetries">EXE!$B$22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sarpts">SAR!$G$33</definedName>
    <definedName name="Johnsonsartries">SAR!$B$33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NEW!#REF!</definedName>
    <definedName name="Johnstonjamestries">NEW!#REF!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GLO!$G$28</definedName>
    <definedName name="Jones_MGLOtries">GLO!$B$28</definedName>
    <definedName name="Jonesadamharpts">HAR!$G$38</definedName>
    <definedName name="Jonesadamhartries">HAR!$B$38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HAR!$G$27</definedName>
    <definedName name="JonesHhartries">HAR!$B$27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eswynharpts">HAR!$G$33</definedName>
    <definedName name="Joneswynhartries">HAR!$B$33</definedName>
    <definedName name="Jonkerbthpts">BTH!#REF!</definedName>
    <definedName name="Jonkerbthtries">BTH!#REF!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HARPTS">HAR!$G$34</definedName>
    <definedName name="JosephHARtries">HAR!$B$34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NEW!#REF!</definedName>
    <definedName name="Jouberternsttries">NEW!#REF!</definedName>
    <definedName name="Joussainleipts">LEI!$G$23</definedName>
    <definedName name="Joussainleitries">LEI!$B$23</definedName>
    <definedName name="Jubbtompts">NEW!#REF!</definedName>
    <definedName name="Jubbtomtries">NEW!#REF!</definedName>
    <definedName name="Judgebthpts">BTH!#REF!</definedName>
    <definedName name="Judgebthtries">BTH!#REF!</definedName>
    <definedName name="Judgesarpts">NEW!#REF!</definedName>
    <definedName name="Judgesartries">NEW!#REF!</definedName>
    <definedName name="Jureviciusharpts">HAR!$G$35</definedName>
    <definedName name="Jureviciushartries">HAR!$B$35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EXE!$G$23</definedName>
    <definedName name="Keastexetries">EXE!$B$23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llysalpts">SAL!$G$29</definedName>
    <definedName name="Kellysaltries">SAL!$B$29</definedName>
    <definedName name="Kemenynorpts">NOR!$G$23</definedName>
    <definedName name="Kemenynortries">NOR!$B$23</definedName>
    <definedName name="Kenninghamharpts">HAR!$G$36</definedName>
    <definedName name="Kenninghamhartries">HAR!$B$36</definedName>
    <definedName name="Kennyexepts">EXE!#REF!</definedName>
    <definedName name="Kennyexetries">EXE!#REF!</definedName>
    <definedName name="Kerrbripts">BRI!#REF!</definedName>
    <definedName name="Kerrbritries">BRI!#REF!</definedName>
    <definedName name="Kerrleicpts">LEI!$G$25</definedName>
    <definedName name="Kerrleictries">LEI!$B$25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kbthpts">BTH!$H$25</definedName>
    <definedName name="Kirkbthtries">BTH!$B$25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LEI!$G$26</definedName>
    <definedName name="Kitchenergrahamtriescorrect">LEI!$B$26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ciaranglopts">GLO!$G$30</definedName>
    <definedName name="Knightciaranglotries">GLO!$B$30</definedName>
    <definedName name="Knightglopts">BTH!#REF!</definedName>
    <definedName name="Knightgloptscorrect">GLO!$G$31</definedName>
    <definedName name="Knightglotries">BTH!#REF!</definedName>
    <definedName name="Knightglotriescorrect">GLO!$B$31</definedName>
    <definedName name="Knightpts">GLO!#REF!</definedName>
    <definedName name="KnightSARpts">SAR!$G$34</definedName>
    <definedName name="KnightSARtries">SAR!$B$34</definedName>
    <definedName name="Knighttries">GLO!#REF!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poku__Jonathansarpts">NEW!$G$44</definedName>
    <definedName name="Kpoku__Jonathansartries">NEW!$B$44</definedName>
    <definedName name="Kpokusarpts">NEW!$G$42</definedName>
    <definedName name="Kpokusartries">NEW!$B$42</definedName>
    <definedName name="Krielglopts">GLO!$G$29</definedName>
    <definedName name="Krielglotries">GLO!$B$29</definedName>
    <definedName name="Kruisgeorgepts">NEW!$G$47</definedName>
    <definedName name="Kruisgeorgetries">NEW!$B$47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harpts">HAR!$G$39</definedName>
    <definedName name="Lamositelehartries">HAR!$B$39</definedName>
    <definedName name="Lamositelesarpts">NEW!$G$48</definedName>
    <definedName name="Lamositelesartries">NEW!$B$48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att">BRI!$M$9</definedName>
    <definedName name="lanebrigls">BRI!$L$9</definedName>
    <definedName name="Lanebripts">BRI!$G$36</definedName>
    <definedName name="Lanebritries">BRI!$B$36</definedName>
    <definedName name="Lanerichardpts">BTH!#REF!</definedName>
    <definedName name="Lanerichardtries">BTH!#REF!</definedName>
    <definedName name="Lanerichardtriescorrect">BTH!#REF!</definedName>
    <definedName name="LangdonNORpts">NOR!$G$24</definedName>
    <definedName name="LangdonNORtries">NOR!$B$24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NOR!$G$25</definedName>
    <definedName name="Lawesnortries">NOR!$B$25</definedName>
    <definedName name="Lawrencebthpts">BTH!$H$26</definedName>
    <definedName name="Lawrencebthtries">BTH!$B$26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BRI!$G$34</definedName>
    <definedName name="Laybritries">BRI!$B$34</definedName>
    <definedName name="Le_Bourgeoiswaspts">#REF!</definedName>
    <definedName name="Le_Bourgeoiswastries">#REF!</definedName>
    <definedName name="le_Rouxbthpts">BTH!$H$27</definedName>
    <definedName name="le_Rouxbthtries">BTH!$B$27</definedName>
    <definedName name="Le_Rouxwaspts">#REF!</definedName>
    <definedName name="Le_Rouxwastries">#REF!</definedName>
    <definedName name="Lee_Warnerbthpts">BTH!#REF!</definedName>
    <definedName name="Lee_Warnerbthtries">BTH!#REF!</definedName>
    <definedName name="Leesexepts">EXE!#REF!</definedName>
    <definedName name="Leesexetries">EXE!#REF!</definedName>
    <definedName name="LeicesterPts">LEI!$G$58</definedName>
    <definedName name="LeicesterTries">LEI!$B$58</definedName>
    <definedName name="leicspentriespts">LEI!$G$35</definedName>
    <definedName name="leicspentriestries">LEI!$B$35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nnonbripts">BRI!$G$37</definedName>
    <definedName name="Lennonbritries">BRI!$B$37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NEW!#REF!</definedName>
    <definedName name="Lewingtonsarptscorrect">SAR!#REF!</definedName>
    <definedName name="Lewingtonsartries">NEW!#REF!</definedName>
    <definedName name="Lewingtonsartriescorrect">SAR!#REF!</definedName>
    <definedName name="Lewingtontries">BRI!$B$34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HAR!$G$40</definedName>
    <definedName name="Lewisdavehartries">HAR!$B$40</definedName>
    <definedName name="Lewisdavepts">EXE!#REF!</definedName>
    <definedName name="Lewisdavetries">EXE!#REF!</definedName>
    <definedName name="Lewisharpts">HAR!$G$42</definedName>
    <definedName name="Lewishartries">HAR!$B$42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LEI!$G$27</definedName>
    <definedName name="Liebenbergleictries">LEI!$B$27</definedName>
    <definedName name="Lilleyexepts">EXE!$G$24</definedName>
    <definedName name="Lilleyexetries">EXE!$B$24</definedName>
    <definedName name="Lindsay_Haguenewpts">NEW!$G$28</definedName>
    <definedName name="Lindsay_Haguenewtries">NEW!$B$28</definedName>
    <definedName name="Lindsay_Hagueolliepts">HAR!#REF!</definedName>
    <definedName name="Lindsay_Hagueollietries">HAR!#REF!</definedName>
    <definedName name="Lindsaysarpts">NEW!#REF!</definedName>
    <definedName name="Lindsaysartries">NEW!#REF!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NOR!$G$26</definedName>
    <definedName name="Litchfieldnortries">NOR!$B$26</definedName>
    <definedName name="Lloyd_Jbripts">BRI!#REF!</definedName>
    <definedName name="Lloyd_Jbritries">BRI!#REF!</definedName>
    <definedName name="LloydBriAtt">BRI!$M$8</definedName>
    <definedName name="LloydBriGls">BRI!$L$8</definedName>
    <definedName name="LloydBriPts">BRI!#REF!</definedName>
    <definedName name="LloydBriTries">BRI!#REF!</definedName>
    <definedName name="lloydjbriatt">BRI!#REF!</definedName>
    <definedName name="lloydjbrigls">BRI!#REF!</definedName>
    <definedName name="Lloydlirpts">BRI!$G$35</definedName>
    <definedName name="Lloydlirtries">BRI!$B$35</definedName>
    <definedName name="Loaderlirpts">BRI!#REF!</definedName>
    <definedName name="Loaderlirtries">BRI!#REF!</definedName>
    <definedName name="Loamanuleipts">LEI!#REF!</definedName>
    <definedName name="Loamanuleitries">LEI!#REF!</definedName>
    <definedName name="Lockettnorpts">NOR!$G$27</definedName>
    <definedName name="Lockettnortries">NOR!$B$27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NEW!#REF!</definedName>
    <definedName name="LongbottomsarptsCORRECT">NEW!#REF!</definedName>
    <definedName name="Longbottomsartries">NEW!#REF!</definedName>
    <definedName name="LongbottomsartriesCORRECT">NEW!#REF!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BRI!$B$34</definedName>
    <definedName name="Lowlipts">BRI!$G$34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SAR!$M$7</definedName>
    <definedName name="lozowskisarattcorrect">SAR!$M$8</definedName>
    <definedName name="lozowskisarglscorrect">SAR!$L$7</definedName>
    <definedName name="Lozowskisarptscorrect">SAR!$G$35</definedName>
    <definedName name="Lozowskisartriescorrect">SAR!$B$35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NEW!#REF!</definedName>
    <definedName name="Lucocknewtries">NEW!#REF!</definedName>
    <definedName name="Ludlamnorpts">NOR!$G$28</definedName>
    <definedName name="Ludlamnortries">NOR!$B$28</definedName>
    <definedName name="Ludlowglopts">GLO!$G$32</definedName>
    <definedName name="Ludlowglotries">GLO!$B$32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HAR!#REF!</definedName>
    <definedName name="Lynaghhartries">HAR!#REF!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NOR!$G$28</definedName>
    <definedName name="Ma_afusalesitries">NOR!$B$28</definedName>
    <definedName name="Maafunorpts">NOR!#REF!</definedName>
    <definedName name="Maafunortries">NOR!#REF!</definedName>
    <definedName name="macgintybriatt">BRI!$M$10</definedName>
    <definedName name="MacGintybrigls">BRI!$L$10</definedName>
    <definedName name="MacGintybripts">BRI!$G$39</definedName>
    <definedName name="MacGintybritries">BRI!$B$39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pts">LEI!$G$57</definedName>
    <definedName name="Mafistevepts">LEI!#REF!</definedName>
    <definedName name="Mafistevetriescorrect">LEI!#REF!</definedName>
    <definedName name="mafitries">LEI!#REF!</definedName>
    <definedName name="Maitlandsarpts">NEW!#REF!</definedName>
    <definedName name="Maitlandsarptscorrect">SAR!#REF!</definedName>
    <definedName name="Maitlandsartries">NEW!#REF!</definedName>
    <definedName name="Maitlandsartriescorrect">SAR!#REF!</definedName>
    <definedName name="Makepeace_Cubittnoratt">NOR!$M$7</definedName>
    <definedName name="Makepeace_Cubittnorgls">NOR!$L$7</definedName>
    <definedName name="malinsbriatt">BRI!#REF!</definedName>
    <definedName name="Malinsbrigls">BRI!#REF!</definedName>
    <definedName name="Malinsbripts">BRI!$G$40</definedName>
    <definedName name="Malinsbritries">BRI!$B$40</definedName>
    <definedName name="malinssaratt">NEW!#REF!</definedName>
    <definedName name="malinssarattcorrect">SAR!#REF!</definedName>
    <definedName name="malinssargls">NEW!#REF!</definedName>
    <definedName name="malinssarglscorrect">SAR!#REF!</definedName>
    <definedName name="Malinssarpts">NEW!$G$51</definedName>
    <definedName name="Malinssarptscorrect">SAR!#REF!</definedName>
    <definedName name="Malinssartries">NEW!$B$51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oneyexepts">EXE!$G$25</definedName>
    <definedName name="Maloneyexetries">EXE!$B$25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leicpts">LEI!$G$28</definedName>
    <definedName name="Manzleictries">LEI!$B$28</definedName>
    <definedName name="Maraisglopts">GLO!$G$33</definedName>
    <definedName name="Maraisglotries">GLO!$B$33</definedName>
    <definedName name="marchantharatt">HAR!$M$6</definedName>
    <definedName name="Marchanthargls">HAR!$L$6</definedName>
    <definedName name="Marchantharpts">HAR!#REF!</definedName>
    <definedName name="Marchanthartries">HAR!#REF!</definedName>
    <definedName name="Marfoharpts">HAR!$G$41</definedName>
    <definedName name="Marfohartries">HAR!$B$41</definedName>
    <definedName name="Marlerharpts">HAR!#REF!</definedName>
    <definedName name="Marlerpts">HAR!#REF!</definedName>
    <definedName name="marlertries">HAR!#REF!</definedName>
    <definedName name="MarmionBRIpts">BRI!$G$41</definedName>
    <definedName name="MarmionBRItries">BRI!$B$41</definedName>
    <definedName name="Marshallglopts">GLO!#REF!</definedName>
    <definedName name="marshallliratt">BRI!#REF!</definedName>
    <definedName name="marshalllirgls">BRI!#REF!</definedName>
    <definedName name="Marshalllirpts">BRI!$G$38</definedName>
    <definedName name="Marshalllirtries">BRI!$B$38</definedName>
    <definedName name="Marshallnorpts">NOR!$G$29</definedName>
    <definedName name="Marshallnortries">NOR!$B$29</definedName>
    <definedName name="Marshalltomglo">GLO!#REF!</definedName>
    <definedName name="Martinleicpts">LEI!$G$29</definedName>
    <definedName name="Martinleictries">LEI!$B$29</definedName>
    <definedName name="Masiwaspts">#REF!</definedName>
    <definedName name="Masiwastries">#REF!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NEW!#REF!</definedName>
    <definedName name="Matavesinewtriescorrect">NEW!#REF!</definedName>
    <definedName name="matavesinoratt">NOR!#REF!</definedName>
    <definedName name="matavesinorgls">NOR!#REF!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NOR!$G$30</definedName>
    <definedName name="Matthewsnortries">NOR!$B$30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EXE!$G$26</definedName>
    <definedName name="Maunder_Sexetries">EXE!$B$26</definedName>
    <definedName name="Maunderexepts">EXE!#REF!</definedName>
    <definedName name="Maunderexetries">EXE!#REF!</definedName>
    <definedName name="Mawisarptscorrect">SAR!$G$36</definedName>
    <definedName name="Mawisartriescorrect">SAR!$B$36</definedName>
    <definedName name="Mayglopts">GLO!#REF!</definedName>
    <definedName name="Mayhewlipts">BRI!$G$43</definedName>
    <definedName name="Mayhewlitries">BRI!$B$43</definedName>
    <definedName name="Mayhewrichardpts">#REF!</definedName>
    <definedName name="Mayhewrichardtries">#REF!</definedName>
    <definedName name="Mayleicpts">LEI!$G$31</definedName>
    <definedName name="Mayleictries">LEI!$B$31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GLO!#REF!</definedName>
    <definedName name="McBurney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NEW!$G$29</definedName>
    <definedName name="McCallumnewtries">NEW!$B$29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BTH!$H$28</definedName>
    <definedName name="McConnochiebthtries">BTH!$B$28</definedName>
    <definedName name="McCuskerlirpts">BRI!#REF!</definedName>
    <definedName name="McCuskerlirtries">BRI!#REF!</definedName>
    <definedName name="McDonaldNEWpts">NEW!$G$30</definedName>
    <definedName name="McDonaldNEWtries">NEW!$B$30</definedName>
    <definedName name="McElroysalpts">SAL!$G$31</definedName>
    <definedName name="McElroysaltries">SAL!$B$31</definedName>
    <definedName name="McFarlandsarptscorrect">SAR!$G$37</definedName>
    <definedName name="McFarlandsartriescorrect">SAR!$B$37</definedName>
    <definedName name="McGuiganexepts">EXE!#REF!</definedName>
    <definedName name="McGuiganexetries">EXE!#REF!</definedName>
    <definedName name="McGuiganglopts">GLO!$G$34</definedName>
    <definedName name="McGuiganglotries">GLO!$B$34</definedName>
    <definedName name="McGuigannewpts">#REF!</definedName>
    <definedName name="McGuigannewtries">#REF!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SAL!$G$32</definedName>
    <definedName name="McIntyresaltries">SAL!$B$32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BTH!$H$29</definedName>
    <definedName name="McNallybthtries">BTH!$B$29</definedName>
    <definedName name="McNallyjoshpts">#REF!</definedName>
    <definedName name="McNallyjoshtries">#REF!</definedName>
    <definedName name="McNallylirpts">BRI!$G$42</definedName>
    <definedName name="McNallylirtries">BRI!$B$42</definedName>
    <definedName name="McNultyharpts">HAR!#REF!</definedName>
    <definedName name="McNultyhartries">HAR!#REF!</definedName>
    <definedName name="McParlandNORpts">NOR!$G$31</definedName>
    <definedName name="McParlandNORtries">NOR!$B$31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GLO!$G$35</definedName>
    <definedName name="Meehanglotries">GLO!$B$35</definedName>
    <definedName name="Mehsonwaspts">#REF!</definedName>
    <definedName name="Mehsonwastries">#REF!</definedName>
    <definedName name="Melcksarpts">NEW!#REF!</definedName>
    <definedName name="Melcksartries">NEW!#REF!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LEI!#REF!</definedName>
    <definedName name="meredithleigls">LEI!#REF!</definedName>
    <definedName name="Meredithleipts">LEI!$G$30</definedName>
    <definedName name="Meredithleitries">LEI!$B$30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NEW!$G$33</definedName>
    <definedName name="Merricknewtries">NEW!$B$33</definedName>
    <definedName name="Metcalfnewpts">NEW!$G$31</definedName>
    <definedName name="Metcalfnewtries">NEW!$B$31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NOR!$G$32</definedName>
    <definedName name="Mitchellnortries">NOR!$B$32</definedName>
    <definedName name="mitchellnoryratt">NOR!$M$8</definedName>
    <definedName name="Mitchellnoryrgls">NOR!$L$8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NEW!#REF!</definedName>
    <definedName name="Montgomerynewtries">NEW!#REF!</definedName>
    <definedName name="Montgomeryworpts">#REF!</definedName>
    <definedName name="Montgomerywortries">#REF!</definedName>
    <definedName name="Montoyaleicpts">LEI!$G$32</definedName>
    <definedName name="Montoyaleictries">LEI!$B$32</definedName>
    <definedName name="Monyeugopts">HAR!#REF!</definedName>
    <definedName name="Monyeugotries">HAR!#REF!</definedName>
    <definedName name="Moon_Anortries">NOR!#REF!</definedName>
    <definedName name="Moonnorpts">NOR!#REF!</definedName>
    <definedName name="Moore_Aionosarpts">SAR!$G$40</definedName>
    <definedName name="Moore_Aionosartries">SAR!$B$40</definedName>
    <definedName name="Mooresalpts">SAL!$G$33</definedName>
    <definedName name="Mooresaltries">SAL!$B$33</definedName>
    <definedName name="Mooresarpts">SAR!$G$38</definedName>
    <definedName name="Mooresartries">SAR!$B$38</definedName>
    <definedName name="Moorewaspts">#REF!</definedName>
    <definedName name="Moorewastries">#REF!</definedName>
    <definedName name="Mordtnilspts">NEW!#REF!</definedName>
    <definedName name="mordtsaratt">NEW!#REF!</definedName>
    <definedName name="mordtsargoals">NEW!#REF!</definedName>
    <definedName name="Mordtsartries">NEW!#REF!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GLO!#REF!</definedName>
    <definedName name="Moriartyglotries">GLO!#REF!</definedName>
    <definedName name="morleyexeatt">EXE!#REF!</definedName>
    <definedName name="Morleyexegls">EXE!#REF!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GLO!#REF!</definedName>
    <definedName name="Morrisglotries">GLO!#REF!</definedName>
    <definedName name="Morrisharpts">HAR!#REF!</definedName>
    <definedName name="Morrishartries">HAR!#REF!</definedName>
    <definedName name="morrisjgloatt">GLO!$M$11</definedName>
    <definedName name="Morrisjglogls">GLO!$L$11</definedName>
    <definedName name="Morrisjglopts">GLO!$G$36</definedName>
    <definedName name="Morrisjglotries">GLO!$B$36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SAR!$G$39</definedName>
    <definedName name="Morrissartriescorrect">SAR!$B$39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ts">BTH!$H$30</definedName>
    <definedName name="Muirbthtries">BTH!$B$30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BRI!$G$44</definedName>
    <definedName name="MulchronelirtriesCORRECT">BRI!$B$44</definedName>
    <definedName name="Mulchronelitries">BRI!$B$44</definedName>
    <definedName name="Mulchronepts">BRI!#REF!</definedName>
    <definedName name="Mulchronetries">BRI!#REF!</definedName>
    <definedName name="Muldowneybripts">BRI!$G$43</definedName>
    <definedName name="Muldowneybritries">BRI!$B$43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ts">NOR!$G$33</definedName>
    <definedName name="MungaNORtries">NOR!$B$33</definedName>
    <definedName name="MunsterPts">[1]MUN!$F$55</definedName>
    <definedName name="MunsterTries">[1]MUN!$B$55</definedName>
    <definedName name="Murleyharpts">HAR!$G$43</definedName>
    <definedName name="Murleyhartries">HAR!$B$43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ts">HAR!$G$44</definedName>
    <definedName name="Murrayhartries">HAR!$B$44</definedName>
    <definedName name="Muskharpts">HAR!$G$45</definedName>
    <definedName name="Muskhartries">HAR!$B$45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BRI!$AG$44</definedName>
    <definedName name="Naysarpts">NEW!#REF!</definedName>
    <definedName name="Naysartries">NEW!#REF!</definedName>
    <definedName name="Nealwaspts">#REF!</definedName>
    <definedName name="Nealwastries">#REF!</definedName>
    <definedName name="Neildnewpts">NEW!$G$32</definedName>
    <definedName name="Neildnewtries">NEW!$B$32</definedName>
    <definedName name="Neildsalpts">SAL!$G$34</definedName>
    <definedName name="Neildsaltries">SAL!$B$34</definedName>
    <definedName name="Nelsonglopts">GLO!$G$37</definedName>
    <definedName name="Nelsonglotries">GLO!$B$37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ts">EXE!$G$27</definedName>
    <definedName name="Noreyexetries">EXE!$B$27</definedName>
    <definedName name="NorthamptonPts">NOR!$G$53</definedName>
    <definedName name="NorthamptonTries">NOR!$B$53</definedName>
    <definedName name="Northcote_Greenbthpts">BTH!#REF!</definedName>
    <definedName name="Northcote_Greenbthtries">BTH!#REF!</definedName>
    <definedName name="Northmoreharpts">HAR!$G$46</definedName>
    <definedName name="Northmorehartries">HAR!$B$46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Donoghuebthpts">BTH!#REF!</definedName>
    <definedName name="O_Donoghuebthtries">BTH!#REF!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BTH!$H$31</definedName>
    <definedName name="Obanobthtries">BTH!$B$31</definedName>
    <definedName name="Obatoyinbonewpts">NEW!$G$34</definedName>
    <definedName name="Obatoyinbonewtries">NEW!$B$34</definedName>
    <definedName name="Obatoyinbosarptscorrect">SAR!#REF!</definedName>
    <definedName name="Obatoyinbosartriescorrect">SAR!#REF!</definedName>
    <definedName name="Obatoysarpts">NEW!#REF!</definedName>
    <definedName name="Obatoysartries">NEW!#REF!</definedName>
    <definedName name="Obonnanewpts">NEW!#REF!</definedName>
    <definedName name="Obonnanewtries">NEW!#REF!</definedName>
    <definedName name="oconnoratt">BRI!#REF!</definedName>
    <definedName name="oconnorgoals">BRI!#REF!</definedName>
    <definedName name="OConnorjamestries">BRI!#REF!</definedName>
    <definedName name="Odendaalnorpts">NOR!$G$34</definedName>
    <definedName name="Odendaalnortries">NOR!$B$34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donoghuebthatt">BTH!$O$7</definedName>
    <definedName name="odonoghuebthgls">BTH!$N$7</definedName>
    <definedName name="Offiahbthpts">BTH!$H$32</definedName>
    <definedName name="Offiahbthtries">BTH!$B$32</definedName>
    <definedName name="Oghrebripts">BRI!$G$45</definedName>
    <definedName name="Oghrebritries">BRI!$B$45</definedName>
    <definedName name="OjomohBTHPTS">BTH!$H$33</definedName>
    <definedName name="OjomohBTHTRIES">BTH!$B$33</definedName>
    <definedName name="Ojotopsypts">BRI!#REF!</definedName>
    <definedName name="Ojotopsytries">BRI!#REF!</definedName>
    <definedName name="OLE_LINK1" localSheetId="0">BTH!#REF!</definedName>
    <definedName name="Olowofela_Jleicpts">LEI!$G$34</definedName>
    <definedName name="Olowofela_Jleictries">LEI!$B$34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SAL!$G$36</definedName>
    <definedName name="OosthuizenSALtries">SAL!$B$36</definedName>
    <definedName name="Oresanyaharpts">HAR!#REF!</definedName>
    <definedName name="Oresanyahartries">HAR!#REF!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HAR!$G$47</definedName>
    <definedName name="Osbornehartries">HAR!$B$47</definedName>
    <definedName name="OspreysPts">[1]OSP!$F$50</definedName>
    <definedName name="OspreysTries">[1]OSP!$B$50</definedName>
    <definedName name="Ostrikovandreipts">SAL!#REF!</definedName>
    <definedName name="Ostrikovandreitries">SAL!$B$36</definedName>
    <definedName name="OStrikovsalpts">SAL!$G$36</definedName>
    <definedName name="Ovensjoshpts">BTH!#REF!</definedName>
    <definedName name="Ovensjoshtries">BTH!#REF!</definedName>
    <definedName name="OwenBRIpts">BRI!$G$46</definedName>
    <definedName name="OwenBRItries">BRI!$B$46</definedName>
    <definedName name="Owenleicpts">LEI!#REF!</definedName>
    <definedName name="Owenleictries">LEI!#REF!</definedName>
    <definedName name="Owennewptscorrect">NEW!$G$36</definedName>
    <definedName name="Owennewtriescorrect">NEW!$B$36</definedName>
    <definedName name="Packmanhowardpts">NOR!#REF!</definedName>
    <definedName name="Packmanhowardtries">NOR!#REF!</definedName>
    <definedName name="PaiceDavidpts">BRI!$AE$54</definedName>
    <definedName name="PaiceDavidptts">BRI!$AH$49</definedName>
    <definedName name="Painterexepts">EXE!$G$28</definedName>
    <definedName name="Painterexetries">EXE!$B$28</definedName>
    <definedName name="Painternorpts">NOR!#REF!</definedName>
    <definedName name="Painternortries">NOR!#REF!</definedName>
    <definedName name="Palamobrispts">BRI!$G$49</definedName>
    <definedName name="Palamobristries">BRI!$B$49</definedName>
    <definedName name="Palframannewpts">NEW!$G$37</definedName>
    <definedName name="Palframannewtries">NEW!$B$37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LEI!$G$33</definedName>
    <definedName name="Parlingleitries">LEI!$B$33</definedName>
    <definedName name="Parrmattpts">BRI!#REF!</definedName>
    <definedName name="Parrmatttries">BRI!#REF!</definedName>
    <definedName name="Parrybthpts">BTH!$H$34</definedName>
    <definedName name="Parrybthtries">BTH!$B$34</definedName>
    <definedName name="Parsonsnewpts">NEW!$G$38</definedName>
    <definedName name="Parsonsnewtries">NEW!$B$38</definedName>
    <definedName name="PartonSARpts">SAR!$G$41</definedName>
    <definedName name="PartonSARtries">SAR!$B$41</definedName>
    <definedName name="Pasconorpts">NOR!$G$35</definedName>
    <definedName name="Pasconortries">NOR!$B$35</definedName>
    <definedName name="Pasqualileipts">LEI!#REF!</definedName>
    <definedName name="Pasqualileitries">LEI!#REF!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BRI!$G$52</definedName>
    <definedName name="paulolirtries">BRI!$B$52</definedName>
    <definedName name="Pearcebripts">BRI!$G$47</definedName>
    <definedName name="Pearcebritries">BRI!$B$47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ts">EXE!$G$29</definedName>
    <definedName name="Pearsonexetries">EXE!$B$29</definedName>
    <definedName name="Pearsonlirpts">#REF!</definedName>
    <definedName name="Pearsonlirtries">#REF!</definedName>
    <definedName name="PearsonNOR_pts">NOR!$G$36</definedName>
    <definedName name="PearsonNOR_tries">NOR!$B$36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BTH!$H$35</definedName>
    <definedName name="Penalty_Triesbripts">BRI!$G$48</definedName>
    <definedName name="Penalty_Triesbritries">BRI!$B$48</definedName>
    <definedName name="Penalty_Triesexepts">EXE!$G$30</definedName>
    <definedName name="Penalty_Triesexetries">EXE!$B$30</definedName>
    <definedName name="Penalty_Triesglopts">GLO!$G$38</definedName>
    <definedName name="Penalty_Triesglotries">GLO!$B$38</definedName>
    <definedName name="Penalty_Triesharpts">HAR!$G$48</definedName>
    <definedName name="Penalty_Trieshartries">HAR!$B$48</definedName>
    <definedName name="Penalty_Triesnewpts">#REF!</definedName>
    <definedName name="Penalty_Triesnewptscorrect">NEW!$G$39</definedName>
    <definedName name="Penalty_Triesnewtries">#REF!</definedName>
    <definedName name="Penalty_Triesnewtriescorrect">NEW!$B$39</definedName>
    <definedName name="Penalty_Triessaintspts">NOR!$G$37</definedName>
    <definedName name="Penalty_Triessaintstries">NOR!$B$37</definedName>
    <definedName name="Penalty_Triessalpts">SAL!$G$37</definedName>
    <definedName name="Penalty_Triessaltries">SAL!$B$37</definedName>
    <definedName name="Penalty_Triessarpts">NEW!#REF!</definedName>
    <definedName name="Penalty_Triessarptscorrect">SAR!$G$42</definedName>
    <definedName name="Penalty_Triessartries">NEW!#REF!</definedName>
    <definedName name="Penalty_Triessartriescorrect">SAR!$B$42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NEW!#REF!</definedName>
    <definedName name="Pennytnewtries">NEW!#REF!</definedName>
    <definedName name="Pepper_MNEWpts">NEW!$G$40</definedName>
    <definedName name="Pepper_MNEWtries">NEW!$B$40</definedName>
    <definedName name="Pepperbthpts">BTH!$H$36</definedName>
    <definedName name="Pepperbthtries">BTH!$B$36</definedName>
    <definedName name="Peppernewpts">NEW!#REF!</definedName>
    <definedName name="Peppernewtries">NEW!#REF!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NEW!#REF!</definedName>
    <definedName name="Perkinssartries">NEW!#REF!</definedName>
    <definedName name="Petchglopts">GLO!$G$39</definedName>
    <definedName name="Petchglotries">GLO!$B$39</definedName>
    <definedName name="Petelo_Mapunorpts">NOR!$G$38</definedName>
    <definedName name="Petelo_Mapunortries">NOR!$B$38</definedName>
    <definedName name="Petersnewpts">NEW!#REF!</definedName>
    <definedName name="Petersnewtries">NEW!#REF!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SAR!$G$43</definedName>
    <definedName name="Pifeletisartriescorrect">SAR!$B$43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BRI!#REF!</definedName>
    <definedName name="Piutau_Swaspts">#REF!</definedName>
    <definedName name="Piutau_Swastries">#REF!</definedName>
    <definedName name="Piutaubripts">BRI!$G$58</definedName>
    <definedName name="Piutaubritries">BRI!$B$58</definedName>
    <definedName name="Piutauwaspts">#REF!</definedName>
    <definedName name="Piutauwastries">#REF!</definedName>
    <definedName name="pollardleicatt">LEI!$M$5</definedName>
    <definedName name="Pollardleicgls">LEI!$L$5</definedName>
    <definedName name="Polledriglopts">GLO!#REF!</definedName>
    <definedName name="Polledriglotries">GLO!#REF!</definedName>
    <definedName name="Pollocknorpts">NOR!$G$39</definedName>
    <definedName name="Pollocknortries">NOR!$B$39</definedName>
    <definedName name="Poreckilirpts">BRI!$G$54</definedName>
    <definedName name="Poreckilirptscorrect">#REF!</definedName>
    <definedName name="Poreckilirtries">BRI!$B$54</definedName>
    <definedName name="Poreckilirtriescorrect">#REF!</definedName>
    <definedName name="Porterharpts">HAR!$G$49</definedName>
    <definedName name="Porterhartries">HAR!$B$49</definedName>
    <definedName name="Porterleicpts">LEI!#REF!</definedName>
    <definedName name="Porterleictries">LEI!#REF!</definedName>
    <definedName name="PostlethwaiteEXEpts">EXE!$G$31</definedName>
    <definedName name="PostlethwaiteEXEtries">EXE!$B$31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LEIpts">LEI!#REF!</definedName>
    <definedName name="PowellLEItries">LEI!#REF!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HAR!$AD$45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NEW!#REF!</definedName>
    <definedName name="Qorowalenewtries">NEW!#REF!</definedName>
    <definedName name="quinspentriespts">HAR!$G$48</definedName>
    <definedName name="quinspentriestries">HAR!$B$48</definedName>
    <definedName name="Quirkesalpts">SAL!$G$38</definedName>
    <definedName name="Quirkesaltries">SAL!$B$38</definedName>
    <definedName name="Radradrabripts">BRI!#REF!</definedName>
    <definedName name="Radradrabritries">BRI!#REF!</definedName>
    <definedName name="Radwanleipts">LEI!$G$36</definedName>
    <definedName name="Radwanleitries">LEI!$B$36</definedName>
    <definedName name="Radwannewpts">#REF!</definedName>
    <definedName name="Radwannewptscorrect">NEW!$G$41</definedName>
    <definedName name="Radwannewtries">#REF!</definedName>
    <definedName name="Radwannewtriescorrect">NEW!$B$41</definedName>
    <definedName name="Ramageleicpts">LEI!#REF!</definedName>
    <definedName name="Ramageleictries">LEI!#REF!</definedName>
    <definedName name="Randallbripts">BRI!$G$49</definedName>
    <definedName name="Randallbritries">BRI!$B$49</definedName>
    <definedName name="Ransombenpts">NEW!#REF!</definedName>
    <definedName name="Ransombentries">NEW!#REF!</definedName>
    <definedName name="Ransomlirpts">BRI!#REF!</definedName>
    <definedName name="Ransomlirtries">BRI!#REF!</definedName>
    <definedName name="Rapava_Ruskinglopts">GLO!$G$40</definedName>
    <definedName name="Rapava_Ruskinglotries">GLO!$B$40</definedName>
    <definedName name="Rapava_Ruskinworpts">#REF!</definedName>
    <definedName name="Rapava_Ruskinwortries">#REF!</definedName>
    <definedName name="Ratuniyarawanorpts">NOR!$G$40</definedName>
    <definedName name="Ratuniyarawanortries">NOR!$B$40</definedName>
    <definedName name="Ravouvoubripts">BRI!$G$50</definedName>
    <definedName name="Ravouvoufijtries">BRI!$B$50</definedName>
    <definedName name="Rawacasarpts">NEW!#REF!</definedName>
    <definedName name="Rawacasartries">NEW!#REF!</definedName>
    <definedName name="Readsalpts">SAL!$G$39</definedName>
    <definedName name="Readsaltries">SAL!$B$39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BTH!$O$8</definedName>
    <definedName name="Redpathbthpts">BTH!$H$37</definedName>
    <definedName name="Redpathbthtries">BTH!$B$37</definedName>
    <definedName name="redpathsalatt">SAL!$M$6</definedName>
    <definedName name="redpathsalegls">SAL!$L$6</definedName>
    <definedName name="Redpathsalpts">SAL!#REF!</definedName>
    <definedName name="Redpathsaltries">SAL!#REF!</definedName>
    <definedName name="Rees_Zammitglopts">GLO!#REF!</definedName>
    <definedName name="Rees_Zammitglotries">GLO!#REF!</definedName>
    <definedName name="Reevesglopts">GLO!$G$41</definedName>
    <definedName name="Reevesglotries">GLO!$B$41</definedName>
    <definedName name="Reevesrickypts">#REF!</definedName>
    <definedName name="Reevesrickytries">#REF!</definedName>
    <definedName name="Reffellsarpts">NEW!#REF!</definedName>
    <definedName name="Reffellsarptscorrect">SAR!#REF!</definedName>
    <definedName name="Reffellsartries">NEW!#REF!</definedName>
    <definedName name="Reffellsartriescorrect">SAR!#REF!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EXE!$G$32</definedName>
    <definedName name="Reltonexetries">EXE!$B$32</definedName>
    <definedName name="repathbthgls">BTH!$N$8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NEW!#REF!</definedName>
    <definedName name="Rhodessartries">NEW!#REF!</definedName>
    <definedName name="Ribbansnorpts">NOR!#REF!</definedName>
    <definedName name="Ribbansnortries">NOR!#REF!</definedName>
    <definedName name="Riccionisarptscorrect">SAR!$G$44</definedName>
    <definedName name="Riccionisartriescorrect">SAR!$B$44</definedName>
    <definedName name="Richardsbthpts">BTH!$H$39</definedName>
    <definedName name="Richardsbthtries">BTH!$B$39</definedName>
    <definedName name="Richardsonleicpts">LEI!#REF!</definedName>
    <definedName name="Richardsonleictries">LEI!#REF!</definedName>
    <definedName name="Riederwaspts">#REF!</definedName>
    <definedName name="Riederwastries">#REF!</definedName>
    <definedName name="Rileysalpts">SAL!$G$40</definedName>
    <definedName name="Rileysaltries">SAL!$B$40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BTH!$H$38</definedName>
    <definedName name="Robertsbthtries">BTH!$B$38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SAL!$G$41</definedName>
    <definedName name="Roddsaltries">SAL!$B$41</definedName>
    <definedName name="Roebucksalpts">SAL!$G$42</definedName>
    <definedName name="Roebucksaltries">SAL!$B$42</definedName>
    <definedName name="Roetssalpts">SAL!$G$43</definedName>
    <definedName name="Roetssaltries">SAL!$B$43</definedName>
    <definedName name="Rogersnewpts">#REF!</definedName>
    <definedName name="Rogersnewtries">#REF!</definedName>
    <definedName name="RogersonLEIpts">LEI!$G$38</definedName>
    <definedName name="RogersonLEItries">LEI!$B$38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uxbthprempts">BTH!$H$40</definedName>
    <definedName name="Rouxbthpremtries">BTH!$B$40</definedName>
    <definedName name="rouxbthtries">BTH!$C$40</definedName>
    <definedName name="Rowanglopts">GLO!#REF!</definedName>
    <definedName name="Rowanglotries">GLO!#REF!</definedName>
    <definedName name="Rowelirpts">#REF!</definedName>
    <definedName name="Rowelirtries">#REF!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NEW!$G$43</definedName>
    <definedName name="Rubiolonewtries">NEW!$B$43</definedName>
    <definedName name="Ruizlirpts">#REF!</definedName>
    <definedName name="Ruizlirtries">#REF!</definedName>
    <definedName name="Russellbthpts">BTH!$H$41</definedName>
    <definedName name="Russellbthtries">BTH!$B$41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SAL!$G$52</definedName>
    <definedName name="Saletries">SAL!$B$52</definedName>
    <definedName name="Salmonexepts">EXE!#REF!</definedName>
    <definedName name="Salmonexetries">EXE!#REF!</definedName>
    <definedName name="Salomonbripts">BRI!$G$51</definedName>
    <definedName name="Salomonbritries">BRI!$B$51</definedName>
    <definedName name="Salvijulianpts">LEI!$G$37</definedName>
    <definedName name="Salvijuliantries">LEI!$B$37</definedName>
    <definedName name="Sandfordjamespts">#REF!</definedName>
    <definedName name="Sandfordjamestries">#REF!</definedName>
    <definedName name="saracenspenaltytriespts">NEW!#REF!</definedName>
    <definedName name="saracenspenaltytriestries">NEW!#REF!</definedName>
    <definedName name="SaracensPts">NEW!$G$53</definedName>
    <definedName name="SaracensTries">NEW!$B$53</definedName>
    <definedName name="Saullandypts">#REF!</definedName>
    <definedName name="Saullandytries">#REF!</definedName>
    <definedName name="Saulolirpts">BRI!$G$55</definedName>
    <definedName name="Saulolirtries">BRI!$B$55</definedName>
    <definedName name="Saumakileicpts">LEI!$G$39</definedName>
    <definedName name="Saumakileictries">LEI!$B$39</definedName>
    <definedName name="Saunderssarpts">NEW!#REF!</definedName>
    <definedName name="Saunderssartries">NEW!#REF!</definedName>
    <definedName name="Savageglopts">GLO!#REF!</definedName>
    <definedName name="Savageglotries">GLO!#REF!</definedName>
    <definedName name="savalanoratt">NOR!$M$9</definedName>
    <definedName name="Savalanorgls">NOR!$L$9</definedName>
    <definedName name="Savalanorpts">NOR!$G$41</definedName>
    <definedName name="Savalanortries">NOR!$B$41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EXE!$G$33</definedName>
    <definedName name="Schickerlingexetries">EXE!$B$33</definedName>
    <definedName name="Schmidharpts">HAR!$G$51</definedName>
    <definedName name="Schmidhartries">HAR!$B$51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BTH!#REF!</definedName>
    <definedName name="Schoemanbthtries">BTH!#REF!</definedName>
    <definedName name="Schofieldwelpts">#REF!</definedName>
    <definedName name="Schofieldweltries">#REF!</definedName>
    <definedName name="Schonertsalpts">SAL!$G$44</definedName>
    <definedName name="Schonertsaltries">SAL!$B$44</definedName>
    <definedName name="Schreuderbthpts">BTH!$H$42</definedName>
    <definedName name="Schreuderbthtries">BTH!$B$42</definedName>
    <definedName name="Scotland_W_sonharpts">HAR!$G$50</definedName>
    <definedName name="Scotland_W_sonhartries">HAR!$B$50</definedName>
    <definedName name="ScotlandWilliamsonchristianpts">#REF!</definedName>
    <definedName name="ScotlandWilliamsonchristiantries">#REF!</definedName>
    <definedName name="Scott_Youngnorpts">NOR!$G$42</definedName>
    <definedName name="Scott_Youngnortries">NOR!$B$42</definedName>
    <definedName name="Scottglopts">GLO!#REF!</definedName>
    <definedName name="Scottglotries">GLO!#REF!</definedName>
    <definedName name="Scottleicpts">LEI!#REF!</definedName>
    <definedName name="Scottleictries">LEI!#REF!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LEI!$G$26</definedName>
    <definedName name="scullytries">LEI!#REF!</definedName>
    <definedName name="Seabrookglopts">GLO!#REF!</definedName>
    <definedName name="Seabrookglotries">GLO!#REF!</definedName>
    <definedName name="SeabrookNORpts">NOR!$G$43</definedName>
    <definedName name="SeabrookNORtries">NOR!$B$43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BTH!$O$9</definedName>
    <definedName name="Searlebthgls">BTH!$N$9</definedName>
    <definedName name="Searlebthpts">BTH!#REF!</definedName>
    <definedName name="Searlebthtries">BTH!#REF!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NEW!#REF!</definedName>
    <definedName name="Segunsarptscorrect">SAR!$G$45</definedName>
    <definedName name="Segunsartries">NEW!#REF!</definedName>
    <definedName name="Segunsartriescorrect">SAR!$B$45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NEW!#REF!</definedName>
    <definedName name="Sheriffsartries">NEW!#REF!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LEI!$M$6</definedName>
    <definedName name="Shillcockleicgls">LEI!$L$6</definedName>
    <definedName name="ShillcockLEIpts">LEI!$G$40</definedName>
    <definedName name="ShillcockLEItries">LEI!$B$40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LEI!$G$41</definedName>
    <definedName name="Simmonsleictries">LEI!$B$41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SAR!$G$46</definedName>
    <definedName name="Simpson_Gsartries">SAR!$B$46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BRI!$G$57</definedName>
    <definedName name="Sinclairjebbtries">BRI!$B$57</definedName>
    <definedName name="Singletonsarpts">NEW!#REF!</definedName>
    <definedName name="Singletonsartries">NEW!#REF!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EXE!$G$34</definedName>
    <definedName name="Sioexetries">EXE!$B$34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NEW!#REF!</definedName>
    <definedName name="Skeltonsartries">NEW!#REF!</definedName>
    <definedName name="Skinner_Hexepts">EXE!$G$35</definedName>
    <definedName name="Skinner_Hexetries">EXE!$B$35</definedName>
    <definedName name="Skinnerexeatt">EXE!$M$9</definedName>
    <definedName name="Skinnerexegls">EXE!$L$9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EXE!$M$8</definedName>
    <definedName name="Sladeexepts">EXE!$G$36</definedName>
    <definedName name="Sladeexetries">EXE!$B$36</definedName>
    <definedName name="sladegoals">EXE!$L$8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ts">NOR!$G$44</definedName>
    <definedName name="Sleightholmenortries">NOR!$B$44</definedName>
    <definedName name="SlevinHARatt">HAR!$M$8</definedName>
    <definedName name="SlevinHARgls">HAR!$L$8</definedName>
    <definedName name="SlevinHARglsPERCENT">HAR!$N$8</definedName>
    <definedName name="Slevinharpts">HAR!$G$52</definedName>
    <definedName name="Slevinhartries">HAR!$B$52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NOR!$G$46</definedName>
    <definedName name="Smith_Rnortries">NOR!$B$46</definedName>
    <definedName name="Smithbripts">BRI!#REF!</definedName>
    <definedName name="Smithbritries">BRI!#REF!</definedName>
    <definedName name="smithharatt">HAR!$M$9</definedName>
    <definedName name="Smithhargls">HAR!$L$9</definedName>
    <definedName name="Smithharpts">HAR!$G$53</definedName>
    <definedName name="Smithhartries">HAR!$B$53</definedName>
    <definedName name="smithleeatt">#REF!</definedName>
    <definedName name="Smithleegoals">#REF!</definedName>
    <definedName name="Smithleepts">#REF!</definedName>
    <definedName name="Smithleicpts">LEI!$G$42</definedName>
    <definedName name="Smithleictries">LEI!$B$42</definedName>
    <definedName name="Smithleipts">LEI!#REF!</definedName>
    <definedName name="Smithleitries">LEI!#REF!</definedName>
    <definedName name="Smithnewtries">#REF!</definedName>
    <definedName name="smithnoratt">NOR!$M$10</definedName>
    <definedName name="Smithnorgls">NOR!$L$10</definedName>
    <definedName name="Smithrnewpts">NEW!$G$46</definedName>
    <definedName name="Smithrnewtries">NEW!$B$46</definedName>
    <definedName name="Smithrobbienewpts">NEW!$G$45</definedName>
    <definedName name="Smithrobbienewtries">NEW!$B$45</definedName>
    <definedName name="Smithsampts">HAR!#REF!</definedName>
    <definedName name="Smithsamtries">HAR!#REF!</definedName>
    <definedName name="Smithsarpts">NEW!#REF!</definedName>
    <definedName name="Smithsartries">NEW!#REF!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LEI!#REF!</definedName>
    <definedName name="Snymanleictries">LEI!#REF!</definedName>
    <definedName name="Socino_Snewpts">#REF!</definedName>
    <definedName name="Socino_Snewtries">#REF!</definedName>
    <definedName name="socinogloatt">GLO!#REF!</definedName>
    <definedName name="Socinoglogls">GLO!#REF!</definedName>
    <definedName name="Socinoglopts">GLO!#REF!</definedName>
    <definedName name="Socinoglotries">GLO!#REF!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andlerbthpts">BTH!$H$43</definedName>
    <definedName name="Spandlertbhtries">BTH!$B$43</definedName>
    <definedName name="spcncerbthgls">BTH!$N$10</definedName>
    <definedName name="Spencer_Bbthpts">BTH!$H$44</definedName>
    <definedName name="Spencer_Bbthtries">BTH!$B$44</definedName>
    <definedName name="Spencer_Wbthpts">BTH!#REF!</definedName>
    <definedName name="Spencer_Wbthtries">BTH!#REF!</definedName>
    <definedName name="spencerbenatt">NEW!#REF!</definedName>
    <definedName name="spencerbengoals">NEW!#REF!</definedName>
    <definedName name="Spencerbenpts">NEW!#REF!</definedName>
    <definedName name="Spencerbentries">NEW!#REF!</definedName>
    <definedName name="spencerbthatt">BTH!$O$10</definedName>
    <definedName name="Spencerleicpts">LEI!#REF!</definedName>
    <definedName name="Spencerleictries">LEI!#REF!</definedName>
    <definedName name="Spencersarpts">NEW!#REF!</definedName>
    <definedName name="Spencerwillpts">BTH!#REF!</definedName>
    <definedName name="Spencerwilltries">BTH!#REF!</definedName>
    <definedName name="Spurlingsarpts">NEW!#REF!</definedName>
    <definedName name="Spurlingsartries">NEW!#REF!</definedName>
    <definedName name="Stanleyglopts">GLO!$G$43</definedName>
    <definedName name="Stanleyglotries">GLO!$B$43</definedName>
    <definedName name="Stedmanolliepts">#REF!</definedName>
    <definedName name="Stedmanollietrie">#REF!</definedName>
    <definedName name="Steelelipts">BRI!$G$60</definedName>
    <definedName name="Steelelirpts">#REF!</definedName>
    <definedName name="Steelelirtries">#REF!</definedName>
    <definedName name="Steelelitries">BRI!$B$60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LEI!$G$43</definedName>
    <definedName name="Stevensleictries">LEI!$B$43</definedName>
    <definedName name="Stevenslipts">BRI!#REF!</definedName>
    <definedName name="Stevenslitries">BRI!#REF!</definedName>
    <definedName name="Stevensmattpts">NEW!#REF!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NEW!#REF!</definedName>
    <definedName name="stewardleicatt">LEI!$M$7</definedName>
    <definedName name="Stewardleicgls">LEI!$L$7</definedName>
    <definedName name="Stewartbthpts">BTH!$H$45</definedName>
    <definedName name="Stewartbthtries">BTH!$B$45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bthpts">BTH!#REF!</definedName>
    <definedName name="Stookebthtries">BTH!#REF!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BRI!$G$53</definedName>
    <definedName name="Strangbritries">BRI!$B$53</definedName>
    <definedName name="Streathertimpts">NEW!#REF!</definedName>
    <definedName name="Streathertimtries">NEW!#REF!</definedName>
    <definedName name="Streetexepts">EXE!$G$37</definedName>
    <definedName name="Streetexetries">EXE!$B$37</definedName>
    <definedName name="Strettlepts">NEW!#REF!</definedName>
    <definedName name="Strettlesarpts">NEW!#REF!</definedName>
    <definedName name="Strettlesarptscorrect">NEW!#REF!</definedName>
    <definedName name="Strettlesartries">NEW!#REF!</definedName>
    <definedName name="strettletries">NEW!#REF!</definedName>
    <definedName name="Strettllesartries">NEW!#REF!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BTH!$H$46</definedName>
    <definedName name="Stuartbthtries">BTH!$B$46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elsaratt">SAR!$M$10</definedName>
    <definedName name="Swielsargls">SAR!$L$10</definedName>
    <definedName name="Swielsarpts">SAR!$G$48</definedName>
    <definedName name="Swielsartries">SAR!$B$48</definedName>
    <definedName name="Swinsonsarptscorrect">SAR!$G$47</definedName>
    <definedName name="Swinsonsartriescorrect">SAR!$B$47</definedName>
    <definedName name="Sylvestersarpts">SAR!$G$49</definedName>
    <definedName name="Sylvestersartries">SAR!$B$49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NEW!#REF!</definedName>
    <definedName name="Tagicakibausartries">NEW!#REF!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HAR!#REF!</definedName>
    <definedName name="Tapuaihartries">HAR!#REF!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_Rglopts">GLO!$G$45</definedName>
    <definedName name="Taylor_Rglotries">GLO!$B$45</definedName>
    <definedName name="Taylorduncanpts">NEW!#REF!</definedName>
    <definedName name="Taylorduncantries">NEW!#REF!</definedName>
    <definedName name="Taylorglopts">GLO!$G$44</definedName>
    <definedName name="Taylorglotries">GLO!$B$44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NEW!#REF!</definedName>
    <definedName name="Taylorsarptscorrect">SAR!#REF!</definedName>
    <definedName name="Taylorsartries">NEW!#REF!</definedName>
    <definedName name="Taylorsartriescorrect">SAR!#REF!</definedName>
    <definedName name="Taylortommywaspts">#REF!</definedName>
    <definedName name="Taylortommywastries">#REF!</definedName>
    <definedName name="Taylortsalpts">SAL!$G$45</definedName>
    <definedName name="Taylortsaltries">SAL!$B$45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GLO!$G$42</definedName>
    <definedName name="Terryglotries">GLO!$B$42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ts">NOR!$G$47</definedName>
    <definedName name="ThameNORtries">NOR!$B$47</definedName>
    <definedName name="Theobald_Thomasleipts">LEI!$G$44</definedName>
    <definedName name="Theobold_Thomasleitries">LEI!$B$44</definedName>
    <definedName name="Thielsarpts">NEW!#REF!</definedName>
    <definedName name="Thielsartries">NEW!#REF!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GLO!$G$46</definedName>
    <definedName name="Thomasglotries">GLO!$B$46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NEW!$M$7</definedName>
    <definedName name="thomasnewgls">NEW!$L$7</definedName>
    <definedName name="Thomasnewpts">NEW!#REF!</definedName>
    <definedName name="Thomasnewtries">NEW!#REF!</definedName>
    <definedName name="ThomasSALpts">SAL!$G$46</definedName>
    <definedName name="ThomasSALtries">SAL!$B$46</definedName>
    <definedName name="Thompson_Stringersarpts">NEW!#REF!</definedName>
    <definedName name="Thompson_Stringersartries">NEW!#REF!</definedName>
    <definedName name="Thompsonleicpts">LEI!#REF!</definedName>
    <definedName name="Thompsonleictries">LEI!#REF!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LEI!$B$26</definedName>
    <definedName name="Thorleyglopts">GLO!#REF!</definedName>
    <definedName name="Thorleygloptscorrect">GLO!$G$47</definedName>
    <definedName name="Thorleyglotries">GLO!#REF!</definedName>
    <definedName name="Thorleyglotriescorrect">GLO!$B$47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hrelfallleiatt">LEI!$M$8</definedName>
    <definedName name="threlfallleigls">LEI!$L$8</definedName>
    <definedName name="Threlfallleipts">LEI!$G$45</definedName>
    <definedName name="Threlfallleitries">LEI!$B$45</definedName>
    <definedName name="Tiesinewpts">#REF!</definedName>
    <definedName name="Tiesinewtries">#REF!</definedName>
    <definedName name="Tiffennewpts">NEW!$G$49</definedName>
    <definedName name="Tiffennewtries">NEW!$B$49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izardsarpts">SAR!$G$50</definedName>
    <definedName name="Tizardsartries">SAR!$B$50</definedName>
    <definedName name="Tolofuasarpts">NEW!#REF!</definedName>
    <definedName name="Tolofuasartries">NEW!#REF!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NEW!#REF!</definedName>
    <definedName name="tomkinstries">NEW!#REF!</definedName>
    <definedName name="Tompkinsnickpts">NEW!#REF!</definedName>
    <definedName name="Tompkinsnicktries">NEW!#REF!</definedName>
    <definedName name="Tompkinssarpts">NEW!#REF!</definedName>
    <definedName name="Tompkinssarptscorrect">NEW!#REF!</definedName>
    <definedName name="Tompkinssarptscorrect2">SAR!$G$51</definedName>
    <definedName name="Tompkinssartries">NEW!#REF!</definedName>
    <definedName name="Tompkinssartriescorrect">SAR!$B$51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NOR!$G$45</definedName>
    <definedName name="Tonksnortries">NOR!$B$45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EXE!$G$38</definedName>
    <definedName name="Townsendexetries">EXE!$B$38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bripts">BRI!$G$56</definedName>
    <definedName name="Trevettbritries">BRI!$B$56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GLO!$G$48</definedName>
    <definedName name="Trinderhenrypts">GLO!#REF!</definedName>
    <definedName name="Trinderpts">GLO!#REF!</definedName>
    <definedName name="trindertries">GLO!#REF!</definedName>
    <definedName name="Trindertriestries">GLO!$B$48</definedName>
    <definedName name="Tshiunzaexepts">EXE!$G$39</definedName>
    <definedName name="Tshiunzaexetries">EXE!$B$39</definedName>
    <definedName name="Tuaexepts">EXE!$G$40</definedName>
    <definedName name="Tuaexetries">EXE!$B$40</definedName>
    <definedName name="Tualanorpts">NOR!#REF!</definedName>
    <definedName name="TualaNORTRIES">NOR!#REF!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ts">EXE!$G$41</definedName>
    <definedName name="Tuimaexetries">EXE!$B$41</definedName>
    <definedName name="Tuipulotubthpts">BTH!$H$47</definedName>
    <definedName name="Tuipulotubthtries">BTH!$B$47</definedName>
    <definedName name="Tuipulotusarpts">SAR!$G$52</definedName>
    <definedName name="Tuipulotusartries">SAR!$B$52</definedName>
    <definedName name="Tuitavakenorpts">NOR!#REF!</definedName>
    <definedName name="Tuitavakenortries">NOR!#REF!</definedName>
    <definedName name="Tuitupousampts">SAL!$G$47</definedName>
    <definedName name="Tuitupousamtries">SAL!$B$47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BTH!$H$48</definedName>
    <definedName name="Underhillbthtries">BTH!$B$48</definedName>
    <definedName name="UrenBRITRIES">BRI!$B$57</definedName>
    <definedName name="Uzokwenewpts">#REF!</definedName>
    <definedName name="Uzokwenewtries">#REF!</definedName>
    <definedName name="Vailanusarpts">NEW!#REF!</definedName>
    <definedName name="Vailanusartries">NEW!#REF!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Flierleipts">LEI!$G$47</definedName>
    <definedName name="van_der_Flierleitries">LEI!$B$47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EXE!$G$42</definedName>
    <definedName name="van_der_Sluysexetries">EXE!$B$42</definedName>
    <definedName name="van_Heerdenexepts">EXE!#REF!</definedName>
    <definedName name="van_Heerdenexetries">EXE!#REF!</definedName>
    <definedName name="van_Poortvlietleicpts">LEI!$G$48</definedName>
    <definedName name="van_Poortvlietleictries">LEI!$B$48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BTH!$H$49</definedName>
    <definedName name="van_Velzebthtries">BTH!$B$49</definedName>
    <definedName name="van_Velzegjpts">NOR!#REF!</definedName>
    <definedName name="van_Velzegjtries">NOR!#REF!</definedName>
    <definedName name="van_Vuurenbthpts">BTH!$H$50</definedName>
    <definedName name="van_Vuurenbthtries">BTH!$B$50</definedName>
    <definedName name="van_VuurenNEWpts">NEW!$G$50</definedName>
    <definedName name="van_VuurenNEWtries">NEW!$B$50</definedName>
    <definedName name="van_Wyk_Fleicpts">LEI!#REF!</definedName>
    <definedName name="van_Wyk_Fleictries">LEI!#REF!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SAR!$G$53</definedName>
    <definedName name="van_Zylsartriescorrect">SAR!$B$53</definedName>
    <definedName name="vanbredaworatt">#REF!</definedName>
    <definedName name="vanbredaworgls">#REF!</definedName>
    <definedName name="Vanesleicpts">LEI!$G$46</definedName>
    <definedName name="Vanesleictries">LEI!$B$46</definedName>
    <definedName name="Varndelltompts">#REF!</definedName>
    <definedName name="Varndelltomtries">#REF!</definedName>
    <definedName name="varneygloatt">GLO!$M$12</definedName>
    <definedName name="Varneyglogls">GLO!$L$12</definedName>
    <definedName name="Veainuleipts">LEI!#REF!</definedName>
    <definedName name="Veainuleitries">LEI!#REF!</definedName>
    <definedName name="Veainusalpts">SAL!$G$48</definedName>
    <definedName name="Veainusaltries">SAL!$B$48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sagieglopts">GLO!$G$49</definedName>
    <definedName name="Visagieglotries">GLO!$B$49</definedName>
    <definedName name="Volavolaleiatt">LEI!$M$9</definedName>
    <definedName name="Volavolaleigls">LEI!$L$9</definedName>
    <definedName name="Volavolaleipts">LEI!$G$49</definedName>
    <definedName name="Volavolaleitries">LEI!$B$49</definedName>
    <definedName name="Vossleicpts">LEI!#REF!</definedName>
    <definedName name="Vossleictries">LEI!#REF!</definedName>
    <definedName name="Vuibripts">BRI!$G$58</definedName>
    <definedName name="Vuibritries">BRI!$B$58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NEW!#REF!</definedName>
    <definedName name="Vunipola__Makosarptscorrect">SAR!#REF!</definedName>
    <definedName name="Vunipola__Makosartries">NEW!#REF!</definedName>
    <definedName name="Vunipola__Makosartriescorrect">SAR!#REF!</definedName>
    <definedName name="Vunipola__Manusarptscorrect">SAR!#REF!</definedName>
    <definedName name="Vunipola__Manusartriescorrect">SAR!#REF!</definedName>
    <definedName name="Vunipola_Bsarpts">NEW!#REF!</definedName>
    <definedName name="Vunipola_Bsarptscorrect">SAR!#REF!</definedName>
    <definedName name="Vunipola_Bsartries">NEW!#REF!</definedName>
    <definedName name="Vunipola_Bsartriescorrect">SAR!#REF!</definedName>
    <definedName name="Vunipola_Msaratt">NEW!$M$6</definedName>
    <definedName name="Vunipola_Msargls">NEW!$L$6</definedName>
    <definedName name="Vunipola_Msarpts">NEW!#REF!</definedName>
    <definedName name="Vunipola_Msartries">NEW!#REF!</definedName>
    <definedName name="Vunipolabillypts">NEW!#REF!</definedName>
    <definedName name="vunipolabillytries">NEW!#REF!</definedName>
    <definedName name="Vunipolamakopts">NEW!#REF!</definedName>
    <definedName name="vunipolamakotries">NEW!#REF!</definedName>
    <definedName name="vunipolasarattcorrect">SAR!#REF!</definedName>
    <definedName name="vunipolasarglscorrect">SAR!#REF!</definedName>
    <definedName name="Vunisasarpts">NEW!#REF!</definedName>
    <definedName name="Vunisasartries">NEW!#REF!</definedName>
    <definedName name="Wacokecokenewpts">NEW!$G$52</definedName>
    <definedName name="Wacokecokenewtries">NEW!$B$52</definedName>
    <definedName name="Wadeglopts">GLO!$G$50</definedName>
    <definedName name="Wadeglotries">GLO!$B$50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ghornharpts">HAR!$G$55</definedName>
    <definedName name="Waghornhartries">HAR!$B$55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BTH!#REF!</definedName>
    <definedName name="Walkerbthtries">BTH!#REF!</definedName>
    <definedName name="Walkercharliehqtries">HAR!#REF!</definedName>
    <definedName name="Walkercharliepts">HAR!#REF!</definedName>
    <definedName name="Walkerharpts">HAR!$G$56</definedName>
    <definedName name="Walkerhartries">HAR!$B$56</definedName>
    <definedName name="Walkernewpts">NEW!#REF!</definedName>
    <definedName name="Walkernewtries">NEW!#REF!</definedName>
    <definedName name="Walkernorpts">NOR!$G$48</definedName>
    <definedName name="Walkernortries">NOR!$B$48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LEI!$G$50</definedName>
    <definedName name="Walshleitries">LEI!$B$50</definedName>
    <definedName name="Warddavepts">HAR!#REF!</definedName>
    <definedName name="warddavetries">HAR!#REF!</definedName>
    <definedName name="Wardglopts">GLO!$G$51</definedName>
    <definedName name="Wardglotries">GLO!$B$51</definedName>
    <definedName name="WarrSALatt">SAL!$M$8</definedName>
    <definedName name="WarrSALgls">SAL!$L$8</definedName>
    <definedName name="Warrsalpts">SAL!$G$49</definedName>
    <definedName name="Warrsaltries">SAL!$B$49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HAR!$G$57</definedName>
    <definedName name="Watershartries">HAR!$B$57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LEI!$G$51</definedName>
    <definedName name="Watsonleictries">LEI!$B$51</definedName>
    <definedName name="Watsonnewpts">#REF!</definedName>
    <definedName name="Watsonnewtriwes">#REF!</definedName>
    <definedName name="Watsonsarpts">NEW!#REF!</definedName>
    <definedName name="Watsonsartries">NEW!#REF!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SAL!$G$50</definedName>
    <definedName name="Webbersaltries">SAL!$B$50</definedName>
    <definedName name="Webbertries">BTH!#REF!</definedName>
    <definedName name="Weepuwelshpts">#REF!</definedName>
    <definedName name="Weepuwelshtries">#REF!</definedName>
    <definedName name="Weimannnorpts">NOR!$G$49</definedName>
    <definedName name="Weimannnortries">NOR!$B$49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LEI!$G$52</definedName>
    <definedName name="Wellsleictries">LEI!$B$52</definedName>
    <definedName name="Welshnewpts">#REF!</definedName>
    <definedName name="Welshnewtries">#REF!</definedName>
    <definedName name="Westbenpts">#REF!</definedName>
    <definedName name="Westbentries">#REF!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LEI!$G$54</definedName>
    <definedName name="Whiteleictries">LEI!$B$54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leiatt">LEI!$M$10</definedName>
    <definedName name="whiteleyleigls">LEI!$L$10</definedName>
    <definedName name="WhiteleyLEIpts">LEI!$G$53</definedName>
    <definedName name="WhiteleyLEItries">LEI!$B$53</definedName>
    <definedName name="whiteleysaratt">NEW!#REF!</definedName>
    <definedName name="Whiteleysargls">NEW!#REF!</definedName>
    <definedName name="Whiteleysarpts">NEW!#REF!</definedName>
    <definedName name="Whiteleysartries">NEW!#REF!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EXE!$G$43</definedName>
    <definedName name="Whittentries">EXE!$B$43</definedName>
    <definedName name="Wieseleicpts">LEI!$G$55</definedName>
    <definedName name="Wieseleictries">LEI!$B$55</definedName>
    <definedName name="Wigglesworthleictries">LEI!#REF!</definedName>
    <definedName name="Wigglesworthlicpts">LEI!#REF!</definedName>
    <definedName name="Wigglesworthrichardpts">NEW!#REF!</definedName>
    <definedName name="Wigglesworthrichardtries">NEW!#REF!</definedName>
    <definedName name="wigglesworthsaratt">NEW!#REF!</definedName>
    <definedName name="Wigglesworthsargoals">NEW!#REF!</definedName>
    <definedName name="Wiliamsnewtries">#REF!</definedName>
    <definedName name="Wilkinsnorpts">NOR!$G$52</definedName>
    <definedName name="Wilkinsnortries">NOR!$B$52</definedName>
    <definedName name="wilkinsonleicatt">LEI!#REF!</definedName>
    <definedName name="Wilkinsonleicgls">LEI!#REF!</definedName>
    <definedName name="WilkinsonLEIpts">LEI!#REF!</definedName>
    <definedName name="WilkinsonLEItrie">LEI!#REF!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NEW!#REF!</definedName>
    <definedName name="Willemsesartries">NEW!#REF!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BRI!$M$11</definedName>
    <definedName name="williamsbrigls">BRI!$L$11</definedName>
    <definedName name="Williamsbripts">BRI!$G$59</definedName>
    <definedName name="Williamsbritries">BRI!$B$59</definedName>
    <definedName name="Williamsexepts">EXE!$G$44</definedName>
    <definedName name="Williamsexetries">EXE!$B$44</definedName>
    <definedName name="williamsgloatt">GLO!$M$13</definedName>
    <definedName name="Williamsglogls">GLO!$L$13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LEI!#REF!</definedName>
    <definedName name="Williamsleitries">LEI!#REF!</definedName>
    <definedName name="Williamsliamsarpts">SAR!$G$54</definedName>
    <definedName name="Williamsliamsartries">SAR!$B$54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SAL!$G$51</definedName>
    <definedName name="Williamssaltries">SAL!$B$51</definedName>
    <definedName name="Williamssarpts">NEW!#REF!</definedName>
    <definedName name="Williamssartries">NEW!#REF!</definedName>
    <definedName name="Williamstomasglotries">GLO!$B$52</definedName>
    <definedName name="Williamstomosglopts">GLO!$G$52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son__Jamesbthgls">BTH!#REF!</definedName>
    <definedName name="Wilson__Jamesbthpts">BTH!#REF!</definedName>
    <definedName name="Wilson__Jamesbthptscorrect">BTH!#REF!</definedName>
    <definedName name="Wilson__Jamesbthtries">BTH!#REF!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Osarpts">SAR!$G$57</definedName>
    <definedName name="Wilson_Osartries">SAR!$B$57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NEW!#REF!</definedName>
    <definedName name="Wilsonjacktries">NEW!#REF!</definedName>
    <definedName name="Wilsonjacktriescorr">NEW!#REF!</definedName>
    <definedName name="Wilsonjacktriescorrect">NEW!#REF!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NEW!#REF!</definedName>
    <definedName name="Wilsonnewtries">NEW!#REF!</definedName>
    <definedName name="Wilsonsarpts">SAR!$G$55</definedName>
    <definedName name="Wilsonsartries">SAR!$B$55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heatnorpts">NOR!$G$51</definedName>
    <definedName name="Witheatnortries">NOR!$B$51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bripts">BRI!$G$61</definedName>
    <definedName name="Wolstenholmebritries">BRI!$B$61</definedName>
    <definedName name="Wolstenholmewaspts">#REF!</definedName>
    <definedName name="Wolstenholmewastries">#REF!</definedName>
    <definedName name="Wolstenhomewaspts">#REF!</definedName>
    <definedName name="Woodburnexepts">EXE!$G$45</definedName>
    <definedName name="Woodburnexetries">EXE!$B$45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ts">LEI!$G$56</definedName>
    <definedName name="WoodwardLEItries">LEI!$B$56</definedName>
    <definedName name="Woolfordnorpts">NOR!#REF!</definedName>
    <definedName name="Woolfordnortries">NOR!#REF!</definedName>
    <definedName name="WoollettLEIpts">LEI!#REF!</definedName>
    <definedName name="WoollettLEItries">LEI!#REF!</definedName>
    <definedName name="Woolmoreexepts">EXE!#REF!</definedName>
    <definedName name="Woolmoreexetries">EXE!#REF!</definedName>
    <definedName name="WoolstencroftEurTries">SAR!$C$56</definedName>
    <definedName name="Woolstencroftsarpts">NEW!#REF!</definedName>
    <definedName name="Woolstencroftsarptscorrect">SAR!$G$56</definedName>
    <definedName name="Woolstencroftsartries">NEW!#REF!</definedName>
    <definedName name="Woolstencroftsartriescorrect">SAR!$B$56</definedName>
    <definedName name="Woolstencroftwaspts">#REF!</definedName>
    <definedName name="Woolstencroftwastries">#REF!</definedName>
    <definedName name="woratt">#REF!</definedName>
    <definedName name="worboysbthatt">BTH!#REF!</definedName>
    <definedName name="worboysbthgls">BTH!#REF!</definedName>
    <definedName name="Worboysbthpts">BTH!#REF!</definedName>
    <definedName name="WorboysBTHTRIES">BTH!#REF!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sleybripts">BRI!$G$62</definedName>
    <definedName name="Worsleybritries">BRI!$B$62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NEW!#REF!</definedName>
    <definedName name="Wrayjacksontries">NEW!#REF!</definedName>
    <definedName name="Wraysarptscorrect">SAR!#REF!</definedName>
    <definedName name="Wraysartriescorrect">SAR!#REF!</definedName>
    <definedName name="Wrightnewpts">NEW!#REF!</definedName>
    <definedName name="Wrightnewtries">NEW!#REF!</definedName>
    <definedName name="Wyattexepts">EXE!$G$46</definedName>
    <definedName name="Wyattexetries">EXE!$B$46</definedName>
    <definedName name="Wylespts">NEW!#REF!</definedName>
    <definedName name="wylestries">NEW!#REF!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EXE!$G$47</definedName>
    <definedName name="Yeandlejacktries">EXE!$B$47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LEI!$M$11</definedName>
    <definedName name="Youngsbenpts">LEI!#REF!</definedName>
    <definedName name="Youngsbenptscorrect">LEI!$G$57</definedName>
    <definedName name="youngsbentries">LEI!$B$57</definedName>
    <definedName name="youngsbgoals">LEI!$L$11</definedName>
    <definedName name="youngstompts">LEI!#REF!</definedName>
    <definedName name="youngstomtries">LEI!#REF!</definedName>
    <definedName name="Youngwaspts">#REF!</definedName>
    <definedName name="Youngwastries">#REF!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7" i="5" l="1"/>
  <c r="H117" i="5"/>
  <c r="G117" i="5"/>
  <c r="J117" i="5" s="1"/>
  <c r="D117" i="5"/>
  <c r="C117" i="5"/>
  <c r="B117" i="5"/>
  <c r="J107" i="5"/>
  <c r="E107" i="5"/>
  <c r="J87" i="5"/>
  <c r="E85" i="5"/>
  <c r="J116" i="5"/>
  <c r="E116" i="5"/>
  <c r="J106" i="5"/>
  <c r="E106" i="5"/>
  <c r="J78" i="5"/>
  <c r="E84" i="5"/>
  <c r="J86" i="5"/>
  <c r="E83" i="5"/>
  <c r="J105" i="5"/>
  <c r="E105" i="5"/>
  <c r="J71" i="5"/>
  <c r="E69" i="5"/>
  <c r="J74" i="5"/>
  <c r="E104" i="5"/>
  <c r="J73" i="5"/>
  <c r="E71" i="5"/>
  <c r="J104" i="5"/>
  <c r="E103" i="5"/>
  <c r="J103" i="5"/>
  <c r="E102" i="5"/>
  <c r="J108" i="5"/>
  <c r="E115" i="5"/>
  <c r="J85" i="5"/>
  <c r="E82" i="5"/>
  <c r="J70" i="5"/>
  <c r="E68" i="5"/>
  <c r="J102" i="5"/>
  <c r="E101" i="5"/>
  <c r="J115" i="5"/>
  <c r="E114" i="5"/>
  <c r="J63" i="5"/>
  <c r="E100" i="5"/>
  <c r="J101" i="5"/>
  <c r="E99" i="5"/>
  <c r="J84" i="5"/>
  <c r="E81" i="5"/>
  <c r="J100" i="5"/>
  <c r="E98" i="5"/>
  <c r="J65" i="5"/>
  <c r="E63" i="5"/>
  <c r="J88" i="5"/>
  <c r="E97" i="5"/>
  <c r="J62" i="5"/>
  <c r="E80" i="5"/>
  <c r="J72" i="5"/>
  <c r="E70" i="5"/>
  <c r="J83" i="5"/>
  <c r="E79" i="5"/>
  <c r="J77" i="5"/>
  <c r="E74" i="5"/>
  <c r="J114" i="5"/>
  <c r="E113" i="5"/>
  <c r="J82" i="5"/>
  <c r="E78" i="5"/>
  <c r="J99" i="5"/>
  <c r="E96" i="5"/>
  <c r="J69" i="5"/>
  <c r="E67" i="5"/>
  <c r="J98" i="5"/>
  <c r="E95" i="5"/>
  <c r="J97" i="5"/>
  <c r="E94" i="5"/>
  <c r="J68" i="5"/>
  <c r="E66" i="5"/>
  <c r="J96" i="5"/>
  <c r="E93" i="5"/>
  <c r="J67" i="5"/>
  <c r="E65" i="5"/>
  <c r="J95" i="5"/>
  <c r="E92" i="5"/>
  <c r="J113" i="5"/>
  <c r="E112" i="5"/>
  <c r="J94" i="5"/>
  <c r="E91" i="5"/>
  <c r="J81" i="5"/>
  <c r="E77" i="5"/>
  <c r="J80" i="5"/>
  <c r="E76" i="5"/>
  <c r="J64" i="5"/>
  <c r="E62" i="5"/>
  <c r="J112" i="5"/>
  <c r="E111" i="5"/>
  <c r="J93" i="5"/>
  <c r="E90" i="5"/>
  <c r="J76" i="5"/>
  <c r="E73" i="5"/>
  <c r="J92" i="5"/>
  <c r="E89" i="5"/>
  <c r="J111" i="5"/>
  <c r="E110" i="5"/>
  <c r="J79" i="5"/>
  <c r="E75" i="5"/>
  <c r="J91" i="5"/>
  <c r="E88" i="5"/>
  <c r="J110" i="5"/>
  <c r="E109" i="5"/>
  <c r="J75" i="5"/>
  <c r="E72" i="5"/>
  <c r="J90" i="5"/>
  <c r="E87" i="5"/>
  <c r="J109" i="5"/>
  <c r="E108" i="5"/>
  <c r="J66" i="5"/>
  <c r="E64" i="5"/>
  <c r="J89" i="5"/>
  <c r="E86" i="5"/>
  <c r="K103" i="1"/>
  <c r="J103" i="1"/>
  <c r="I103" i="1"/>
  <c r="H103" i="1"/>
  <c r="L103" i="1" s="1"/>
  <c r="E103" i="1"/>
  <c r="D103" i="1"/>
  <c r="C103" i="1"/>
  <c r="F103" i="1" s="1"/>
  <c r="B103" i="1"/>
  <c r="L102" i="1"/>
  <c r="F102" i="1"/>
  <c r="L85" i="1"/>
  <c r="F82" i="1"/>
  <c r="L76" i="1"/>
  <c r="F73" i="1"/>
  <c r="L68" i="1"/>
  <c r="F65" i="1"/>
  <c r="L84" i="1"/>
  <c r="F81" i="1"/>
  <c r="L75" i="1"/>
  <c r="F72" i="1"/>
  <c r="L77" i="1"/>
  <c r="F80" i="1"/>
  <c r="L83" i="1"/>
  <c r="F79" i="1"/>
  <c r="L100" i="1"/>
  <c r="F100" i="1"/>
  <c r="L55" i="1"/>
  <c r="F78" i="1"/>
  <c r="L91" i="1"/>
  <c r="F90" i="1"/>
  <c r="L90" i="1"/>
  <c r="F89" i="1"/>
  <c r="L89" i="1"/>
  <c r="F88" i="1"/>
  <c r="L88" i="1"/>
  <c r="F87" i="1"/>
  <c r="L74" i="1"/>
  <c r="F71" i="1"/>
  <c r="L78" i="1"/>
  <c r="F86" i="1"/>
  <c r="L87" i="1"/>
  <c r="F85" i="1"/>
  <c r="L66" i="1"/>
  <c r="F63" i="1"/>
  <c r="L86" i="1"/>
  <c r="F84" i="1"/>
  <c r="L73" i="1"/>
  <c r="F70" i="1"/>
  <c r="L60" i="1"/>
  <c r="F57" i="1"/>
  <c r="L92" i="1"/>
  <c r="F91" i="1"/>
  <c r="L64" i="1"/>
  <c r="F61" i="1"/>
  <c r="L99" i="1"/>
  <c r="F99" i="1"/>
  <c r="L72" i="1"/>
  <c r="F69" i="1"/>
  <c r="L98" i="1"/>
  <c r="F98" i="1"/>
  <c r="L71" i="1"/>
  <c r="F68" i="1"/>
  <c r="L67" i="1"/>
  <c r="F64" i="1"/>
  <c r="L97" i="1"/>
  <c r="F97" i="1"/>
  <c r="L96" i="1"/>
  <c r="F96" i="1"/>
  <c r="L70" i="1"/>
  <c r="F67" i="1"/>
  <c r="L95" i="1"/>
  <c r="F95" i="1"/>
  <c r="L101" i="1"/>
  <c r="F101" i="1"/>
  <c r="L94" i="1"/>
  <c r="F94" i="1"/>
  <c r="L69" i="1"/>
  <c r="F66" i="1"/>
  <c r="L63" i="1"/>
  <c r="F60" i="1"/>
  <c r="L59" i="1"/>
  <c r="F56" i="1"/>
  <c r="L56" i="1"/>
  <c r="F83" i="1"/>
  <c r="L62" i="1"/>
  <c r="F59" i="1"/>
  <c r="L93" i="1"/>
  <c r="F93" i="1"/>
  <c r="L82" i="1"/>
  <c r="F77" i="1"/>
  <c r="L58" i="1"/>
  <c r="F55" i="1"/>
  <c r="L61" i="1"/>
  <c r="F58" i="1"/>
  <c r="L81" i="1"/>
  <c r="F76" i="1"/>
  <c r="L80" i="1"/>
  <c r="F75" i="1"/>
  <c r="L65" i="1"/>
  <c r="F62" i="1"/>
  <c r="L57" i="1"/>
  <c r="F92" i="1"/>
  <c r="L79" i="1"/>
  <c r="F74" i="1"/>
  <c r="I105" i="10"/>
  <c r="H105" i="10"/>
  <c r="G105" i="10"/>
  <c r="D105" i="10"/>
  <c r="C105" i="10"/>
  <c r="B105" i="10"/>
  <c r="J104" i="10"/>
  <c r="E104" i="10"/>
  <c r="J71" i="10"/>
  <c r="E69" i="10"/>
  <c r="J79" i="10"/>
  <c r="E77" i="10"/>
  <c r="J103" i="10"/>
  <c r="E103" i="10"/>
  <c r="J102" i="10"/>
  <c r="E102" i="10"/>
  <c r="J101" i="10"/>
  <c r="E101" i="10"/>
  <c r="J100" i="10"/>
  <c r="E100" i="10"/>
  <c r="J99" i="10"/>
  <c r="E99" i="10"/>
  <c r="J89" i="10"/>
  <c r="E88" i="10"/>
  <c r="J58" i="10"/>
  <c r="E56" i="10"/>
  <c r="J65" i="10"/>
  <c r="E62" i="10"/>
  <c r="J88" i="10"/>
  <c r="E87" i="10"/>
  <c r="J61" i="10"/>
  <c r="E58" i="10"/>
  <c r="J78" i="10"/>
  <c r="E76" i="10"/>
  <c r="J66" i="10"/>
  <c r="E68" i="10"/>
  <c r="J77" i="10"/>
  <c r="E75" i="10"/>
  <c r="J87" i="10"/>
  <c r="E86" i="10"/>
  <c r="J68" i="10"/>
  <c r="E65" i="10"/>
  <c r="J98" i="10"/>
  <c r="E98" i="10"/>
  <c r="J97" i="10"/>
  <c r="E97" i="10"/>
  <c r="J62" i="10"/>
  <c r="E59" i="10"/>
  <c r="J67" i="10"/>
  <c r="E64" i="10"/>
  <c r="J86" i="10"/>
  <c r="E85" i="10"/>
  <c r="J76" i="10"/>
  <c r="E74" i="10"/>
  <c r="J70" i="10"/>
  <c r="E67" i="10"/>
  <c r="J85" i="10"/>
  <c r="E84" i="10"/>
  <c r="J96" i="10"/>
  <c r="E96" i="10"/>
  <c r="J95" i="10"/>
  <c r="E95" i="10"/>
  <c r="J57" i="10"/>
  <c r="E83" i="10"/>
  <c r="J64" i="10"/>
  <c r="E61" i="10"/>
  <c r="J84" i="10"/>
  <c r="E82" i="10"/>
  <c r="J56" i="10"/>
  <c r="E63" i="10"/>
  <c r="J75" i="10"/>
  <c r="E73" i="10"/>
  <c r="J74" i="10"/>
  <c r="E72" i="10"/>
  <c r="J83" i="10"/>
  <c r="E81" i="10"/>
  <c r="J59" i="10"/>
  <c r="E94" i="10"/>
  <c r="J73" i="10"/>
  <c r="E71" i="10"/>
  <c r="J69" i="10"/>
  <c r="E66" i="10"/>
  <c r="J60" i="10"/>
  <c r="E57" i="10"/>
  <c r="J63" i="10"/>
  <c r="E60" i="10"/>
  <c r="J94" i="10"/>
  <c r="E93" i="10"/>
  <c r="J82" i="10"/>
  <c r="E80" i="10"/>
  <c r="J93" i="10"/>
  <c r="E92" i="10"/>
  <c r="J81" i="10"/>
  <c r="E79" i="10"/>
  <c r="J92" i="10"/>
  <c r="E91" i="10"/>
  <c r="J91" i="10"/>
  <c r="E90" i="10"/>
  <c r="J80" i="10"/>
  <c r="E78" i="10"/>
  <c r="J90" i="10"/>
  <c r="E89" i="10"/>
  <c r="J72" i="10"/>
  <c r="E70" i="10"/>
  <c r="E117" i="5" l="1"/>
  <c r="J105" i="10"/>
  <c r="E105" i="10"/>
  <c r="Q5" i="6" l="1"/>
  <c r="I127" i="6"/>
  <c r="H127" i="6"/>
  <c r="G127" i="6"/>
  <c r="D127" i="6"/>
  <c r="C127" i="6"/>
  <c r="B127" i="6"/>
  <c r="J79" i="6"/>
  <c r="E126" i="6"/>
  <c r="J126" i="6"/>
  <c r="E125" i="6"/>
  <c r="J100" i="6"/>
  <c r="E98" i="6"/>
  <c r="J73" i="6"/>
  <c r="E71" i="6"/>
  <c r="J125" i="6"/>
  <c r="E124" i="6"/>
  <c r="J124" i="6"/>
  <c r="E123" i="6"/>
  <c r="J123" i="6"/>
  <c r="E122" i="6"/>
  <c r="J99" i="6"/>
  <c r="E97" i="6"/>
  <c r="J87" i="6"/>
  <c r="E83" i="6"/>
  <c r="J122" i="6"/>
  <c r="E121" i="6"/>
  <c r="J121" i="6"/>
  <c r="E120" i="6"/>
  <c r="J98" i="6"/>
  <c r="E96" i="6"/>
  <c r="J70" i="6"/>
  <c r="E68" i="6"/>
  <c r="J78" i="6"/>
  <c r="E76" i="6"/>
  <c r="J92" i="6"/>
  <c r="E95" i="6"/>
  <c r="J120" i="6"/>
  <c r="E119" i="6"/>
  <c r="J119" i="6"/>
  <c r="E118" i="6"/>
  <c r="J77" i="6"/>
  <c r="E75" i="6"/>
  <c r="J118" i="6"/>
  <c r="E117" i="6"/>
  <c r="J86" i="6"/>
  <c r="E82" i="6"/>
  <c r="J74" i="6"/>
  <c r="E70" i="6"/>
  <c r="J72" i="6"/>
  <c r="E69" i="6"/>
  <c r="J82" i="6"/>
  <c r="E79" i="6"/>
  <c r="J67" i="6"/>
  <c r="E116" i="6"/>
  <c r="J103" i="6"/>
  <c r="E101" i="6"/>
  <c r="J102" i="6"/>
  <c r="E100" i="6"/>
  <c r="J88" i="6"/>
  <c r="E88" i="6"/>
  <c r="J91" i="6"/>
  <c r="E87" i="6"/>
  <c r="J101" i="6"/>
  <c r="E99" i="6"/>
  <c r="J117" i="6"/>
  <c r="E115" i="6"/>
  <c r="J90" i="6"/>
  <c r="E86" i="6"/>
  <c r="J71" i="6"/>
  <c r="E74" i="6"/>
  <c r="J68" i="6"/>
  <c r="E67" i="6"/>
  <c r="J85" i="6"/>
  <c r="E81" i="6"/>
  <c r="J97" i="6"/>
  <c r="E94" i="6"/>
  <c r="J116" i="6"/>
  <c r="E114" i="6"/>
  <c r="J76" i="6"/>
  <c r="E73" i="6"/>
  <c r="J115" i="6"/>
  <c r="E113" i="6"/>
  <c r="J96" i="6"/>
  <c r="E93" i="6"/>
  <c r="J81" i="6"/>
  <c r="E78" i="6"/>
  <c r="J114" i="6"/>
  <c r="E112" i="6"/>
  <c r="J113" i="6"/>
  <c r="E111" i="6"/>
  <c r="J112" i="6"/>
  <c r="E110" i="6"/>
  <c r="J95" i="6"/>
  <c r="E92" i="6"/>
  <c r="J83" i="6"/>
  <c r="E85" i="6"/>
  <c r="J94" i="6"/>
  <c r="E91" i="6"/>
  <c r="J111" i="6"/>
  <c r="E109" i="6"/>
  <c r="J110" i="6"/>
  <c r="E108" i="6"/>
  <c r="J109" i="6"/>
  <c r="E107" i="6"/>
  <c r="J108" i="6"/>
  <c r="E106" i="6"/>
  <c r="J107" i="6"/>
  <c r="E105" i="6"/>
  <c r="J84" i="6"/>
  <c r="E80" i="6"/>
  <c r="J69" i="6"/>
  <c r="E90" i="6"/>
  <c r="J93" i="6"/>
  <c r="E89" i="6"/>
  <c r="J104" i="6"/>
  <c r="E104" i="6"/>
  <c r="J89" i="6"/>
  <c r="E84" i="6"/>
  <c r="J80" i="6"/>
  <c r="E77" i="6"/>
  <c r="J106" i="6"/>
  <c r="E103" i="6"/>
  <c r="J105" i="6"/>
  <c r="E102" i="6"/>
  <c r="J75" i="6"/>
  <c r="E72" i="6"/>
  <c r="S9" i="1"/>
  <c r="P4" i="1"/>
  <c r="I117" i="14"/>
  <c r="H117" i="14"/>
  <c r="G117" i="14"/>
  <c r="J117" i="14" s="1"/>
  <c r="D117" i="14"/>
  <c r="C117" i="14"/>
  <c r="B117" i="14"/>
  <c r="J86" i="14"/>
  <c r="E82" i="14"/>
  <c r="J102" i="14"/>
  <c r="E100" i="14"/>
  <c r="J73" i="14"/>
  <c r="E70" i="14"/>
  <c r="J101" i="14"/>
  <c r="E99" i="14"/>
  <c r="J79" i="14"/>
  <c r="E75" i="14"/>
  <c r="J100" i="14"/>
  <c r="E98" i="14"/>
  <c r="J78" i="14"/>
  <c r="E74" i="14"/>
  <c r="J85" i="14"/>
  <c r="E81" i="14"/>
  <c r="J99" i="14"/>
  <c r="E97" i="14"/>
  <c r="J70" i="14"/>
  <c r="E96" i="14"/>
  <c r="J116" i="14"/>
  <c r="E116" i="14"/>
  <c r="J115" i="14"/>
  <c r="E115" i="14"/>
  <c r="J75" i="14"/>
  <c r="E72" i="14"/>
  <c r="J114" i="14"/>
  <c r="E114" i="14"/>
  <c r="J98" i="14"/>
  <c r="E95" i="14"/>
  <c r="J113" i="14"/>
  <c r="E113" i="14"/>
  <c r="J112" i="14"/>
  <c r="E112" i="14"/>
  <c r="J97" i="14"/>
  <c r="E94" i="14"/>
  <c r="J96" i="14"/>
  <c r="E93" i="14"/>
  <c r="J111" i="14"/>
  <c r="E111" i="14"/>
  <c r="J95" i="14"/>
  <c r="E92" i="14"/>
  <c r="J94" i="14"/>
  <c r="E91" i="14"/>
  <c r="J63" i="14"/>
  <c r="E110" i="14"/>
  <c r="J93" i="14"/>
  <c r="E90" i="14"/>
  <c r="J74" i="14"/>
  <c r="E109" i="14"/>
  <c r="J71" i="14"/>
  <c r="E68" i="14"/>
  <c r="J92" i="14"/>
  <c r="E89" i="14"/>
  <c r="J110" i="14"/>
  <c r="E108" i="14"/>
  <c r="J109" i="14"/>
  <c r="E107" i="14"/>
  <c r="J84" i="14"/>
  <c r="E80" i="14"/>
  <c r="J91" i="14"/>
  <c r="E88" i="14"/>
  <c r="J108" i="14"/>
  <c r="E106" i="14"/>
  <c r="J77" i="14"/>
  <c r="E73" i="14"/>
  <c r="J69" i="14"/>
  <c r="E67" i="14"/>
  <c r="J90" i="14"/>
  <c r="E87" i="14"/>
  <c r="J67" i="14"/>
  <c r="E65" i="14"/>
  <c r="J64" i="14"/>
  <c r="E62" i="14"/>
  <c r="J66" i="14"/>
  <c r="E64" i="14"/>
  <c r="J83" i="14"/>
  <c r="E79" i="14"/>
  <c r="J76" i="14"/>
  <c r="E86" i="14"/>
  <c r="J68" i="14"/>
  <c r="E66" i="14"/>
  <c r="J65" i="14"/>
  <c r="E63" i="14"/>
  <c r="J72" i="14"/>
  <c r="E71" i="14"/>
  <c r="J107" i="14"/>
  <c r="E105" i="14"/>
  <c r="J106" i="14"/>
  <c r="E104" i="14"/>
  <c r="J89" i="14"/>
  <c r="E85" i="14"/>
  <c r="J82" i="14"/>
  <c r="E78" i="14"/>
  <c r="J81" i="14"/>
  <c r="E77" i="14"/>
  <c r="J62" i="14"/>
  <c r="E69" i="14"/>
  <c r="J105" i="14"/>
  <c r="E103" i="14"/>
  <c r="J88" i="14"/>
  <c r="E84" i="14"/>
  <c r="J80" i="14"/>
  <c r="E76" i="14"/>
  <c r="J87" i="14"/>
  <c r="E83" i="14"/>
  <c r="J104" i="14"/>
  <c r="E102" i="14"/>
  <c r="J103" i="14"/>
  <c r="E101" i="14"/>
  <c r="I107" i="11"/>
  <c r="H107" i="11"/>
  <c r="G107" i="11"/>
  <c r="D107" i="11"/>
  <c r="C107" i="11"/>
  <c r="B107" i="11"/>
  <c r="J63" i="11"/>
  <c r="E106" i="11"/>
  <c r="J86" i="11"/>
  <c r="E85" i="11"/>
  <c r="J106" i="11"/>
  <c r="E105" i="11"/>
  <c r="J105" i="11"/>
  <c r="E104" i="11"/>
  <c r="J71" i="11"/>
  <c r="E68" i="11"/>
  <c r="J59" i="11"/>
  <c r="E58" i="11"/>
  <c r="J85" i="11"/>
  <c r="E84" i="11"/>
  <c r="J104" i="11"/>
  <c r="E103" i="11"/>
  <c r="J103" i="11"/>
  <c r="E102" i="11"/>
  <c r="J102" i="11"/>
  <c r="E101" i="11"/>
  <c r="J75" i="11"/>
  <c r="E72" i="11"/>
  <c r="J67" i="11"/>
  <c r="E64" i="11"/>
  <c r="J66" i="11"/>
  <c r="E63" i="11"/>
  <c r="J101" i="11"/>
  <c r="E100" i="11"/>
  <c r="J84" i="11"/>
  <c r="E83" i="11"/>
  <c r="J83" i="11"/>
  <c r="E82" i="11"/>
  <c r="J82" i="11"/>
  <c r="E81" i="11"/>
  <c r="J100" i="11"/>
  <c r="E99" i="11"/>
  <c r="J99" i="11"/>
  <c r="E98" i="11"/>
  <c r="J98" i="11"/>
  <c r="E97" i="11"/>
  <c r="J74" i="11"/>
  <c r="E71" i="11"/>
  <c r="J97" i="11"/>
  <c r="E96" i="11"/>
  <c r="J96" i="11"/>
  <c r="E95" i="11"/>
  <c r="J81" i="11"/>
  <c r="E80" i="11"/>
  <c r="J60" i="11"/>
  <c r="E59" i="11"/>
  <c r="J80" i="11"/>
  <c r="E79" i="11"/>
  <c r="J95" i="11"/>
  <c r="E94" i="11"/>
  <c r="J61" i="11"/>
  <c r="E60" i="11"/>
  <c r="J79" i="11"/>
  <c r="E78" i="11"/>
  <c r="J70" i="11"/>
  <c r="E67" i="11"/>
  <c r="J62" i="11"/>
  <c r="E77" i="11"/>
  <c r="J78" i="11"/>
  <c r="E76" i="11"/>
  <c r="J69" i="11"/>
  <c r="E66" i="11"/>
  <c r="J94" i="11"/>
  <c r="E93" i="11"/>
  <c r="J65" i="11"/>
  <c r="E62" i="11"/>
  <c r="J93" i="11"/>
  <c r="E92" i="11"/>
  <c r="J92" i="11"/>
  <c r="E91" i="11"/>
  <c r="J64" i="11"/>
  <c r="E61" i="11"/>
  <c r="J91" i="11"/>
  <c r="E90" i="11"/>
  <c r="J57" i="11"/>
  <c r="E75" i="11"/>
  <c r="J73" i="11"/>
  <c r="E70" i="11"/>
  <c r="J68" i="11"/>
  <c r="E65" i="11"/>
  <c r="J90" i="11"/>
  <c r="E89" i="11"/>
  <c r="J89" i="11"/>
  <c r="E88" i="11"/>
  <c r="J72" i="11"/>
  <c r="E69" i="11"/>
  <c r="J77" i="11"/>
  <c r="E74" i="11"/>
  <c r="J58" i="11"/>
  <c r="E57" i="11"/>
  <c r="J88" i="11"/>
  <c r="E87" i="11"/>
  <c r="J87" i="11"/>
  <c r="E86" i="11"/>
  <c r="J76" i="11"/>
  <c r="E73" i="11"/>
  <c r="Q5" i="9"/>
  <c r="I107" i="9"/>
  <c r="H107" i="9"/>
  <c r="G107" i="9"/>
  <c r="D107" i="9"/>
  <c r="C107" i="9"/>
  <c r="B107" i="9"/>
  <c r="J87" i="9"/>
  <c r="E86" i="9"/>
  <c r="J100" i="9"/>
  <c r="E99" i="9"/>
  <c r="J99" i="9"/>
  <c r="E98" i="9"/>
  <c r="J98" i="9"/>
  <c r="E97" i="9"/>
  <c r="J97" i="9"/>
  <c r="E96" i="9"/>
  <c r="J106" i="9"/>
  <c r="E106" i="9"/>
  <c r="J105" i="9"/>
  <c r="E105" i="9"/>
  <c r="J57" i="9"/>
  <c r="E85" i="9"/>
  <c r="J71" i="9"/>
  <c r="E68" i="9"/>
  <c r="J69" i="9"/>
  <c r="E66" i="9"/>
  <c r="J86" i="9"/>
  <c r="E84" i="9"/>
  <c r="J79" i="9"/>
  <c r="E76" i="9"/>
  <c r="J62" i="9"/>
  <c r="E59" i="9"/>
  <c r="J61" i="9"/>
  <c r="E58" i="9"/>
  <c r="J85" i="9"/>
  <c r="E83" i="9"/>
  <c r="J81" i="9"/>
  <c r="E82" i="9"/>
  <c r="J68" i="9"/>
  <c r="E65" i="9"/>
  <c r="J96" i="9"/>
  <c r="E95" i="9"/>
  <c r="J104" i="9"/>
  <c r="E104" i="9"/>
  <c r="J95" i="9"/>
  <c r="E94" i="9"/>
  <c r="J80" i="9"/>
  <c r="E81" i="9"/>
  <c r="J84" i="9"/>
  <c r="E80" i="9"/>
  <c r="J94" i="9"/>
  <c r="E93" i="9"/>
  <c r="J59" i="9"/>
  <c r="E103" i="9"/>
  <c r="J103" i="9"/>
  <c r="E102" i="9"/>
  <c r="J78" i="9"/>
  <c r="E75" i="9"/>
  <c r="J77" i="9"/>
  <c r="E74" i="9"/>
  <c r="J102" i="9"/>
  <c r="E101" i="9"/>
  <c r="J67" i="9"/>
  <c r="E64" i="9"/>
  <c r="J66" i="9"/>
  <c r="E63" i="9"/>
  <c r="J65" i="9"/>
  <c r="E62" i="9"/>
  <c r="J72" i="9"/>
  <c r="E69" i="9"/>
  <c r="J60" i="9"/>
  <c r="E79" i="9"/>
  <c r="J101" i="9"/>
  <c r="E100" i="9"/>
  <c r="J63" i="9"/>
  <c r="E60" i="9"/>
  <c r="J76" i="9"/>
  <c r="E73" i="9"/>
  <c r="J93" i="9"/>
  <c r="E92" i="9"/>
  <c r="J92" i="9"/>
  <c r="E91" i="9"/>
  <c r="J75" i="9"/>
  <c r="E72" i="9"/>
  <c r="J91" i="9"/>
  <c r="E90" i="9"/>
  <c r="J74" i="9"/>
  <c r="E71" i="9"/>
  <c r="J58" i="9"/>
  <c r="E57" i="9"/>
  <c r="J73" i="9"/>
  <c r="E70" i="9"/>
  <c r="J83" i="9"/>
  <c r="E78" i="9"/>
  <c r="J90" i="9"/>
  <c r="E89" i="9"/>
  <c r="J70" i="9"/>
  <c r="E67" i="9"/>
  <c r="J82" i="9"/>
  <c r="E77" i="9"/>
  <c r="J89" i="9"/>
  <c r="E88" i="9"/>
  <c r="J88" i="9"/>
  <c r="E87" i="9"/>
  <c r="J64" i="9"/>
  <c r="E61" i="9"/>
  <c r="F270" i="13"/>
  <c r="C259" i="13"/>
  <c r="J49" i="9"/>
  <c r="E49" i="9"/>
  <c r="Q4" i="3"/>
  <c r="N4" i="3"/>
  <c r="I107" i="3"/>
  <c r="H107" i="3"/>
  <c r="G107" i="3"/>
  <c r="D107" i="3"/>
  <c r="C107" i="3"/>
  <c r="B107" i="3"/>
  <c r="E107" i="3" s="1"/>
  <c r="J60" i="3"/>
  <c r="E58" i="3"/>
  <c r="J96" i="3"/>
  <c r="E94" i="3"/>
  <c r="J59" i="3"/>
  <c r="E57" i="3"/>
  <c r="J106" i="3"/>
  <c r="E106" i="3"/>
  <c r="J73" i="3"/>
  <c r="E70" i="3"/>
  <c r="J83" i="3"/>
  <c r="E80" i="3"/>
  <c r="J72" i="3"/>
  <c r="E68" i="3"/>
  <c r="J71" i="3"/>
  <c r="E105" i="3"/>
  <c r="J105" i="3"/>
  <c r="E104" i="3"/>
  <c r="J104" i="3"/>
  <c r="E103" i="3"/>
  <c r="J68" i="3"/>
  <c r="E66" i="3"/>
  <c r="J95" i="3"/>
  <c r="E93" i="3"/>
  <c r="J94" i="3"/>
  <c r="E92" i="3"/>
  <c r="J103" i="3"/>
  <c r="E102" i="3"/>
  <c r="J74" i="3"/>
  <c r="E79" i="3"/>
  <c r="J93" i="3"/>
  <c r="E91" i="3"/>
  <c r="J82" i="3"/>
  <c r="E78" i="3"/>
  <c r="J92" i="3"/>
  <c r="E90" i="3"/>
  <c r="J102" i="3"/>
  <c r="E101" i="3"/>
  <c r="J101" i="3"/>
  <c r="E100" i="3"/>
  <c r="J81" i="3"/>
  <c r="E77" i="3"/>
  <c r="J64" i="3"/>
  <c r="E63" i="3"/>
  <c r="J91" i="3"/>
  <c r="E89" i="3"/>
  <c r="J80" i="3"/>
  <c r="E76" i="3"/>
  <c r="J90" i="3"/>
  <c r="E88" i="3"/>
  <c r="J79" i="3"/>
  <c r="E75" i="3"/>
  <c r="J67" i="3"/>
  <c r="J66" i="3"/>
  <c r="E65" i="3"/>
  <c r="J100" i="3"/>
  <c r="E98" i="3"/>
  <c r="J78" i="3"/>
  <c r="E74" i="3"/>
  <c r="J99" i="3"/>
  <c r="E97" i="3"/>
  <c r="J77" i="3"/>
  <c r="E73" i="3"/>
  <c r="J76" i="3"/>
  <c r="E72" i="3"/>
  <c r="J65" i="3"/>
  <c r="E64" i="3"/>
  <c r="J63" i="3"/>
  <c r="E62" i="3"/>
  <c r="J75" i="3"/>
  <c r="E71" i="3"/>
  <c r="J98" i="3"/>
  <c r="E96" i="3"/>
  <c r="J89" i="3"/>
  <c r="E87" i="3"/>
  <c r="J57" i="3"/>
  <c r="E61" i="3"/>
  <c r="J88" i="3"/>
  <c r="E86" i="3"/>
  <c r="J62" i="3"/>
  <c r="E60" i="3"/>
  <c r="J87" i="3"/>
  <c r="E85" i="3"/>
  <c r="J58" i="3"/>
  <c r="E67" i="3"/>
  <c r="J61" i="3"/>
  <c r="E59" i="3"/>
  <c r="J70" i="3"/>
  <c r="E84" i="3"/>
  <c r="J69" i="3"/>
  <c r="E69" i="3"/>
  <c r="J86" i="3"/>
  <c r="E83" i="3"/>
  <c r="J97" i="3"/>
  <c r="E95" i="3"/>
  <c r="J85" i="3"/>
  <c r="E82" i="3"/>
  <c r="J84" i="3"/>
  <c r="E81" i="3"/>
  <c r="Q6" i="2"/>
  <c r="I97" i="2"/>
  <c r="H97" i="2"/>
  <c r="G97" i="2"/>
  <c r="D97" i="2"/>
  <c r="C97" i="2"/>
  <c r="B97" i="2"/>
  <c r="J73" i="2"/>
  <c r="E72" i="2"/>
  <c r="J55" i="2"/>
  <c r="E54" i="2"/>
  <c r="J82" i="2"/>
  <c r="E82" i="2"/>
  <c r="J81" i="2"/>
  <c r="E81" i="2"/>
  <c r="J72" i="2"/>
  <c r="E71" i="2"/>
  <c r="J71" i="2"/>
  <c r="E70" i="2"/>
  <c r="J66" i="2"/>
  <c r="E64" i="2"/>
  <c r="J70" i="2"/>
  <c r="E69" i="2"/>
  <c r="J80" i="2"/>
  <c r="E80" i="2"/>
  <c r="J65" i="2"/>
  <c r="E63" i="2"/>
  <c r="J96" i="2"/>
  <c r="E96" i="2"/>
  <c r="J54" i="2"/>
  <c r="E79" i="2"/>
  <c r="J59" i="2"/>
  <c r="E60" i="2"/>
  <c r="J79" i="2"/>
  <c r="E78" i="2"/>
  <c r="J62" i="2"/>
  <c r="E59" i="2"/>
  <c r="J78" i="2"/>
  <c r="E77" i="2"/>
  <c r="J56" i="2"/>
  <c r="E55" i="2"/>
  <c r="J74" i="2"/>
  <c r="E76" i="2"/>
  <c r="J95" i="2"/>
  <c r="E95" i="2"/>
  <c r="J94" i="2"/>
  <c r="E94" i="2"/>
  <c r="J93" i="2"/>
  <c r="E93" i="2"/>
  <c r="J92" i="2"/>
  <c r="E92" i="2"/>
  <c r="J64" i="2"/>
  <c r="E62" i="2"/>
  <c r="J77" i="2"/>
  <c r="E75" i="2"/>
  <c r="J91" i="2"/>
  <c r="E91" i="2"/>
  <c r="J90" i="2"/>
  <c r="E90" i="2"/>
  <c r="J89" i="2"/>
  <c r="E89" i="2"/>
  <c r="J76" i="2"/>
  <c r="E74" i="2"/>
  <c r="J75" i="2"/>
  <c r="E73" i="2"/>
  <c r="J69" i="2"/>
  <c r="E68" i="2"/>
  <c r="J52" i="2"/>
  <c r="E53" i="2"/>
  <c r="J61" i="2"/>
  <c r="E67" i="2"/>
  <c r="J63" i="2"/>
  <c r="E61" i="2"/>
  <c r="J88" i="2"/>
  <c r="E88" i="2"/>
  <c r="J58" i="2"/>
  <c r="E57" i="2"/>
  <c r="J57" i="2"/>
  <c r="E56" i="2"/>
  <c r="J60" i="2"/>
  <c r="E58" i="2"/>
  <c r="J87" i="2"/>
  <c r="E87" i="2"/>
  <c r="J86" i="2"/>
  <c r="E86" i="2"/>
  <c r="J68" i="2"/>
  <c r="E66" i="2"/>
  <c r="J67" i="2"/>
  <c r="E65" i="2"/>
  <c r="J53" i="2"/>
  <c r="E52" i="2"/>
  <c r="J85" i="2"/>
  <c r="E85" i="2"/>
  <c r="J84" i="2"/>
  <c r="E84" i="2"/>
  <c r="J83" i="2"/>
  <c r="E83" i="2"/>
  <c r="J127" i="6" l="1"/>
  <c r="E127" i="6"/>
  <c r="E117" i="14"/>
  <c r="J107" i="11"/>
  <c r="E107" i="11"/>
  <c r="J107" i="9"/>
  <c r="E107" i="9"/>
  <c r="J107" i="3"/>
  <c r="J97" i="2"/>
  <c r="E97" i="2"/>
  <c r="Q5" i="4" l="1"/>
  <c r="I117" i="4"/>
  <c r="H117" i="4"/>
  <c r="G117" i="4"/>
  <c r="E117" i="4"/>
  <c r="D117" i="4"/>
  <c r="C117" i="4"/>
  <c r="B117" i="4"/>
  <c r="J98" i="4"/>
  <c r="E97" i="4"/>
  <c r="J69" i="4"/>
  <c r="E66" i="4"/>
  <c r="J80" i="4"/>
  <c r="E77" i="4"/>
  <c r="J116" i="4"/>
  <c r="E116" i="4"/>
  <c r="J62" i="4"/>
  <c r="E72" i="4"/>
  <c r="J115" i="4"/>
  <c r="E115" i="4"/>
  <c r="J97" i="4"/>
  <c r="E96" i="4"/>
  <c r="J74" i="4"/>
  <c r="E71" i="4"/>
  <c r="J68" i="4"/>
  <c r="E65" i="4"/>
  <c r="J88" i="4"/>
  <c r="E95" i="4"/>
  <c r="J114" i="4"/>
  <c r="E114" i="4"/>
  <c r="J73" i="4"/>
  <c r="E70" i="4"/>
  <c r="J79" i="4"/>
  <c r="E76" i="4"/>
  <c r="J113" i="4"/>
  <c r="E113" i="4"/>
  <c r="J63" i="4"/>
  <c r="E62" i="4"/>
  <c r="J112" i="4"/>
  <c r="E112" i="4"/>
  <c r="J96" i="4"/>
  <c r="E94" i="4"/>
  <c r="J87" i="4"/>
  <c r="E84" i="4"/>
  <c r="J95" i="4"/>
  <c r="E93" i="4"/>
  <c r="J111" i="4"/>
  <c r="E111" i="4"/>
  <c r="J110" i="4"/>
  <c r="E110" i="4"/>
  <c r="J94" i="4"/>
  <c r="E92" i="4"/>
  <c r="J109" i="4"/>
  <c r="E109" i="4"/>
  <c r="J78" i="4"/>
  <c r="E75" i="4"/>
  <c r="J108" i="4"/>
  <c r="E108" i="4"/>
  <c r="J77" i="4"/>
  <c r="E74" i="4"/>
  <c r="J67" i="4"/>
  <c r="E64" i="4"/>
  <c r="J86" i="4"/>
  <c r="E83" i="4"/>
  <c r="J93" i="4"/>
  <c r="E91" i="4"/>
  <c r="J107" i="4"/>
  <c r="E107" i="4"/>
  <c r="J106" i="4"/>
  <c r="E106" i="4"/>
  <c r="J72" i="4"/>
  <c r="E69" i="4"/>
  <c r="J76" i="4"/>
  <c r="E90" i="4"/>
  <c r="J71" i="4"/>
  <c r="E68" i="4"/>
  <c r="J105" i="4"/>
  <c r="E105" i="4"/>
  <c r="J92" i="4"/>
  <c r="E89" i="4"/>
  <c r="J70" i="4"/>
  <c r="E67" i="4"/>
  <c r="J66" i="4"/>
  <c r="E104" i="4"/>
  <c r="J104" i="4"/>
  <c r="E103" i="4"/>
  <c r="J103" i="4"/>
  <c r="E102" i="4"/>
  <c r="J65" i="4"/>
  <c r="E63" i="4"/>
  <c r="J91" i="4"/>
  <c r="E88" i="4"/>
  <c r="J90" i="4"/>
  <c r="E87" i="4"/>
  <c r="J85" i="4"/>
  <c r="E82" i="4"/>
  <c r="J84" i="4"/>
  <c r="E81" i="4"/>
  <c r="J102" i="4"/>
  <c r="E101" i="4"/>
  <c r="J89" i="4"/>
  <c r="E86" i="4"/>
  <c r="J101" i="4"/>
  <c r="E100" i="4"/>
  <c r="J100" i="4"/>
  <c r="E99" i="4"/>
  <c r="J64" i="4"/>
  <c r="E85" i="4"/>
  <c r="J83" i="4"/>
  <c r="E80" i="4"/>
  <c r="J82" i="4"/>
  <c r="E79" i="4"/>
  <c r="J99" i="4"/>
  <c r="E98" i="4"/>
  <c r="J75" i="4"/>
  <c r="E73" i="4"/>
  <c r="J81" i="4"/>
  <c r="E78" i="4"/>
  <c r="J117" i="4" l="1"/>
  <c r="K70" i="13"/>
  <c r="J70" i="13"/>
  <c r="I70" i="13"/>
  <c r="K69" i="13"/>
  <c r="J69" i="13"/>
  <c r="I69" i="13"/>
  <c r="K68" i="13"/>
  <c r="J68" i="13"/>
  <c r="I68" i="13"/>
  <c r="K67" i="13"/>
  <c r="J67" i="13"/>
  <c r="I67" i="13"/>
  <c r="K66" i="13"/>
  <c r="J66" i="13"/>
  <c r="I66" i="13"/>
  <c r="K65" i="13"/>
  <c r="J65" i="13"/>
  <c r="I65" i="13"/>
  <c r="K64" i="13"/>
  <c r="J64" i="13"/>
  <c r="I64" i="13"/>
  <c r="K63" i="13"/>
  <c r="J63" i="13"/>
  <c r="I63" i="13"/>
  <c r="K62" i="13"/>
  <c r="J62" i="13"/>
  <c r="I62" i="13"/>
  <c r="K61" i="13"/>
  <c r="J61" i="13"/>
  <c r="I61" i="13"/>
  <c r="K60" i="13"/>
  <c r="J60" i="13"/>
  <c r="I60" i="13"/>
  <c r="K59" i="13"/>
  <c r="J59" i="13"/>
  <c r="I59" i="13"/>
  <c r="K58" i="13"/>
  <c r="J58" i="13"/>
  <c r="I58" i="13"/>
  <c r="K57" i="13"/>
  <c r="J57" i="13"/>
  <c r="I57" i="13"/>
  <c r="K56" i="13"/>
  <c r="J56" i="13"/>
  <c r="I56" i="13"/>
  <c r="K55" i="13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J31" i="13"/>
  <c r="I31" i="13"/>
  <c r="K31" i="13" s="1"/>
  <c r="N11" i="6"/>
  <c r="K71" i="13" l="1"/>
  <c r="J71" i="13"/>
  <c r="I71" i="13"/>
  <c r="J28" i="13"/>
  <c r="I28" i="13"/>
  <c r="J26" i="13"/>
  <c r="I26" i="13"/>
  <c r="N6" i="9"/>
  <c r="F234" i="13"/>
  <c r="C217" i="13"/>
  <c r="J24" i="2"/>
  <c r="E24" i="2"/>
  <c r="K28" i="13" l="1"/>
  <c r="K26" i="13"/>
  <c r="N6" i="14"/>
  <c r="F186" i="13"/>
  <c r="C166" i="13"/>
  <c r="J5" i="14"/>
  <c r="E5" i="14"/>
  <c r="J25" i="13" l="1"/>
  <c r="I25" i="13"/>
  <c r="K25" i="13" l="1"/>
  <c r="P7" i="1"/>
  <c r="Q7" i="10" l="1"/>
  <c r="F210" i="13" l="1"/>
  <c r="C192" i="13"/>
  <c r="J16" i="9"/>
  <c r="E16" i="9"/>
  <c r="P24" i="1"/>
  <c r="F364" i="13"/>
  <c r="C357" i="13"/>
  <c r="L21" i="1"/>
  <c r="F21" i="1"/>
  <c r="P23" i="1" l="1"/>
  <c r="J51" i="1"/>
  <c r="D51" i="1"/>
  <c r="N15" i="4" l="1"/>
  <c r="Q4" i="14" l="1"/>
  <c r="J24" i="13" l="1"/>
  <c r="I24" i="13"/>
  <c r="Q10" i="6"/>
  <c r="J37" i="13"/>
  <c r="I37" i="13"/>
  <c r="K24" i="13" l="1"/>
  <c r="K37" i="13"/>
  <c r="N13" i="3"/>
  <c r="N6" i="3"/>
  <c r="J5" i="13" l="1"/>
  <c r="I5" i="13"/>
  <c r="J47" i="13"/>
  <c r="I47" i="13"/>
  <c r="J41" i="13"/>
  <c r="I41" i="13"/>
  <c r="J46" i="13"/>
  <c r="I46" i="13"/>
  <c r="J45" i="13"/>
  <c r="I45" i="13"/>
  <c r="J43" i="13"/>
  <c r="I43" i="13"/>
  <c r="J38" i="13"/>
  <c r="I38" i="13"/>
  <c r="J40" i="13"/>
  <c r="I40" i="13"/>
  <c r="J39" i="13"/>
  <c r="I39" i="13"/>
  <c r="J36" i="13"/>
  <c r="I36" i="13"/>
  <c r="J35" i="13"/>
  <c r="I35" i="13"/>
  <c r="K35" i="13" s="1"/>
  <c r="J32" i="13"/>
  <c r="I32" i="13"/>
  <c r="K32" i="13" s="1"/>
  <c r="J33" i="13"/>
  <c r="I33" i="13"/>
  <c r="J30" i="13"/>
  <c r="I30" i="13"/>
  <c r="J29" i="13"/>
  <c r="I29" i="13"/>
  <c r="J7" i="13"/>
  <c r="I7" i="13"/>
  <c r="J27" i="13"/>
  <c r="I27" i="13"/>
  <c r="K27" i="13" s="1"/>
  <c r="J34" i="13"/>
  <c r="I34" i="13"/>
  <c r="Q8" i="3"/>
  <c r="K30" i="13" l="1"/>
  <c r="K34" i="13"/>
  <c r="K7" i="13"/>
  <c r="K38" i="13"/>
  <c r="K39" i="13"/>
  <c r="K43" i="13"/>
  <c r="K5" i="13"/>
  <c r="K29" i="13"/>
  <c r="K33" i="13"/>
  <c r="K41" i="13"/>
  <c r="K46" i="13"/>
  <c r="K47" i="13"/>
  <c r="K36" i="13"/>
  <c r="K40" i="13"/>
  <c r="K45" i="13"/>
  <c r="Q8" i="2" l="1"/>
  <c r="F111" i="13"/>
  <c r="C93" i="13"/>
  <c r="J25" i="2"/>
  <c r="E25" i="2"/>
  <c r="F267" i="13"/>
  <c r="C256" i="13"/>
  <c r="N5" i="4"/>
  <c r="Q5" i="5"/>
  <c r="N7" i="11" l="1"/>
  <c r="H7" i="15" l="1"/>
  <c r="D7" i="15"/>
  <c r="L7" i="15"/>
  <c r="K36" i="16"/>
  <c r="L14" i="15"/>
  <c r="K43" i="16"/>
  <c r="N30" i="9"/>
  <c r="F502" i="13" l="1"/>
  <c r="C501" i="13"/>
  <c r="J51" i="3"/>
  <c r="E51" i="3"/>
  <c r="Q4" i="11"/>
  <c r="K31" i="16"/>
  <c r="N31" i="4"/>
  <c r="K38" i="16"/>
  <c r="N38" i="3"/>
  <c r="F52" i="13"/>
  <c r="C38" i="13"/>
  <c r="J19" i="3"/>
  <c r="E19" i="3"/>
  <c r="K47" i="16"/>
  <c r="O5" i="18"/>
  <c r="H5" i="18"/>
  <c r="D5" i="18"/>
  <c r="K35" i="16"/>
  <c r="F300" i="13" l="1"/>
  <c r="C288" i="13"/>
  <c r="J5" i="9"/>
  <c r="E5" i="9"/>
  <c r="F515" i="13"/>
  <c r="C514" i="13"/>
  <c r="J51" i="9"/>
  <c r="E51" i="9"/>
  <c r="F248" i="13"/>
  <c r="C233" i="13"/>
  <c r="J38" i="9"/>
  <c r="E38" i="9"/>
  <c r="K33" i="16"/>
  <c r="K61" i="16"/>
  <c r="K28" i="16"/>
  <c r="F440" i="13"/>
  <c r="C437" i="13"/>
  <c r="J38" i="11"/>
  <c r="E38" i="11"/>
  <c r="K44" i="16"/>
  <c r="N30" i="2"/>
  <c r="K26" i="16"/>
  <c r="N32" i="5"/>
  <c r="F318" i="13"/>
  <c r="C307" i="13"/>
  <c r="J7" i="5"/>
  <c r="E7" i="5"/>
  <c r="K9" i="16"/>
  <c r="N30" i="4"/>
  <c r="J55" i="4"/>
  <c r="E55" i="4"/>
  <c r="F442" i="13"/>
  <c r="C439" i="13"/>
  <c r="J35" i="9"/>
  <c r="E35" i="9"/>
  <c r="F402" i="13"/>
  <c r="C396" i="13"/>
  <c r="L25" i="1"/>
  <c r="F25" i="1"/>
  <c r="F513" i="13" l="1"/>
  <c r="C512" i="13"/>
  <c r="I58" i="14"/>
  <c r="J57" i="14"/>
  <c r="H58" i="14"/>
  <c r="G58" i="14"/>
  <c r="D58" i="14"/>
  <c r="E57" i="14"/>
  <c r="C58" i="14"/>
  <c r="B58" i="14"/>
  <c r="N32" i="6"/>
  <c r="F292" i="13"/>
  <c r="C280" i="13"/>
  <c r="J8" i="6"/>
  <c r="E8" i="6"/>
  <c r="F282" i="13" l="1"/>
  <c r="C270" i="13"/>
  <c r="J6" i="3"/>
  <c r="E6" i="3"/>
  <c r="F406" i="13"/>
  <c r="C400" i="13"/>
  <c r="L27" i="1"/>
  <c r="F27" i="1"/>
  <c r="F329" i="13"/>
  <c r="C319" i="13"/>
  <c r="L11" i="1"/>
  <c r="F11" i="1"/>
  <c r="F53" i="13"/>
  <c r="C120" i="13"/>
  <c r="L13" i="1"/>
  <c r="F13" i="1"/>
  <c r="K27" i="16"/>
  <c r="N37" i="14"/>
  <c r="F491" i="13"/>
  <c r="C489" i="13"/>
  <c r="J52" i="14"/>
  <c r="E52" i="14"/>
  <c r="K29" i="16"/>
  <c r="K51" i="16"/>
  <c r="N33" i="2"/>
  <c r="O6" i="18"/>
  <c r="F380" i="13"/>
  <c r="C373" i="13"/>
  <c r="J29" i="4"/>
  <c r="E29" i="4"/>
  <c r="K30" i="16" l="1"/>
  <c r="F399" i="13"/>
  <c r="C393" i="13"/>
  <c r="J29" i="10"/>
  <c r="E29" i="10"/>
  <c r="K42" i="16"/>
  <c r="K40" i="16"/>
  <c r="N35" i="6"/>
  <c r="N33" i="6"/>
  <c r="F313" i="13"/>
  <c r="C302" i="13"/>
  <c r="J13" i="3"/>
  <c r="E13" i="3"/>
  <c r="N39" i="3"/>
  <c r="K56" i="16"/>
  <c r="K45" i="16"/>
  <c r="J9" i="13" l="1"/>
  <c r="I9" i="13"/>
  <c r="J15" i="13"/>
  <c r="I15" i="13"/>
  <c r="F135" i="13"/>
  <c r="C111" i="13"/>
  <c r="J12" i="11"/>
  <c r="E12" i="11"/>
  <c r="N8" i="6"/>
  <c r="N9" i="2"/>
  <c r="N5" i="2"/>
  <c r="F19" i="13"/>
  <c r="C6" i="13"/>
  <c r="J36" i="5"/>
  <c r="E36" i="5"/>
  <c r="K9" i="13" l="1"/>
  <c r="K15" i="13"/>
  <c r="L13" i="18" l="1"/>
  <c r="L6" i="18"/>
  <c r="L5" i="18"/>
  <c r="H40" i="18" l="1"/>
  <c r="H39" i="18"/>
  <c r="H38" i="18"/>
  <c r="H37" i="18"/>
  <c r="H36" i="18"/>
  <c r="D40" i="18"/>
  <c r="D39" i="18"/>
  <c r="D38" i="18"/>
  <c r="D37" i="18"/>
  <c r="D36" i="18"/>
  <c r="G42" i="18" l="1"/>
  <c r="F42" i="18"/>
  <c r="C42" i="18"/>
  <c r="B42" i="18"/>
  <c r="H41" i="18"/>
  <c r="D41" i="18"/>
  <c r="H35" i="18"/>
  <c r="D35" i="18"/>
  <c r="H34" i="18"/>
  <c r="D34" i="18"/>
  <c r="H33" i="18"/>
  <c r="D33" i="18"/>
  <c r="H32" i="18"/>
  <c r="D32" i="18"/>
  <c r="H31" i="18"/>
  <c r="D31" i="18"/>
  <c r="H30" i="18"/>
  <c r="D30" i="18"/>
  <c r="H29" i="18"/>
  <c r="D29" i="18"/>
  <c r="H28" i="18"/>
  <c r="D28" i="18"/>
  <c r="H27" i="18"/>
  <c r="D27" i="18"/>
  <c r="H26" i="18"/>
  <c r="D26" i="18"/>
  <c r="H25" i="18"/>
  <c r="D25" i="18"/>
  <c r="H24" i="18"/>
  <c r="D24" i="18"/>
  <c r="H23" i="18"/>
  <c r="D23" i="18"/>
  <c r="H22" i="18"/>
  <c r="D22" i="18"/>
  <c r="H21" i="18"/>
  <c r="D21" i="18"/>
  <c r="H20" i="18"/>
  <c r="D20" i="18"/>
  <c r="H19" i="18"/>
  <c r="D19" i="18"/>
  <c r="H18" i="18"/>
  <c r="D18" i="18"/>
  <c r="H17" i="18"/>
  <c r="D17" i="18"/>
  <c r="H16" i="18"/>
  <c r="D16" i="18"/>
  <c r="H15" i="18"/>
  <c r="D15" i="18"/>
  <c r="H14" i="18"/>
  <c r="D14" i="18"/>
  <c r="H13" i="18"/>
  <c r="D13" i="18"/>
  <c r="H12" i="18"/>
  <c r="D12" i="18"/>
  <c r="L12" i="18"/>
  <c r="H11" i="18"/>
  <c r="D11" i="18"/>
  <c r="L11" i="18"/>
  <c r="H10" i="18"/>
  <c r="D10" i="18"/>
  <c r="H9" i="18"/>
  <c r="D9" i="18"/>
  <c r="H8" i="18"/>
  <c r="D8" i="18"/>
  <c r="H7" i="18"/>
  <c r="D7" i="18"/>
  <c r="H6" i="18"/>
  <c r="D6" i="18"/>
  <c r="L4" i="18"/>
  <c r="H4" i="18"/>
  <c r="D4" i="18"/>
  <c r="H3" i="18"/>
  <c r="D3" i="18"/>
  <c r="D27" i="17"/>
  <c r="H27" i="17"/>
  <c r="D28" i="17"/>
  <c r="H28" i="17"/>
  <c r="D29" i="17"/>
  <c r="H29" i="17"/>
  <c r="D30" i="17"/>
  <c r="H30" i="17"/>
  <c r="D31" i="17"/>
  <c r="H31" i="17"/>
  <c r="D32" i="17"/>
  <c r="H32" i="17"/>
  <c r="D33" i="17"/>
  <c r="H33" i="17"/>
  <c r="D34" i="17"/>
  <c r="H34" i="17"/>
  <c r="D35" i="17"/>
  <c r="H35" i="17"/>
  <c r="D21" i="17"/>
  <c r="H21" i="17"/>
  <c r="D22" i="17"/>
  <c r="H22" i="17"/>
  <c r="D23" i="17"/>
  <c r="H23" i="17"/>
  <c r="D24" i="17"/>
  <c r="H24" i="17"/>
  <c r="D42" i="18" l="1"/>
  <c r="H42" i="18"/>
  <c r="D13" i="17" l="1"/>
  <c r="H13" i="17"/>
  <c r="D14" i="17"/>
  <c r="H14" i="17"/>
  <c r="D15" i="17"/>
  <c r="H15" i="17"/>
  <c r="D16" i="17"/>
  <c r="H16" i="17"/>
  <c r="D17" i="17"/>
  <c r="H17" i="17"/>
  <c r="D18" i="17"/>
  <c r="H18" i="17"/>
  <c r="D19" i="17"/>
  <c r="H19" i="17"/>
  <c r="D20" i="17"/>
  <c r="H20" i="17"/>
  <c r="D7" i="17"/>
  <c r="H7" i="17"/>
  <c r="D8" i="17"/>
  <c r="H8" i="17"/>
  <c r="D9" i="17"/>
  <c r="H9" i="17"/>
  <c r="D10" i="17"/>
  <c r="H10" i="17"/>
  <c r="D11" i="17"/>
  <c r="H11" i="17"/>
  <c r="D12" i="17"/>
  <c r="H12" i="17"/>
  <c r="G36" i="17" l="1"/>
  <c r="F36" i="17"/>
  <c r="C36" i="17"/>
  <c r="B36" i="17"/>
  <c r="H26" i="17"/>
  <c r="D26" i="17"/>
  <c r="H25" i="17"/>
  <c r="D25" i="17"/>
  <c r="L10" i="17"/>
  <c r="L9" i="17"/>
  <c r="H6" i="17"/>
  <c r="D6" i="17"/>
  <c r="O4" i="17"/>
  <c r="L4" i="17"/>
  <c r="H5" i="17"/>
  <c r="D5" i="17"/>
  <c r="H4" i="17"/>
  <c r="D4" i="17"/>
  <c r="H3" i="17"/>
  <c r="D3" i="17"/>
  <c r="N29" i="3"/>
  <c r="N16" i="10"/>
  <c r="D36" i="17" l="1"/>
  <c r="H36" i="17"/>
  <c r="N14" i="2" l="1"/>
  <c r="N17" i="2" l="1"/>
  <c r="N17" i="6"/>
  <c r="N25" i="11"/>
  <c r="N16" i="9" l="1"/>
  <c r="F501" i="13"/>
  <c r="C500" i="13"/>
  <c r="J48" i="9"/>
  <c r="E48" i="9"/>
  <c r="N16" i="14"/>
  <c r="N19" i="14"/>
  <c r="N18" i="5"/>
  <c r="AE5" i="6"/>
  <c r="N5" i="6" l="1"/>
  <c r="F28" i="13"/>
  <c r="C168" i="13"/>
  <c r="J10" i="6"/>
  <c r="E10" i="6"/>
  <c r="F261" i="13" l="1"/>
  <c r="C250" i="13"/>
  <c r="J40" i="2"/>
  <c r="E40" i="2"/>
  <c r="N8" i="9" l="1"/>
  <c r="AH35" i="14" l="1"/>
  <c r="AE35" i="14"/>
  <c r="C172" i="13" l="1"/>
  <c r="P5" i="1" l="1"/>
  <c r="N12" i="6"/>
  <c r="N33" i="3" l="1"/>
  <c r="N30" i="3"/>
  <c r="F302" i="13"/>
  <c r="C291" i="13"/>
  <c r="J11" i="3"/>
  <c r="E11" i="3"/>
  <c r="N16" i="2" l="1"/>
  <c r="F509" i="13"/>
  <c r="C508" i="13"/>
  <c r="J54" i="14"/>
  <c r="E54" i="14"/>
  <c r="P15" i="1"/>
  <c r="N21" i="6"/>
  <c r="N14" i="4"/>
  <c r="N16" i="5"/>
  <c r="N12" i="11" l="1"/>
  <c r="N13" i="11"/>
  <c r="N31" i="3"/>
  <c r="N18" i="6"/>
  <c r="N17" i="5"/>
  <c r="F395" i="13"/>
  <c r="C389" i="13"/>
  <c r="J23" i="5"/>
  <c r="E23" i="5"/>
  <c r="N16" i="4"/>
  <c r="N15" i="10"/>
  <c r="N15" i="14"/>
  <c r="N17" i="9"/>
  <c r="N15" i="2"/>
  <c r="P16" i="1" l="1"/>
  <c r="F170" i="13"/>
  <c r="C152" i="13"/>
  <c r="L40" i="1"/>
  <c r="F40" i="1"/>
  <c r="J42" i="13"/>
  <c r="I42" i="13"/>
  <c r="K42" i="13" s="1"/>
  <c r="N5" i="9"/>
  <c r="F479" i="13" l="1"/>
  <c r="C477" i="13"/>
  <c r="J49" i="14"/>
  <c r="E49" i="14"/>
  <c r="K49" i="16"/>
  <c r="L15" i="15"/>
  <c r="L5" i="15"/>
  <c r="K50" i="16"/>
  <c r="K57" i="16"/>
  <c r="K14" i="16"/>
  <c r="K34" i="16"/>
  <c r="K53" i="16"/>
  <c r="K32" i="16"/>
  <c r="N33" i="5" l="1"/>
  <c r="F312" i="13" l="1"/>
  <c r="C301" i="13"/>
  <c r="J10" i="10"/>
  <c r="E10" i="10"/>
  <c r="F407" i="13" l="1"/>
  <c r="C401" i="13"/>
  <c r="J37" i="6"/>
  <c r="E37" i="6"/>
  <c r="K24" i="16"/>
  <c r="N35" i="14"/>
  <c r="F345" i="13"/>
  <c r="C336" i="13"/>
  <c r="J18" i="14"/>
  <c r="E18" i="14"/>
  <c r="F371" i="13"/>
  <c r="C364" i="13"/>
  <c r="J27" i="14"/>
  <c r="E27" i="14"/>
  <c r="F304" i="13"/>
  <c r="C293" i="13"/>
  <c r="J6" i="14"/>
  <c r="E6" i="14"/>
  <c r="F149" i="13"/>
  <c r="C126" i="13"/>
  <c r="J25" i="14"/>
  <c r="E25" i="14"/>
  <c r="F423" i="13"/>
  <c r="C420" i="13"/>
  <c r="J40" i="14"/>
  <c r="E40" i="14"/>
  <c r="F309" i="13"/>
  <c r="C298" i="13"/>
  <c r="J6" i="9"/>
  <c r="E6" i="9"/>
  <c r="F328" i="13"/>
  <c r="C318" i="13"/>
  <c r="J8" i="9"/>
  <c r="E8" i="9"/>
  <c r="K18" i="16"/>
  <c r="K60" i="16"/>
  <c r="K48" i="16"/>
  <c r="N31" i="5"/>
  <c r="F487" i="13"/>
  <c r="C485" i="13"/>
  <c r="J45" i="5"/>
  <c r="E45" i="5"/>
  <c r="F496" i="13"/>
  <c r="C494" i="13"/>
  <c r="J47" i="5"/>
  <c r="E47" i="5"/>
  <c r="F428" i="13"/>
  <c r="C425" i="13"/>
  <c r="J37" i="3"/>
  <c r="E37" i="3"/>
  <c r="F278" i="13"/>
  <c r="C266" i="13"/>
  <c r="J4" i="3"/>
  <c r="E4" i="3"/>
  <c r="F403" i="13"/>
  <c r="C397" i="13"/>
  <c r="J30" i="3"/>
  <c r="E30" i="3"/>
  <c r="K46" i="16"/>
  <c r="N36" i="6"/>
  <c r="K23" i="16"/>
  <c r="P32" i="1"/>
  <c r="F245" i="13"/>
  <c r="C228" i="13"/>
  <c r="L32" i="1"/>
  <c r="F32" i="1"/>
  <c r="F209" i="13"/>
  <c r="C191" i="13"/>
  <c r="L20" i="1"/>
  <c r="F20" i="1"/>
  <c r="K20" i="16" l="1"/>
  <c r="L13" i="15"/>
  <c r="K37" i="16"/>
  <c r="L12" i="15"/>
  <c r="L4" i="15"/>
  <c r="H52" i="15"/>
  <c r="D52" i="15"/>
  <c r="G54" i="15"/>
  <c r="F54" i="15"/>
  <c r="C54" i="15"/>
  <c r="B54" i="15"/>
  <c r="H53" i="15"/>
  <c r="D53" i="15"/>
  <c r="H51" i="15"/>
  <c r="D51" i="15"/>
  <c r="H50" i="15"/>
  <c r="D50" i="15"/>
  <c r="H49" i="15"/>
  <c r="D49" i="15"/>
  <c r="H48" i="15"/>
  <c r="D48" i="15"/>
  <c r="H47" i="15"/>
  <c r="D47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H39" i="15"/>
  <c r="D39" i="15"/>
  <c r="H38" i="15"/>
  <c r="D38" i="15"/>
  <c r="H37" i="15"/>
  <c r="D37" i="15"/>
  <c r="H36" i="15"/>
  <c r="D36" i="15"/>
  <c r="H35" i="15"/>
  <c r="D35" i="15"/>
  <c r="H34" i="15"/>
  <c r="D34" i="15"/>
  <c r="H33" i="15"/>
  <c r="D33" i="15"/>
  <c r="H32" i="15"/>
  <c r="D32" i="15"/>
  <c r="H31" i="15"/>
  <c r="D31" i="15"/>
  <c r="H30" i="15"/>
  <c r="D30" i="15"/>
  <c r="H29" i="15"/>
  <c r="D29" i="15"/>
  <c r="H28" i="15"/>
  <c r="D28" i="15"/>
  <c r="H27" i="15"/>
  <c r="D27" i="15"/>
  <c r="H26" i="15"/>
  <c r="D26" i="15"/>
  <c r="H25" i="15"/>
  <c r="D25" i="15"/>
  <c r="H24" i="15"/>
  <c r="D24" i="15"/>
  <c r="H23" i="15"/>
  <c r="D23" i="15"/>
  <c r="H22" i="15"/>
  <c r="D22" i="15"/>
  <c r="H21" i="15"/>
  <c r="D21" i="15"/>
  <c r="H20" i="15"/>
  <c r="D20" i="15"/>
  <c r="H19" i="15"/>
  <c r="D19" i="15"/>
  <c r="H18" i="15"/>
  <c r="D18" i="15"/>
  <c r="H17" i="15"/>
  <c r="D17" i="15"/>
  <c r="H16" i="15"/>
  <c r="D16" i="15"/>
  <c r="H15" i="15"/>
  <c r="D15" i="15"/>
  <c r="H14" i="15"/>
  <c r="D14" i="15"/>
  <c r="H13" i="15"/>
  <c r="D13" i="15"/>
  <c r="H12" i="15"/>
  <c r="D12" i="15"/>
  <c r="H11" i="15"/>
  <c r="D11" i="15"/>
  <c r="H10" i="15"/>
  <c r="D10" i="15"/>
  <c r="H9" i="15"/>
  <c r="D9" i="15"/>
  <c r="H8" i="15"/>
  <c r="D8" i="15"/>
  <c r="H6" i="15"/>
  <c r="D6" i="15"/>
  <c r="H5" i="15"/>
  <c r="D5" i="15"/>
  <c r="H4" i="15"/>
  <c r="D4" i="15"/>
  <c r="H3" i="15"/>
  <c r="D3" i="15"/>
  <c r="N40" i="14"/>
  <c r="K55" i="16"/>
  <c r="K25" i="16"/>
  <c r="N39" i="6"/>
  <c r="N34" i="6"/>
  <c r="F175" i="13"/>
  <c r="C518" i="13"/>
  <c r="F348" i="13"/>
  <c r="C339" i="13"/>
  <c r="J18" i="6"/>
  <c r="E18" i="6"/>
  <c r="K22" i="16"/>
  <c r="N41" i="3"/>
  <c r="K8" i="16"/>
  <c r="N29" i="4"/>
  <c r="F461" i="13"/>
  <c r="C458" i="13"/>
  <c r="J51" i="4"/>
  <c r="E51" i="4"/>
  <c r="J34" i="4"/>
  <c r="E34" i="4"/>
  <c r="F385" i="13"/>
  <c r="C378" i="13"/>
  <c r="J30" i="4"/>
  <c r="E30" i="4"/>
  <c r="K58" i="16"/>
  <c r="N24" i="11"/>
  <c r="J40" i="11"/>
  <c r="E40" i="11"/>
  <c r="K16" i="16"/>
  <c r="P30" i="1"/>
  <c r="F145" i="13"/>
  <c r="C122" i="13"/>
  <c r="L16" i="1"/>
  <c r="F16" i="1"/>
  <c r="F473" i="13"/>
  <c r="C471" i="13"/>
  <c r="L43" i="1"/>
  <c r="F43" i="1"/>
  <c r="F439" i="13"/>
  <c r="C436" i="13"/>
  <c r="L34" i="1"/>
  <c r="F34" i="1"/>
  <c r="K59" i="16"/>
  <c r="K39" i="16"/>
  <c r="N30" i="5"/>
  <c r="F631" i="16"/>
  <c r="C631" i="16"/>
  <c r="N32" i="9"/>
  <c r="N28" i="10"/>
  <c r="F455" i="13"/>
  <c r="C452" i="13"/>
  <c r="J40" i="10"/>
  <c r="E40" i="10"/>
  <c r="F159" i="13"/>
  <c r="C138" i="13"/>
  <c r="J31" i="10"/>
  <c r="E31" i="10"/>
  <c r="D54" i="15" l="1"/>
  <c r="H54" i="15"/>
  <c r="N31" i="2" l="1"/>
  <c r="K19" i="16"/>
  <c r="K17" i="16"/>
  <c r="K7" i="16"/>
  <c r="K4" i="16"/>
  <c r="K6" i="16"/>
  <c r="K62" i="16"/>
  <c r="K11" i="16"/>
  <c r="K15" i="16"/>
  <c r="K13" i="16"/>
  <c r="K5" i="16"/>
  <c r="K21" i="16"/>
  <c r="K41" i="16"/>
  <c r="K10" i="16"/>
  <c r="K52" i="16"/>
  <c r="K54" i="16"/>
  <c r="K12" i="16"/>
  <c r="N6" i="4"/>
  <c r="N8" i="2"/>
  <c r="N10" i="14"/>
  <c r="F122" i="13" l="1"/>
  <c r="C245" i="13"/>
  <c r="J48" i="14"/>
  <c r="E48" i="14"/>
  <c r="N10" i="3"/>
  <c r="N5" i="3"/>
  <c r="N7" i="9"/>
  <c r="F59" i="13" l="1"/>
  <c r="C46" i="13"/>
  <c r="J31" i="4"/>
  <c r="E31" i="4"/>
  <c r="N5" i="5" l="1"/>
  <c r="N8" i="3"/>
  <c r="F32" i="13"/>
  <c r="C17" i="13"/>
  <c r="J6" i="2"/>
  <c r="E6" i="2"/>
  <c r="N6" i="10" l="1"/>
  <c r="E9" i="9" l="1"/>
  <c r="P10" i="1"/>
  <c r="N5" i="10"/>
  <c r="N9" i="14"/>
  <c r="N7" i="14"/>
  <c r="F69" i="13"/>
  <c r="C354" i="13"/>
  <c r="J6" i="13"/>
  <c r="I6" i="13"/>
  <c r="N5" i="11"/>
  <c r="J22" i="11"/>
  <c r="E22" i="11"/>
  <c r="N9" i="4"/>
  <c r="K6" i="13" l="1"/>
  <c r="J4" i="13" l="1"/>
  <c r="I4" i="13"/>
  <c r="J19" i="13"/>
  <c r="I19" i="13"/>
  <c r="J10" i="13"/>
  <c r="I10" i="13"/>
  <c r="J22" i="13"/>
  <c r="I22" i="13"/>
  <c r="J23" i="13"/>
  <c r="I23" i="13"/>
  <c r="J18" i="13"/>
  <c r="I18" i="13"/>
  <c r="J17" i="13"/>
  <c r="I17" i="13"/>
  <c r="N7" i="4"/>
  <c r="N7" i="10"/>
  <c r="N4" i="14"/>
  <c r="N7" i="3"/>
  <c r="N9" i="5"/>
  <c r="N6" i="5"/>
  <c r="F181" i="13"/>
  <c r="C499" i="13"/>
  <c r="J49" i="5"/>
  <c r="E49" i="5"/>
  <c r="N6" i="2"/>
  <c r="N10" i="6"/>
  <c r="N4" i="11"/>
  <c r="F60" i="13"/>
  <c r="C47" i="13"/>
  <c r="N10" i="9"/>
  <c r="J23" i="9"/>
  <c r="E23" i="9"/>
  <c r="K19" i="13" l="1"/>
  <c r="K23" i="13"/>
  <c r="K10" i="13"/>
  <c r="K17" i="13"/>
  <c r="K22" i="13"/>
  <c r="K4" i="13"/>
  <c r="K18" i="13"/>
  <c r="P9" i="1" l="1"/>
  <c r="AW29" i="14"/>
  <c r="AQ29" i="14"/>
  <c r="AK29" i="14"/>
  <c r="AH25" i="14"/>
  <c r="W25" i="14"/>
  <c r="AZ27" i="14"/>
  <c r="AW27" i="14"/>
  <c r="AH27" i="14"/>
  <c r="AZ17" i="14"/>
  <c r="AW17" i="14"/>
  <c r="AH17" i="14"/>
  <c r="AW19" i="14"/>
  <c r="AQ19" i="14"/>
  <c r="AK19" i="14"/>
  <c r="AH16" i="14"/>
  <c r="AE9" i="14" l="1"/>
  <c r="AE8" i="14"/>
  <c r="AE7" i="14"/>
  <c r="C248" i="13"/>
  <c r="F259" i="13"/>
  <c r="J50" i="14"/>
  <c r="E50" i="14"/>
  <c r="C296" i="13"/>
  <c r="F307" i="13"/>
  <c r="J8" i="14"/>
  <c r="E8" i="14"/>
  <c r="F330" i="13"/>
  <c r="C320" i="13"/>
  <c r="J14" i="14"/>
  <c r="E14" i="14"/>
  <c r="F191" i="13"/>
  <c r="J10" i="14"/>
  <c r="E10" i="14"/>
  <c r="F289" i="13"/>
  <c r="C277" i="13"/>
  <c r="J4" i="14"/>
  <c r="E4" i="14"/>
  <c r="F180" i="13"/>
  <c r="C385" i="13"/>
  <c r="J33" i="14"/>
  <c r="E33" i="14"/>
  <c r="W29" i="10" l="1"/>
  <c r="W28" i="10"/>
  <c r="AE29" i="10"/>
  <c r="AE28" i="10"/>
  <c r="AE23" i="10"/>
  <c r="W15" i="10"/>
  <c r="AE15" i="10"/>
  <c r="AE6" i="10"/>
  <c r="AE5" i="10"/>
  <c r="F336" i="13"/>
  <c r="C327" i="13"/>
  <c r="F295" i="13"/>
  <c r="C283" i="13"/>
  <c r="J7" i="10"/>
  <c r="E7" i="10"/>
  <c r="F283" i="13"/>
  <c r="C271" i="13"/>
  <c r="J4" i="10"/>
  <c r="E4" i="10"/>
  <c r="F462" i="13"/>
  <c r="C459" i="13"/>
  <c r="J44" i="10"/>
  <c r="E44" i="10"/>
  <c r="F456" i="13"/>
  <c r="C453" i="13"/>
  <c r="J43" i="10"/>
  <c r="E43" i="10"/>
  <c r="F127" i="13"/>
  <c r="C102" i="13"/>
  <c r="I52" i="10"/>
  <c r="H52" i="10"/>
  <c r="G52" i="10"/>
  <c r="D52" i="10"/>
  <c r="C52" i="10"/>
  <c r="B52" i="10"/>
  <c r="J3" i="10"/>
  <c r="E3" i="10"/>
  <c r="W22" i="9" l="1"/>
  <c r="W15" i="9"/>
  <c r="AE16" i="9"/>
  <c r="AE10" i="9"/>
  <c r="AE5" i="9"/>
  <c r="AE4" i="9"/>
  <c r="AE24" i="11" l="1"/>
  <c r="W12" i="11"/>
  <c r="AE12" i="11"/>
  <c r="AE4" i="11"/>
  <c r="F358" i="13" l="1"/>
  <c r="C350" i="13"/>
  <c r="J21" i="11"/>
  <c r="E21" i="11"/>
  <c r="F161" i="13"/>
  <c r="C141" i="13"/>
  <c r="J32" i="11"/>
  <c r="E32" i="11"/>
  <c r="F338" i="13"/>
  <c r="C329" i="13"/>
  <c r="J16" i="11"/>
  <c r="E16" i="11"/>
  <c r="F421" i="13"/>
  <c r="C418" i="13"/>
  <c r="J31" i="11"/>
  <c r="E31" i="11"/>
  <c r="F102" i="13"/>
  <c r="C84" i="13"/>
  <c r="J18" i="11"/>
  <c r="E18" i="11"/>
  <c r="I53" i="11"/>
  <c r="H53" i="11"/>
  <c r="G53" i="11"/>
  <c r="D53" i="11"/>
  <c r="C53" i="11"/>
  <c r="B53" i="11"/>
  <c r="F184" i="13"/>
  <c r="C162" i="13"/>
  <c r="J3" i="11"/>
  <c r="E3" i="11"/>
  <c r="F151" i="13"/>
  <c r="C128" i="13"/>
  <c r="J25" i="11"/>
  <c r="E25" i="11"/>
  <c r="F246" i="13"/>
  <c r="C229" i="13"/>
  <c r="J37" i="11"/>
  <c r="E37" i="11"/>
  <c r="AD30" i="5" l="1"/>
  <c r="AD24" i="5"/>
  <c r="AD7" i="5"/>
  <c r="AD4" i="5"/>
  <c r="F281" i="13"/>
  <c r="C269" i="13"/>
  <c r="C163" i="13"/>
  <c r="F297" i="13" l="1"/>
  <c r="C285" i="13"/>
  <c r="J5" i="5"/>
  <c r="E5" i="5"/>
  <c r="W29" i="4" l="1"/>
  <c r="W28" i="4"/>
  <c r="AE33" i="4"/>
  <c r="AE21" i="4"/>
  <c r="W16" i="4"/>
  <c r="AE16" i="4"/>
  <c r="AE9" i="4"/>
  <c r="F230" i="13"/>
  <c r="C213" i="13"/>
  <c r="F393" i="13"/>
  <c r="C387" i="13"/>
  <c r="F126" i="13"/>
  <c r="C195" i="13"/>
  <c r="J39" i="4"/>
  <c r="E39" i="4"/>
  <c r="J33" i="4"/>
  <c r="E33" i="4"/>
  <c r="J25" i="4"/>
  <c r="E25" i="4"/>
  <c r="F177" i="13"/>
  <c r="W39" i="3" l="1"/>
  <c r="W38" i="3"/>
  <c r="AE39" i="3"/>
  <c r="W30" i="3"/>
  <c r="W19" i="3"/>
  <c r="AE22" i="3"/>
  <c r="AE20" i="3"/>
  <c r="AE19" i="3"/>
  <c r="AE9" i="3"/>
  <c r="AE7" i="3"/>
  <c r="AE6" i="3"/>
  <c r="F451" i="13"/>
  <c r="C448" i="13"/>
  <c r="J39" i="3"/>
  <c r="E39" i="3"/>
  <c r="F23" i="13"/>
  <c r="C13" i="13"/>
  <c r="I53" i="3"/>
  <c r="J52" i="3"/>
  <c r="H53" i="3"/>
  <c r="G53" i="3"/>
  <c r="D53" i="3"/>
  <c r="E52" i="3"/>
  <c r="C53" i="3"/>
  <c r="B53" i="3"/>
  <c r="F68" i="13"/>
  <c r="C77" i="13"/>
  <c r="J7" i="3"/>
  <c r="E7" i="3"/>
  <c r="F22" i="13"/>
  <c r="C9" i="13"/>
  <c r="J50" i="3"/>
  <c r="E50" i="3"/>
  <c r="F482" i="13"/>
  <c r="C480" i="13"/>
  <c r="J45" i="3"/>
  <c r="E45" i="3"/>
  <c r="W31" i="2" l="1"/>
  <c r="AD33" i="2"/>
  <c r="W16" i="2"/>
  <c r="AD17" i="2"/>
  <c r="AD9" i="2"/>
  <c r="AD8" i="2"/>
  <c r="E31" i="2"/>
  <c r="W19" i="6" l="1"/>
  <c r="AE19" i="6"/>
  <c r="F367" i="13"/>
  <c r="C360" i="13"/>
  <c r="J24" i="6"/>
  <c r="E24" i="6"/>
  <c r="F288" i="13"/>
  <c r="C276" i="13"/>
  <c r="J4" i="6"/>
  <c r="E4" i="6"/>
  <c r="F443" i="13"/>
  <c r="C440" i="13"/>
  <c r="J47" i="6"/>
  <c r="E47" i="6"/>
  <c r="F489" i="13"/>
  <c r="C487" i="13"/>
  <c r="J56" i="6"/>
  <c r="E56" i="6"/>
  <c r="F370" i="13"/>
  <c r="C363" i="13"/>
  <c r="J25" i="6"/>
  <c r="E25" i="6"/>
  <c r="F333" i="13"/>
  <c r="C324" i="13"/>
  <c r="J15" i="6"/>
  <c r="E15" i="6"/>
  <c r="F76" i="13"/>
  <c r="C58" i="13"/>
  <c r="F365" i="13"/>
  <c r="C358" i="13"/>
  <c r="J23" i="6"/>
  <c r="E23" i="6"/>
  <c r="J22" i="6"/>
  <c r="E22" i="6"/>
  <c r="F361" i="13"/>
  <c r="C353" i="13"/>
  <c r="J21" i="6"/>
  <c r="E21" i="6"/>
  <c r="F516" i="13"/>
  <c r="C515" i="13"/>
  <c r="J60" i="6"/>
  <c r="E60" i="6"/>
  <c r="F21" i="13"/>
  <c r="C8" i="13"/>
  <c r="J50" i="6"/>
  <c r="E50" i="6"/>
  <c r="F331" i="13"/>
  <c r="C321" i="13"/>
  <c r="J14" i="6"/>
  <c r="E14" i="6"/>
  <c r="F291" i="13"/>
  <c r="C279" i="13"/>
  <c r="J5" i="6"/>
  <c r="E5" i="6"/>
  <c r="F341" i="13"/>
  <c r="F263" i="13" l="1"/>
  <c r="C252" i="13"/>
  <c r="L47" i="1"/>
  <c r="F47" i="1"/>
  <c r="F85" i="13"/>
  <c r="C67" i="13"/>
  <c r="L36" i="1"/>
  <c r="F36" i="1"/>
  <c r="Y30" i="1" l="1"/>
  <c r="Y25" i="1"/>
  <c r="Y22" i="1"/>
  <c r="AG25" i="1"/>
  <c r="Y17" i="1"/>
  <c r="Y16" i="1"/>
  <c r="Y15" i="1"/>
  <c r="F433" i="13" l="1"/>
  <c r="C430" i="13"/>
  <c r="J34" i="9"/>
  <c r="E34" i="9"/>
  <c r="F332" i="13" l="1"/>
  <c r="C322" i="13"/>
  <c r="J15" i="4"/>
  <c r="E15" i="4"/>
  <c r="F202" i="13" l="1"/>
  <c r="C183" i="13"/>
  <c r="J21" i="3"/>
  <c r="E21" i="3"/>
  <c r="F391" i="13" l="1"/>
  <c r="C384" i="13"/>
  <c r="J22" i="2"/>
  <c r="E22" i="2"/>
  <c r="I63" i="6"/>
  <c r="H63" i="6"/>
  <c r="G63" i="6"/>
  <c r="D63" i="6"/>
  <c r="C63" i="6"/>
  <c r="B63" i="6"/>
  <c r="AT21" i="4" l="1"/>
  <c r="AN21" i="4"/>
  <c r="AH21" i="4"/>
  <c r="F205" i="13" l="1"/>
  <c r="C187" i="13"/>
  <c r="J13" i="9"/>
  <c r="E13" i="9"/>
  <c r="F485" i="13" l="1"/>
  <c r="C483" i="13"/>
  <c r="J44" i="5"/>
  <c r="E44" i="5"/>
  <c r="J8" i="3" l="1"/>
  <c r="E8" i="3"/>
  <c r="F212" i="13"/>
  <c r="C194" i="13"/>
  <c r="J24" i="14"/>
  <c r="E24" i="14"/>
  <c r="F460" i="13" l="1"/>
  <c r="C457" i="13"/>
  <c r="J41" i="9"/>
  <c r="E41" i="9"/>
  <c r="AT4" i="10" l="1"/>
  <c r="F503" i="13"/>
  <c r="C502" i="13"/>
  <c r="J48" i="10"/>
  <c r="E48" i="10"/>
  <c r="F415" i="13"/>
  <c r="C411" i="13"/>
  <c r="F417" i="13"/>
  <c r="C414" i="13"/>
  <c r="J29" i="11"/>
  <c r="E29" i="11"/>
  <c r="F299" i="13"/>
  <c r="C287" i="13"/>
  <c r="J5" i="11"/>
  <c r="E5" i="11"/>
  <c r="F409" i="13"/>
  <c r="C403" i="13"/>
  <c r="J42" i="4"/>
  <c r="E42" i="4"/>
  <c r="F287" i="13" l="1"/>
  <c r="C275" i="13"/>
  <c r="J4" i="9"/>
  <c r="E4" i="9"/>
  <c r="F463" i="13" l="1"/>
  <c r="C460" i="13"/>
  <c r="L42" i="1"/>
  <c r="F42" i="1"/>
  <c r="F344" i="13" l="1"/>
  <c r="C335" i="13"/>
  <c r="J10" i="2"/>
  <c r="E10" i="2"/>
  <c r="F24" i="13"/>
  <c r="C10" i="13"/>
  <c r="J13" i="10"/>
  <c r="E13" i="10"/>
  <c r="F378" i="13" l="1"/>
  <c r="C371" i="13"/>
  <c r="J28" i="4"/>
  <c r="E28" i="4"/>
  <c r="F194" i="13" l="1"/>
  <c r="C175" i="13"/>
  <c r="J12" i="14"/>
  <c r="E12" i="14"/>
  <c r="E22" i="10"/>
  <c r="J22" i="10"/>
  <c r="AP16" i="1"/>
  <c r="AM16" i="1"/>
  <c r="AJ16" i="1"/>
  <c r="AS9" i="1"/>
  <c r="AP9" i="1"/>
  <c r="AM9" i="1"/>
  <c r="AJ9" i="1"/>
  <c r="F48" i="13" l="1"/>
  <c r="C33" i="13"/>
  <c r="J45" i="6"/>
  <c r="E45" i="6"/>
  <c r="J47" i="9" l="1"/>
  <c r="J46" i="9"/>
  <c r="J45" i="9"/>
  <c r="J44" i="9"/>
  <c r="J43" i="9"/>
  <c r="J42" i="9"/>
  <c r="J40" i="9"/>
  <c r="J39" i="9"/>
  <c r="J37" i="9"/>
  <c r="J36" i="9"/>
  <c r="J33" i="9"/>
  <c r="J32" i="9"/>
  <c r="J31" i="9"/>
  <c r="E47" i="9"/>
  <c r="E43" i="9"/>
  <c r="E42" i="9"/>
  <c r="E40" i="9"/>
  <c r="E39" i="9"/>
  <c r="E37" i="9"/>
  <c r="E36" i="9"/>
  <c r="E33" i="9"/>
  <c r="E32" i="9"/>
  <c r="E31" i="9"/>
  <c r="J14" i="9"/>
  <c r="J11" i="9"/>
  <c r="J10" i="9"/>
  <c r="J9" i="9"/>
  <c r="E14" i="9"/>
  <c r="F510" i="13"/>
  <c r="C509" i="13"/>
  <c r="F505" i="13"/>
  <c r="F271" i="13"/>
  <c r="C504" i="13"/>
  <c r="C260" i="13"/>
  <c r="F269" i="13"/>
  <c r="C258" i="13"/>
  <c r="F498" i="13"/>
  <c r="C496" i="13"/>
  <c r="F91" i="13"/>
  <c r="C74" i="13"/>
  <c r="F256" i="13"/>
  <c r="C244" i="13"/>
  <c r="F467" i="13"/>
  <c r="C465" i="13"/>
  <c r="F459" i="13"/>
  <c r="C456" i="13"/>
  <c r="C235" i="13"/>
  <c r="F178" i="13"/>
  <c r="C230" i="13"/>
  <c r="F444" i="13"/>
  <c r="C441" i="13"/>
  <c r="F243" i="13"/>
  <c r="C226" i="13"/>
  <c r="F157" i="13"/>
  <c r="F411" i="13"/>
  <c r="C136" i="13"/>
  <c r="C407" i="13"/>
  <c r="F384" i="13"/>
  <c r="F218" i="13"/>
  <c r="C377" i="13"/>
  <c r="C201" i="13"/>
  <c r="F335" i="13"/>
  <c r="C326" i="13"/>
  <c r="F192" i="13"/>
  <c r="C173" i="13"/>
  <c r="F225" i="13"/>
  <c r="C208" i="13"/>
  <c r="F195" i="13"/>
  <c r="F39" i="13"/>
  <c r="C176" i="13"/>
  <c r="C23" i="13"/>
  <c r="F46" i="13"/>
  <c r="F5" i="13"/>
  <c r="J21" i="13"/>
  <c r="I21" i="13"/>
  <c r="C31" i="13"/>
  <c r="F310" i="13"/>
  <c r="C299" i="13"/>
  <c r="J11" i="5"/>
  <c r="J53" i="5"/>
  <c r="J40" i="5"/>
  <c r="J39" i="5"/>
  <c r="J38" i="5"/>
  <c r="E11" i="5"/>
  <c r="E38" i="5"/>
  <c r="F61" i="13"/>
  <c r="C48" i="13"/>
  <c r="J40" i="6"/>
  <c r="E40" i="6"/>
  <c r="F35" i="13" l="1"/>
  <c r="C20" i="13"/>
  <c r="J22" i="14"/>
  <c r="E22" i="14"/>
  <c r="F86" i="13"/>
  <c r="C68" i="13"/>
  <c r="J49" i="4"/>
  <c r="E49" i="4"/>
  <c r="F438" i="13" l="1"/>
  <c r="C435" i="13"/>
  <c r="J28" i="2"/>
  <c r="E28" i="2"/>
  <c r="F4" i="13"/>
  <c r="C99" i="13"/>
  <c r="L41" i="1"/>
  <c r="F41" i="1"/>
  <c r="F315" i="13" l="1"/>
  <c r="C304" i="13"/>
  <c r="AQ9" i="4" l="1"/>
  <c r="AN9" i="4"/>
  <c r="AK9" i="4"/>
  <c r="AH9" i="4"/>
  <c r="F94" i="13"/>
  <c r="C343" i="13"/>
  <c r="J20" i="4"/>
  <c r="E20" i="4"/>
  <c r="J13" i="13"/>
  <c r="I13" i="13"/>
  <c r="F185" i="13"/>
  <c r="C165" i="13"/>
  <c r="L5" i="1"/>
  <c r="F5" i="1"/>
  <c r="I48" i="2"/>
  <c r="H48" i="2"/>
  <c r="G48" i="2"/>
  <c r="D48" i="2"/>
  <c r="C48" i="2"/>
  <c r="B48" i="2"/>
  <c r="AJ30" i="5"/>
  <c r="AG30" i="5"/>
  <c r="AP24" i="5"/>
  <c r="AM24" i="5"/>
  <c r="AJ24" i="5"/>
  <c r="AG24" i="5"/>
  <c r="F446" i="13" l="1"/>
  <c r="F441" i="13"/>
  <c r="C438" i="13"/>
  <c r="E41" i="14"/>
  <c r="J41" i="14"/>
  <c r="F228" i="13"/>
  <c r="C211" i="13"/>
  <c r="E34" i="14"/>
  <c r="J34" i="14"/>
  <c r="J46" i="10"/>
  <c r="E46" i="10"/>
  <c r="J35" i="10"/>
  <c r="E35" i="10"/>
  <c r="F351" i="13"/>
  <c r="C342" i="13"/>
  <c r="F296" i="13"/>
  <c r="C284" i="13"/>
  <c r="J8" i="10"/>
  <c r="E8" i="10"/>
  <c r="F290" i="13"/>
  <c r="C278" i="13"/>
  <c r="J5" i="10"/>
  <c r="E5" i="10"/>
  <c r="F484" i="13"/>
  <c r="C482" i="13"/>
  <c r="F255" i="13"/>
  <c r="C241" i="13"/>
  <c r="C49" i="13"/>
  <c r="F62" i="13"/>
  <c r="F244" i="13"/>
  <c r="C227" i="13"/>
  <c r="F241" i="13"/>
  <c r="C224" i="13"/>
  <c r="F231" i="13"/>
  <c r="C214" i="13"/>
  <c r="E24" i="9"/>
  <c r="J24" i="9"/>
  <c r="F206" i="13"/>
  <c r="C188" i="13"/>
  <c r="F141" i="13"/>
  <c r="C117" i="13"/>
  <c r="F494" i="13"/>
  <c r="C492" i="13"/>
  <c r="J50" i="11"/>
  <c r="E50" i="11"/>
  <c r="F247" i="13"/>
  <c r="C232" i="13"/>
  <c r="F416" i="13"/>
  <c r="C412" i="13"/>
  <c r="J30" i="11"/>
  <c r="E30" i="11"/>
  <c r="F339" i="13"/>
  <c r="C330" i="13"/>
  <c r="J17" i="11"/>
  <c r="E17" i="11"/>
  <c r="F273" i="13"/>
  <c r="C262" i="13"/>
  <c r="J56" i="5"/>
  <c r="E56" i="5"/>
  <c r="F507" i="13"/>
  <c r="C506" i="13"/>
  <c r="E53" i="5"/>
  <c r="F70" i="13"/>
  <c r="C464" i="13"/>
  <c r="E40" i="5"/>
  <c r="F252" i="13"/>
  <c r="C238" i="13"/>
  <c r="F376" i="13"/>
  <c r="C369" i="13"/>
  <c r="J17" i="5"/>
  <c r="E17" i="5"/>
  <c r="F16" i="13"/>
  <c r="C4" i="13"/>
  <c r="J16" i="5"/>
  <c r="E16" i="5"/>
  <c r="F326" i="13"/>
  <c r="C315" i="13"/>
  <c r="F96" i="13"/>
  <c r="C78" i="13"/>
  <c r="J4" i="5"/>
  <c r="E4" i="5"/>
  <c r="J54" i="4"/>
  <c r="E54" i="4"/>
  <c r="F224" i="13"/>
  <c r="C207" i="13"/>
  <c r="F311" i="13"/>
  <c r="C300" i="13"/>
  <c r="E10" i="4"/>
  <c r="J10" i="4"/>
  <c r="F392" i="13"/>
  <c r="C386" i="13"/>
  <c r="E28" i="3"/>
  <c r="J28" i="3"/>
  <c r="F77" i="13"/>
  <c r="C59" i="13"/>
  <c r="J26" i="3"/>
  <c r="F63" i="13"/>
  <c r="C50" i="13"/>
  <c r="J31" i="2"/>
  <c r="F150" i="13"/>
  <c r="C127" i="13"/>
  <c r="J16" i="2"/>
  <c r="E16" i="2"/>
  <c r="F213" i="13"/>
  <c r="C196" i="13"/>
  <c r="E15" i="2"/>
  <c r="J15" i="2"/>
  <c r="F104" i="13"/>
  <c r="C86" i="13"/>
  <c r="J12" i="2"/>
  <c r="E12" i="2"/>
  <c r="F298" i="13"/>
  <c r="C286" i="13"/>
  <c r="J5" i="2"/>
  <c r="E5" i="2"/>
  <c r="F284" i="13"/>
  <c r="C272" i="13"/>
  <c r="E3" i="2"/>
  <c r="J3" i="2"/>
  <c r="J62" i="6"/>
  <c r="E62" i="6"/>
  <c r="F437" i="13"/>
  <c r="C434" i="13"/>
  <c r="J46" i="6"/>
  <c r="E46" i="6"/>
  <c r="F82" i="13"/>
  <c r="C64" i="13"/>
  <c r="J41" i="6"/>
  <c r="E41" i="6"/>
  <c r="F320" i="13"/>
  <c r="C309" i="13"/>
  <c r="J12" i="6"/>
  <c r="E12" i="6"/>
  <c r="F153" i="13"/>
  <c r="C130" i="13"/>
  <c r="L23" i="1"/>
  <c r="F23" i="1"/>
  <c r="AH38" i="14"/>
  <c r="AH29" i="10"/>
  <c r="AH23" i="10"/>
  <c r="AH22" i="10"/>
  <c r="AH5" i="10"/>
  <c r="AH31" i="9"/>
  <c r="AH10" i="9"/>
  <c r="AH5" i="9"/>
  <c r="AH4" i="11"/>
  <c r="AH33" i="4"/>
  <c r="AH16" i="4"/>
  <c r="AH40" i="3"/>
  <c r="AG33" i="2"/>
  <c r="AG17" i="2"/>
  <c r="AG9" i="2"/>
  <c r="C44" i="13"/>
  <c r="AH26" i="6"/>
  <c r="AH19" i="6"/>
  <c r="F468" i="13" l="1"/>
  <c r="C466" i="13"/>
  <c r="F31" i="13"/>
  <c r="C16" i="13"/>
  <c r="F98" i="13"/>
  <c r="C80" i="13"/>
  <c r="F80" i="13"/>
  <c r="C62" i="13"/>
  <c r="F11" i="13"/>
  <c r="AJ10" i="1" l="1"/>
  <c r="AJ4" i="1"/>
  <c r="F374" i="13" l="1"/>
  <c r="C367" i="13"/>
  <c r="J28" i="14"/>
  <c r="E28" i="14"/>
  <c r="F458" i="13" l="1"/>
  <c r="C455" i="13"/>
  <c r="J43" i="11"/>
  <c r="E43" i="11"/>
  <c r="F117" i="13" l="1"/>
  <c r="C101" i="13"/>
  <c r="L49" i="1"/>
  <c r="F49" i="1"/>
  <c r="F156" i="13"/>
  <c r="C135" i="13"/>
  <c r="F131" i="13"/>
  <c r="C107" i="13"/>
  <c r="J6" i="4"/>
  <c r="E6" i="4"/>
  <c r="F188" i="13" l="1"/>
  <c r="C169" i="13"/>
  <c r="J7" i="2"/>
  <c r="E7" i="2"/>
  <c r="F187" i="13" l="1"/>
  <c r="C167" i="13"/>
  <c r="J6" i="5"/>
  <c r="E6" i="5"/>
  <c r="F10" i="13" l="1"/>
  <c r="C185" i="13"/>
  <c r="J23" i="10"/>
  <c r="E23" i="10"/>
  <c r="F154" i="13" l="1"/>
  <c r="C131" i="13"/>
  <c r="J29" i="6"/>
  <c r="E29" i="6"/>
  <c r="F45" i="13"/>
  <c r="C28" i="13"/>
  <c r="J16" i="14"/>
  <c r="E16" i="14"/>
  <c r="J34" i="3" l="1"/>
  <c r="E34" i="3"/>
  <c r="F418" i="13" l="1"/>
  <c r="C415" i="13"/>
  <c r="J32" i="10"/>
  <c r="E32" i="10"/>
  <c r="F107" i="13" l="1"/>
  <c r="C89" i="13"/>
  <c r="J27" i="10"/>
  <c r="E27" i="10"/>
  <c r="J7" i="6" l="1"/>
  <c r="E7" i="6"/>
  <c r="F389" i="13"/>
  <c r="C382" i="13"/>
  <c r="J32" i="6"/>
  <c r="E32" i="6"/>
  <c r="F147" i="13" l="1"/>
  <c r="C124" i="13"/>
  <c r="J13" i="2"/>
  <c r="E13" i="2"/>
  <c r="F56" i="13"/>
  <c r="C43" i="13"/>
  <c r="J11" i="2"/>
  <c r="E11" i="2"/>
  <c r="F108" i="13" l="1"/>
  <c r="C90" i="13"/>
  <c r="J21" i="9"/>
  <c r="E21" i="9"/>
  <c r="F472" i="13"/>
  <c r="C470" i="13"/>
  <c r="E46" i="9"/>
  <c r="AH11" i="3" l="1"/>
  <c r="AH7" i="3"/>
  <c r="J9" i="3" l="1"/>
  <c r="E9" i="3"/>
  <c r="F37" i="13"/>
  <c r="C21" i="13"/>
  <c r="J31" i="3"/>
  <c r="E31" i="3"/>
  <c r="F182" i="13"/>
  <c r="C160" i="13"/>
  <c r="J4" i="4"/>
  <c r="E4" i="4"/>
  <c r="F285" i="13"/>
  <c r="C273" i="13"/>
  <c r="J5" i="4"/>
  <c r="E5" i="4"/>
  <c r="F215" i="13"/>
  <c r="C198" i="13"/>
  <c r="L22" i="1"/>
  <c r="F22" i="1"/>
  <c r="F388" i="13"/>
  <c r="C381" i="13"/>
  <c r="F223" i="13"/>
  <c r="C206" i="13"/>
  <c r="J21" i="2"/>
  <c r="E21" i="2"/>
  <c r="J20" i="2"/>
  <c r="E20" i="2"/>
  <c r="F340" i="13"/>
  <c r="C331" i="13"/>
  <c r="J9" i="2"/>
  <c r="E9" i="2"/>
  <c r="F469" i="13" l="1"/>
  <c r="C467" i="13"/>
  <c r="J34" i="2"/>
  <c r="E34" i="2"/>
  <c r="J11" i="10" l="1"/>
  <c r="E11" i="10"/>
  <c r="C332" i="13"/>
  <c r="J16" i="6"/>
  <c r="E16" i="6"/>
  <c r="F41" i="13"/>
  <c r="C36" i="13"/>
  <c r="J59" i="6"/>
  <c r="E59" i="6"/>
  <c r="J46" i="14"/>
  <c r="E46" i="14"/>
  <c r="J28" i="5" l="1"/>
  <c r="E28" i="5"/>
  <c r="L26" i="1" l="1"/>
  <c r="F26" i="1"/>
  <c r="F78" i="13"/>
  <c r="C60" i="13"/>
  <c r="L24" i="1"/>
  <c r="F24" i="1"/>
  <c r="F466" i="13" l="1"/>
  <c r="C463" i="13"/>
  <c r="F236" i="13"/>
  <c r="C219" i="13"/>
  <c r="J27" i="9"/>
  <c r="E27" i="9"/>
  <c r="J11" i="13" l="1"/>
  <c r="I11" i="13"/>
  <c r="C243" i="13"/>
  <c r="K11" i="13" l="1"/>
  <c r="J20" i="13"/>
  <c r="I20" i="13"/>
  <c r="K20" i="13" l="1"/>
  <c r="F347" i="13"/>
  <c r="C338" i="13"/>
  <c r="J19" i="14"/>
  <c r="E19" i="14"/>
  <c r="J51" i="5" l="1"/>
  <c r="E51" i="5"/>
  <c r="F164" i="13" l="1"/>
  <c r="C146" i="13"/>
  <c r="F67" i="13"/>
  <c r="F420" i="13"/>
  <c r="C54" i="13"/>
  <c r="C417" i="13"/>
  <c r="J55" i="14"/>
  <c r="E55" i="14"/>
  <c r="J38" i="14"/>
  <c r="E38" i="14"/>
  <c r="F325" i="13" l="1"/>
  <c r="C314" i="13"/>
  <c r="J16" i="3"/>
  <c r="E16" i="3"/>
  <c r="F426" i="13"/>
  <c r="C423" i="13"/>
  <c r="J45" i="4" l="1"/>
  <c r="E45" i="4"/>
  <c r="F128" i="13"/>
  <c r="C103" i="13"/>
  <c r="K51" i="1"/>
  <c r="I51" i="1"/>
  <c r="H51" i="1"/>
  <c r="E51" i="1"/>
  <c r="C51" i="1"/>
  <c r="B51" i="1"/>
  <c r="L3" i="1"/>
  <c r="F3" i="1"/>
  <c r="AT26" i="6"/>
  <c r="AN26" i="6"/>
  <c r="AW19" i="6"/>
  <c r="AQ19" i="6"/>
  <c r="F71" i="13" l="1"/>
  <c r="C289" i="13"/>
  <c r="F425" i="13"/>
  <c r="C422" i="13"/>
  <c r="F470" i="13"/>
  <c r="C468" i="13"/>
  <c r="F305" i="13"/>
  <c r="C294" i="13"/>
  <c r="F319" i="13"/>
  <c r="C308" i="13"/>
  <c r="F155" i="13"/>
  <c r="C134" i="13"/>
  <c r="F435" i="13"/>
  <c r="C432" i="13"/>
  <c r="J44" i="4"/>
  <c r="E44" i="4"/>
  <c r="J52" i="4"/>
  <c r="E52" i="4"/>
  <c r="J9" i="4"/>
  <c r="E9" i="4"/>
  <c r="J12" i="4"/>
  <c r="E12" i="4"/>
  <c r="J32" i="4"/>
  <c r="E32" i="4"/>
  <c r="J47" i="4"/>
  <c r="E47" i="4"/>
  <c r="F419" i="13"/>
  <c r="C416" i="13"/>
  <c r="F268" i="13"/>
  <c r="C257" i="13"/>
  <c r="F109" i="13"/>
  <c r="C91" i="13"/>
  <c r="F79" i="13"/>
  <c r="C61" i="13"/>
  <c r="J24" i="5"/>
  <c r="E24" i="5"/>
  <c r="J22" i="5"/>
  <c r="E22" i="5"/>
  <c r="J30" i="5"/>
  <c r="E30" i="5"/>
  <c r="J50" i="5"/>
  <c r="E50" i="5"/>
  <c r="F382" i="13"/>
  <c r="C375" i="13"/>
  <c r="F323" i="13"/>
  <c r="C312" i="13"/>
  <c r="J8" i="5"/>
  <c r="E8" i="5"/>
  <c r="J20" i="5"/>
  <c r="E20" i="5"/>
  <c r="F431" i="13" l="1"/>
  <c r="C428" i="13"/>
  <c r="J34" i="11"/>
  <c r="E34" i="11"/>
  <c r="F490" i="13" l="1"/>
  <c r="C488" i="13"/>
  <c r="J39" i="2"/>
  <c r="E39" i="2"/>
  <c r="F101" i="13" l="1"/>
  <c r="F198" i="13" l="1"/>
  <c r="C179" i="13"/>
  <c r="C83" i="13"/>
  <c r="J14" i="5"/>
  <c r="J13" i="5"/>
  <c r="E14" i="5"/>
  <c r="E13" i="5"/>
  <c r="F183" i="13" l="1"/>
  <c r="C161" i="13"/>
  <c r="F7" i="13"/>
  <c r="C413" i="13"/>
  <c r="J16" i="13"/>
  <c r="I16" i="13"/>
  <c r="J39" i="6"/>
  <c r="E39" i="6"/>
  <c r="AK8" i="14"/>
  <c r="AK7" i="14"/>
  <c r="AK22" i="10"/>
  <c r="AK5" i="10"/>
  <c r="AK23" i="9"/>
  <c r="AJ7" i="5"/>
  <c r="AK23" i="4"/>
  <c r="AK20" i="3"/>
  <c r="AJ9" i="2"/>
  <c r="AJ6" i="2"/>
  <c r="AM17" i="1"/>
  <c r="AM10" i="1"/>
  <c r="F476" i="13"/>
  <c r="C474" i="13"/>
  <c r="L45" i="1"/>
  <c r="F45" i="1"/>
  <c r="F412" i="13"/>
  <c r="C408" i="13"/>
  <c r="J26" i="2"/>
  <c r="E26" i="2"/>
  <c r="F488" i="13"/>
  <c r="C486" i="13"/>
  <c r="J49" i="11"/>
  <c r="E49" i="11"/>
  <c r="F116" i="13"/>
  <c r="C100" i="13"/>
  <c r="J46" i="3"/>
  <c r="E46" i="3"/>
  <c r="F136" i="13"/>
  <c r="C112" i="13"/>
  <c r="J14" i="4"/>
  <c r="E14" i="4"/>
  <c r="E45" i="9"/>
  <c r="F372" i="13"/>
  <c r="C365" i="13"/>
  <c r="F73" i="13"/>
  <c r="C55" i="13"/>
  <c r="F279" i="13"/>
  <c r="C267" i="13"/>
  <c r="F12" i="13"/>
  <c r="C25" i="13"/>
  <c r="J3" i="14"/>
  <c r="E3" i="14"/>
  <c r="J9" i="14"/>
  <c r="E9" i="14"/>
  <c r="J26" i="10"/>
  <c r="E26" i="10"/>
  <c r="J12" i="10"/>
  <c r="E12" i="10"/>
  <c r="F387" i="13"/>
  <c r="C380" i="13"/>
  <c r="J32" i="14"/>
  <c r="E32" i="14"/>
  <c r="J46" i="5"/>
  <c r="E46" i="5"/>
  <c r="F471" i="13"/>
  <c r="C469" i="13"/>
  <c r="J45" i="11"/>
  <c r="E45" i="11"/>
  <c r="F356" i="13"/>
  <c r="C348" i="13"/>
  <c r="J22" i="4"/>
  <c r="E22" i="4"/>
  <c r="F110" i="13"/>
  <c r="C92" i="13"/>
  <c r="J36" i="6"/>
  <c r="E36" i="6"/>
  <c r="F92" i="13"/>
  <c r="C75" i="13"/>
  <c r="J56" i="4"/>
  <c r="E56" i="4"/>
  <c r="F379" i="13"/>
  <c r="C372" i="13"/>
  <c r="J27" i="3"/>
  <c r="E27" i="3"/>
  <c r="F430" i="13"/>
  <c r="C427" i="13"/>
  <c r="J27" i="2"/>
  <c r="E27" i="2"/>
  <c r="F251" i="13"/>
  <c r="C237" i="13"/>
  <c r="L39" i="1"/>
  <c r="F39" i="1"/>
  <c r="I8" i="13"/>
  <c r="J8" i="13"/>
  <c r="F274" i="13"/>
  <c r="C263" i="13"/>
  <c r="J52" i="9"/>
  <c r="E52" i="9"/>
  <c r="F322" i="13"/>
  <c r="C311" i="13"/>
  <c r="J13" i="6"/>
  <c r="E13" i="6"/>
  <c r="F445" i="13"/>
  <c r="C442" i="13"/>
  <c r="J29" i="2"/>
  <c r="E29" i="2"/>
  <c r="F253" i="13"/>
  <c r="C239" i="13"/>
  <c r="J33" i="2"/>
  <c r="E33" i="2"/>
  <c r="F306" i="13"/>
  <c r="C295" i="13"/>
  <c r="J7" i="14"/>
  <c r="E7" i="14"/>
  <c r="F465" i="13"/>
  <c r="F15" i="13"/>
  <c r="F33" i="13"/>
  <c r="F125" i="13"/>
  <c r="F8" i="13"/>
  <c r="F18" i="13"/>
  <c r="F105" i="13"/>
  <c r="F83" i="13"/>
  <c r="F14" i="13"/>
  <c r="F352" i="13"/>
  <c r="F148" i="13"/>
  <c r="F103" i="13"/>
  <c r="F34" i="13"/>
  <c r="F88" i="13"/>
  <c r="F99" i="13"/>
  <c r="F129" i="13"/>
  <c r="F55" i="13"/>
  <c r="F30" i="13"/>
  <c r="F211" i="13"/>
  <c r="F58" i="13"/>
  <c r="F119" i="13"/>
  <c r="F20" i="13"/>
  <c r="F114" i="13"/>
  <c r="F165" i="13"/>
  <c r="F64" i="13"/>
  <c r="F74" i="13"/>
  <c r="F9" i="13"/>
  <c r="F398" i="13"/>
  <c r="F317" i="13"/>
  <c r="F294" i="13"/>
  <c r="F100" i="13"/>
  <c r="F44" i="13"/>
  <c r="F216" i="13"/>
  <c r="F414" i="13"/>
  <c r="F422" i="13"/>
  <c r="F25" i="13"/>
  <c r="F66" i="13"/>
  <c r="F179" i="13"/>
  <c r="F342" i="13"/>
  <c r="F277" i="13"/>
  <c r="F133" i="13"/>
  <c r="F139" i="13"/>
  <c r="F36" i="13"/>
  <c r="F221" i="13"/>
  <c r="F413" i="13"/>
  <c r="F47" i="13"/>
  <c r="F49" i="13"/>
  <c r="F474" i="13"/>
  <c r="F89" i="13"/>
  <c r="F90" i="13"/>
  <c r="F504" i="13"/>
  <c r="F174" i="13"/>
  <c r="F512" i="13"/>
  <c r="F95" i="13"/>
  <c r="F207" i="13"/>
  <c r="F448" i="13"/>
  <c r="F447" i="13"/>
  <c r="F97" i="13"/>
  <c r="F189" i="13"/>
  <c r="F321" i="13"/>
  <c r="F327" i="13"/>
  <c r="F276" i="13"/>
  <c r="F144" i="13"/>
  <c r="F199" i="13"/>
  <c r="F354" i="13"/>
  <c r="F57" i="13"/>
  <c r="F373" i="13"/>
  <c r="F217" i="13"/>
  <c r="F383" i="13"/>
  <c r="F219" i="13"/>
  <c r="F220" i="13"/>
  <c r="F386" i="13"/>
  <c r="F81" i="13"/>
  <c r="F118" i="13"/>
  <c r="F40" i="13"/>
  <c r="F390" i="13"/>
  <c r="F229" i="13"/>
  <c r="F404" i="13"/>
  <c r="F237" i="13"/>
  <c r="F410" i="13"/>
  <c r="F239" i="13"/>
  <c r="F240" i="13"/>
  <c r="F160" i="13"/>
  <c r="F432" i="13"/>
  <c r="F452" i="13"/>
  <c r="F115" i="13"/>
  <c r="F38" i="13"/>
  <c r="F168" i="13"/>
  <c r="F167" i="13"/>
  <c r="F464" i="13"/>
  <c r="F123" i="13"/>
  <c r="F483" i="13"/>
  <c r="F257" i="13"/>
  <c r="F258" i="13"/>
  <c r="F172" i="13"/>
  <c r="F262" i="13"/>
  <c r="F493" i="13"/>
  <c r="F280" i="13"/>
  <c r="F130" i="13"/>
  <c r="F27" i="13"/>
  <c r="F286" i="13"/>
  <c r="F132" i="13"/>
  <c r="F293" i="13"/>
  <c r="F303" i="13"/>
  <c r="F301" i="13"/>
  <c r="F51" i="13"/>
  <c r="F43" i="13"/>
  <c r="F308" i="13"/>
  <c r="F314" i="13"/>
  <c r="F134" i="13"/>
  <c r="F190" i="13"/>
  <c r="F316" i="13"/>
  <c r="F6" i="13"/>
  <c r="F193" i="13"/>
  <c r="F162" i="13"/>
  <c r="F324" i="13"/>
  <c r="F196" i="13"/>
  <c r="F29" i="13"/>
  <c r="F197" i="13"/>
  <c r="F138" i="13"/>
  <c r="F137" i="13"/>
  <c r="F346" i="13"/>
  <c r="F140" i="13"/>
  <c r="F142" i="13"/>
  <c r="F42" i="13"/>
  <c r="F334" i="13"/>
  <c r="F337" i="13"/>
  <c r="F143" i="13"/>
  <c r="F54" i="13"/>
  <c r="F343" i="13"/>
  <c r="F200" i="13"/>
  <c r="F201" i="13"/>
  <c r="F349" i="13"/>
  <c r="F204" i="13"/>
  <c r="F350" i="13"/>
  <c r="F75" i="13"/>
  <c r="F203" i="13"/>
  <c r="F146" i="13"/>
  <c r="F355" i="13"/>
  <c r="F353" i="13"/>
  <c r="F208" i="13"/>
  <c r="F359" i="13"/>
  <c r="F363" i="13"/>
  <c r="F357" i="13"/>
  <c r="F362" i="13"/>
  <c r="F360" i="13"/>
  <c r="F368" i="13"/>
  <c r="F366" i="13"/>
  <c r="F369" i="13"/>
  <c r="F375" i="13"/>
  <c r="F152" i="13"/>
  <c r="F106" i="13"/>
  <c r="F13" i="13"/>
  <c r="F17" i="13"/>
  <c r="F381" i="13"/>
  <c r="F214" i="13"/>
  <c r="F222" i="13"/>
  <c r="F377" i="13"/>
  <c r="F394" i="13"/>
  <c r="F396" i="13"/>
  <c r="F397" i="13"/>
  <c r="F226" i="13"/>
  <c r="F233" i="13"/>
  <c r="F400" i="13"/>
  <c r="F227" i="13"/>
  <c r="F232" i="13"/>
  <c r="F405" i="13"/>
  <c r="F401" i="13"/>
  <c r="F408" i="13"/>
  <c r="F235" i="13"/>
  <c r="F238" i="13"/>
  <c r="F124" i="13"/>
  <c r="F158" i="13"/>
  <c r="F242" i="13"/>
  <c r="F429" i="13"/>
  <c r="F427" i="13"/>
  <c r="F424" i="13"/>
  <c r="F112" i="13"/>
  <c r="F84" i="13"/>
  <c r="F113" i="13"/>
  <c r="F163" i="13"/>
  <c r="F434" i="13"/>
  <c r="F436" i="13"/>
  <c r="F72" i="13"/>
  <c r="F449" i="13"/>
  <c r="F450" i="13"/>
  <c r="F121" i="13"/>
  <c r="F120" i="13"/>
  <c r="F249" i="13"/>
  <c r="F50" i="13"/>
  <c r="F166" i="13"/>
  <c r="F453" i="13"/>
  <c r="F250" i="13"/>
  <c r="F254" i="13"/>
  <c r="F454" i="13"/>
  <c r="F87" i="13"/>
  <c r="F26" i="13"/>
  <c r="F457" i="13"/>
  <c r="F169" i="13"/>
  <c r="F65" i="13"/>
  <c r="F477" i="13"/>
  <c r="F480" i="13"/>
  <c r="F478" i="13"/>
  <c r="F171" i="13"/>
  <c r="F475" i="13"/>
  <c r="F481" i="13"/>
  <c r="F486" i="13"/>
  <c r="F260" i="13"/>
  <c r="F492" i="13"/>
  <c r="F497" i="13"/>
  <c r="F264" i="13"/>
  <c r="F173" i="13"/>
  <c r="F499" i="13"/>
  <c r="F265" i="13"/>
  <c r="F495" i="13"/>
  <c r="F508" i="13"/>
  <c r="F500" i="13"/>
  <c r="F506" i="13"/>
  <c r="F266" i="13"/>
  <c r="F511" i="13"/>
  <c r="F514" i="13"/>
  <c r="F517" i="13"/>
  <c r="F272" i="13"/>
  <c r="F518" i="13"/>
  <c r="F93" i="13"/>
  <c r="F176" i="13"/>
  <c r="F275" i="13"/>
  <c r="C32" i="13"/>
  <c r="C79" i="13"/>
  <c r="C170" i="13"/>
  <c r="C200" i="13"/>
  <c r="C30" i="13"/>
  <c r="C383" i="13"/>
  <c r="C212" i="13"/>
  <c r="C220" i="13"/>
  <c r="C429" i="13"/>
  <c r="C444" i="13"/>
  <c r="C246" i="13"/>
  <c r="C491" i="13"/>
  <c r="C105" i="13"/>
  <c r="C292" i="13"/>
  <c r="C181" i="13"/>
  <c r="C186" i="13"/>
  <c r="C347" i="13"/>
  <c r="C361" i="13"/>
  <c r="C368" i="13"/>
  <c r="C5" i="13"/>
  <c r="C210" i="13"/>
  <c r="C94" i="13"/>
  <c r="C35" i="13"/>
  <c r="C454" i="13"/>
  <c r="C462" i="13"/>
  <c r="C478" i="13"/>
  <c r="C484" i="13"/>
  <c r="C493" i="13"/>
  <c r="C517" i="13"/>
  <c r="C56" i="13"/>
  <c r="C11" i="13"/>
  <c r="C34" i="13"/>
  <c r="C72" i="13"/>
  <c r="C73" i="13"/>
  <c r="C346" i="13"/>
  <c r="C140" i="13"/>
  <c r="C150" i="13"/>
  <c r="C154" i="13"/>
  <c r="C164" i="13"/>
  <c r="C108" i="13"/>
  <c r="C110" i="13"/>
  <c r="C81" i="13"/>
  <c r="C14" i="13"/>
  <c r="C113" i="13"/>
  <c r="C41" i="13"/>
  <c r="C182" i="13"/>
  <c r="C184" i="13"/>
  <c r="C352" i="13"/>
  <c r="C137" i="13"/>
  <c r="C95" i="13"/>
  <c r="C96" i="13"/>
  <c r="C148" i="13"/>
  <c r="C497" i="13"/>
  <c r="C242" i="13"/>
  <c r="C282" i="13"/>
  <c r="C202" i="13"/>
  <c r="C203" i="13"/>
  <c r="C445" i="13"/>
  <c r="C251" i="13"/>
  <c r="C171" i="13"/>
  <c r="C349" i="13"/>
  <c r="C29" i="13"/>
  <c r="C391" i="13"/>
  <c r="C240" i="13"/>
  <c r="C153" i="13"/>
  <c r="C476" i="13"/>
  <c r="C249" i="13"/>
  <c r="C254" i="13"/>
  <c r="C255" i="13"/>
  <c r="C513" i="13"/>
  <c r="C261" i="13"/>
  <c r="C76" i="13"/>
  <c r="C159" i="13"/>
  <c r="C70" i="13"/>
  <c r="C45" i="13"/>
  <c r="C27" i="13"/>
  <c r="C410" i="13"/>
  <c r="C265" i="13"/>
  <c r="C231" i="13"/>
  <c r="C310" i="13"/>
  <c r="C449" i="13"/>
  <c r="C247" i="13"/>
  <c r="C268" i="13"/>
  <c r="C106" i="13"/>
  <c r="C37" i="13"/>
  <c r="C26" i="13"/>
  <c r="C177" i="13"/>
  <c r="C337" i="13"/>
  <c r="C344" i="13"/>
  <c r="C123" i="13"/>
  <c r="C351" i="13"/>
  <c r="C388" i="13"/>
  <c r="C221" i="13"/>
  <c r="C225" i="13"/>
  <c r="C421" i="13"/>
  <c r="C450" i="13"/>
  <c r="C475" i="13"/>
  <c r="C479" i="13"/>
  <c r="C490" i="13"/>
  <c r="C498" i="13"/>
  <c r="C65" i="13"/>
  <c r="C85" i="13"/>
  <c r="C193" i="13"/>
  <c r="C7" i="13"/>
  <c r="C306" i="13"/>
  <c r="C109" i="13"/>
  <c r="C71" i="13"/>
  <c r="C398" i="13"/>
  <c r="C174" i="13"/>
  <c r="C325" i="13"/>
  <c r="C333" i="13"/>
  <c r="C341" i="13"/>
  <c r="C57" i="13"/>
  <c r="C355" i="13"/>
  <c r="C197" i="13"/>
  <c r="C370" i="13"/>
  <c r="C390" i="13"/>
  <c r="C209" i="13"/>
  <c r="C394" i="13"/>
  <c r="C215" i="13"/>
  <c r="C402" i="13"/>
  <c r="C446" i="13"/>
  <c r="C151" i="13"/>
  <c r="C505" i="13"/>
  <c r="C97" i="13"/>
  <c r="C178" i="13"/>
  <c r="C129" i="13"/>
  <c r="C395" i="13"/>
  <c r="C236" i="13"/>
  <c r="C264" i="13"/>
  <c r="C82" i="13"/>
  <c r="C53" i="13"/>
  <c r="C472" i="13"/>
  <c r="C317" i="13"/>
  <c r="C149" i="13"/>
  <c r="C461" i="13"/>
  <c r="C274" i="13"/>
  <c r="C24" i="13"/>
  <c r="C297" i="13"/>
  <c r="C303" i="13"/>
  <c r="C305" i="13"/>
  <c r="C316" i="13"/>
  <c r="C118" i="13"/>
  <c r="C340" i="13"/>
  <c r="C345" i="13"/>
  <c r="C356" i="13"/>
  <c r="C199" i="13"/>
  <c r="C392" i="13"/>
  <c r="C216" i="13"/>
  <c r="C426" i="13"/>
  <c r="C431" i="13"/>
  <c r="C433" i="13"/>
  <c r="C447" i="13"/>
  <c r="C155" i="13"/>
  <c r="C253" i="13"/>
  <c r="C507" i="13"/>
  <c r="C19" i="13"/>
  <c r="C104" i="13"/>
  <c r="C139" i="13"/>
  <c r="C125" i="13"/>
  <c r="C132" i="13"/>
  <c r="C409" i="13"/>
  <c r="C503" i="13"/>
  <c r="C87" i="13"/>
  <c r="C376" i="13"/>
  <c r="C133" i="13"/>
  <c r="C404" i="13"/>
  <c r="C98" i="13"/>
  <c r="C114" i="13"/>
  <c r="C119" i="13"/>
  <c r="C190" i="13"/>
  <c r="C88" i="13"/>
  <c r="C399" i="13"/>
  <c r="C218" i="13"/>
  <c r="C406" i="13"/>
  <c r="C145" i="13"/>
  <c r="C52" i="13"/>
  <c r="C147" i="13"/>
  <c r="C115" i="13"/>
  <c r="C158" i="13"/>
  <c r="C121" i="13"/>
  <c r="C180" i="13"/>
  <c r="C40" i="13"/>
  <c r="C366" i="13"/>
  <c r="C63" i="13"/>
  <c r="C22" i="13"/>
  <c r="C481" i="13"/>
  <c r="C281" i="13"/>
  <c r="C290" i="13"/>
  <c r="C116" i="13"/>
  <c r="C323" i="13"/>
  <c r="C328" i="13"/>
  <c r="C334" i="13"/>
  <c r="C359" i="13"/>
  <c r="C205" i="13"/>
  <c r="C424" i="13"/>
  <c r="C66" i="13"/>
  <c r="C143" i="13"/>
  <c r="C144" i="13"/>
  <c r="C69" i="13"/>
  <c r="C12" i="13"/>
  <c r="C495" i="13"/>
  <c r="C510" i="13"/>
  <c r="C516" i="13"/>
  <c r="C42" i="13"/>
  <c r="C15" i="13"/>
  <c r="C51" i="13"/>
  <c r="C419" i="13"/>
  <c r="C204" i="13"/>
  <c r="C405" i="13"/>
  <c r="C511" i="13"/>
  <c r="C189" i="13"/>
  <c r="C379" i="13"/>
  <c r="C222" i="13"/>
  <c r="C223" i="13"/>
  <c r="C443" i="13"/>
  <c r="C156" i="13"/>
  <c r="C142" i="13"/>
  <c r="C313" i="13"/>
  <c r="C39" i="13"/>
  <c r="C18" i="13"/>
  <c r="C362" i="13"/>
  <c r="C374" i="13"/>
  <c r="C234" i="13"/>
  <c r="C451" i="13"/>
  <c r="C473" i="13"/>
  <c r="C157" i="13"/>
  <c r="J12" i="3"/>
  <c r="E12" i="3"/>
  <c r="J35" i="3"/>
  <c r="E35" i="3"/>
  <c r="J12" i="9"/>
  <c r="J3" i="9"/>
  <c r="J7" i="9"/>
  <c r="J15" i="9"/>
  <c r="J17" i="9"/>
  <c r="J18" i="9"/>
  <c r="J19" i="9"/>
  <c r="J20" i="9"/>
  <c r="J22" i="9"/>
  <c r="J25" i="9"/>
  <c r="J26" i="9"/>
  <c r="J28" i="9"/>
  <c r="J29" i="9"/>
  <c r="J30" i="9"/>
  <c r="J50" i="9"/>
  <c r="I53" i="9"/>
  <c r="H53" i="9"/>
  <c r="G53" i="9"/>
  <c r="E10" i="9"/>
  <c r="E3" i="9"/>
  <c r="E7" i="9"/>
  <c r="E11" i="9"/>
  <c r="E12" i="9"/>
  <c r="E15" i="9"/>
  <c r="E17" i="9"/>
  <c r="E18" i="9"/>
  <c r="E19" i="9"/>
  <c r="E20" i="9"/>
  <c r="E22" i="9"/>
  <c r="E25" i="9"/>
  <c r="E26" i="9"/>
  <c r="E28" i="9"/>
  <c r="E29" i="9"/>
  <c r="E30" i="9"/>
  <c r="E44" i="9"/>
  <c r="E50" i="9"/>
  <c r="D53" i="9"/>
  <c r="C53" i="9"/>
  <c r="B53" i="9"/>
  <c r="J7" i="4"/>
  <c r="E7" i="4"/>
  <c r="J61" i="6"/>
  <c r="J58" i="6"/>
  <c r="J57" i="6"/>
  <c r="J55" i="6"/>
  <c r="J54" i="6"/>
  <c r="J53" i="6"/>
  <c r="J52" i="6"/>
  <c r="J51" i="6"/>
  <c r="J49" i="6"/>
  <c r="J48" i="6"/>
  <c r="J44" i="6"/>
  <c r="J43" i="6"/>
  <c r="J42" i="6"/>
  <c r="J38" i="6"/>
  <c r="J35" i="6"/>
  <c r="J34" i="6"/>
  <c r="J33" i="6"/>
  <c r="J31" i="6"/>
  <c r="J30" i="6"/>
  <c r="J28" i="6"/>
  <c r="J27" i="6"/>
  <c r="J26" i="6"/>
  <c r="J20" i="6"/>
  <c r="J19" i="6"/>
  <c r="J17" i="6"/>
  <c r="J11" i="6"/>
  <c r="J9" i="6"/>
  <c r="J6" i="6"/>
  <c r="J3" i="6"/>
  <c r="E61" i="6"/>
  <c r="E58" i="6"/>
  <c r="E57" i="6"/>
  <c r="E55" i="6"/>
  <c r="E54" i="6"/>
  <c r="E53" i="6"/>
  <c r="E52" i="6"/>
  <c r="E51" i="6"/>
  <c r="E49" i="6"/>
  <c r="E48" i="6"/>
  <c r="E44" i="6"/>
  <c r="E43" i="6"/>
  <c r="E42" i="6"/>
  <c r="E38" i="6"/>
  <c r="E35" i="6"/>
  <c r="E34" i="6"/>
  <c r="E33" i="6"/>
  <c r="E31" i="6"/>
  <c r="E30" i="6"/>
  <c r="E28" i="6"/>
  <c r="E27" i="6"/>
  <c r="E26" i="6"/>
  <c r="E20" i="6"/>
  <c r="E19" i="6"/>
  <c r="E17" i="6"/>
  <c r="E11" i="6"/>
  <c r="E9" i="6"/>
  <c r="E6" i="6"/>
  <c r="E3" i="6"/>
  <c r="J32" i="2"/>
  <c r="E32" i="2"/>
  <c r="J41" i="3"/>
  <c r="E41" i="3"/>
  <c r="J44" i="3"/>
  <c r="E44" i="3"/>
  <c r="J9" i="10"/>
  <c r="E9" i="10"/>
  <c r="J26" i="14"/>
  <c r="E26" i="14"/>
  <c r="J3" i="4"/>
  <c r="E3" i="4"/>
  <c r="J21" i="10"/>
  <c r="E21" i="10"/>
  <c r="J47" i="2"/>
  <c r="J46" i="2"/>
  <c r="J45" i="2"/>
  <c r="J44" i="2"/>
  <c r="J43" i="2"/>
  <c r="J42" i="2"/>
  <c r="J41" i="2"/>
  <c r="J38" i="2"/>
  <c r="J37" i="2"/>
  <c r="J36" i="2"/>
  <c r="J35" i="2"/>
  <c r="J30" i="2"/>
  <c r="J23" i="2"/>
  <c r="J19" i="2"/>
  <c r="J18" i="2"/>
  <c r="J17" i="2"/>
  <c r="J14" i="2"/>
  <c r="J8" i="2"/>
  <c r="J4" i="2"/>
  <c r="E47" i="2"/>
  <c r="E46" i="2"/>
  <c r="E45" i="2"/>
  <c r="E44" i="2"/>
  <c r="E43" i="2"/>
  <c r="E42" i="2"/>
  <c r="E41" i="2"/>
  <c r="E38" i="2"/>
  <c r="E37" i="2"/>
  <c r="E36" i="2"/>
  <c r="E35" i="2"/>
  <c r="E30" i="2"/>
  <c r="E23" i="2"/>
  <c r="E19" i="2"/>
  <c r="E18" i="2"/>
  <c r="E17" i="2"/>
  <c r="E14" i="2"/>
  <c r="E8" i="2"/>
  <c r="E4" i="2"/>
  <c r="J8" i="4"/>
  <c r="E8" i="4"/>
  <c r="J35" i="4"/>
  <c r="E35" i="4"/>
  <c r="L50" i="1"/>
  <c r="L48" i="1"/>
  <c r="L46" i="1"/>
  <c r="L44" i="1"/>
  <c r="L38" i="1"/>
  <c r="L37" i="1"/>
  <c r="L35" i="1"/>
  <c r="L33" i="1"/>
  <c r="L31" i="1"/>
  <c r="L30" i="1"/>
  <c r="L29" i="1"/>
  <c r="L28" i="1"/>
  <c r="L19" i="1"/>
  <c r="L18" i="1"/>
  <c r="L17" i="1"/>
  <c r="L15" i="1"/>
  <c r="L14" i="1"/>
  <c r="L12" i="1"/>
  <c r="L10" i="1"/>
  <c r="L9" i="1"/>
  <c r="L8" i="1"/>
  <c r="L7" i="1"/>
  <c r="L6" i="1"/>
  <c r="L4" i="1"/>
  <c r="F50" i="1"/>
  <c r="F48" i="1"/>
  <c r="F46" i="1"/>
  <c r="F44" i="1"/>
  <c r="F38" i="1"/>
  <c r="F37" i="1"/>
  <c r="F35" i="1"/>
  <c r="F33" i="1"/>
  <c r="F31" i="1"/>
  <c r="F30" i="1"/>
  <c r="F29" i="1"/>
  <c r="F28" i="1"/>
  <c r="F19" i="1"/>
  <c r="F18" i="1"/>
  <c r="F17" i="1"/>
  <c r="F15" i="1"/>
  <c r="F14" i="1"/>
  <c r="F12" i="1"/>
  <c r="F10" i="1"/>
  <c r="F9" i="1"/>
  <c r="F8" i="1"/>
  <c r="F7" i="1"/>
  <c r="F6" i="1"/>
  <c r="F4" i="1"/>
  <c r="J49" i="3"/>
  <c r="J48" i="3"/>
  <c r="J47" i="3"/>
  <c r="J43" i="3"/>
  <c r="J42" i="3"/>
  <c r="J40" i="3"/>
  <c r="J38" i="3"/>
  <c r="J36" i="3"/>
  <c r="J33" i="3"/>
  <c r="J32" i="3"/>
  <c r="J29" i="3"/>
  <c r="J25" i="3"/>
  <c r="J24" i="3"/>
  <c r="J23" i="3"/>
  <c r="J22" i="3"/>
  <c r="J20" i="3"/>
  <c r="J18" i="3"/>
  <c r="J17" i="3"/>
  <c r="J15" i="3"/>
  <c r="J14" i="3"/>
  <c r="J10" i="3"/>
  <c r="J5" i="3"/>
  <c r="J3" i="3"/>
  <c r="E49" i="3"/>
  <c r="E48" i="3"/>
  <c r="E47" i="3"/>
  <c r="E43" i="3"/>
  <c r="E42" i="3"/>
  <c r="E40" i="3"/>
  <c r="E38" i="3"/>
  <c r="E36" i="3"/>
  <c r="E33" i="3"/>
  <c r="E32" i="3"/>
  <c r="E29" i="3"/>
  <c r="E25" i="3"/>
  <c r="E24" i="3"/>
  <c r="E23" i="3"/>
  <c r="E22" i="3"/>
  <c r="E20" i="3"/>
  <c r="E18" i="3"/>
  <c r="E17" i="3"/>
  <c r="E15" i="3"/>
  <c r="E14" i="3"/>
  <c r="E10" i="3"/>
  <c r="E5" i="3"/>
  <c r="E3" i="3"/>
  <c r="J49" i="10"/>
  <c r="E49" i="10"/>
  <c r="J45" i="10"/>
  <c r="E45" i="10"/>
  <c r="J20" i="10"/>
  <c r="J18" i="10"/>
  <c r="J38" i="10"/>
  <c r="J39" i="10"/>
  <c r="J6" i="10"/>
  <c r="J14" i="10"/>
  <c r="J15" i="10"/>
  <c r="J16" i="10"/>
  <c r="J17" i="10"/>
  <c r="J19" i="10"/>
  <c r="J24" i="10"/>
  <c r="J25" i="10"/>
  <c r="J28" i="10"/>
  <c r="J30" i="10"/>
  <c r="J33" i="10"/>
  <c r="J34" i="10"/>
  <c r="J36" i="10"/>
  <c r="J37" i="10"/>
  <c r="J41" i="10"/>
  <c r="J42" i="10"/>
  <c r="J50" i="10"/>
  <c r="J51" i="10"/>
  <c r="J47" i="10"/>
  <c r="E18" i="10"/>
  <c r="E38" i="10"/>
  <c r="E39" i="10"/>
  <c r="E6" i="10"/>
  <c r="E14" i="10"/>
  <c r="E15" i="10"/>
  <c r="E16" i="10"/>
  <c r="E17" i="10"/>
  <c r="E19" i="10"/>
  <c r="E20" i="10"/>
  <c r="E24" i="10"/>
  <c r="E25" i="10"/>
  <c r="E28" i="10"/>
  <c r="E30" i="10"/>
  <c r="E33" i="10"/>
  <c r="E34" i="10"/>
  <c r="E36" i="10"/>
  <c r="E37" i="10"/>
  <c r="E41" i="10"/>
  <c r="E42" i="10"/>
  <c r="E50" i="10"/>
  <c r="E51" i="10"/>
  <c r="E47" i="10"/>
  <c r="J56" i="14"/>
  <c r="J53" i="14"/>
  <c r="J51" i="14"/>
  <c r="J47" i="14"/>
  <c r="J45" i="14"/>
  <c r="J44" i="14"/>
  <c r="J43" i="14"/>
  <c r="J42" i="14"/>
  <c r="J39" i="14"/>
  <c r="J37" i="14"/>
  <c r="J36" i="14"/>
  <c r="J35" i="14"/>
  <c r="J31" i="14"/>
  <c r="J30" i="14"/>
  <c r="J29" i="14"/>
  <c r="J23" i="14"/>
  <c r="J21" i="14"/>
  <c r="J20" i="14"/>
  <c r="J17" i="14"/>
  <c r="J15" i="14"/>
  <c r="J13" i="14"/>
  <c r="J11" i="14"/>
  <c r="E56" i="14"/>
  <c r="E53" i="14"/>
  <c r="E51" i="14"/>
  <c r="E47" i="14"/>
  <c r="E45" i="14"/>
  <c r="E44" i="14"/>
  <c r="E43" i="14"/>
  <c r="E42" i="14"/>
  <c r="E39" i="14"/>
  <c r="E37" i="14"/>
  <c r="E36" i="14"/>
  <c r="E35" i="14"/>
  <c r="E31" i="14"/>
  <c r="E30" i="14"/>
  <c r="E29" i="14"/>
  <c r="E23" i="14"/>
  <c r="E21" i="14"/>
  <c r="E20" i="14"/>
  <c r="E17" i="14"/>
  <c r="E15" i="14"/>
  <c r="E13" i="14"/>
  <c r="E11" i="14"/>
  <c r="I14" i="13"/>
  <c r="J14" i="13"/>
  <c r="J24" i="11"/>
  <c r="E24" i="11"/>
  <c r="AN6" i="10"/>
  <c r="AN5" i="10"/>
  <c r="AN30" i="3"/>
  <c r="AW30" i="3"/>
  <c r="AT30" i="3"/>
  <c r="AQ30" i="3"/>
  <c r="AK38" i="14"/>
  <c r="AN8" i="14"/>
  <c r="AN7" i="14"/>
  <c r="AN16" i="4"/>
  <c r="J50" i="4"/>
  <c r="E50" i="4"/>
  <c r="J27" i="4"/>
  <c r="E27" i="4"/>
  <c r="J16" i="4"/>
  <c r="E16" i="4"/>
  <c r="AK24" i="11"/>
  <c r="J46" i="11"/>
  <c r="E46" i="11"/>
  <c r="J33" i="11"/>
  <c r="E33" i="11"/>
  <c r="J28" i="11"/>
  <c r="E28" i="11"/>
  <c r="J15" i="11"/>
  <c r="E15" i="11"/>
  <c r="J10" i="11"/>
  <c r="E10" i="11"/>
  <c r="J9" i="11"/>
  <c r="J8" i="11"/>
  <c r="E9" i="11"/>
  <c r="E8" i="11"/>
  <c r="J52" i="11"/>
  <c r="J51" i="11"/>
  <c r="J48" i="11"/>
  <c r="J47" i="11"/>
  <c r="J44" i="11"/>
  <c r="J42" i="11"/>
  <c r="J41" i="11"/>
  <c r="J39" i="11"/>
  <c r="J36" i="11"/>
  <c r="J35" i="11"/>
  <c r="J27" i="11"/>
  <c r="J26" i="11"/>
  <c r="J23" i="11"/>
  <c r="J20" i="11"/>
  <c r="J19" i="11"/>
  <c r="J14" i="11"/>
  <c r="J13" i="11"/>
  <c r="J11" i="11"/>
  <c r="J7" i="11"/>
  <c r="J6" i="11"/>
  <c r="J4" i="11"/>
  <c r="E52" i="11"/>
  <c r="E51" i="11"/>
  <c r="E48" i="11"/>
  <c r="E47" i="11"/>
  <c r="E44" i="11"/>
  <c r="E42" i="11"/>
  <c r="E41" i="11"/>
  <c r="E39" i="11"/>
  <c r="E36" i="11"/>
  <c r="E35" i="11"/>
  <c r="E27" i="11"/>
  <c r="E26" i="11"/>
  <c r="E23" i="11"/>
  <c r="E20" i="11"/>
  <c r="E19" i="11"/>
  <c r="E14" i="11"/>
  <c r="E13" i="11"/>
  <c r="E11" i="11"/>
  <c r="E7" i="11"/>
  <c r="E6" i="11"/>
  <c r="E4" i="11"/>
  <c r="J42" i="5"/>
  <c r="E42" i="5"/>
  <c r="E39" i="5"/>
  <c r="J21" i="5"/>
  <c r="E21" i="5"/>
  <c r="D58" i="5"/>
  <c r="I58" i="5"/>
  <c r="G58" i="5"/>
  <c r="H58" i="5"/>
  <c r="J57" i="5"/>
  <c r="J55" i="5"/>
  <c r="J54" i="5"/>
  <c r="J52" i="5"/>
  <c r="J48" i="5"/>
  <c r="J43" i="5"/>
  <c r="J41" i="5"/>
  <c r="J37" i="5"/>
  <c r="J35" i="5"/>
  <c r="J34" i="5"/>
  <c r="J33" i="5"/>
  <c r="J32" i="5"/>
  <c r="J31" i="5"/>
  <c r="J29" i="5"/>
  <c r="J27" i="5"/>
  <c r="J26" i="5"/>
  <c r="J25" i="5"/>
  <c r="J19" i="5"/>
  <c r="J18" i="5"/>
  <c r="J15" i="5"/>
  <c r="J12" i="5"/>
  <c r="J10" i="5"/>
  <c r="J9" i="5"/>
  <c r="J3" i="5"/>
  <c r="B58" i="5"/>
  <c r="C58" i="5"/>
  <c r="E57" i="5"/>
  <c r="E55" i="5"/>
  <c r="E54" i="5"/>
  <c r="E52" i="5"/>
  <c r="E48" i="5"/>
  <c r="E43" i="5"/>
  <c r="E41" i="5"/>
  <c r="E37" i="5"/>
  <c r="E35" i="5"/>
  <c r="E34" i="5"/>
  <c r="E33" i="5"/>
  <c r="E32" i="5"/>
  <c r="E31" i="5"/>
  <c r="E29" i="5"/>
  <c r="E27" i="5"/>
  <c r="E26" i="5"/>
  <c r="E25" i="5"/>
  <c r="E19" i="5"/>
  <c r="E18" i="5"/>
  <c r="E15" i="5"/>
  <c r="E12" i="5"/>
  <c r="E10" i="5"/>
  <c r="E9" i="5"/>
  <c r="E3" i="5"/>
  <c r="AV23" i="2"/>
  <c r="AQ7" i="14"/>
  <c r="AQ38" i="14"/>
  <c r="AN38" i="14"/>
  <c r="BC8" i="14"/>
  <c r="AZ8" i="14"/>
  <c r="AW8" i="14"/>
  <c r="AT8" i="14"/>
  <c r="AZ7" i="14"/>
  <c r="AW7" i="14"/>
  <c r="AT7" i="14"/>
  <c r="AP33" i="1"/>
  <c r="BE10" i="1"/>
  <c r="BB10" i="1"/>
  <c r="AY10" i="1"/>
  <c r="AV10" i="1"/>
  <c r="AS10" i="1"/>
  <c r="AP10" i="1"/>
  <c r="J23" i="4"/>
  <c r="E23" i="4"/>
  <c r="J18" i="4"/>
  <c r="E18" i="4"/>
  <c r="J36" i="4"/>
  <c r="E36" i="4"/>
  <c r="I58" i="4"/>
  <c r="J57" i="4"/>
  <c r="J53" i="4"/>
  <c r="J48" i="4"/>
  <c r="J46" i="4"/>
  <c r="J43" i="4"/>
  <c r="J41" i="4"/>
  <c r="J40" i="4"/>
  <c r="J38" i="4"/>
  <c r="J37" i="4"/>
  <c r="J26" i="4"/>
  <c r="J24" i="4"/>
  <c r="J21" i="4"/>
  <c r="J19" i="4"/>
  <c r="J17" i="4"/>
  <c r="J13" i="4"/>
  <c r="J11" i="4"/>
  <c r="D58" i="4"/>
  <c r="E57" i="4"/>
  <c r="E53" i="4"/>
  <c r="E48" i="4"/>
  <c r="E46" i="4"/>
  <c r="E43" i="4"/>
  <c r="E41" i="4"/>
  <c r="E40" i="4"/>
  <c r="E38" i="4"/>
  <c r="E37" i="4"/>
  <c r="E26" i="4"/>
  <c r="E24" i="4"/>
  <c r="E21" i="4"/>
  <c r="E19" i="4"/>
  <c r="E17" i="4"/>
  <c r="E13" i="4"/>
  <c r="E11" i="4"/>
  <c r="AQ12" i="11"/>
  <c r="AP16" i="2"/>
  <c r="AP8" i="2"/>
  <c r="AS17" i="1"/>
  <c r="J12" i="13"/>
  <c r="I12" i="13"/>
  <c r="AS33" i="1"/>
  <c r="AS16" i="2"/>
  <c r="AS8" i="2"/>
  <c r="B58" i="4"/>
  <c r="G58" i="4"/>
  <c r="H58" i="4"/>
  <c r="AZ20" i="3"/>
  <c r="AS34" i="2"/>
  <c r="C58" i="4"/>
  <c r="AY16" i="2"/>
  <c r="AV8" i="2"/>
  <c r="AY8" i="2"/>
  <c r="BB8" i="2"/>
  <c r="E52" i="10" l="1"/>
  <c r="J52" i="10"/>
  <c r="E53" i="11"/>
  <c r="J53" i="11"/>
  <c r="J63" i="6"/>
  <c r="E63" i="6"/>
  <c r="K12" i="13"/>
  <c r="E48" i="2"/>
  <c r="J48" i="2"/>
  <c r="K16" i="13"/>
  <c r="K13" i="13"/>
  <c r="K21" i="13"/>
  <c r="K14" i="13"/>
  <c r="K8" i="13"/>
  <c r="E53" i="3"/>
  <c r="J53" i="3"/>
  <c r="E58" i="14"/>
  <c r="J58" i="14"/>
  <c r="F51" i="1"/>
  <c r="L51" i="1"/>
  <c r="E58" i="5"/>
  <c r="J58" i="5"/>
  <c r="J53" i="9"/>
  <c r="E53" i="9"/>
  <c r="J58" i="4"/>
  <c r="E58" i="4"/>
  <c r="C519" i="13"/>
  <c r="F519" i="13"/>
</calcChain>
</file>

<file path=xl/sharedStrings.xml><?xml version="1.0" encoding="utf-8"?>
<sst xmlns="http://schemas.openxmlformats.org/spreadsheetml/2006/main" count="14896" uniqueCount="1331">
  <si>
    <t>TRIES</t>
  </si>
  <si>
    <t>Tot</t>
  </si>
  <si>
    <t>POINTS</t>
  </si>
  <si>
    <t>TOTALS</t>
  </si>
  <si>
    <t>Penalty Tries</t>
  </si>
  <si>
    <t>Williams</t>
  </si>
  <si>
    <t>Joseph</t>
  </si>
  <si>
    <t>Brown</t>
  </si>
  <si>
    <t>Care</t>
  </si>
  <si>
    <t>Bassett</t>
  </si>
  <si>
    <t>Most Points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</si>
  <si>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</si>
  <si>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</si>
  <si>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</si>
  <si>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</si>
  <si>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</si>
  <si>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</si>
  <si>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</si>
  <si>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</si>
  <si>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</si>
  <si>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Prem</t>
  </si>
  <si>
    <t>na</t>
  </si>
  <si>
    <t>n/a</t>
  </si>
  <si>
    <t>Harrison</t>
  </si>
  <si>
    <t>Walker</t>
  </si>
  <si>
    <t xml:space="preserve"> </t>
  </si>
  <si>
    <t>Smith</t>
  </si>
  <si>
    <t>Woodburn</t>
  </si>
  <si>
    <t>Watson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</si>
  <si>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</si>
  <si>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</si>
  <si>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</si>
  <si>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</si>
  <si>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</si>
  <si>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</si>
  <si>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</si>
  <si>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</si>
  <si>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</si>
  <si>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</si>
  <si>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Townsend</t>
  </si>
  <si>
    <t>Cole</t>
  </si>
  <si>
    <t>Beaumont</t>
  </si>
  <si>
    <t>© Hillsport Media Ltd</t>
  </si>
  <si>
    <t>Top Strike Rates*</t>
  </si>
  <si>
    <t>Ewels</t>
  </si>
  <si>
    <t>2013/14</t>
  </si>
  <si>
    <t>Last Match             (all comps)</t>
  </si>
  <si>
    <t>Woolmore</t>
  </si>
  <si>
    <t>Last Match             (All Comps)</t>
  </si>
  <si>
    <t xml:space="preserve">2013/14 </t>
  </si>
  <si>
    <t xml:space="preserve">2012/13 </t>
  </si>
  <si>
    <t>Hutchinson</t>
  </si>
  <si>
    <t>Annett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</si>
  <si>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</si>
  <si>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</si>
  <si>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</si>
  <si>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</si>
  <si>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</si>
  <si>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</si>
  <si>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</si>
  <si>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</si>
  <si>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</si>
  <si>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</si>
  <si>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</si>
  <si>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</si>
  <si>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</si>
  <si>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</si>
  <si>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</si>
  <si>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</si>
  <si>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</si>
  <si>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</si>
  <si>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</si>
  <si>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</si>
  <si>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</si>
  <si>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Cokanasiga</t>
  </si>
  <si>
    <t>Obano</t>
  </si>
  <si>
    <t>Underhill</t>
  </si>
  <si>
    <t>Stuart</t>
  </si>
  <si>
    <t>Ackermann</t>
  </si>
  <si>
    <t>Furbank</t>
  </si>
  <si>
    <t>Lawrence</t>
  </si>
  <si>
    <t>Mitchell</t>
  </si>
  <si>
    <t>White</t>
  </si>
  <si>
    <t>Lamb</t>
  </si>
  <si>
    <t xml:space="preserve">James L </t>
  </si>
  <si>
    <t>Reffell</t>
  </si>
  <si>
    <t>Simmons</t>
  </si>
  <si>
    <t>Reed</t>
  </si>
  <si>
    <t>Redpath</t>
  </si>
  <si>
    <t>Bayliss</t>
  </si>
  <si>
    <t>Vaughan</t>
  </si>
  <si>
    <t>Seabrook</t>
  </si>
  <si>
    <t>2016/17</t>
  </si>
  <si>
    <t>PREM CUP</t>
  </si>
  <si>
    <t>GLO</t>
  </si>
  <si>
    <t>SAL</t>
  </si>
  <si>
    <t>BTH</t>
  </si>
  <si>
    <t>NOR</t>
  </si>
  <si>
    <t xml:space="preserve">Penalty Tries </t>
  </si>
  <si>
    <t xml:space="preserve">Chisholm J </t>
  </si>
  <si>
    <t xml:space="preserve">Youngs B </t>
  </si>
  <si>
    <t xml:space="preserve">Curry B </t>
  </si>
  <si>
    <t xml:space="preserve">Curry T </t>
  </si>
  <si>
    <t xml:space="preserve">Hill J </t>
  </si>
  <si>
    <t>HAR</t>
  </si>
  <si>
    <t>EXE</t>
  </si>
  <si>
    <t xml:space="preserve">Harrison R </t>
  </si>
  <si>
    <t>McConnochie</t>
  </si>
  <si>
    <t>BRI</t>
  </si>
  <si>
    <t>Heenan</t>
  </si>
  <si>
    <t>Luatua</t>
  </si>
  <si>
    <t>Randall</t>
  </si>
  <si>
    <t>Thacker</t>
  </si>
  <si>
    <t>Thomas Y</t>
  </si>
  <si>
    <t>PREM  CUP</t>
  </si>
  <si>
    <t>Last Match            (All Comps)</t>
  </si>
  <si>
    <t>Dombrandt</t>
  </si>
  <si>
    <t>Curtis</t>
  </si>
  <si>
    <t>Spencer B</t>
  </si>
  <si>
    <t>Stuart W</t>
  </si>
  <si>
    <t>Taylor T</t>
  </si>
  <si>
    <t>Ackermann R</t>
  </si>
  <si>
    <t>Annett N</t>
  </si>
  <si>
    <t>Bayliss J</t>
  </si>
  <si>
    <t>Beaumont J</t>
  </si>
  <si>
    <t>Boyce L</t>
  </si>
  <si>
    <t>Brown M</t>
  </si>
  <si>
    <t>Care D</t>
  </si>
  <si>
    <t>Clarke F</t>
  </si>
  <si>
    <t>Cokanasiga J</t>
  </si>
  <si>
    <t>Cole D</t>
  </si>
  <si>
    <t>Dombrandt A</t>
  </si>
  <si>
    <t>Dunn T</t>
  </si>
  <si>
    <t>Earl B</t>
  </si>
  <si>
    <t>Ewels C</t>
  </si>
  <si>
    <t>Ford-Robinson J</t>
  </si>
  <si>
    <t>Furbank G</t>
  </si>
  <si>
    <t>Genge E</t>
  </si>
  <si>
    <t>Haining N</t>
  </si>
  <si>
    <t>Heenan J</t>
  </si>
  <si>
    <t>Hutchinson R</t>
  </si>
  <si>
    <t>Innard J</t>
  </si>
  <si>
    <t>Kerrod S</t>
  </si>
  <si>
    <t>Lamb D</t>
  </si>
  <si>
    <t>Lawday T</t>
  </si>
  <si>
    <t>Lawrence O</t>
  </si>
  <si>
    <t>Luatua S</t>
  </si>
  <si>
    <t>Ludlow L</t>
  </si>
  <si>
    <t>MacGinty A</t>
  </si>
  <si>
    <t>Marler J</t>
  </si>
  <si>
    <t>McConnochie R</t>
  </si>
  <si>
    <t>Mitchell A</t>
  </si>
  <si>
    <t>Obano B</t>
  </si>
  <si>
    <t>O'Flaherty T</t>
  </si>
  <si>
    <t>Randall H</t>
  </si>
  <si>
    <t>Rapava Ruskin V</t>
  </si>
  <si>
    <t>Redpath C</t>
  </si>
  <si>
    <t>Reed A</t>
  </si>
  <si>
    <t>Seabrook T</t>
  </si>
  <si>
    <t>Simmons H</t>
  </si>
  <si>
    <t>Slade H</t>
  </si>
  <si>
    <t>Thorley O</t>
  </si>
  <si>
    <t>Townsend S</t>
  </si>
  <si>
    <t>Underhill S</t>
  </si>
  <si>
    <t>van Wyk F</t>
  </si>
  <si>
    <t>Vaughan W</t>
  </si>
  <si>
    <t>Woodburn O</t>
  </si>
  <si>
    <t>Woolmore J</t>
  </si>
  <si>
    <t>Yeandle J</t>
  </si>
  <si>
    <t>Smith M</t>
  </si>
  <si>
    <t>^regular season</t>
  </si>
  <si>
    <t>2013/14           (European Cup)</t>
  </si>
  <si>
    <t>Hill T</t>
  </si>
  <si>
    <t>Painter</t>
  </si>
  <si>
    <t>Painter E</t>
  </si>
  <si>
    <t>Wells</t>
  </si>
  <si>
    <t>Wells H</t>
  </si>
  <si>
    <t>Wilkinson</t>
  </si>
  <si>
    <t>Chapman</t>
  </si>
  <si>
    <t>Chapman C</t>
  </si>
  <si>
    <t>Skinner H</t>
  </si>
  <si>
    <t>Bedlow S</t>
  </si>
  <si>
    <t>Reffell T</t>
  </si>
  <si>
    <t>du Preez R</t>
  </si>
  <si>
    <t>Capstick</t>
  </si>
  <si>
    <t>Capstick R</t>
  </si>
  <si>
    <t>Keast</t>
  </si>
  <si>
    <t>Keast B</t>
  </si>
  <si>
    <t>Dingwall</t>
  </si>
  <si>
    <t>Dingwall F</t>
  </si>
  <si>
    <t>Sleightholme O</t>
  </si>
  <si>
    <t>du Preez J-L</t>
  </si>
  <si>
    <t>Murley</t>
  </si>
  <si>
    <t>Murley C</t>
  </si>
  <si>
    <t>Coles</t>
  </si>
  <si>
    <t>Coles A</t>
  </si>
  <si>
    <t>David</t>
  </si>
  <si>
    <t>David N</t>
  </si>
  <si>
    <t>Top Try Scorer^</t>
  </si>
  <si>
    <t>2017/18</t>
  </si>
  <si>
    <t>2013/14  (European Cup)</t>
  </si>
  <si>
    <t>Jackson</t>
  </si>
  <si>
    <t>Tuisue</t>
  </si>
  <si>
    <t>Barton</t>
  </si>
  <si>
    <t>Wyatt</t>
  </si>
  <si>
    <t>Barton G</t>
  </si>
  <si>
    <t xml:space="preserve">Barton G </t>
  </si>
  <si>
    <t>Wyatt T</t>
  </si>
  <si>
    <t>Vermeulen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</si>
  <si>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</si>
  <si>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</si>
  <si>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</si>
  <si>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</si>
  <si>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</si>
  <si>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</si>
  <si>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</si>
  <si>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</si>
  <si>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</si>
  <si>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Street</t>
  </si>
  <si>
    <t>Street M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</si>
  <si>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</si>
  <si>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</si>
  <si>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</si>
  <si>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</si>
  <si>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</si>
  <si>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</si>
  <si>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</si>
  <si>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</si>
  <si>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Harris</t>
  </si>
  <si>
    <t>Heward</t>
  </si>
  <si>
    <t>Simpson G</t>
  </si>
  <si>
    <t>Ford</t>
  </si>
  <si>
    <t>Steward</t>
  </si>
  <si>
    <t>Steward F</t>
  </si>
  <si>
    <t>Harris C</t>
  </si>
  <si>
    <t>Lewies</t>
  </si>
  <si>
    <t>Lewies S</t>
  </si>
  <si>
    <t>Northmore</t>
  </si>
  <si>
    <t>Northmore L</t>
  </si>
  <si>
    <t>Tuisue A</t>
  </si>
  <si>
    <t>Lawday</t>
  </si>
  <si>
    <t>Varney S</t>
  </si>
  <si>
    <t>de Glanville</t>
  </si>
  <si>
    <t>de Glanville T</t>
  </si>
  <si>
    <t>*Spencer</t>
  </si>
  <si>
    <t>Henderson</t>
  </si>
  <si>
    <t>Henderson C</t>
  </si>
  <si>
    <t>Liebenberg</t>
  </si>
  <si>
    <t>Liebenberg H</t>
  </si>
  <si>
    <t>Stanley</t>
  </si>
  <si>
    <t>Stanley J</t>
  </si>
  <si>
    <t>Gray</t>
  </si>
  <si>
    <t>Hodge</t>
  </si>
  <si>
    <t>Hodge J</t>
  </si>
  <si>
    <t>Alemanno</t>
  </si>
  <si>
    <t>Byrne</t>
  </si>
  <si>
    <t>Byrne B</t>
  </si>
  <si>
    <t>Scott</t>
  </si>
  <si>
    <t>Alemanno M</t>
  </si>
  <si>
    <t>GP</t>
  </si>
  <si>
    <t>2018/19</t>
  </si>
  <si>
    <t xml:space="preserve">2018/19 </t>
  </si>
  <si>
    <t>Fox</t>
  </si>
  <si>
    <t>Fox O</t>
  </si>
  <si>
    <t>Reid M</t>
  </si>
  <si>
    <t>Muir</t>
  </si>
  <si>
    <t>Muir W</t>
  </si>
  <si>
    <t>Last Season</t>
  </si>
  <si>
    <t>Armstrong</t>
  </si>
  <si>
    <t>Lahiff</t>
  </si>
  <si>
    <t>Lahiff M</t>
  </si>
  <si>
    <t>Naulago</t>
  </si>
  <si>
    <t>Naulago S</t>
  </si>
  <si>
    <t>Innard</t>
  </si>
  <si>
    <t xml:space="preserve">Last Season </t>
  </si>
  <si>
    <t>Ford-Robinson</t>
  </si>
  <si>
    <t>Els</t>
  </si>
  <si>
    <t>Els J</t>
  </si>
  <si>
    <t>Kerrod</t>
  </si>
  <si>
    <t>White A</t>
  </si>
  <si>
    <t>Heyes</t>
  </si>
  <si>
    <t>Heyes J</t>
  </si>
  <si>
    <t>NEW</t>
  </si>
  <si>
    <t>Blamire</t>
  </si>
  <si>
    <t>Blamire J</t>
  </si>
  <si>
    <t>Brocklebank</t>
  </si>
  <si>
    <t>Brocklebank A</t>
  </si>
  <si>
    <t>Chick</t>
  </si>
  <si>
    <t>Chick C</t>
  </si>
  <si>
    <t>Cooper</t>
  </si>
  <si>
    <t>McGuigan G</t>
  </si>
  <si>
    <t>Connon</t>
  </si>
  <si>
    <t>Radwan</t>
  </si>
  <si>
    <t>Stuart S</t>
  </si>
  <si>
    <t>van der Walt</t>
  </si>
  <si>
    <t>van der Walt P</t>
  </si>
  <si>
    <t>Connon B</t>
  </si>
  <si>
    <t>Radwan A</t>
  </si>
  <si>
    <t>Porter</t>
  </si>
  <si>
    <t>Stevenson</t>
  </si>
  <si>
    <t>Stevenson B</t>
  </si>
  <si>
    <t>Clare</t>
  </si>
  <si>
    <t>Clare C</t>
  </si>
  <si>
    <t>Graham</t>
  </si>
  <si>
    <t>Isiekwe</t>
  </si>
  <si>
    <t>Isiekwe N</t>
  </si>
  <si>
    <t>Singleton J</t>
  </si>
  <si>
    <t>Atkinson C</t>
  </si>
  <si>
    <t>James</t>
  </si>
  <si>
    <t>James T</t>
  </si>
  <si>
    <t>Kelly</t>
  </si>
  <si>
    <t>Kelly D</t>
  </si>
  <si>
    <t>Kloska</t>
  </si>
  <si>
    <t>Kloska G</t>
  </si>
  <si>
    <t>Evans W</t>
  </si>
  <si>
    <t>Montoya</t>
  </si>
  <si>
    <t>Montoya J</t>
  </si>
  <si>
    <t>Carreras</t>
  </si>
  <si>
    <t>Carreras S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</si>
  <si>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</si>
  <si>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</si>
  <si>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</si>
  <si>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</si>
  <si>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</si>
  <si>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</si>
  <si>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</si>
  <si>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</si>
  <si>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</si>
  <si>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</si>
  <si>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Davison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</si>
  <si>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</si>
  <si>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</si>
  <si>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</si>
  <si>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</si>
  <si>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</si>
  <si>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</si>
  <si>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</si>
  <si>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</si>
  <si>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</si>
  <si>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</si>
  <si>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Kenningham</t>
  </si>
  <si>
    <t>Kenningham J</t>
  </si>
  <si>
    <t>Obatoyinbo</t>
  </si>
  <si>
    <t>Segun</t>
  </si>
  <si>
    <t>George</t>
  </si>
  <si>
    <t>Hunter-Hill</t>
  </si>
  <si>
    <t>Itoje</t>
  </si>
  <si>
    <t>Davies</t>
  </si>
  <si>
    <t>Whiteley</t>
  </si>
  <si>
    <t>Tompkins</t>
  </si>
  <si>
    <t>Mawi</t>
  </si>
  <si>
    <t>Goode</t>
  </si>
  <si>
    <t>Daly</t>
  </si>
  <si>
    <t>Butt</t>
  </si>
  <si>
    <t>Butt W</t>
  </si>
  <si>
    <t>2019/20</t>
  </si>
  <si>
    <t>*Redpath</t>
  </si>
  <si>
    <t>Whiteley T</t>
  </si>
  <si>
    <t>van Zyl</t>
  </si>
  <si>
    <t>Riccioni</t>
  </si>
  <si>
    <t>McFarland</t>
  </si>
  <si>
    <t>Clarey</t>
  </si>
  <si>
    <t>Lozowski</t>
  </si>
  <si>
    <t>Earl</t>
  </si>
  <si>
    <t>Pifeleti</t>
  </si>
  <si>
    <t>Malins</t>
  </si>
  <si>
    <t>SAR</t>
  </si>
  <si>
    <t>Clarey A</t>
  </si>
  <si>
    <t>Daly E</t>
  </si>
  <si>
    <t>George J</t>
  </si>
  <si>
    <t>Goode A</t>
  </si>
  <si>
    <t>Hunter-Hill C</t>
  </si>
  <si>
    <t>Itoje M</t>
  </si>
  <si>
    <t>Lozowski A</t>
  </si>
  <si>
    <t>Mawi E</t>
  </si>
  <si>
    <t>McFarland T</t>
  </si>
  <si>
    <t>Obatoyinbo E</t>
  </si>
  <si>
    <t>Pifeleti K</t>
  </si>
  <si>
    <t>Riccioni M</t>
  </si>
  <si>
    <t>Segun R</t>
  </si>
  <si>
    <t>Tompkins N</t>
  </si>
  <si>
    <t>van Zyl I</t>
  </si>
  <si>
    <t>*Daly</t>
  </si>
  <si>
    <t>PC</t>
  </si>
  <si>
    <t>Iosefa-Scott</t>
  </si>
  <si>
    <t>Iosefa-Scott J</t>
  </si>
  <si>
    <t>Hurd</t>
  </si>
  <si>
    <t>Hurd W</t>
  </si>
  <si>
    <t>Smith T</t>
  </si>
  <si>
    <t>Whitcombe</t>
  </si>
  <si>
    <t>Whitcombe J</t>
  </si>
  <si>
    <t>Clement</t>
  </si>
  <si>
    <t>Clement J</t>
  </si>
  <si>
    <t>Ojomoh</t>
  </si>
  <si>
    <t>Tuima</t>
  </si>
  <si>
    <t>Tuima R</t>
  </si>
  <si>
    <t>Thomas</t>
  </si>
  <si>
    <t>Frost</t>
  </si>
  <si>
    <t>Frost D</t>
  </si>
  <si>
    <t>Ojomoh M</t>
  </si>
  <si>
    <t>Warr</t>
  </si>
  <si>
    <t>Warr G</t>
  </si>
  <si>
    <t>Davidson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</si>
  <si>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</si>
  <si>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</si>
  <si>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</si>
  <si>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</si>
  <si>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</si>
  <si>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</si>
  <si>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</si>
  <si>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</si>
  <si>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</si>
  <si>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</si>
  <si>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Anyanwu</t>
  </si>
  <si>
    <t>Birch</t>
  </si>
  <si>
    <t>Birch R</t>
  </si>
  <si>
    <t>Taylor H</t>
  </si>
  <si>
    <t>Reeves</t>
  </si>
  <si>
    <t>Reeves J</t>
  </si>
  <si>
    <t>Beard</t>
  </si>
  <si>
    <t>Beard O</t>
  </si>
  <si>
    <t>Augustus</t>
  </si>
  <si>
    <t>Augustus J</t>
  </si>
  <si>
    <t>Jordan</t>
  </si>
  <si>
    <t>Jordan C</t>
  </si>
  <si>
    <t>Cracknell</t>
  </si>
  <si>
    <t>Cracknell O</t>
  </si>
  <si>
    <t>Blake</t>
  </si>
  <si>
    <t>Blake S</t>
  </si>
  <si>
    <t>Hammond</t>
  </si>
  <si>
    <t>Hammond G</t>
  </si>
  <si>
    <t>Pearson</t>
  </si>
  <si>
    <t>Pearson L</t>
  </si>
  <si>
    <t>Atkinson S</t>
  </si>
  <si>
    <t>Richards</t>
  </si>
  <si>
    <t>Richards E</t>
  </si>
  <si>
    <t>Norey</t>
  </si>
  <si>
    <t>Norey M</t>
  </si>
  <si>
    <t>Hillman-Cooper</t>
  </si>
  <si>
    <t>Hillman-Cooper L</t>
  </si>
  <si>
    <t>Walker J</t>
  </si>
  <si>
    <t>Lane</t>
  </si>
  <si>
    <t>Lane R</t>
  </si>
  <si>
    <t>Gjaltema</t>
  </si>
  <si>
    <t>Gjaltema L</t>
  </si>
  <si>
    <t>Smith R</t>
  </si>
  <si>
    <t>Vanes</t>
  </si>
  <si>
    <t>Vanes A</t>
  </si>
  <si>
    <t>Carr</t>
  </si>
  <si>
    <t>Jackson B</t>
  </si>
  <si>
    <t>Carpenter</t>
  </si>
  <si>
    <t>Harper</t>
  </si>
  <si>
    <t>Adejimi</t>
  </si>
  <si>
    <t>Adejimi S</t>
  </si>
  <si>
    <t>Carpenter J</t>
  </si>
  <si>
    <t>Harper J</t>
  </si>
  <si>
    <t>Cleaves</t>
  </si>
  <si>
    <t>Cleaves C</t>
  </si>
  <si>
    <t>Thomas F</t>
  </si>
  <si>
    <t>Tiffen</t>
  </si>
  <si>
    <t>Tiffen M</t>
  </si>
  <si>
    <t>Maunder S</t>
  </si>
  <si>
    <t>Youngs</t>
  </si>
  <si>
    <t>2020/21</t>
  </si>
  <si>
    <t>2020/21 (CH)</t>
  </si>
  <si>
    <t>Kata</t>
  </si>
  <si>
    <t>Kata S</t>
  </si>
  <si>
    <t>Head</t>
  </si>
  <si>
    <t>Head G</t>
  </si>
  <si>
    <t>McGinty A</t>
  </si>
  <si>
    <t>Anyanwu L</t>
  </si>
  <si>
    <t>Cronin</t>
  </si>
  <si>
    <t>Cronin J</t>
  </si>
  <si>
    <t>Green J</t>
  </si>
  <si>
    <t>Riley</t>
  </si>
  <si>
    <t>Riley S</t>
  </si>
  <si>
    <t>Hallett</t>
  </si>
  <si>
    <t>Hallett J</t>
  </si>
  <si>
    <t>Tshiunza</t>
  </si>
  <si>
    <t>Tshiunza C</t>
  </si>
  <si>
    <t>Chessum L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</si>
  <si>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</si>
  <si>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</si>
  <si>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</si>
  <si>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</si>
  <si>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</si>
  <si>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</si>
  <si>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</si>
  <si>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</si>
  <si>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</si>
  <si>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</si>
  <si>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</si>
  <si>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</si>
  <si>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</si>
  <si>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</si>
  <si>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</si>
  <si>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</si>
  <si>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*MacGinty</t>
  </si>
  <si>
    <t>Musk</t>
  </si>
  <si>
    <t>Rowson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</si>
  <si>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</si>
  <si>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</si>
  <si>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</si>
  <si>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</si>
  <si>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</si>
  <si>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</si>
  <si>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</si>
  <si>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</si>
  <si>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Pollock</t>
  </si>
  <si>
    <t>Pollock H</t>
  </si>
  <si>
    <t>Davies H</t>
  </si>
  <si>
    <t>Watson A</t>
  </si>
  <si>
    <t>Elliott</t>
  </si>
  <si>
    <t>Elliott T</t>
  </si>
  <si>
    <t>Lockett</t>
  </si>
  <si>
    <t>Lockett T</t>
  </si>
  <si>
    <t>Scott-Young</t>
  </si>
  <si>
    <t>Scott-Young A</t>
  </si>
  <si>
    <t>*Spencer 7/8 in Prem, 3/5 Champs Cup &amp; 5/6 Prem Cup for Saracens in 2019/20</t>
  </si>
  <si>
    <t>Manz J</t>
  </si>
  <si>
    <t>Bailey D</t>
  </si>
  <si>
    <t>Caine</t>
  </si>
  <si>
    <t>Pepper G</t>
  </si>
  <si>
    <t>Sio</t>
  </si>
  <si>
    <t>Sio S</t>
  </si>
  <si>
    <t>van Wyk</t>
  </si>
  <si>
    <t>Jenkins I</t>
  </si>
  <si>
    <t>Jenkins D</t>
  </si>
  <si>
    <t>Carr-Smith</t>
  </si>
  <si>
    <t>Carr-Smith T</t>
  </si>
  <si>
    <t>Harris S</t>
  </si>
  <si>
    <t>Anderson</t>
  </si>
  <si>
    <t>Anderson C</t>
  </si>
  <si>
    <t>Knight</t>
  </si>
  <si>
    <t>Ibitoye</t>
  </si>
  <si>
    <t>Ibitoye G</t>
  </si>
  <si>
    <t>Feyi-Waboso</t>
  </si>
  <si>
    <t>Feyi-Waboso I</t>
  </si>
  <si>
    <t>Fletcher</t>
  </si>
  <si>
    <t>Fletcher O</t>
  </si>
  <si>
    <t>Jenkins J</t>
  </si>
  <si>
    <t>McIntyre</t>
  </si>
  <si>
    <t>McIntyre S</t>
  </si>
  <si>
    <t>Pollard</t>
  </si>
  <si>
    <t>Pollard H</t>
  </si>
  <si>
    <t>*Pollard</t>
  </si>
  <si>
    <t>Skinner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</si>
  <si>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</si>
  <si>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</si>
  <si>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</si>
  <si>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</si>
  <si>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</si>
  <si>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</si>
  <si>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</si>
  <si>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Cairns</t>
  </si>
  <si>
    <t>Cairns T</t>
  </si>
  <si>
    <t>Baxter</t>
  </si>
  <si>
    <t>Baxter F</t>
  </si>
  <si>
    <t>Lockwood</t>
  </si>
  <si>
    <t>Lockwood F</t>
  </si>
  <si>
    <t>Rubiolo</t>
  </si>
  <si>
    <t>Rubiolo P</t>
  </si>
  <si>
    <t>2021/22</t>
  </si>
  <si>
    <t>Hennessey</t>
  </si>
  <si>
    <t>Caulfield</t>
  </si>
  <si>
    <t>Marmion</t>
  </si>
  <si>
    <t xml:space="preserve">Marmion </t>
  </si>
  <si>
    <t>Owen</t>
  </si>
  <si>
    <t>Fisilau</t>
  </si>
  <si>
    <t>Hammersley</t>
  </si>
  <si>
    <t>Haydon-Wood</t>
  </si>
  <si>
    <t>Vintcent</t>
  </si>
  <si>
    <t xml:space="preserve">Ordered </t>
  </si>
  <si>
    <t>Hathaway</t>
  </si>
  <si>
    <t>Browne</t>
  </si>
  <si>
    <t>Joseph W</t>
  </si>
  <si>
    <t>Trenholm</t>
  </si>
  <si>
    <t>Hassell-Collins</t>
  </si>
  <si>
    <t>Hatherell</t>
  </si>
  <si>
    <t>Rogerson</t>
  </si>
  <si>
    <t>Shillcock</t>
  </si>
  <si>
    <t>de Chaves</t>
  </si>
  <si>
    <t>McDonald</t>
  </si>
  <si>
    <t>Pepper M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</si>
  <si>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</si>
  <si>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</si>
  <si>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</si>
  <si>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</si>
  <si>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</si>
  <si>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</si>
  <si>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</si>
  <si>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</si>
  <si>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Parton</t>
  </si>
  <si>
    <t>Willis</t>
  </si>
  <si>
    <t>*Shillcock</t>
  </si>
  <si>
    <t>Shillcock J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</si>
  <si>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</si>
  <si>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</si>
  <si>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</si>
  <si>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</si>
  <si>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</si>
  <si>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</si>
  <si>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</si>
  <si>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</si>
  <si>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</si>
  <si>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</si>
  <si>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</si>
  <si>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</si>
  <si>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</si>
  <si>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</si>
  <si>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de Chaves S</t>
  </si>
  <si>
    <t>Willis T</t>
  </si>
  <si>
    <t>du Toit T</t>
  </si>
  <si>
    <t>Roots E</t>
  </si>
  <si>
    <t>Vintcent R</t>
  </si>
  <si>
    <t>Porter W</t>
  </si>
  <si>
    <t>Gonzalez</t>
  </si>
  <si>
    <t>Gonzalez J M</t>
  </si>
  <si>
    <t>Malins M</t>
  </si>
  <si>
    <t>Brown L</t>
  </si>
  <si>
    <t>LEI</t>
  </si>
  <si>
    <t>Sleightholme</t>
  </si>
  <si>
    <t>Chisholm</t>
  </si>
  <si>
    <t>Oghre</t>
  </si>
  <si>
    <t>Oghre G</t>
  </si>
  <si>
    <t>Coetzee</t>
  </si>
  <si>
    <t>Coetzee J</t>
  </si>
  <si>
    <t>Dun</t>
  </si>
  <si>
    <t>Dun J</t>
  </si>
  <si>
    <t>Doherty</t>
  </si>
  <si>
    <t>Cinti</t>
  </si>
  <si>
    <t>Cinti L</t>
  </si>
  <si>
    <t>Herbst</t>
  </si>
  <si>
    <t>Herbst I</t>
  </si>
  <si>
    <t>Cowan-Dickie L</t>
  </si>
  <si>
    <t>Dunne</t>
  </si>
  <si>
    <t>Dunne J</t>
  </si>
  <si>
    <t>*Atkinson C</t>
  </si>
  <si>
    <t>Schreuder</t>
  </si>
  <si>
    <t>Schreuder L</t>
  </si>
  <si>
    <t>Wimbush</t>
  </si>
  <si>
    <t>Wimbush Z</t>
  </si>
  <si>
    <t>Lewis</t>
  </si>
  <si>
    <t>Lewis D</t>
  </si>
  <si>
    <t>Bello</t>
  </si>
  <si>
    <t xml:space="preserve">Bello </t>
  </si>
  <si>
    <t>Bello E</t>
  </si>
  <si>
    <t>McCallum</t>
  </si>
  <si>
    <t>McCallum M</t>
  </si>
  <si>
    <t>Mercer</t>
  </si>
  <si>
    <t>Mercer Z</t>
  </si>
  <si>
    <t>Redshaw</t>
  </si>
  <si>
    <t>Redshaw B</t>
  </si>
  <si>
    <t>O'Sullivan</t>
  </si>
  <si>
    <t>O'Sullivan H</t>
  </si>
  <si>
    <t>Savala</t>
  </si>
  <si>
    <t>Savala C</t>
  </si>
  <si>
    <t>*Savala</t>
  </si>
  <si>
    <t>Janse v Rensburg</t>
  </si>
  <si>
    <t>Janse van Rensburg B</t>
  </si>
  <si>
    <t>Janse v Rensburg B</t>
  </si>
  <si>
    <t>Hadfield</t>
  </si>
  <si>
    <t>Hadfield J</t>
  </si>
  <si>
    <t>Llewellyn</t>
  </si>
  <si>
    <t>Llewellyn M</t>
  </si>
  <si>
    <t>Maunder</t>
  </si>
  <si>
    <t>Theobold-Thomas</t>
  </si>
  <si>
    <t>Theobald-Thomas</t>
  </si>
  <si>
    <t>Theobald-Thomas F</t>
  </si>
  <si>
    <t>Garside</t>
  </si>
  <si>
    <t>Garside J</t>
  </si>
  <si>
    <t>*Evans J</t>
  </si>
  <si>
    <t>Parton T</t>
  </si>
  <si>
    <t>Cardall</t>
  </si>
  <si>
    <t>Cardall T</t>
  </si>
  <si>
    <t>John</t>
  </si>
  <si>
    <t>John D</t>
  </si>
  <si>
    <t>Englefield</t>
  </si>
  <si>
    <t>Englefield C</t>
  </si>
  <si>
    <t>*Englefield</t>
  </si>
  <si>
    <t>J v Rensburg</t>
  </si>
  <si>
    <t>Iyogun</t>
  </si>
  <si>
    <t>Iyogun E</t>
  </si>
  <si>
    <t>Langdon c</t>
  </si>
  <si>
    <t>Cunningham-Sth</t>
  </si>
  <si>
    <t>Cunningham-South C</t>
  </si>
  <si>
    <t>Odendaal</t>
  </si>
  <si>
    <t>Odendaal B</t>
  </si>
  <si>
    <t>Hathaway J</t>
  </si>
  <si>
    <t>BATH 2024/25 SCORERS</t>
  </si>
  <si>
    <t>BRISTOL 2024/25 SCORERS</t>
  </si>
  <si>
    <t>EXETER 2024/25 SCORERS</t>
  </si>
  <si>
    <t>GLOUCESTER 2024/25 SCORERS</t>
  </si>
  <si>
    <t>HARLEQUINS 2024/25 SCORERS</t>
  </si>
  <si>
    <t>LEICESTER 2024/25 SCORERS</t>
  </si>
  <si>
    <t>NEWCASTLE 2024/25 SCORERS</t>
  </si>
  <si>
    <t>SALE 2024/25 SCORERS</t>
  </si>
  <si>
    <t>SARACENS 2024/25 SCORERS</t>
  </si>
  <si>
    <t>2022/23</t>
  </si>
  <si>
    <t>*Spencer for Saracens &amp; Redpath for Sale before 2022/23</t>
  </si>
  <si>
    <t>*Russell for Racing 92 before last season</t>
  </si>
  <si>
    <t>Pepper</t>
  </si>
  <si>
    <t>Molony</t>
  </si>
  <si>
    <t>Molony R</t>
  </si>
  <si>
    <t>Tuipulotu</t>
  </si>
  <si>
    <t>Tuipulotu K</t>
  </si>
  <si>
    <t>Chawatama</t>
  </si>
  <si>
    <t>Chawatama L</t>
  </si>
  <si>
    <t>Doughty</t>
  </si>
  <si>
    <t>Doughty T</t>
  </si>
  <si>
    <t>Barker</t>
  </si>
  <si>
    <t>Barker S</t>
  </si>
  <si>
    <t>Mata</t>
  </si>
  <si>
    <t>Mata V</t>
  </si>
  <si>
    <t>Cripps</t>
  </si>
  <si>
    <t>Cripps K</t>
  </si>
  <si>
    <t>Ravouvou</t>
  </si>
  <si>
    <t>Ravouvou K</t>
  </si>
  <si>
    <t>Wolstenholme</t>
  </si>
  <si>
    <t>Wolstenholme S</t>
  </si>
  <si>
    <t>Grahamslaw</t>
  </si>
  <si>
    <t>Grahamslaw S</t>
  </si>
  <si>
    <t>Grondona B</t>
  </si>
  <si>
    <t>Grondona S</t>
  </si>
  <si>
    <t>Tull</t>
  </si>
  <si>
    <t>Turner</t>
  </si>
  <si>
    <t>Taylor G</t>
  </si>
  <si>
    <t>Tull A</t>
  </si>
  <si>
    <t>Turner A</t>
  </si>
  <si>
    <t>Boshoff</t>
  </si>
  <si>
    <t>Boshoff A</t>
  </si>
  <si>
    <t>Harvey</t>
  </si>
  <si>
    <t>Harvey E</t>
  </si>
  <si>
    <t>O'Callaghan</t>
  </si>
  <si>
    <t>O'Callaghan G</t>
  </si>
  <si>
    <t>Jenkins K</t>
  </si>
  <si>
    <t>Scott S</t>
  </si>
  <si>
    <t>Cusick</t>
  </si>
  <si>
    <t>Cusick J</t>
  </si>
  <si>
    <t>Halliwell</t>
  </si>
  <si>
    <t>Halliwell J</t>
  </si>
  <si>
    <t>Trevett L</t>
  </si>
  <si>
    <t>Trevett</t>
  </si>
  <si>
    <t>Pearce</t>
  </si>
  <si>
    <t>Pearce P</t>
  </si>
  <si>
    <t>Baker</t>
  </si>
  <si>
    <t>Baker T</t>
  </si>
  <si>
    <t>Gwilliam</t>
  </si>
  <si>
    <t>Gwilliam T</t>
  </si>
  <si>
    <t>Goodrick-Clarke</t>
  </si>
  <si>
    <t>Goodrick-Clarke W</t>
  </si>
  <si>
    <t>Roots J</t>
  </si>
  <si>
    <t>Bell</t>
  </si>
  <si>
    <t>Bell A</t>
  </si>
  <si>
    <t>Dorrell</t>
  </si>
  <si>
    <t>Dorrell L</t>
  </si>
  <si>
    <t>Rigg</t>
  </si>
  <si>
    <t>Rigg W</t>
  </si>
  <si>
    <t>*Charlie Atkinson figures include 2/3 Prem &amp; 7/13 Prm Cup for Leicester last season</t>
  </si>
  <si>
    <t>*Atkinson also for Wasps  in 2022/23; *Englefield for L Irish before last season</t>
  </si>
  <si>
    <t>Gotovtsev</t>
  </si>
  <si>
    <t>Gotovtsev K</t>
  </si>
  <si>
    <t>Vivas</t>
  </si>
  <si>
    <t>Vivas M</t>
  </si>
  <si>
    <t>Eite</t>
  </si>
  <si>
    <t>Eite D</t>
  </si>
  <si>
    <t>Fasogban A</t>
  </si>
  <si>
    <t>Jones</t>
  </si>
  <si>
    <t>Jones I</t>
  </si>
  <si>
    <t>McArthur</t>
  </si>
  <si>
    <t>McArthur A</t>
  </si>
  <si>
    <t>Taylor R</t>
  </si>
  <si>
    <t>Wade</t>
  </si>
  <si>
    <t>Wade C</t>
  </si>
  <si>
    <t>Anscombe</t>
  </si>
  <si>
    <t>Anscombe G</t>
  </si>
  <si>
    <t>Williams T</t>
  </si>
  <si>
    <t>Petch</t>
  </si>
  <si>
    <t>Petch A</t>
  </si>
  <si>
    <t>*Anscombe</t>
  </si>
  <si>
    <t>*Anscombe for Ospreys 2020/21-2022/23 &amp; Cardiff 2014/15-2018/19 (URC)</t>
  </si>
  <si>
    <t>Halfpenny</t>
  </si>
  <si>
    <t>Lamositele</t>
  </si>
  <si>
    <t>Halfpenny L</t>
  </si>
  <si>
    <t>Jones W</t>
  </si>
  <si>
    <t>Lamositele T</t>
  </si>
  <si>
    <t>Ashworth</t>
  </si>
  <si>
    <t>Ashworth C</t>
  </si>
  <si>
    <t>Driscoll</t>
  </si>
  <si>
    <t>Driscoll S</t>
  </si>
  <si>
    <t>*Halfpenny for Crusaders last season, Scarlets (URC) 1017-18-2022/23 &amp; Toulon (T14) 2014-15-2016/17</t>
  </si>
  <si>
    <t>*Halfpenny</t>
  </si>
  <si>
    <t>Perese</t>
  </si>
  <si>
    <t>Perese I</t>
  </si>
  <si>
    <t>Wand</t>
  </si>
  <si>
    <t>Wand W</t>
  </si>
  <si>
    <t>Beets</t>
  </si>
  <si>
    <t>Beets C</t>
  </si>
  <si>
    <t>Pearson G</t>
  </si>
  <si>
    <t>Hoyt</t>
  </si>
  <si>
    <t>Hoyt T</t>
  </si>
  <si>
    <t>Allan</t>
  </si>
  <si>
    <t>Allan O</t>
  </si>
  <si>
    <t>Clarke H</t>
  </si>
  <si>
    <t>Davies C</t>
  </si>
  <si>
    <t>Kinder</t>
  </si>
  <si>
    <t>Kinder J</t>
  </si>
  <si>
    <t>Manz T</t>
  </si>
  <si>
    <t>Mellowes</t>
  </si>
  <si>
    <t>Mellowes B</t>
  </si>
  <si>
    <t>Satala</t>
  </si>
  <si>
    <t>Satala M</t>
  </si>
  <si>
    <t>Williams S</t>
  </si>
  <si>
    <t>*Pollard for Montpellier (Top 14) before 2022/23</t>
  </si>
  <si>
    <t>*Shillcock for Worcester before 2022/23</t>
  </si>
  <si>
    <t>Bainbridge</t>
  </si>
  <si>
    <t>Bainbridge J</t>
  </si>
  <si>
    <t>Coulston</t>
  </si>
  <si>
    <t>Davis</t>
  </si>
  <si>
    <t>Coulston L</t>
  </si>
  <si>
    <t>Davis J</t>
  </si>
  <si>
    <t>Elliott J</t>
  </si>
  <si>
    <t>Greenwood</t>
  </si>
  <si>
    <t>Hawkins</t>
  </si>
  <si>
    <t>Leatherbarrow</t>
  </si>
  <si>
    <t>Greenwood N</t>
  </si>
  <si>
    <t>Hawkins J</t>
  </si>
  <si>
    <t>Kelly J</t>
  </si>
  <si>
    <t>Leatherbarrow O</t>
  </si>
  <si>
    <t>Newton</t>
  </si>
  <si>
    <t>Newton J</t>
  </si>
  <si>
    <t>Oliver</t>
  </si>
  <si>
    <t>Oliver J</t>
  </si>
  <si>
    <t>Palframan</t>
  </si>
  <si>
    <t>Palframan R</t>
  </si>
  <si>
    <t>Scott A</t>
  </si>
  <si>
    <t>Spencer O</t>
  </si>
  <si>
    <t>Turnbull</t>
  </si>
  <si>
    <t>Turnbull C</t>
  </si>
  <si>
    <t>Wilkinson K</t>
  </si>
  <si>
    <t>Hearle</t>
  </si>
  <si>
    <t>Hearle A</t>
  </si>
  <si>
    <t>Arnold</t>
  </si>
  <si>
    <t>Arnold S</t>
  </si>
  <si>
    <t>Doherty C</t>
  </si>
  <si>
    <t>Metcalf</t>
  </si>
  <si>
    <t>Metcalf J</t>
  </si>
  <si>
    <t>de Bruin</t>
  </si>
  <si>
    <t>de Bruin L</t>
  </si>
  <si>
    <t>Neild</t>
  </si>
  <si>
    <t>Neild C</t>
  </si>
  <si>
    <t>Gordon</t>
  </si>
  <si>
    <t>Gordon T</t>
  </si>
  <si>
    <t>*Wilkinson for Leicester last season &amp; Sale 2020/21-2022/23</t>
  </si>
  <si>
    <t>NORTHAMPTON 2024/25 SCORERS</t>
  </si>
  <si>
    <t>Haffar</t>
  </si>
  <si>
    <t>Haffar T</t>
  </si>
  <si>
    <t>Langdon C</t>
  </si>
  <si>
    <t>Langdon N</t>
  </si>
  <si>
    <t>Logan</t>
  </si>
  <si>
    <t>Makepeace-Cubitt</t>
  </si>
  <si>
    <t>Mayanavanua</t>
  </si>
  <si>
    <t>Logan R</t>
  </si>
  <si>
    <t>Makepeace-Cubitt G</t>
  </si>
  <si>
    <t>Mayanavanua T</t>
  </si>
  <si>
    <t>West</t>
  </si>
  <si>
    <t>Wright</t>
  </si>
  <si>
    <t>West T</t>
  </si>
  <si>
    <t>Wright C</t>
  </si>
  <si>
    <t>*Smith for Worcester before 2022/23; *Savala for Edinburgh before last season (URC)</t>
  </si>
  <si>
    <t>Worsley S</t>
  </si>
  <si>
    <t>Youngs B</t>
  </si>
  <si>
    <t>Addison</t>
  </si>
  <si>
    <t>Addison W</t>
  </si>
  <si>
    <t>Roets</t>
  </si>
  <si>
    <t>Roets L R</t>
  </si>
  <si>
    <t>Nayacalevu</t>
  </si>
  <si>
    <t>Nayacalevu W</t>
  </si>
  <si>
    <t>Ma'asi-White</t>
  </si>
  <si>
    <t>Ma'asi-White R</t>
  </si>
  <si>
    <t>Schonert</t>
  </si>
  <si>
    <t>Schonert N</t>
  </si>
  <si>
    <t>Opoku-Fordjour</t>
  </si>
  <si>
    <t>Opoku-Fordjour A</t>
  </si>
  <si>
    <t>Wardle</t>
  </si>
  <si>
    <t>Wardle C</t>
  </si>
  <si>
    <t>van Rhyn</t>
  </si>
  <si>
    <t>van Rhyn E</t>
  </si>
  <si>
    <t>Andrews</t>
  </si>
  <si>
    <t>Andrews H</t>
  </si>
  <si>
    <t>Groves</t>
  </si>
  <si>
    <t>Groves A</t>
  </si>
  <si>
    <t>Bedlow J</t>
  </si>
  <si>
    <t>Wills</t>
  </si>
  <si>
    <t>Woodman</t>
  </si>
  <si>
    <t>Wills A</t>
  </si>
  <si>
    <t>Woodman T</t>
  </si>
  <si>
    <t>Spink</t>
  </si>
  <si>
    <t>Spink S</t>
  </si>
  <si>
    <t>Burke</t>
  </si>
  <si>
    <t>Burke F</t>
  </si>
  <si>
    <t>Johnson</t>
  </si>
  <si>
    <t>Johnson L</t>
  </si>
  <si>
    <t>Braley</t>
  </si>
  <si>
    <t>Braley C</t>
  </si>
  <si>
    <t>Balmain</t>
  </si>
  <si>
    <t>Balmain F</t>
  </si>
  <si>
    <t>Hoskins</t>
  </si>
  <si>
    <t>Hoskins O</t>
  </si>
  <si>
    <t>Carre</t>
  </si>
  <si>
    <t>Carre R</t>
  </si>
  <si>
    <t>Crean</t>
  </si>
  <si>
    <t>Crean S</t>
  </si>
  <si>
    <t>Brantingham</t>
  </si>
  <si>
    <t>Brantingham P</t>
  </si>
  <si>
    <t>Tizard</t>
  </si>
  <si>
    <t>Tizard H</t>
  </si>
  <si>
    <t>Wilson</t>
  </si>
  <si>
    <t>Wilson H</t>
  </si>
  <si>
    <t>Merrett</t>
  </si>
  <si>
    <t>Michelow</t>
  </si>
  <si>
    <t>Merrett B</t>
  </si>
  <si>
    <t>Michelow N</t>
  </si>
  <si>
    <t>McParland A</t>
  </si>
  <si>
    <t>Munga C</t>
  </si>
  <si>
    <t>Eke</t>
  </si>
  <si>
    <t>Eke M</t>
  </si>
  <si>
    <t>*Johnson for Newcastle before this season</t>
  </si>
  <si>
    <t>*Daly for Wasps before 2020/21, *Burke for Force (Super Rugby) before this season</t>
  </si>
  <si>
    <t>*Johnson</t>
  </si>
  <si>
    <t>*Burke</t>
  </si>
  <si>
    <t>Onyeama-Christie</t>
  </si>
  <si>
    <t>*Evans for Cardiff before last season</t>
  </si>
  <si>
    <t>Kemeny</t>
  </si>
  <si>
    <t>Kemeny J</t>
  </si>
  <si>
    <t>Volavola</t>
  </si>
  <si>
    <t>Volavola B</t>
  </si>
  <si>
    <t>Onyeama-Christie A</t>
  </si>
  <si>
    <t>Grayson</t>
  </si>
  <si>
    <t>Grayson E</t>
  </si>
  <si>
    <t>Brown-Bampoe</t>
  </si>
  <si>
    <t>Brown-Bampoe P</t>
  </si>
  <si>
    <t>*Qual 10 attempts</t>
  </si>
  <si>
    <t>Fricker</t>
  </si>
  <si>
    <t>Fricker T</t>
  </si>
  <si>
    <t>Isgro</t>
  </si>
  <si>
    <t>Isgro R</t>
  </si>
  <si>
    <t>Swiel</t>
  </si>
  <si>
    <t>Swiel T</t>
  </si>
  <si>
    <t>*Swiel</t>
  </si>
  <si>
    <t>PREMERSHIP RUGBY CUP 2024/25</t>
  </si>
  <si>
    <t>PREMERSHIP 2024/25</t>
  </si>
  <si>
    <t>DON</t>
  </si>
  <si>
    <t>CAL</t>
  </si>
  <si>
    <t>COV</t>
  </si>
  <si>
    <t>NOT</t>
  </si>
  <si>
    <t>LSH</t>
  </si>
  <si>
    <t>EAL</t>
  </si>
  <si>
    <t>BED</t>
  </si>
  <si>
    <t>AMP</t>
  </si>
  <si>
    <t>HPY</t>
  </si>
  <si>
    <t>CPS</t>
  </si>
  <si>
    <t>Houston B</t>
  </si>
  <si>
    <t>Olowofela J</t>
  </si>
  <si>
    <t>Wacokecoke G</t>
  </si>
  <si>
    <t>Currie T</t>
  </si>
  <si>
    <t>Veainu T</t>
  </si>
  <si>
    <t>Bennett R</t>
  </si>
  <si>
    <t>McElroy</t>
  </si>
  <si>
    <t>McElroy T</t>
  </si>
  <si>
    <t>Riley W</t>
  </si>
  <si>
    <t>Baker E</t>
  </si>
  <si>
    <t>Olowofela R</t>
  </si>
  <si>
    <t>Ecclesfield J</t>
  </si>
  <si>
    <t>Arden M</t>
  </si>
  <si>
    <t>Johal J</t>
  </si>
  <si>
    <t>Robson C</t>
  </si>
  <si>
    <t>Johnson M</t>
  </si>
  <si>
    <t>Hutler R</t>
  </si>
  <si>
    <t>Poole J</t>
  </si>
  <si>
    <t>Opoku D</t>
  </si>
  <si>
    <t>Lane W</t>
  </si>
  <si>
    <t>Richman L</t>
  </si>
  <si>
    <t>Barton J</t>
  </si>
  <si>
    <t>Staddon</t>
  </si>
  <si>
    <t>Staddon E</t>
  </si>
  <si>
    <t>Graham M</t>
  </si>
  <si>
    <t>Parry</t>
  </si>
  <si>
    <t>Parry W</t>
  </si>
  <si>
    <t>Spandler</t>
  </si>
  <si>
    <t>Spandler J</t>
  </si>
  <si>
    <t>Emens</t>
  </si>
  <si>
    <t>Emens A</t>
  </si>
  <si>
    <t>Rabbette D</t>
  </si>
  <si>
    <t>Wynn O</t>
  </si>
  <si>
    <t>Scott C</t>
  </si>
  <si>
    <t>Simonds W</t>
  </si>
  <si>
    <t>Wardell A</t>
  </si>
  <si>
    <t>Brown W</t>
  </si>
  <si>
    <t>Wilstead T</t>
  </si>
  <si>
    <t>Hyde</t>
  </si>
  <si>
    <t>Hyde H</t>
  </si>
  <si>
    <t>Schmid</t>
  </si>
  <si>
    <t>Schmid L</t>
  </si>
  <si>
    <t>Morgan A</t>
  </si>
  <si>
    <t>Denty B</t>
  </si>
  <si>
    <t>Austin M</t>
  </si>
  <si>
    <t>Bazalgette H</t>
  </si>
  <si>
    <t>Marmion K</t>
  </si>
  <si>
    <t>Elizalde</t>
  </si>
  <si>
    <t>Elizalde B</t>
  </si>
  <si>
    <t>Herman T</t>
  </si>
  <si>
    <t>Maisey W</t>
  </si>
  <si>
    <t>Garside A</t>
  </si>
  <si>
    <t>Worley M</t>
  </si>
  <si>
    <t>Farrar R</t>
  </si>
  <si>
    <t>Bird-Tulloch R</t>
  </si>
  <si>
    <t>Kernohan A</t>
  </si>
  <si>
    <t>Jones D</t>
  </si>
  <si>
    <t>EALING 2024/25 SCORERS</t>
  </si>
  <si>
    <t>CH</t>
  </si>
  <si>
    <t>CHAMPIONSHIP</t>
  </si>
  <si>
    <t>Alo</t>
  </si>
  <si>
    <t>Bird-Tulloch</t>
  </si>
  <si>
    <t>Bocks</t>
  </si>
  <si>
    <t>Bodilly</t>
  </si>
  <si>
    <t>Chilvers</t>
  </si>
  <si>
    <t>Collins</t>
  </si>
  <si>
    <t>Cornish</t>
  </si>
  <si>
    <t>Cutmore</t>
  </si>
  <si>
    <t>de Wee</t>
  </si>
  <si>
    <t>Dykes</t>
  </si>
  <si>
    <t>Earle</t>
  </si>
  <si>
    <t>Ehizode</t>
  </si>
  <si>
    <t>Farrar</t>
  </si>
  <si>
    <t>Gwynne</t>
  </si>
  <si>
    <t>Hampson</t>
  </si>
  <si>
    <t>Holgate</t>
  </si>
  <si>
    <t>Irvine</t>
  </si>
  <si>
    <t>Kenny</t>
  </si>
  <si>
    <t>Kernohan</t>
  </si>
  <si>
    <t>Lonsdale</t>
  </si>
  <si>
    <t>Montgomery</t>
  </si>
  <si>
    <t>Moore</t>
  </si>
  <si>
    <t>Newman</t>
  </si>
  <si>
    <t>Nicol</t>
  </si>
  <si>
    <t>O'Brien</t>
  </si>
  <si>
    <t>Rokodrava</t>
  </si>
  <si>
    <t>Shaw</t>
  </si>
  <si>
    <t>Smid</t>
  </si>
  <si>
    <t>Stronge</t>
  </si>
  <si>
    <t>Terry</t>
  </si>
  <si>
    <t>Uzokwe</t>
  </si>
  <si>
    <t>Wakeham</t>
  </si>
  <si>
    <t>Whyte</t>
  </si>
  <si>
    <t>Willemse</t>
  </si>
  <si>
    <t>Worboys</t>
  </si>
  <si>
    <t>Zigiriadis</t>
  </si>
  <si>
    <t>Low</t>
  </si>
  <si>
    <t>Zigkiriadis</t>
  </si>
  <si>
    <t>Willis C</t>
  </si>
  <si>
    <t>Wilson T</t>
  </si>
  <si>
    <t>Collins T</t>
  </si>
  <si>
    <t>Cornish M</t>
  </si>
  <si>
    <t>Holgate J</t>
  </si>
  <si>
    <t>Green</t>
  </si>
  <si>
    <t>Green A</t>
  </si>
  <si>
    <t>Offiah</t>
  </si>
  <si>
    <t>Offiah T</t>
  </si>
  <si>
    <t>Adderly-Jones</t>
  </si>
  <si>
    <t>Adderly-Jones M</t>
  </si>
  <si>
    <t>Nelson</t>
  </si>
  <si>
    <t>Nelson M</t>
  </si>
  <si>
    <t>Gibson W</t>
  </si>
  <si>
    <t>King J</t>
  </si>
  <si>
    <t>Moody S</t>
  </si>
  <si>
    <t>Knight M</t>
  </si>
  <si>
    <t>van der Flier</t>
  </si>
  <si>
    <t>van der Flier A</t>
  </si>
  <si>
    <t>Threlfall</t>
  </si>
  <si>
    <t>Threlfall T</t>
  </si>
  <si>
    <t>Hinkley A</t>
  </si>
  <si>
    <t>Hitchcock T</t>
  </si>
  <si>
    <t>Nayalo S</t>
  </si>
  <si>
    <t>Mathews T</t>
  </si>
  <si>
    <t>Cousins</t>
  </si>
  <si>
    <t>Cousins T</t>
  </si>
  <si>
    <t>Brown F</t>
  </si>
  <si>
    <t>Dickinson J</t>
  </si>
  <si>
    <t>Ferreira S</t>
  </si>
  <si>
    <t>Moore-Aiono</t>
  </si>
  <si>
    <t>Moore-Aiono I</t>
  </si>
  <si>
    <t>Hall</t>
  </si>
  <si>
    <t>Hall A</t>
  </si>
  <si>
    <t>Hammick</t>
  </si>
  <si>
    <t>Hammick R</t>
  </si>
  <si>
    <t>Eden</t>
  </si>
  <si>
    <t>Eden T</t>
  </si>
  <si>
    <t>Nutton D</t>
  </si>
  <si>
    <t>Bellamy J</t>
  </si>
  <si>
    <t>Talbot-Davies W</t>
  </si>
  <si>
    <t>Lloyd-Seed A</t>
  </si>
  <si>
    <t>McVie E</t>
  </si>
  <si>
    <t>Edwards C</t>
  </si>
  <si>
    <t>Ene O</t>
  </si>
  <si>
    <t>Hennessey L</t>
  </si>
  <si>
    <t>Adamson D</t>
  </si>
  <si>
    <t>Lennon</t>
  </si>
  <si>
    <t>Lennon O</t>
  </si>
  <si>
    <t>Burrow</t>
  </si>
  <si>
    <t>Burrow T</t>
  </si>
  <si>
    <t>Hammersley B</t>
  </si>
  <si>
    <t>Rogerson M</t>
  </si>
  <si>
    <t>Sio A</t>
  </si>
  <si>
    <t>Clayton H</t>
  </si>
  <si>
    <t>Wright J</t>
  </si>
  <si>
    <t>Green S</t>
  </si>
  <si>
    <t>Graham H</t>
  </si>
  <si>
    <t>Robinson W</t>
  </si>
  <si>
    <t>Gallagher M</t>
  </si>
  <si>
    <t>Hearn O</t>
  </si>
  <si>
    <t>Jones B</t>
  </si>
  <si>
    <t>Kilcourse M</t>
  </si>
  <si>
    <t>Strong M</t>
  </si>
  <si>
    <t>Kerr Z</t>
  </si>
  <si>
    <t>Rokoduguni S</t>
  </si>
  <si>
    <t>Bunting M</t>
  </si>
  <si>
    <t>Dolly A</t>
  </si>
  <si>
    <t>Benz-Salomon A</t>
  </si>
  <si>
    <t>Holliday O</t>
  </si>
  <si>
    <t>Lewis S</t>
  </si>
  <si>
    <t>Jones C</t>
  </si>
  <si>
    <t>Trewin W</t>
  </si>
  <si>
    <t>Relton A</t>
  </si>
  <si>
    <t>Bodenham H</t>
  </si>
  <si>
    <t>Kvesic M</t>
  </si>
  <si>
    <t>Worboys G</t>
  </si>
  <si>
    <t>Harris B</t>
  </si>
  <si>
    <t>de Wee B</t>
  </si>
  <si>
    <t>Smid R</t>
  </si>
  <si>
    <t>Sylvester</t>
  </si>
  <si>
    <t>Sylvester K</t>
  </si>
  <si>
    <t>Johnston J</t>
  </si>
  <si>
    <t>Johnston K</t>
  </si>
  <si>
    <t>Roux</t>
  </si>
  <si>
    <t>Roux Q</t>
  </si>
  <si>
    <t>Joussain</t>
  </si>
  <si>
    <t>Joussain C</t>
  </si>
  <si>
    <t>Williams L</t>
  </si>
  <si>
    <t>Blackmore</t>
  </si>
  <si>
    <t>Blackmore G</t>
  </si>
  <si>
    <t>Pearson T</t>
  </si>
  <si>
    <t>*Eden</t>
  </si>
  <si>
    <t>*Swiel for Edinburgh  last season; *Eden for Zebre (URC) last season &amp; 2022/23, Bristol before that</t>
  </si>
  <si>
    <t>Tua</t>
  </si>
  <si>
    <t>Hatherell K</t>
  </si>
  <si>
    <t>Tua T</t>
  </si>
  <si>
    <t>Byrne H</t>
  </si>
  <si>
    <t>*Byrne</t>
  </si>
  <si>
    <t>*MacGinty for Sale before 2022/23; Byrne for Leinster before this season</t>
  </si>
  <si>
    <t>Walker H</t>
  </si>
  <si>
    <t>Haydon-Wood W</t>
  </si>
  <si>
    <t>*Haydon-Wood for Newcastle before 2022-23 &amp; for Wasps in 2022-23</t>
  </si>
  <si>
    <t>BEDFORD 2024/25 SCORERS</t>
  </si>
  <si>
    <t>Adamson</t>
  </si>
  <si>
    <t>Arthur</t>
  </si>
  <si>
    <t>Conway</t>
  </si>
  <si>
    <t>Day</t>
  </si>
  <si>
    <t>Fish</t>
  </si>
  <si>
    <t>Heffernan</t>
  </si>
  <si>
    <t>Herman</t>
  </si>
  <si>
    <t>Howard</t>
  </si>
  <si>
    <t>Jack</t>
  </si>
  <si>
    <t>Le Bourgeois</t>
  </si>
  <si>
    <t>Kerry</t>
  </si>
  <si>
    <t>King</t>
  </si>
  <si>
    <t>Maisey</t>
  </si>
  <si>
    <t>Matavesi</t>
  </si>
  <si>
    <t>Tapley</t>
  </si>
  <si>
    <t>Titherington</t>
  </si>
  <si>
    <t>Tuilagi</t>
  </si>
  <si>
    <t>Ward</t>
  </si>
  <si>
    <t>Woolford</t>
  </si>
  <si>
    <t>Worley</t>
  </si>
  <si>
    <t>Makepeace-C</t>
  </si>
  <si>
    <t>Lamgdon</t>
  </si>
  <si>
    <t>Stewart</t>
  </si>
  <si>
    <t>Prowse</t>
  </si>
  <si>
    <t>DONCASTER 2024/25 SCORERS</t>
  </si>
  <si>
    <t>Bennett</t>
  </si>
  <si>
    <t>Bunting</t>
  </si>
  <si>
    <t>Davey</t>
  </si>
  <si>
    <t>Dolly</t>
  </si>
  <si>
    <t>Edwards</t>
  </si>
  <si>
    <t>Holden</t>
  </si>
  <si>
    <t>Hopkinson</t>
  </si>
  <si>
    <t>Kerr</t>
  </si>
  <si>
    <t>Metcalfe</t>
  </si>
  <si>
    <t>Mulipola</t>
  </si>
  <si>
    <t>Murphy</t>
  </si>
  <si>
    <t>Olowofela</t>
  </si>
  <si>
    <t>Roberts</t>
  </si>
  <si>
    <t>Rokoduguni</t>
  </si>
  <si>
    <t>Smeaton</t>
  </si>
  <si>
    <t>Strong</t>
  </si>
  <si>
    <t>Tait</t>
  </si>
  <si>
    <t>Teague</t>
  </si>
  <si>
    <t>Thiede</t>
  </si>
  <si>
    <t>Tobeyaweni</t>
  </si>
  <si>
    <t>Upton</t>
  </si>
  <si>
    <t>Veainu</t>
  </si>
  <si>
    <t>Wacokecoke</t>
  </si>
  <si>
    <t>Ramasibana</t>
  </si>
  <si>
    <t>McVie</t>
  </si>
  <si>
    <t>Currie</t>
  </si>
  <si>
    <t>NW/LC</t>
  </si>
  <si>
    <t>Clark M</t>
  </si>
  <si>
    <t>Cannon M</t>
  </si>
  <si>
    <t>Hocking H</t>
  </si>
  <si>
    <t>Agbongbon T</t>
  </si>
  <si>
    <t>Butler W</t>
  </si>
  <si>
    <t>Butler</t>
  </si>
  <si>
    <t>Cullen M</t>
  </si>
  <si>
    <t>McNulty O</t>
  </si>
  <si>
    <t>Kelly S</t>
  </si>
  <si>
    <t>Barker L</t>
  </si>
  <si>
    <t>Davies O</t>
  </si>
  <si>
    <t>Tiueti D-R</t>
  </si>
  <si>
    <t>Martin J</t>
  </si>
  <si>
    <t>Biggs W</t>
  </si>
  <si>
    <t>Stapley J</t>
  </si>
  <si>
    <t>Tweedy N</t>
  </si>
  <si>
    <t>Parks G</t>
  </si>
  <si>
    <t>Hobson</t>
  </si>
  <si>
    <t>Hobson W</t>
  </si>
  <si>
    <t>Ferdinand N</t>
  </si>
  <si>
    <t>Davidson C</t>
  </si>
  <si>
    <t>Short H</t>
  </si>
  <si>
    <t>Chamberlain N</t>
  </si>
  <si>
    <t>Glister W</t>
  </si>
  <si>
    <t xml:space="preserve">Davidson </t>
  </si>
  <si>
    <t>Tuipulotu C</t>
  </si>
  <si>
    <t>Reid J</t>
  </si>
  <si>
    <t>Willemse M</t>
  </si>
  <si>
    <t>Donoghue</t>
  </si>
  <si>
    <t>Donogue C</t>
  </si>
  <si>
    <t>Cowan</t>
  </si>
  <si>
    <t>Cowan T</t>
  </si>
  <si>
    <t>le Roux</t>
  </si>
  <si>
    <t>le Roux N</t>
  </si>
  <si>
    <t>Donoghue C</t>
  </si>
  <si>
    <t>Conway J</t>
  </si>
  <si>
    <t>Howard J</t>
  </si>
  <si>
    <t>Allport</t>
  </si>
  <si>
    <t>Allport O</t>
  </si>
  <si>
    <t>Crane W</t>
  </si>
  <si>
    <t>Heffernan O</t>
  </si>
  <si>
    <t>Tuilagi F</t>
  </si>
  <si>
    <t>Bazalgette</t>
  </si>
  <si>
    <t>HP/BR</t>
  </si>
  <si>
    <t>Wilson O</t>
  </si>
  <si>
    <t>Kirk</t>
  </si>
  <si>
    <t>Kirk S</t>
  </si>
  <si>
    <t>Ijeh W</t>
  </si>
  <si>
    <t>Pasco</t>
  </si>
  <si>
    <t>Pasco B</t>
  </si>
  <si>
    <t>Waghorn</t>
  </si>
  <si>
    <t>Evans</t>
  </si>
  <si>
    <t>Waghorn B</t>
  </si>
  <si>
    <t>Carnduff</t>
  </si>
  <si>
    <t>Carnduff F</t>
  </si>
  <si>
    <t>Jack-Roper L</t>
  </si>
  <si>
    <t>Williams D</t>
  </si>
  <si>
    <t>Georgiou T</t>
  </si>
  <si>
    <t>Parsons</t>
  </si>
  <si>
    <t>Parsons R</t>
  </si>
  <si>
    <t>Connon slotted 18 kicks in a row in all comps from Dec 21 to Feb 9</t>
  </si>
  <si>
    <t>Ellam J</t>
  </si>
  <si>
    <t>Attis C</t>
  </si>
  <si>
    <t>Rogers S</t>
  </si>
  <si>
    <t>Witheat</t>
  </si>
  <si>
    <t>Witheat R</t>
  </si>
  <si>
    <t>Benson A</t>
  </si>
  <si>
    <t>Valentine X</t>
  </si>
  <si>
    <t>Petelo Mapu J</t>
  </si>
  <si>
    <t>Petelo Mapu</t>
  </si>
  <si>
    <t>Mitchell E</t>
  </si>
  <si>
    <t>Price-Thomas I</t>
  </si>
  <si>
    <t>McCaig C</t>
  </si>
  <si>
    <t>Hunt E</t>
  </si>
  <si>
    <t>Wadsworth</t>
  </si>
  <si>
    <t>Holden M</t>
  </si>
  <si>
    <t>Smeaton A</t>
  </si>
  <si>
    <t>Wadsworth S</t>
  </si>
  <si>
    <t>Chapman B</t>
  </si>
  <si>
    <t>Warren J</t>
  </si>
  <si>
    <t>Morris O</t>
  </si>
  <si>
    <t>Mannion T</t>
  </si>
  <si>
    <t>Cotgreave</t>
  </si>
  <si>
    <t>Cotgreave J</t>
  </si>
  <si>
    <t>Holmes J</t>
  </si>
  <si>
    <t>Moore F</t>
  </si>
  <si>
    <t>Hampson C</t>
  </si>
  <si>
    <t>Davis G</t>
  </si>
  <si>
    <t>Bracken J</t>
  </si>
  <si>
    <t>Ward M</t>
  </si>
  <si>
    <t xml:space="preserve">Ward M </t>
  </si>
  <si>
    <t>Onasanya T</t>
  </si>
  <si>
    <t>Zigiriadis L</t>
  </si>
  <si>
    <t>Bridge</t>
  </si>
  <si>
    <t>As end of season</t>
  </si>
  <si>
    <t>Fasogbon</t>
  </si>
  <si>
    <t>Maloney M</t>
  </si>
  <si>
    <t>*Ford for Leicester in 2021/22</t>
  </si>
  <si>
    <t>*Williams</t>
  </si>
  <si>
    <t>*Williams for Cardiff before this season</t>
  </si>
  <si>
    <t>Griffin</t>
  </si>
  <si>
    <t>Griffin A</t>
  </si>
  <si>
    <t>Green L</t>
  </si>
  <si>
    <t>Smith slotted 26 consecurtive Prem kicks (24 all comps) Oct 4 2024-Apr 19 2025</t>
  </si>
  <si>
    <t>*Haydon-W</t>
  </si>
  <si>
    <t>Haydon-W</t>
  </si>
  <si>
    <t>Bracken C</t>
  </si>
  <si>
    <t>Lilley</t>
  </si>
  <si>
    <t>Lilley N</t>
  </si>
  <si>
    <t>Moloney</t>
  </si>
  <si>
    <t>Weimann</t>
  </si>
  <si>
    <t>Woodward J</t>
  </si>
  <si>
    <t>Weimann J</t>
  </si>
  <si>
    <t>Top Points Scorer^</t>
  </si>
  <si>
    <t>At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</si>
</sst>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1" fillId="0" borderId="8" xfId="0" applyFont="1" applyBorder="1"/>
    <xf numFmtId="0" fontId="31" fillId="7" borderId="0" xfId="0" applyFont="1" applyFill="1"/>
    <xf numFmtId="0" fontId="8" fillId="7" borderId="13" xfId="0" applyFont="1" applyFill="1" applyBorder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32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36" fillId="3" borderId="1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0" fontId="36" fillId="13" borderId="3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right" vertical="center" wrapText="1"/>
    </xf>
    <xf numFmtId="1" fontId="36" fillId="3" borderId="4" xfId="0" applyNumberFormat="1" applyFont="1" applyFill="1" applyBorder="1" applyAlignment="1">
      <alignment horizontal="right" vertical="center" wrapText="1"/>
    </xf>
    <xf numFmtId="14" fontId="36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7" fillId="7" borderId="0" xfId="0" applyFont="1" applyFill="1"/>
    <xf numFmtId="0" fontId="37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3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4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0" fontId="41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43" fillId="16" borderId="1" xfId="0" applyFont="1" applyFill="1" applyBorder="1" applyAlignment="1">
      <alignment vertical="center" wrapText="1"/>
    </xf>
    <xf numFmtId="0" fontId="43" fillId="16" borderId="3" xfId="0" applyFont="1" applyFill="1" applyBorder="1" applyAlignment="1">
      <alignment vertical="center" wrapText="1"/>
    </xf>
    <xf numFmtId="0" fontId="43" fillId="16" borderId="2" xfId="0" applyFont="1" applyFill="1" applyBorder="1" applyAlignment="1">
      <alignment horizontal="right" vertical="center" wrapText="1"/>
    </xf>
    <xf numFmtId="0" fontId="43" fillId="16" borderId="4" xfId="0" applyFont="1" applyFill="1" applyBorder="1" applyAlignment="1">
      <alignment horizontal="right" vertical="center" wrapText="1"/>
    </xf>
    <xf numFmtId="1" fontId="43" fillId="16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1" fillId="3" borderId="2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right" vertical="center" wrapText="1"/>
    </xf>
    <xf numFmtId="0" fontId="39" fillId="7" borderId="0" xfId="0" applyFont="1" applyFill="1" applyAlignment="1">
      <alignment horizontal="right" vertical="center" wrapText="1"/>
    </xf>
    <xf numFmtId="0" fontId="44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5" fillId="13" borderId="2" xfId="0" applyFont="1" applyFill="1" applyBorder="1" applyAlignment="1">
      <alignment horizontal="right" vertical="center" wrapText="1"/>
    </xf>
    <xf numFmtId="0" fontId="45" fillId="13" borderId="4" xfId="0" applyFont="1" applyFill="1" applyBorder="1" applyAlignment="1">
      <alignment horizontal="right" vertical="center" wrapText="1"/>
    </xf>
    <xf numFmtId="0" fontId="45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0" fontId="45" fillId="14" borderId="2" xfId="0" applyFont="1" applyFill="1" applyBorder="1" applyAlignment="1">
      <alignment horizontal="right" vertical="center" wrapText="1"/>
    </xf>
    <xf numFmtId="0" fontId="45" fillId="14" borderId="4" xfId="0" applyFont="1" applyFill="1" applyBorder="1" applyAlignment="1">
      <alignment horizontal="right" vertical="center" wrapText="1"/>
    </xf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14" fontId="47" fillId="15" borderId="1" xfId="0" applyNumberFormat="1" applyFont="1" applyFill="1" applyBorder="1" applyAlignment="1">
      <alignment horizontal="left" vertical="center" wrapText="1"/>
    </xf>
    <xf numFmtId="14" fontId="16" fillId="15" borderId="3" xfId="0" applyNumberFormat="1" applyFont="1" applyFill="1" applyBorder="1" applyAlignment="1">
      <alignment horizontal="left" vertical="center" wrapText="1"/>
    </xf>
    <xf numFmtId="14" fontId="0" fillId="15" borderId="3" xfId="0" applyNumberFormat="1" applyFill="1" applyBorder="1" applyAlignment="1">
      <alignment horizontal="left" vertical="center" wrapText="1"/>
    </xf>
    <xf numFmtId="0" fontId="45" fillId="16" borderId="2" xfId="0" applyFont="1" applyFill="1" applyBorder="1" applyAlignment="1">
      <alignment horizontal="right" vertical="center" wrapText="1"/>
    </xf>
    <xf numFmtId="0" fontId="45" fillId="16" borderId="4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horizontal="right"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14" fontId="47" fillId="17" borderId="3" xfId="0" applyNumberFormat="1" applyFont="1" applyFill="1" applyBorder="1" applyAlignment="1">
      <alignment horizontal="lef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46" fillId="10" borderId="2" xfId="0" applyFont="1" applyFill="1" applyBorder="1" applyAlignment="1">
      <alignment horizontal="right" vertical="center" wrapText="1"/>
    </xf>
    <xf numFmtId="0" fontId="46" fillId="10" borderId="4" xfId="0" applyFont="1" applyFill="1" applyBorder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1" fontId="36" fillId="3" borderId="2" xfId="0" applyNumberFormat="1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0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1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14" fontId="5" fillId="18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8" borderId="1" xfId="0" applyNumberFormat="1" applyFont="1" applyFill="1" applyBorder="1" applyAlignment="1">
      <alignment horizontal="left" vertical="center" wrapText="1"/>
    </xf>
    <xf numFmtId="14" fontId="52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3" fillId="16" borderId="2" xfId="0" applyFont="1" applyFill="1" applyBorder="1" applyAlignment="1">
      <alignment horizontal="right" vertical="center" wrapText="1"/>
    </xf>
    <xf numFmtId="0" fontId="53" fillId="16" borderId="4" xfId="0" applyFont="1" applyFill="1" applyBorder="1" applyAlignment="1">
      <alignment horizontal="right" vertical="center" wrapText="1"/>
    </xf>
    <xf numFmtId="0" fontId="9" fillId="19" borderId="2" xfId="0" applyFont="1" applyFill="1" applyBorder="1" applyAlignment="1">
      <alignment horizontal="right" vertical="center" wrapText="1"/>
    </xf>
    <xf numFmtId="0" fontId="45" fillId="19" borderId="2" xfId="0" applyFont="1" applyFill="1" applyBorder="1" applyAlignment="1">
      <alignment horizontal="right" vertical="center" wrapText="1"/>
    </xf>
    <xf numFmtId="0" fontId="9" fillId="19" borderId="4" xfId="0" applyFont="1" applyFill="1" applyBorder="1" applyAlignment="1">
      <alignment horizontal="right" vertical="center" wrapText="1"/>
    </xf>
    <xf numFmtId="0" fontId="45" fillId="19" borderId="4" xfId="0" applyFont="1" applyFill="1" applyBorder="1" applyAlignment="1">
      <alignment horizontal="right" vertical="center" wrapText="1"/>
    </xf>
    <xf numFmtId="0" fontId="10" fillId="19" borderId="1" xfId="0" applyFont="1" applyFill="1" applyBorder="1" applyAlignment="1">
      <alignment vertical="center" wrapText="1"/>
    </xf>
    <xf numFmtId="0" fontId="10" fillId="19" borderId="3" xfId="0" applyFont="1" applyFill="1" applyBorder="1" applyAlignment="1">
      <alignment vertical="center" wrapText="1"/>
    </xf>
    <xf numFmtId="0" fontId="10" fillId="19" borderId="2" xfId="0" applyFont="1" applyFill="1" applyBorder="1" applyAlignment="1">
      <alignment horizontal="right" vertical="center" wrapText="1"/>
    </xf>
    <xf numFmtId="0" fontId="10" fillId="19" borderId="4" xfId="0" applyFont="1" applyFill="1" applyBorder="1" applyAlignment="1">
      <alignment horizontal="right" vertical="center" wrapText="1"/>
    </xf>
    <xf numFmtId="0" fontId="54" fillId="19" borderId="2" xfId="0" applyFont="1" applyFill="1" applyBorder="1" applyAlignment="1">
      <alignment horizontal="right" vertical="center" wrapText="1"/>
    </xf>
    <xf numFmtId="0" fontId="54" fillId="19" borderId="4" xfId="0" applyFont="1" applyFill="1" applyBorder="1" applyAlignment="1">
      <alignment horizontal="right" vertical="center" wrapText="1"/>
    </xf>
    <xf numFmtId="0" fontId="53" fillId="14" borderId="2" xfId="0" applyFont="1" applyFill="1" applyBorder="1" applyAlignment="1">
      <alignment horizontal="right" vertical="center" wrapText="1"/>
    </xf>
    <xf numFmtId="0" fontId="53" fillId="14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3" fillId="13" borderId="2" xfId="0" applyFont="1" applyFill="1" applyBorder="1" applyAlignment="1">
      <alignment horizontal="right" vertical="center" wrapText="1"/>
    </xf>
    <xf numFmtId="0" fontId="53" fillId="13" borderId="4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 vertical="center" wrapText="1"/>
    </xf>
    <xf numFmtId="14" fontId="55" fillId="3" borderId="3" xfId="0" applyNumberFormat="1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vertical="center" wrapText="1"/>
    </xf>
    <xf numFmtId="0" fontId="57" fillId="3" borderId="3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1" fontId="57" fillId="3" borderId="4" xfId="0" applyNumberFormat="1" applyFont="1" applyFill="1" applyBorder="1" applyAlignment="1">
      <alignment horizontal="right" vertical="center" wrapText="1"/>
    </xf>
    <xf numFmtId="0" fontId="57" fillId="3" borderId="1" xfId="0" applyFont="1" applyFill="1" applyBorder="1"/>
    <xf numFmtId="14" fontId="15" fillId="18" borderId="3" xfId="0" applyNumberFormat="1" applyFont="1" applyFill="1" applyBorder="1" applyAlignment="1">
      <alignment horizontal="left" vertical="center" wrapText="1"/>
    </xf>
    <xf numFmtId="0" fontId="58" fillId="6" borderId="2" xfId="0" applyFont="1" applyFill="1" applyBorder="1" applyAlignment="1">
      <alignment horizontal="right" vertical="center" wrapText="1"/>
    </xf>
    <xf numFmtId="0" fontId="58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6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right" vertical="center" wrapText="1"/>
    </xf>
    <xf numFmtId="1" fontId="36" fillId="3" borderId="0" xfId="0" applyNumberFormat="1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8" borderId="3" xfId="0" applyFont="1" applyFill="1" applyBorder="1" applyAlignment="1">
      <alignment vertical="center" wrapText="1"/>
    </xf>
    <xf numFmtId="0" fontId="15" fillId="18" borderId="1" xfId="0" applyFont="1" applyFill="1" applyBorder="1" applyAlignment="1">
      <alignment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44" fillId="18" borderId="2" xfId="0" applyFont="1" applyFill="1" applyBorder="1" applyAlignment="1">
      <alignment horizontal="right" vertical="center" wrapText="1"/>
    </xf>
    <xf numFmtId="0" fontId="46" fillId="18" borderId="2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right"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44" fillId="18" borderId="4" xfId="0" applyFont="1" applyFill="1" applyBorder="1" applyAlignment="1">
      <alignment horizontal="right" vertical="center" wrapText="1"/>
    </xf>
    <xf numFmtId="0" fontId="46" fillId="18" borderId="4" xfId="0" applyFont="1" applyFill="1" applyBorder="1" applyAlignment="1">
      <alignment horizontal="righ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43" fillId="16" borderId="0" xfId="0" applyFont="1" applyFill="1" applyAlignment="1">
      <alignment horizontal="right" vertical="center" wrapText="1"/>
    </xf>
    <xf numFmtId="0" fontId="43" fillId="16" borderId="1" xfId="0" applyFont="1" applyFill="1" applyBorder="1" applyAlignment="1">
      <alignment horizontal="right" vertical="center" wrapText="1"/>
    </xf>
    <xf numFmtId="1" fontId="43" fillId="16" borderId="1" xfId="0" applyNumberFormat="1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vertical="center" wrapText="1"/>
    </xf>
    <xf numFmtId="0" fontId="12" fillId="7" borderId="1" xfId="0" applyFont="1" applyFill="1" applyBorder="1"/>
    <xf numFmtId="0" fontId="12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2" fillId="9" borderId="12" xfId="0" applyFont="1" applyFill="1" applyBorder="1" applyAlignment="1">
      <alignment horizontal="right"/>
    </xf>
    <xf numFmtId="0" fontId="10" fillId="7" borderId="11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5" fillId="20" borderId="1" xfId="0" applyFont="1" applyFill="1" applyBorder="1" applyAlignment="1">
      <alignment vertical="center" wrapText="1"/>
    </xf>
    <xf numFmtId="0" fontId="27" fillId="20" borderId="2" xfId="0" applyFont="1" applyFill="1" applyBorder="1" applyAlignment="1">
      <alignment horizontal="right" vertical="center" wrapText="1"/>
    </xf>
    <xf numFmtId="0" fontId="18" fillId="20" borderId="2" xfId="0" applyFont="1" applyFill="1" applyBorder="1" applyAlignment="1">
      <alignment horizontal="right" vertical="center" wrapText="1"/>
    </xf>
    <xf numFmtId="0" fontId="46" fillId="20" borderId="2" xfId="0" applyFont="1" applyFill="1" applyBorder="1" applyAlignment="1">
      <alignment horizontal="right" vertical="center" wrapText="1"/>
    </xf>
    <xf numFmtId="0" fontId="32" fillId="20" borderId="2" xfId="0" applyFont="1" applyFill="1" applyBorder="1" applyAlignment="1">
      <alignment horizontal="right" vertical="center" wrapText="1"/>
    </xf>
    <xf numFmtId="0" fontId="15" fillId="20" borderId="3" xfId="0" applyFont="1" applyFill="1" applyBorder="1" applyAlignment="1">
      <alignment vertical="center" wrapText="1"/>
    </xf>
    <xf numFmtId="0" fontId="27" fillId="20" borderId="4" xfId="0" applyFont="1" applyFill="1" applyBorder="1" applyAlignment="1">
      <alignment horizontal="right" vertical="center" wrapText="1"/>
    </xf>
    <xf numFmtId="0" fontId="18" fillId="20" borderId="4" xfId="0" applyFont="1" applyFill="1" applyBorder="1" applyAlignment="1">
      <alignment horizontal="right" vertical="center" wrapText="1"/>
    </xf>
    <xf numFmtId="0" fontId="46" fillId="20" borderId="4" xfId="0" applyFont="1" applyFill="1" applyBorder="1" applyAlignment="1">
      <alignment horizontal="right" vertical="center" wrapText="1"/>
    </xf>
    <xf numFmtId="0" fontId="32" fillId="20" borderId="4" xfId="0" applyFont="1" applyFill="1" applyBorder="1" applyAlignment="1">
      <alignment horizontal="right" vertical="center" wrapText="1"/>
    </xf>
    <xf numFmtId="14" fontId="15" fillId="20" borderId="1" xfId="0" applyNumberFormat="1" applyFont="1" applyFill="1" applyBorder="1" applyAlignment="1">
      <alignment horizontal="left" vertical="center" wrapText="1"/>
    </xf>
    <xf numFmtId="0" fontId="15" fillId="20" borderId="4" xfId="0" applyFont="1" applyFill="1" applyBorder="1" applyAlignment="1">
      <alignment horizontal="right" vertical="center" wrapText="1"/>
    </xf>
    <xf numFmtId="1" fontId="15" fillId="20" borderId="4" xfId="0" applyNumberFormat="1" applyFont="1" applyFill="1" applyBorder="1" applyAlignment="1">
      <alignment horizontal="right" vertical="center" wrapText="1"/>
    </xf>
    <xf numFmtId="0" fontId="15" fillId="20" borderId="1" xfId="0" applyFont="1" applyFill="1" applyBorder="1" applyAlignment="1">
      <alignment horizontal="right" vertical="center" wrapText="1"/>
    </xf>
    <xf numFmtId="0" fontId="15" fillId="20" borderId="2" xfId="0" applyFont="1" applyFill="1" applyBorder="1" applyAlignment="1">
      <alignment horizontal="right" vertical="center" wrapText="1"/>
    </xf>
    <xf numFmtId="1" fontId="15" fillId="20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15" fillId="18" borderId="1" xfId="0" applyFont="1" applyFill="1" applyBorder="1" applyAlignment="1">
      <alignment horizontal="right" vertical="center" wrapText="1"/>
    </xf>
    <xf numFmtId="1" fontId="15" fillId="18" borderId="1" xfId="0" applyNumberFormat="1" applyFont="1" applyFill="1" applyBorder="1" applyAlignment="1">
      <alignment horizontal="right" vertical="center" wrapText="1"/>
    </xf>
    <xf numFmtId="0" fontId="15" fillId="18" borderId="11" xfId="0" applyFont="1" applyFill="1" applyBorder="1" applyAlignment="1">
      <alignment vertical="center" wrapText="1"/>
    </xf>
    <xf numFmtId="0" fontId="15" fillId="18" borderId="12" xfId="0" applyFont="1" applyFill="1" applyBorder="1" applyAlignment="1">
      <alignment horizontal="right" vertical="center" wrapText="1"/>
    </xf>
    <xf numFmtId="0" fontId="15" fillId="18" borderId="15" xfId="0" applyFont="1" applyFill="1" applyBorder="1" applyAlignment="1">
      <alignment horizontal="right" vertical="center" wrapText="1"/>
    </xf>
    <xf numFmtId="0" fontId="27" fillId="18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right" vertical="center" wrapText="1"/>
    </xf>
    <xf numFmtId="0" fontId="45" fillId="18" borderId="2" xfId="0" applyFont="1" applyFill="1" applyBorder="1" applyAlignment="1">
      <alignment horizontal="right" vertical="center" wrapText="1"/>
    </xf>
    <xf numFmtId="0" fontId="18" fillId="18" borderId="4" xfId="0" applyFont="1" applyFill="1" applyBorder="1" applyAlignment="1">
      <alignment horizontal="right" vertical="center" wrapText="1"/>
    </xf>
    <xf numFmtId="0" fontId="45" fillId="18" borderId="4" xfId="0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vertical="center" wrapText="1"/>
    </xf>
    <xf numFmtId="0" fontId="15" fillId="21" borderId="2" xfId="0" applyFont="1" applyFill="1" applyBorder="1" applyAlignment="1">
      <alignment horizontal="right" vertical="center" wrapText="1"/>
    </xf>
    <xf numFmtId="0" fontId="15" fillId="21" borderId="3" xfId="0" applyFont="1" applyFill="1" applyBorder="1" applyAlignment="1">
      <alignment vertical="center" wrapText="1"/>
    </xf>
    <xf numFmtId="0" fontId="15" fillId="21" borderId="4" xfId="0" applyFont="1" applyFill="1" applyBorder="1" applyAlignment="1">
      <alignment horizontal="right" vertical="center" wrapText="1"/>
    </xf>
    <xf numFmtId="0" fontId="59" fillId="21" borderId="2" xfId="0" applyFont="1" applyFill="1" applyBorder="1" applyAlignment="1">
      <alignment horizontal="right" vertical="center" wrapText="1"/>
    </xf>
    <xf numFmtId="0" fontId="59" fillId="21" borderId="4" xfId="0" applyFont="1" applyFill="1" applyBorder="1" applyAlignment="1">
      <alignment horizontal="right" vertical="center" wrapText="1"/>
    </xf>
    <xf numFmtId="0" fontId="9" fillId="21" borderId="2" xfId="0" applyFont="1" applyFill="1" applyBorder="1" applyAlignment="1">
      <alignment horizontal="right" vertical="center" wrapText="1"/>
    </xf>
    <xf numFmtId="0" fontId="9" fillId="21" borderId="4" xfId="0" applyFont="1" applyFill="1" applyBorder="1" applyAlignment="1">
      <alignment horizontal="right" vertical="center" wrapText="1"/>
    </xf>
    <xf numFmtId="1" fontId="15" fillId="21" borderId="4" xfId="0" applyNumberFormat="1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horizontal="right" vertical="center" wrapText="1"/>
    </xf>
    <xf numFmtId="1" fontId="15" fillId="21" borderId="1" xfId="0" applyNumberFormat="1" applyFont="1" applyFill="1" applyBorder="1" applyAlignment="1">
      <alignment horizontal="right" vertical="center" wrapText="1"/>
    </xf>
    <xf numFmtId="1" fontId="8" fillId="9" borderId="1" xfId="0" applyNumberFormat="1" applyFont="1" applyFill="1" applyBorder="1" applyAlignment="1">
      <alignment horizontal="right"/>
    </xf>
    <xf numFmtId="0" fontId="8" fillId="9" borderId="1" xfId="0" applyFont="1" applyFill="1" applyBorder="1" applyAlignment="1">
      <alignment horizontal="left"/>
    </xf>
    <xf numFmtId="0" fontId="57" fillId="3" borderId="5" xfId="0" applyFont="1" applyFill="1" applyBorder="1" applyAlignment="1">
      <alignment horizontal="right" vertical="center" wrapText="1"/>
    </xf>
    <xf numFmtId="0" fontId="57" fillId="3" borderId="13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57" fillId="3" borderId="11" xfId="0" applyFont="1" applyFill="1" applyBorder="1" applyAlignment="1">
      <alignment vertical="center" wrapText="1"/>
    </xf>
    <xf numFmtId="1" fontId="57" fillId="3" borderId="5" xfId="0" applyNumberFormat="1" applyFont="1" applyFill="1" applyBorder="1" applyAlignment="1">
      <alignment horizontal="right" vertical="center" wrapText="1"/>
    </xf>
    <xf numFmtId="0" fontId="57" fillId="3" borderId="12" xfId="0" applyFont="1" applyFill="1" applyBorder="1"/>
    <xf numFmtId="0" fontId="57" fillId="3" borderId="5" xfId="0" applyFont="1" applyFill="1" applyBorder="1"/>
    <xf numFmtId="0" fontId="10" fillId="9" borderId="3" xfId="0" applyFont="1" applyFill="1" applyBorder="1" applyAlignment="1">
      <alignment vertical="center" wrapText="1"/>
    </xf>
    <xf numFmtId="0" fontId="10" fillId="12" borderId="0" xfId="0" applyFont="1" applyFill="1"/>
    <xf numFmtId="0" fontId="10" fillId="7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7" borderId="4" xfId="0" applyFont="1" applyFill="1" applyBorder="1"/>
    <xf numFmtId="0" fontId="46" fillId="21" borderId="2" xfId="0" applyFont="1" applyFill="1" applyBorder="1" applyAlignment="1">
      <alignment horizontal="right" vertical="center" wrapText="1"/>
    </xf>
    <xf numFmtId="0" fontId="46" fillId="21" borderId="4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0" fontId="8" fillId="0" borderId="3" xfId="0" applyFont="1" applyBorder="1"/>
    <xf numFmtId="0" fontId="10" fillId="7" borderId="4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14" fontId="12" fillId="0" borderId="0" xfId="0" applyNumberFormat="1" applyFont="1" applyAlignment="1">
      <alignment horizontal="left"/>
    </xf>
    <xf numFmtId="0" fontId="60" fillId="7" borderId="0" xfId="0" applyFont="1" applyFill="1"/>
    <xf numFmtId="0" fontId="18" fillId="18" borderId="3" xfId="0" applyFont="1" applyFill="1" applyBorder="1" applyAlignment="1">
      <alignment vertical="center" wrapText="1"/>
    </xf>
    <xf numFmtId="1" fontId="18" fillId="18" borderId="4" xfId="0" applyNumberFormat="1" applyFont="1" applyFill="1" applyBorder="1" applyAlignment="1">
      <alignment horizontal="right" vertical="center" wrapText="1"/>
    </xf>
    <xf numFmtId="0" fontId="59" fillId="18" borderId="2" xfId="0" applyFont="1" applyFill="1" applyBorder="1" applyAlignment="1">
      <alignment horizontal="right" vertical="center" wrapText="1"/>
    </xf>
    <xf numFmtId="0" fontId="59" fillId="18" borderId="4" xfId="0" applyFont="1" applyFill="1" applyBorder="1" applyAlignment="1">
      <alignment horizontal="right" vertical="center" wrapText="1"/>
    </xf>
    <xf numFmtId="0" fontId="18" fillId="18" borderId="1" xfId="0" applyFont="1" applyFill="1" applyBorder="1" applyAlignment="1">
      <alignment vertical="center" wrapText="1"/>
    </xf>
    <xf numFmtId="0" fontId="18" fillId="14" borderId="2" xfId="0" applyFont="1" applyFill="1" applyBorder="1" applyAlignment="1">
      <alignment vertical="center" wrapText="1"/>
    </xf>
    <xf numFmtId="0" fontId="18" fillId="14" borderId="4" xfId="0" applyFont="1" applyFill="1" applyBorder="1" applyAlignment="1">
      <alignment vertical="center" wrapText="1"/>
    </xf>
    <xf numFmtId="0" fontId="18" fillId="14" borderId="3" xfId="0" applyFont="1" applyFill="1" applyBorder="1" applyAlignment="1">
      <alignment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46" fillId="22" borderId="2" xfId="0" applyFont="1" applyFill="1" applyBorder="1" applyAlignment="1">
      <alignment horizontal="right" vertical="center" wrapText="1"/>
    </xf>
    <xf numFmtId="0" fontId="18" fillId="22" borderId="2" xfId="0" applyFont="1" applyFill="1" applyBorder="1" applyAlignment="1">
      <alignment horizontal="right" vertical="center" wrapText="1"/>
    </xf>
    <xf numFmtId="0" fontId="46" fillId="22" borderId="4" xfId="0" applyFont="1" applyFill="1" applyBorder="1" applyAlignment="1">
      <alignment horizontal="right" vertical="center" wrapText="1"/>
    </xf>
    <xf numFmtId="0" fontId="18" fillId="22" borderId="4" xfId="0" applyFont="1" applyFill="1" applyBorder="1" applyAlignment="1">
      <alignment horizontal="right" vertical="center" wrapText="1"/>
    </xf>
    <xf numFmtId="0" fontId="15" fillId="22" borderId="1" xfId="0" applyFont="1" applyFill="1" applyBorder="1" applyAlignment="1">
      <alignment vertical="center" wrapText="1"/>
    </xf>
    <xf numFmtId="0" fontId="15" fillId="22" borderId="3" xfId="0" applyFont="1" applyFill="1" applyBorder="1" applyAlignment="1">
      <alignment vertical="center" wrapText="1"/>
    </xf>
    <xf numFmtId="0" fontId="15" fillId="22" borderId="4" xfId="0" applyFont="1" applyFill="1" applyBorder="1" applyAlignment="1">
      <alignment horizontal="right" vertical="center" wrapText="1"/>
    </xf>
    <xf numFmtId="1" fontId="15" fillId="22" borderId="4" xfId="0" applyNumberFormat="1" applyFont="1" applyFill="1" applyBorder="1" applyAlignment="1">
      <alignment horizontal="right" vertical="center" wrapText="1"/>
    </xf>
    <xf numFmtId="0" fontId="15" fillId="22" borderId="2" xfId="0" applyFont="1" applyFill="1" applyBorder="1" applyAlignment="1">
      <alignment horizontal="right" vertical="center" wrapText="1"/>
    </xf>
    <xf numFmtId="0" fontId="10" fillId="7" borderId="0" xfId="0" applyFont="1" applyFill="1"/>
    <xf numFmtId="0" fontId="60" fillId="9" borderId="1" xfId="0" applyFont="1" applyFill="1" applyBorder="1" applyAlignment="1">
      <alignment horizontal="right"/>
    </xf>
    <xf numFmtId="0" fontId="10" fillId="9" borderId="1" xfId="0" quotePrefix="1" applyFont="1" applyFill="1" applyBorder="1" applyAlignment="1">
      <alignment vertical="center" wrapText="1"/>
    </xf>
    <xf numFmtId="0" fontId="8" fillId="0" borderId="1" xfId="0" applyFont="1" applyBorder="1"/>
    <xf numFmtId="0" fontId="8" fillId="7" borderId="3" xfId="0" applyFont="1" applyFill="1" applyBorder="1"/>
    <xf numFmtId="0" fontId="8" fillId="4" borderId="2" xfId="0" applyFont="1" applyFill="1" applyBorder="1"/>
    <xf numFmtId="0" fontId="28" fillId="20" borderId="2" xfId="0" applyFont="1" applyFill="1" applyBorder="1" applyAlignment="1">
      <alignment horizontal="right" vertical="center" wrapText="1"/>
    </xf>
    <xf numFmtId="0" fontId="28" fillId="20" borderId="4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4" borderId="6" xfId="0" applyFont="1" applyFill="1" applyBorder="1"/>
    <xf numFmtId="0" fontId="10" fillId="4" borderId="6" xfId="0" applyFont="1" applyFill="1" applyBorder="1" applyAlignment="1">
      <alignment horizontal="right" vertical="center" wrapText="1"/>
    </xf>
    <xf numFmtId="0" fontId="6" fillId="20" borderId="11" xfId="0" applyFont="1" applyFill="1" applyBorder="1" applyAlignment="1">
      <alignment horizontal="left"/>
    </xf>
    <xf numFmtId="0" fontId="6" fillId="20" borderId="12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5" fillId="18" borderId="7" xfId="0" applyFont="1" applyFill="1" applyBorder="1" applyAlignment="1">
      <alignment vertical="center" wrapText="1"/>
    </xf>
    <xf numFmtId="0" fontId="15" fillId="18" borderId="3" xfId="0" applyFont="1" applyFill="1" applyBorder="1" applyAlignment="1">
      <alignment vertical="center" wrapText="1"/>
    </xf>
    <xf numFmtId="0" fontId="10" fillId="12" borderId="7" xfId="0" applyFont="1" applyFill="1" applyBorder="1" applyAlignment="1">
      <alignment vertical="center" wrapText="1"/>
    </xf>
    <xf numFmtId="0" fontId="10" fillId="12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6" fillId="7" borderId="13" xfId="0" applyFont="1" applyFill="1" applyBorder="1" applyAlignment="1">
      <alignment vertical="center" wrapText="1"/>
    </xf>
    <xf numFmtId="0" fontId="0" fillId="0" borderId="0" xfId="0"/>
    <xf numFmtId="0" fontId="10" fillId="17" borderId="7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16" fillId="7" borderId="8" xfId="0" applyFont="1" applyFill="1" applyBorder="1" applyAlignment="1">
      <alignment vertical="center" wrapText="1"/>
    </xf>
    <xf numFmtId="0" fontId="0" fillId="0" borderId="8" xfId="0" applyBorder="1"/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0" fillId="15" borderId="7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5" fillId="18" borderId="6" xfId="0" applyFont="1" applyFill="1" applyBorder="1" applyAlignment="1">
      <alignment vertical="center" wrapText="1"/>
    </xf>
    <xf numFmtId="0" fontId="15" fillId="18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42" fillId="16" borderId="11" xfId="0" applyFont="1" applyFill="1" applyBorder="1" applyAlignment="1">
      <alignment horizontal="left" vertical="center"/>
    </xf>
    <xf numFmtId="0" fontId="42" fillId="16" borderId="12" xfId="0" applyFont="1" applyFill="1" applyBorder="1" applyAlignment="1">
      <alignment horizontal="left" vertical="center"/>
    </xf>
    <xf numFmtId="0" fontId="42" fillId="16" borderId="2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6" fillId="21" borderId="11" xfId="0" applyFont="1" applyFill="1" applyBorder="1" applyAlignment="1">
      <alignment vertical="center"/>
    </xf>
    <xf numFmtId="0" fontId="5" fillId="21" borderId="12" xfId="0" applyFont="1" applyFill="1" applyBorder="1"/>
    <xf numFmtId="0" fontId="5" fillId="21" borderId="2" xfId="0" applyFont="1" applyFill="1" applyBorder="1"/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6" fillId="7" borderId="0" xfId="0" applyFont="1" applyFill="1"/>
    <xf numFmtId="0" fontId="35" fillId="3" borderId="9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35" fillId="3" borderId="6" xfId="0" applyFont="1" applyFill="1" applyBorder="1" applyAlignment="1">
      <alignment horizontal="left" vertical="center"/>
    </xf>
    <xf numFmtId="0" fontId="0" fillId="0" borderId="9" xfId="0" applyBorder="1"/>
    <xf numFmtId="0" fontId="6" fillId="18" borderId="9" xfId="0" applyFont="1" applyFill="1" applyBorder="1" applyAlignment="1">
      <alignment horizontal="left" vertical="center"/>
    </xf>
    <xf numFmtId="0" fontId="6" fillId="18" borderId="8" xfId="0" applyFont="1" applyFill="1" applyBorder="1" applyAlignment="1">
      <alignment horizontal="left" vertical="center"/>
    </xf>
    <xf numFmtId="0" fontId="6" fillId="18" borderId="6" xfId="0" applyFont="1" applyFill="1" applyBorder="1" applyAlignment="1">
      <alignment horizontal="left" vertical="center"/>
    </xf>
    <xf numFmtId="0" fontId="56" fillId="3" borderId="9" xfId="0" applyFont="1" applyFill="1" applyBorder="1" applyAlignment="1">
      <alignment horizontal="left" vertical="center"/>
    </xf>
    <xf numFmtId="0" fontId="56" fillId="3" borderId="8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48" fillId="0" borderId="13" xfId="0" applyFont="1" applyBorder="1"/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vertical="center" wrapText="1"/>
    </xf>
    <xf numFmtId="0" fontId="15" fillId="15" borderId="5" xfId="0" applyFont="1" applyFill="1" applyBorder="1"/>
    <xf numFmtId="0" fontId="0" fillId="0" borderId="5" xfId="0" applyBorder="1"/>
    <xf numFmtId="0" fontId="14" fillId="18" borderId="11" xfId="0" applyFont="1" applyFill="1" applyBorder="1" applyAlignment="1">
      <alignment vertical="center"/>
    </xf>
    <xf numFmtId="0" fontId="61" fillId="18" borderId="12" xfId="0" applyFont="1" applyFill="1" applyBorder="1"/>
    <xf numFmtId="0" fontId="61" fillId="18" borderId="2" xfId="0" applyFont="1" applyFill="1" applyBorder="1"/>
    <xf numFmtId="0" fontId="6" fillId="22" borderId="11" xfId="0" applyFont="1" applyFill="1" applyBorder="1" applyAlignment="1">
      <alignment vertical="center"/>
    </xf>
    <xf numFmtId="0" fontId="5" fillId="22" borderId="12" xfId="0" applyFont="1" applyFill="1" applyBorder="1"/>
    <xf numFmtId="0" fontId="5" fillId="22" borderId="2" xfId="0" applyFont="1" applyFill="1" applyBorder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4"/>
  <sheetViews>
    <sheetView topLeftCell="A29" zoomScaleNormal="100" workbookViewId="0">
      <selection activeCell="I11" sqref="I11"/>
    </sheetView>
  </sheetViews>
  <sheetFormatPr defaultColWidth="8.875" defaultRowHeight="14.3" x14ac:dyDescent="0.25"/>
  <cols>
    <col min="1" max="1" width="16.375" customWidth="1"/>
    <col min="2" max="2" width="3.75" customWidth="1"/>
    <col min="3" max="5" width="4.125" customWidth="1"/>
    <col min="6" max="6" width="4.75" customWidth="1"/>
    <col min="7" max="7" width="16.375" customWidth="1"/>
    <col min="8" max="12" width="5.25" customWidth="1"/>
    <col min="13" max="13" width="16.375" bestFit="1" customWidth="1"/>
    <col min="14" max="19" width="4.75" customWidth="1"/>
    <col min="20" max="21" width="5.75" customWidth="1"/>
    <col min="22" max="36" width="4.75" customWidth="1"/>
    <col min="37" max="39" width="5.375" customWidth="1"/>
    <col min="40" max="54" width="5.75" customWidth="1"/>
    <col min="55" max="60" width="5.625" customWidth="1"/>
  </cols>
  <sheetData>
    <row r="1" spans="1:68" ht="16.149999999999999" customHeight="1" thickBot="1" x14ac:dyDescent="0.35">
      <c r="A1" s="450" t="s">
        <v>689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2"/>
      <c r="M1" s="465" t="s">
        <v>225</v>
      </c>
      <c r="N1" s="453" t="s">
        <v>16</v>
      </c>
      <c r="O1" s="467"/>
      <c r="P1" s="454"/>
      <c r="Q1" s="453" t="s">
        <v>46</v>
      </c>
      <c r="R1" s="467"/>
      <c r="S1" s="454"/>
      <c r="T1" s="453" t="s">
        <v>224</v>
      </c>
      <c r="U1" s="454"/>
      <c r="V1" s="469" t="s">
        <v>267</v>
      </c>
      <c r="W1" s="483"/>
      <c r="X1" s="484"/>
      <c r="Y1" s="457" t="s">
        <v>698</v>
      </c>
      <c r="Z1" s="458"/>
      <c r="AA1" s="459"/>
      <c r="AB1" s="166"/>
      <c r="AC1" s="86"/>
      <c r="AD1" s="264"/>
      <c r="AE1" s="457" t="s">
        <v>562</v>
      </c>
      <c r="AF1" s="458"/>
      <c r="AG1" s="459"/>
      <c r="AH1" s="457" t="s">
        <v>463</v>
      </c>
      <c r="AI1" s="458"/>
      <c r="AJ1" s="459"/>
      <c r="AK1" s="457" t="s">
        <v>355</v>
      </c>
      <c r="AL1" s="458"/>
      <c r="AM1" s="459"/>
      <c r="AN1" s="457" t="s">
        <v>260</v>
      </c>
      <c r="AO1" s="458"/>
      <c r="AP1" s="459"/>
      <c r="AQ1" s="457" t="s">
        <v>199</v>
      </c>
      <c r="AR1" s="458"/>
      <c r="AS1" s="459"/>
      <c r="AT1" s="457" t="s">
        <v>92</v>
      </c>
      <c r="AU1" s="458"/>
      <c r="AV1" s="459"/>
      <c r="AW1" s="457" t="s">
        <v>63</v>
      </c>
      <c r="AX1" s="458"/>
      <c r="AY1" s="459"/>
      <c r="AZ1" s="457" t="s">
        <v>59</v>
      </c>
      <c r="BA1" s="458"/>
      <c r="BB1" s="459"/>
      <c r="BC1" s="457" t="s">
        <v>45</v>
      </c>
      <c r="BD1" s="458"/>
      <c r="BE1" s="459"/>
      <c r="BF1" s="457" t="s">
        <v>54</v>
      </c>
      <c r="BG1" s="458"/>
      <c r="BH1" s="459"/>
      <c r="BI1" s="86"/>
      <c r="BJ1" s="4"/>
      <c r="BK1" s="4"/>
      <c r="BL1" s="4"/>
      <c r="BN1" s="4"/>
    </row>
    <row r="2" spans="1:68" ht="14.95" customHeight="1" thickBot="1" x14ac:dyDescent="0.3">
      <c r="A2" s="358" t="s">
        <v>0</v>
      </c>
      <c r="B2" s="359" t="s">
        <v>259</v>
      </c>
      <c r="C2" s="360" t="s">
        <v>35</v>
      </c>
      <c r="D2" s="445" t="s">
        <v>36</v>
      </c>
      <c r="E2" s="361" t="s">
        <v>383</v>
      </c>
      <c r="F2" s="362" t="s">
        <v>1</v>
      </c>
      <c r="G2" s="182" t="s">
        <v>2</v>
      </c>
      <c r="H2" s="111" t="s">
        <v>259</v>
      </c>
      <c r="I2" s="335" t="s">
        <v>35</v>
      </c>
      <c r="J2" s="276" t="s">
        <v>36</v>
      </c>
      <c r="K2" s="234" t="s">
        <v>383</v>
      </c>
      <c r="L2" s="205" t="s">
        <v>1</v>
      </c>
      <c r="M2" s="466"/>
      <c r="N2" s="455"/>
      <c r="O2" s="468"/>
      <c r="P2" s="456"/>
      <c r="Q2" s="455"/>
      <c r="R2" s="468"/>
      <c r="S2" s="456"/>
      <c r="T2" s="455"/>
      <c r="U2" s="456"/>
      <c r="V2" s="485"/>
      <c r="W2" s="486"/>
      <c r="X2" s="487"/>
      <c r="Y2" s="460"/>
      <c r="Z2" s="461"/>
      <c r="AA2" s="462"/>
      <c r="AB2" s="166"/>
      <c r="AC2" s="86"/>
      <c r="AD2" s="264"/>
      <c r="AE2" s="460"/>
      <c r="AF2" s="461"/>
      <c r="AG2" s="462"/>
      <c r="AH2" s="460"/>
      <c r="AI2" s="461"/>
      <c r="AJ2" s="462"/>
      <c r="AK2" s="460"/>
      <c r="AL2" s="461"/>
      <c r="AM2" s="462"/>
      <c r="AN2" s="460"/>
      <c r="AO2" s="461"/>
      <c r="AP2" s="462"/>
      <c r="AQ2" s="460"/>
      <c r="AR2" s="461"/>
      <c r="AS2" s="462"/>
      <c r="AT2" s="460"/>
      <c r="AU2" s="461"/>
      <c r="AV2" s="462"/>
      <c r="AW2" s="460"/>
      <c r="AX2" s="461"/>
      <c r="AY2" s="462"/>
      <c r="AZ2" s="460"/>
      <c r="BA2" s="461"/>
      <c r="BB2" s="462"/>
      <c r="BC2" s="460"/>
      <c r="BD2" s="461"/>
      <c r="BE2" s="462"/>
      <c r="BF2" s="460"/>
      <c r="BG2" s="461"/>
      <c r="BH2" s="462"/>
      <c r="BI2" s="86"/>
      <c r="BN2" s="4"/>
      <c r="BO2" s="4"/>
      <c r="BP2" s="4"/>
    </row>
    <row r="3" spans="1:68" ht="14.95" customHeight="1" thickBot="1" x14ac:dyDescent="0.3">
      <c r="A3" s="363" t="s">
        <v>52</v>
      </c>
      <c r="B3" s="364">
        <v>2</v>
      </c>
      <c r="C3" s="365">
        <v>1</v>
      </c>
      <c r="D3" s="446">
        <v>1</v>
      </c>
      <c r="E3" s="366">
        <v>0</v>
      </c>
      <c r="F3" s="367">
        <f t="shared" ref="F3:F38" si="0">SUM(B3:E3)</f>
        <v>4</v>
      </c>
      <c r="G3" s="183" t="s">
        <v>52</v>
      </c>
      <c r="H3" s="79">
        <v>10</v>
      </c>
      <c r="I3" s="336">
        <v>5</v>
      </c>
      <c r="J3" s="277">
        <v>5</v>
      </c>
      <c r="K3" s="235">
        <v>0</v>
      </c>
      <c r="L3" s="206">
        <f t="shared" ref="L3:L38" si="1">SUM(H3:K3)</f>
        <v>20</v>
      </c>
      <c r="M3" s="221" t="s">
        <v>25</v>
      </c>
      <c r="N3" s="3" t="s">
        <v>55</v>
      </c>
      <c r="O3" s="3" t="s">
        <v>11</v>
      </c>
      <c r="P3" s="3" t="s">
        <v>12</v>
      </c>
      <c r="Q3" s="3" t="s">
        <v>55</v>
      </c>
      <c r="R3" s="3" t="s">
        <v>11</v>
      </c>
      <c r="S3" s="3" t="s">
        <v>12</v>
      </c>
      <c r="T3" s="3" t="s">
        <v>20</v>
      </c>
      <c r="U3" s="3" t="s">
        <v>67</v>
      </c>
      <c r="V3" s="80" t="s">
        <v>55</v>
      </c>
      <c r="W3" s="80" t="s">
        <v>11</v>
      </c>
      <c r="X3" s="80" t="s">
        <v>12</v>
      </c>
      <c r="Y3" s="80" t="s">
        <v>55</v>
      </c>
      <c r="Z3" s="80" t="s">
        <v>11</v>
      </c>
      <c r="AA3" s="80" t="s">
        <v>12</v>
      </c>
      <c r="AB3" s="94"/>
      <c r="AC3" s="95"/>
      <c r="AD3" s="199"/>
      <c r="AE3" s="80" t="s">
        <v>55</v>
      </c>
      <c r="AF3" s="80" t="s">
        <v>11</v>
      </c>
      <c r="AG3" s="80" t="s">
        <v>12</v>
      </c>
      <c r="AH3" s="85" t="s">
        <v>55</v>
      </c>
      <c r="AI3" s="80" t="s">
        <v>11</v>
      </c>
      <c r="AJ3" s="80" t="s">
        <v>12</v>
      </c>
      <c r="AK3" s="85" t="s">
        <v>55</v>
      </c>
      <c r="AL3" s="80" t="s">
        <v>11</v>
      </c>
      <c r="AM3" s="80" t="s">
        <v>12</v>
      </c>
      <c r="AN3" s="85" t="s">
        <v>55</v>
      </c>
      <c r="AO3" s="80" t="s">
        <v>11</v>
      </c>
      <c r="AP3" s="80" t="s">
        <v>12</v>
      </c>
      <c r="AQ3" s="85" t="s">
        <v>55</v>
      </c>
      <c r="AR3" s="80" t="s">
        <v>11</v>
      </c>
      <c r="AS3" s="80" t="s">
        <v>12</v>
      </c>
      <c r="AT3" s="85" t="s">
        <v>55</v>
      </c>
      <c r="AU3" s="80" t="s">
        <v>11</v>
      </c>
      <c r="AV3" s="98" t="s">
        <v>12</v>
      </c>
      <c r="AW3" s="98" t="s">
        <v>55</v>
      </c>
      <c r="AX3" s="80" t="s">
        <v>11</v>
      </c>
      <c r="AY3" s="80" t="s">
        <v>12</v>
      </c>
      <c r="AZ3" s="80" t="s">
        <v>55</v>
      </c>
      <c r="BA3" s="80" t="s">
        <v>11</v>
      </c>
      <c r="BB3" s="80" t="s">
        <v>12</v>
      </c>
      <c r="BC3" s="80" t="s">
        <v>55</v>
      </c>
      <c r="BD3" s="80" t="s">
        <v>11</v>
      </c>
      <c r="BE3" s="80" t="s">
        <v>12</v>
      </c>
      <c r="BF3" s="80" t="s">
        <v>55</v>
      </c>
      <c r="BG3" s="80" t="s">
        <v>11</v>
      </c>
      <c r="BH3" s="80" t="s">
        <v>12</v>
      </c>
      <c r="BI3" s="46"/>
      <c r="BJ3" s="4"/>
      <c r="BK3" s="4"/>
      <c r="BL3" s="4"/>
    </row>
    <row r="4" spans="1:68" ht="14.95" customHeight="1" thickBot="1" x14ac:dyDescent="0.3">
      <c r="A4" s="363" t="s">
        <v>330</v>
      </c>
      <c r="B4" s="364">
        <v>1</v>
      </c>
      <c r="C4" s="365">
        <v>0</v>
      </c>
      <c r="D4" s="446">
        <v>0</v>
      </c>
      <c r="E4" s="366">
        <v>0</v>
      </c>
      <c r="F4" s="367">
        <f t="shared" si="0"/>
        <v>1</v>
      </c>
      <c r="G4" s="183" t="s">
        <v>330</v>
      </c>
      <c r="H4" s="79">
        <v>11</v>
      </c>
      <c r="I4" s="336">
        <v>6</v>
      </c>
      <c r="J4" s="277">
        <v>0</v>
      </c>
      <c r="K4" s="235">
        <v>50</v>
      </c>
      <c r="L4" s="206">
        <f t="shared" si="1"/>
        <v>67</v>
      </c>
      <c r="M4" s="368" t="s">
        <v>330</v>
      </c>
      <c r="N4" s="369">
        <v>3</v>
      </c>
      <c r="O4" s="369">
        <v>4</v>
      </c>
      <c r="P4" s="370">
        <f t="shared" ref="P4" si="2">SUM(N4/O4)*100</f>
        <v>75</v>
      </c>
      <c r="Q4" s="369" t="s">
        <v>17</v>
      </c>
      <c r="R4" s="369" t="s">
        <v>17</v>
      </c>
      <c r="S4" s="370" t="s">
        <v>17</v>
      </c>
      <c r="T4" s="371">
        <v>2</v>
      </c>
      <c r="U4" s="372">
        <v>2</v>
      </c>
      <c r="V4" s="7">
        <v>4</v>
      </c>
      <c r="W4" s="7">
        <v>8</v>
      </c>
      <c r="X4" s="155">
        <v>50</v>
      </c>
      <c r="Y4" s="7">
        <v>20</v>
      </c>
      <c r="Z4" s="7">
        <v>30</v>
      </c>
      <c r="AA4" s="155">
        <v>66.666666666666657</v>
      </c>
      <c r="AB4" s="94"/>
      <c r="AC4" s="95"/>
      <c r="AD4" s="199"/>
      <c r="AE4" s="7">
        <v>41</v>
      </c>
      <c r="AF4" s="7">
        <v>53</v>
      </c>
      <c r="AG4" s="155">
        <v>77.358490566037744</v>
      </c>
      <c r="AH4" s="150">
        <v>5</v>
      </c>
      <c r="AI4" s="7">
        <v>6</v>
      </c>
      <c r="AJ4" s="155">
        <f>SUM(AH4/AI4)*100</f>
        <v>83.333333333333343</v>
      </c>
      <c r="AK4" s="85" t="s">
        <v>17</v>
      </c>
      <c r="AL4" s="80" t="s">
        <v>17</v>
      </c>
      <c r="AM4" s="173" t="s">
        <v>17</v>
      </c>
      <c r="AN4" s="150" t="s">
        <v>17</v>
      </c>
      <c r="AO4" s="7" t="s">
        <v>17</v>
      </c>
      <c r="AP4" s="6" t="s">
        <v>17</v>
      </c>
      <c r="AQ4" s="6" t="s">
        <v>17</v>
      </c>
      <c r="AR4" s="6" t="s">
        <v>17</v>
      </c>
      <c r="AS4" s="6" t="s">
        <v>17</v>
      </c>
      <c r="AT4" s="6" t="s">
        <v>17</v>
      </c>
      <c r="AU4" s="6" t="s">
        <v>17</v>
      </c>
      <c r="AV4" s="6" t="s">
        <v>17</v>
      </c>
      <c r="AW4" s="6" t="s">
        <v>17</v>
      </c>
      <c r="AX4" s="6" t="s">
        <v>17</v>
      </c>
      <c r="AY4" s="6" t="s">
        <v>17</v>
      </c>
      <c r="AZ4" s="6" t="s">
        <v>17</v>
      </c>
      <c r="BA4" s="6" t="s">
        <v>17</v>
      </c>
      <c r="BB4" s="6" t="s">
        <v>17</v>
      </c>
      <c r="BC4" s="6" t="s">
        <v>17</v>
      </c>
      <c r="BD4" s="6" t="s">
        <v>17</v>
      </c>
      <c r="BE4" s="6" t="s">
        <v>17</v>
      </c>
      <c r="BF4" s="6" t="s">
        <v>17</v>
      </c>
      <c r="BG4" s="154" t="s">
        <v>17</v>
      </c>
      <c r="BH4" s="154" t="s">
        <v>17</v>
      </c>
      <c r="BI4" s="83"/>
    </row>
    <row r="5" spans="1:68" ht="14.95" customHeight="1" thickBot="1" x14ac:dyDescent="0.3">
      <c r="A5" s="363" t="s">
        <v>596</v>
      </c>
      <c r="B5" s="364">
        <v>1</v>
      </c>
      <c r="C5" s="365">
        <v>1</v>
      </c>
      <c r="D5" s="446">
        <v>3</v>
      </c>
      <c r="E5" s="366">
        <v>3</v>
      </c>
      <c r="F5" s="367">
        <f t="shared" si="0"/>
        <v>8</v>
      </c>
      <c r="G5" s="183" t="s">
        <v>596</v>
      </c>
      <c r="H5" s="79">
        <v>5</v>
      </c>
      <c r="I5" s="336">
        <v>5</v>
      </c>
      <c r="J5" s="277">
        <v>15</v>
      </c>
      <c r="K5" s="235">
        <v>15</v>
      </c>
      <c r="L5" s="206">
        <f t="shared" si="1"/>
        <v>40</v>
      </c>
      <c r="M5" s="363" t="s">
        <v>242</v>
      </c>
      <c r="N5" s="369">
        <v>0</v>
      </c>
      <c r="O5" s="369">
        <v>1</v>
      </c>
      <c r="P5" s="370">
        <f t="shared" ref="P5" si="3">SUM(N5/O5)*100</f>
        <v>0</v>
      </c>
      <c r="Q5" s="369" t="s">
        <v>17</v>
      </c>
      <c r="R5" s="369" t="s">
        <v>17</v>
      </c>
      <c r="S5" s="370" t="s">
        <v>17</v>
      </c>
      <c r="T5" s="369">
        <v>-1</v>
      </c>
      <c r="U5" s="369">
        <v>-1</v>
      </c>
      <c r="V5" s="7" t="s">
        <v>17</v>
      </c>
      <c r="W5" s="7" t="s">
        <v>17</v>
      </c>
      <c r="X5" s="7" t="s">
        <v>17</v>
      </c>
      <c r="Y5" s="7" t="s">
        <v>17</v>
      </c>
      <c r="Z5" s="7" t="s">
        <v>17</v>
      </c>
      <c r="AA5" s="7" t="s">
        <v>17</v>
      </c>
      <c r="AB5" s="94"/>
      <c r="AC5" s="95"/>
      <c r="AD5" s="199"/>
      <c r="AE5" s="7">
        <v>2</v>
      </c>
      <c r="AF5" s="7">
        <v>2</v>
      </c>
      <c r="AG5" s="7">
        <v>100</v>
      </c>
      <c r="AH5" s="150" t="s">
        <v>17</v>
      </c>
      <c r="AI5" s="7" t="s">
        <v>17</v>
      </c>
      <c r="AJ5" s="155" t="s">
        <v>17</v>
      </c>
      <c r="AK5" s="85" t="s">
        <v>17</v>
      </c>
      <c r="AL5" s="80" t="s">
        <v>17</v>
      </c>
      <c r="AM5" s="173" t="s">
        <v>17</v>
      </c>
      <c r="AN5" s="7" t="s">
        <v>17</v>
      </c>
      <c r="AO5" s="7" t="s">
        <v>17</v>
      </c>
      <c r="AP5" s="155" t="s">
        <v>17</v>
      </c>
      <c r="AQ5" s="85" t="s">
        <v>17</v>
      </c>
      <c r="AR5" s="80" t="s">
        <v>17</v>
      </c>
      <c r="AS5" s="173" t="s">
        <v>17</v>
      </c>
      <c r="AT5" s="7" t="s">
        <v>17</v>
      </c>
      <c r="AU5" s="7" t="s">
        <v>17</v>
      </c>
      <c r="AV5" s="7" t="s">
        <v>17</v>
      </c>
      <c r="AW5" s="7" t="s">
        <v>17</v>
      </c>
      <c r="AX5" s="7" t="s">
        <v>17</v>
      </c>
      <c r="AY5" s="7" t="s">
        <v>17</v>
      </c>
      <c r="AZ5" s="7" t="s">
        <v>17</v>
      </c>
      <c r="BA5" s="7" t="s">
        <v>17</v>
      </c>
      <c r="BB5" s="7" t="s">
        <v>17</v>
      </c>
      <c r="BC5" s="7" t="s">
        <v>17</v>
      </c>
      <c r="BD5" s="7" t="s">
        <v>17</v>
      </c>
      <c r="BE5" s="7" t="s">
        <v>17</v>
      </c>
      <c r="BF5" s="7" t="s">
        <v>17</v>
      </c>
      <c r="BG5" s="7" t="s">
        <v>17</v>
      </c>
      <c r="BH5" s="7" t="s">
        <v>17</v>
      </c>
      <c r="BI5" s="84"/>
      <c r="BN5" s="4"/>
      <c r="BO5" s="4"/>
      <c r="BP5" s="4"/>
    </row>
    <row r="6" spans="1:68" ht="14.95" customHeight="1" thickBot="1" x14ac:dyDescent="0.3">
      <c r="A6" s="363" t="s">
        <v>89</v>
      </c>
      <c r="B6" s="364">
        <v>2</v>
      </c>
      <c r="C6" s="365">
        <v>1</v>
      </c>
      <c r="D6" s="446">
        <v>1</v>
      </c>
      <c r="E6" s="366">
        <v>0</v>
      </c>
      <c r="F6" s="367">
        <f t="shared" si="0"/>
        <v>4</v>
      </c>
      <c r="G6" s="184" t="s">
        <v>89</v>
      </c>
      <c r="H6" s="79">
        <v>10</v>
      </c>
      <c r="I6" s="336">
        <v>5</v>
      </c>
      <c r="J6" s="277">
        <v>5</v>
      </c>
      <c r="K6" s="235">
        <v>0</v>
      </c>
      <c r="L6" s="206">
        <f t="shared" si="1"/>
        <v>20</v>
      </c>
      <c r="M6" s="363" t="s">
        <v>228</v>
      </c>
      <c r="N6" s="369" t="s">
        <v>17</v>
      </c>
      <c r="O6" s="369" t="s">
        <v>17</v>
      </c>
      <c r="P6" s="370" t="s">
        <v>17</v>
      </c>
      <c r="Q6" s="369" t="s">
        <v>17</v>
      </c>
      <c r="R6" s="369" t="s">
        <v>17</v>
      </c>
      <c r="S6" s="370" t="s">
        <v>17</v>
      </c>
      <c r="T6" s="369">
        <v>-1</v>
      </c>
      <c r="U6" s="369">
        <v>-1</v>
      </c>
      <c r="V6" s="150">
        <v>1</v>
      </c>
      <c r="W6" s="7">
        <v>2</v>
      </c>
      <c r="X6" s="155">
        <v>50</v>
      </c>
      <c r="Y6" s="150" t="s">
        <v>17</v>
      </c>
      <c r="Z6" s="7" t="s">
        <v>17</v>
      </c>
      <c r="AA6" s="155" t="s">
        <v>17</v>
      </c>
      <c r="AB6" s="94"/>
      <c r="AC6" s="95"/>
      <c r="AD6" s="199"/>
      <c r="AE6" s="150" t="s">
        <v>17</v>
      </c>
      <c r="AF6" s="7" t="s">
        <v>17</v>
      </c>
      <c r="AG6" s="155" t="s">
        <v>17</v>
      </c>
      <c r="AH6" s="150" t="s">
        <v>17</v>
      </c>
      <c r="AI6" s="7" t="s">
        <v>17</v>
      </c>
      <c r="AJ6" s="155" t="s">
        <v>17</v>
      </c>
      <c r="AK6" s="150" t="s">
        <v>17</v>
      </c>
      <c r="AL6" s="7" t="s">
        <v>17</v>
      </c>
      <c r="AM6" s="155" t="s">
        <v>17</v>
      </c>
      <c r="AN6" s="150" t="s">
        <v>17</v>
      </c>
      <c r="AO6" s="7" t="s">
        <v>17</v>
      </c>
      <c r="AP6" s="155" t="s">
        <v>17</v>
      </c>
      <c r="AQ6" s="150" t="s">
        <v>17</v>
      </c>
      <c r="AR6" s="7" t="s">
        <v>17</v>
      </c>
      <c r="AS6" s="155" t="s">
        <v>17</v>
      </c>
      <c r="AT6" s="150" t="s">
        <v>17</v>
      </c>
      <c r="AU6" s="7" t="s">
        <v>17</v>
      </c>
      <c r="AV6" s="155" t="s">
        <v>17</v>
      </c>
      <c r="AW6" s="150" t="s">
        <v>17</v>
      </c>
      <c r="AX6" s="7" t="s">
        <v>17</v>
      </c>
      <c r="AY6" s="155" t="s">
        <v>17</v>
      </c>
      <c r="AZ6" s="150" t="s">
        <v>17</v>
      </c>
      <c r="BA6" s="7" t="s">
        <v>17</v>
      </c>
      <c r="BB6" s="155" t="s">
        <v>17</v>
      </c>
      <c r="BC6" s="150" t="s">
        <v>17</v>
      </c>
      <c r="BD6" s="7" t="s">
        <v>17</v>
      </c>
      <c r="BE6" s="155" t="s">
        <v>17</v>
      </c>
      <c r="BF6" s="150" t="s">
        <v>17</v>
      </c>
      <c r="BG6" s="7" t="s">
        <v>17</v>
      </c>
      <c r="BH6" s="155" t="s">
        <v>17</v>
      </c>
      <c r="BI6" s="84"/>
    </row>
    <row r="7" spans="1:68" ht="14.95" customHeight="1" thickBot="1" x14ac:dyDescent="0.3">
      <c r="A7" s="363" t="s">
        <v>353</v>
      </c>
      <c r="B7" s="364">
        <v>2</v>
      </c>
      <c r="C7" s="365">
        <v>0</v>
      </c>
      <c r="D7" s="446">
        <v>0</v>
      </c>
      <c r="E7" s="366">
        <v>2</v>
      </c>
      <c r="F7" s="367">
        <f t="shared" si="0"/>
        <v>4</v>
      </c>
      <c r="G7" s="184" t="s">
        <v>353</v>
      </c>
      <c r="H7" s="79">
        <v>10</v>
      </c>
      <c r="I7" s="336">
        <v>0</v>
      </c>
      <c r="J7" s="277">
        <v>0</v>
      </c>
      <c r="K7" s="235">
        <v>10</v>
      </c>
      <c r="L7" s="206">
        <f t="shared" si="1"/>
        <v>20</v>
      </c>
      <c r="M7" s="363" t="s">
        <v>1244</v>
      </c>
      <c r="N7" s="369">
        <v>7</v>
      </c>
      <c r="O7" s="369">
        <v>7</v>
      </c>
      <c r="P7" s="370">
        <f t="shared" ref="P7:P9" si="4">SUM(N7/O7)*100</f>
        <v>100</v>
      </c>
      <c r="Q7" s="369" t="s">
        <v>17</v>
      </c>
      <c r="R7" s="369" t="s">
        <v>17</v>
      </c>
      <c r="S7" s="370" t="s">
        <v>17</v>
      </c>
      <c r="T7" s="369">
        <v>7</v>
      </c>
      <c r="U7" s="369">
        <v>14</v>
      </c>
      <c r="V7" s="7" t="s">
        <v>17</v>
      </c>
      <c r="W7" s="7" t="s">
        <v>17</v>
      </c>
      <c r="X7" s="7" t="s">
        <v>17</v>
      </c>
      <c r="Y7" s="7" t="s">
        <v>17</v>
      </c>
      <c r="Z7" s="7" t="s">
        <v>17</v>
      </c>
      <c r="AA7" s="7" t="s">
        <v>17</v>
      </c>
      <c r="AB7" s="94"/>
      <c r="AC7" s="95"/>
      <c r="AD7" s="199"/>
      <c r="AE7" s="150" t="s">
        <v>17</v>
      </c>
      <c r="AF7" s="7" t="s">
        <v>17</v>
      </c>
      <c r="AG7" s="155" t="s">
        <v>17</v>
      </c>
      <c r="AH7" s="150" t="s">
        <v>17</v>
      </c>
      <c r="AI7" s="7" t="s">
        <v>17</v>
      </c>
      <c r="AJ7" s="155" t="s">
        <v>17</v>
      </c>
      <c r="AK7" s="150" t="s">
        <v>17</v>
      </c>
      <c r="AL7" s="7" t="s">
        <v>17</v>
      </c>
      <c r="AM7" s="155" t="s">
        <v>17</v>
      </c>
      <c r="AN7" s="150" t="s">
        <v>17</v>
      </c>
      <c r="AO7" s="7" t="s">
        <v>17</v>
      </c>
      <c r="AP7" s="155" t="s">
        <v>17</v>
      </c>
      <c r="AQ7" s="150" t="s">
        <v>17</v>
      </c>
      <c r="AR7" s="7" t="s">
        <v>17</v>
      </c>
      <c r="AS7" s="155" t="s">
        <v>17</v>
      </c>
      <c r="AT7" s="150" t="s">
        <v>17</v>
      </c>
      <c r="AU7" s="7" t="s">
        <v>17</v>
      </c>
      <c r="AV7" s="155" t="s">
        <v>17</v>
      </c>
      <c r="AW7" s="150" t="s">
        <v>17</v>
      </c>
      <c r="AX7" s="7" t="s">
        <v>17</v>
      </c>
      <c r="AY7" s="155" t="s">
        <v>17</v>
      </c>
      <c r="AZ7" s="150" t="s">
        <v>17</v>
      </c>
      <c r="BA7" s="7" t="s">
        <v>17</v>
      </c>
      <c r="BB7" s="155" t="s">
        <v>17</v>
      </c>
      <c r="BC7" s="150" t="s">
        <v>17</v>
      </c>
      <c r="BD7" s="7" t="s">
        <v>17</v>
      </c>
      <c r="BE7" s="155" t="s">
        <v>17</v>
      </c>
      <c r="BF7" s="150" t="s">
        <v>17</v>
      </c>
      <c r="BG7" s="7" t="s">
        <v>17</v>
      </c>
      <c r="BH7" s="155" t="s">
        <v>17</v>
      </c>
      <c r="BI7" s="84"/>
    </row>
    <row r="8" spans="1:68" ht="14.95" customHeight="1" thickBot="1" x14ac:dyDescent="0.3">
      <c r="A8" s="363" t="s">
        <v>528</v>
      </c>
      <c r="B8" s="364">
        <v>3</v>
      </c>
      <c r="C8" s="365">
        <v>0</v>
      </c>
      <c r="D8" s="446">
        <v>1</v>
      </c>
      <c r="E8" s="366">
        <v>5</v>
      </c>
      <c r="F8" s="367">
        <f t="shared" si="0"/>
        <v>9</v>
      </c>
      <c r="G8" s="184" t="s">
        <v>528</v>
      </c>
      <c r="H8" s="79">
        <v>15</v>
      </c>
      <c r="I8" s="336">
        <v>0</v>
      </c>
      <c r="J8" s="277">
        <v>5</v>
      </c>
      <c r="K8" s="235">
        <v>25</v>
      </c>
      <c r="L8" s="206">
        <f t="shared" si="1"/>
        <v>45</v>
      </c>
      <c r="M8" s="363" t="s">
        <v>356</v>
      </c>
      <c r="N8" s="369" t="s">
        <v>17</v>
      </c>
      <c r="O8" s="369" t="s">
        <v>17</v>
      </c>
      <c r="P8" s="370" t="s">
        <v>17</v>
      </c>
      <c r="Q8" s="369" t="s">
        <v>17</v>
      </c>
      <c r="R8" s="369" t="s">
        <v>17</v>
      </c>
      <c r="S8" s="370" t="s">
        <v>17</v>
      </c>
      <c r="T8" s="369">
        <v>-1</v>
      </c>
      <c r="U8" s="369">
        <v>-1</v>
      </c>
      <c r="V8" s="150" t="s">
        <v>17</v>
      </c>
      <c r="W8" s="7" t="s">
        <v>17</v>
      </c>
      <c r="X8" s="155" t="s">
        <v>17</v>
      </c>
      <c r="Y8" s="150" t="s">
        <v>17</v>
      </c>
      <c r="Z8" s="7" t="s">
        <v>17</v>
      </c>
      <c r="AA8" s="155" t="s">
        <v>17</v>
      </c>
      <c r="AB8" s="94"/>
      <c r="AC8" s="95"/>
      <c r="AD8" s="199"/>
      <c r="AE8" s="150" t="s">
        <v>17</v>
      </c>
      <c r="AF8" s="7" t="s">
        <v>17</v>
      </c>
      <c r="AG8" s="155" t="s">
        <v>17</v>
      </c>
      <c r="AH8" s="150" t="s">
        <v>17</v>
      </c>
      <c r="AI8" s="7" t="s">
        <v>17</v>
      </c>
      <c r="AJ8" s="155" t="s">
        <v>17</v>
      </c>
      <c r="AK8" s="85" t="s">
        <v>17</v>
      </c>
      <c r="AL8" s="80" t="s">
        <v>17</v>
      </c>
      <c r="AM8" s="173" t="s">
        <v>17</v>
      </c>
      <c r="AN8" s="150">
        <v>0</v>
      </c>
      <c r="AO8" s="7">
        <v>1</v>
      </c>
      <c r="AP8" s="7">
        <v>0</v>
      </c>
      <c r="AQ8" s="6" t="s">
        <v>17</v>
      </c>
      <c r="AR8" s="7" t="s">
        <v>17</v>
      </c>
      <c r="AS8" s="7" t="s">
        <v>17</v>
      </c>
      <c r="AT8" s="7" t="s">
        <v>17</v>
      </c>
      <c r="AU8" s="7" t="s">
        <v>17</v>
      </c>
      <c r="AV8" s="7" t="s">
        <v>17</v>
      </c>
      <c r="AW8" s="7" t="s">
        <v>17</v>
      </c>
      <c r="AX8" s="7" t="s">
        <v>17</v>
      </c>
      <c r="AY8" s="7" t="s">
        <v>17</v>
      </c>
      <c r="AZ8" s="7" t="s">
        <v>17</v>
      </c>
      <c r="BA8" s="7" t="s">
        <v>17</v>
      </c>
      <c r="BB8" s="7" t="s">
        <v>17</v>
      </c>
      <c r="BC8" s="7" t="s">
        <v>17</v>
      </c>
      <c r="BD8" s="7" t="s">
        <v>17</v>
      </c>
      <c r="BE8" s="7" t="s">
        <v>17</v>
      </c>
      <c r="BF8" s="7" t="s">
        <v>17</v>
      </c>
      <c r="BG8" s="7" t="s">
        <v>17</v>
      </c>
      <c r="BH8" s="7" t="s">
        <v>17</v>
      </c>
    </row>
    <row r="9" spans="1:68" ht="14.95" customHeight="1" thickBot="1" x14ac:dyDescent="0.3">
      <c r="A9" s="363" t="s">
        <v>74</v>
      </c>
      <c r="B9" s="364">
        <v>8</v>
      </c>
      <c r="C9" s="365">
        <v>1</v>
      </c>
      <c r="D9" s="446">
        <v>1</v>
      </c>
      <c r="E9" s="366">
        <v>1</v>
      </c>
      <c r="F9" s="367">
        <f t="shared" si="0"/>
        <v>11</v>
      </c>
      <c r="G9" s="184" t="s">
        <v>74</v>
      </c>
      <c r="H9" s="79">
        <v>40</v>
      </c>
      <c r="I9" s="336">
        <v>5</v>
      </c>
      <c r="J9" s="277">
        <v>5</v>
      </c>
      <c r="K9" s="235">
        <v>5</v>
      </c>
      <c r="L9" s="206">
        <f t="shared" si="1"/>
        <v>55</v>
      </c>
      <c r="M9" s="363" t="s">
        <v>599</v>
      </c>
      <c r="N9" s="369">
        <v>79</v>
      </c>
      <c r="O9" s="369">
        <v>100</v>
      </c>
      <c r="P9" s="370">
        <f t="shared" si="4"/>
        <v>79</v>
      </c>
      <c r="Q9" s="369">
        <v>5</v>
      </c>
      <c r="R9" s="369">
        <v>5</v>
      </c>
      <c r="S9" s="370">
        <f t="shared" ref="S9" si="5">SUM(Q9/R9)*100</f>
        <v>100</v>
      </c>
      <c r="T9" s="369">
        <v>11</v>
      </c>
      <c r="U9" s="369">
        <v>18</v>
      </c>
      <c r="V9" s="7">
        <v>64</v>
      </c>
      <c r="W9" s="7">
        <v>88</v>
      </c>
      <c r="X9" s="155">
        <v>72.727272727272734</v>
      </c>
      <c r="Y9" s="7">
        <v>89</v>
      </c>
      <c r="Z9" s="7">
        <v>103</v>
      </c>
      <c r="AA9" s="155">
        <v>86</v>
      </c>
      <c r="AB9" s="94"/>
      <c r="AC9" s="95"/>
      <c r="AD9" s="199"/>
      <c r="AE9" s="7">
        <v>1</v>
      </c>
      <c r="AF9" s="7">
        <v>3</v>
      </c>
      <c r="AG9" s="155">
        <v>33</v>
      </c>
      <c r="AH9" s="150">
        <v>4</v>
      </c>
      <c r="AI9" s="7">
        <v>6</v>
      </c>
      <c r="AJ9" s="155">
        <f t="shared" ref="AJ9" si="6">SUM(AH9/AI9)*100</f>
        <v>66.666666666666657</v>
      </c>
      <c r="AK9" s="150">
        <v>0</v>
      </c>
      <c r="AL9" s="7">
        <v>1</v>
      </c>
      <c r="AM9" s="155">
        <f t="shared" ref="AM9" si="7">SUM(AK9/AL9)*100</f>
        <v>0</v>
      </c>
      <c r="AN9" s="150">
        <v>38</v>
      </c>
      <c r="AO9" s="7">
        <v>49</v>
      </c>
      <c r="AP9" s="155">
        <f t="shared" ref="AP9" si="8">SUM(AN9/AO9)*100</f>
        <v>77.551020408163268</v>
      </c>
      <c r="AQ9" s="150">
        <v>34</v>
      </c>
      <c r="AR9" s="7">
        <v>42</v>
      </c>
      <c r="AS9" s="155">
        <f t="shared" ref="AS9" si="9">SUM(AQ9/AR9)*100</f>
        <v>80.952380952380949</v>
      </c>
      <c r="AT9" s="150">
        <v>31</v>
      </c>
      <c r="AU9" s="7">
        <v>38</v>
      </c>
      <c r="AV9" s="155">
        <v>81.578947368421055</v>
      </c>
      <c r="AW9" s="346">
        <v>25</v>
      </c>
      <c r="AX9" s="155">
        <v>40</v>
      </c>
      <c r="AY9" s="155">
        <v>62.5</v>
      </c>
      <c r="AZ9" s="155">
        <v>29</v>
      </c>
      <c r="BA9" s="155">
        <v>38</v>
      </c>
      <c r="BB9" s="155">
        <v>76.31578947368422</v>
      </c>
      <c r="BC9" s="7" t="s">
        <v>17</v>
      </c>
      <c r="BD9" s="7" t="s">
        <v>17</v>
      </c>
      <c r="BE9" s="7" t="s">
        <v>17</v>
      </c>
      <c r="BF9" s="7" t="s">
        <v>17</v>
      </c>
      <c r="BG9" s="7" t="s">
        <v>17</v>
      </c>
      <c r="BH9" s="7" t="s">
        <v>17</v>
      </c>
    </row>
    <row r="10" spans="1:68" ht="14.95" customHeight="1" thickBot="1" x14ac:dyDescent="0.3">
      <c r="A10" s="363" t="s">
        <v>625</v>
      </c>
      <c r="B10" s="364">
        <v>2</v>
      </c>
      <c r="C10" s="365">
        <v>0</v>
      </c>
      <c r="D10" s="446">
        <v>1</v>
      </c>
      <c r="E10" s="366">
        <v>1</v>
      </c>
      <c r="F10" s="367">
        <f t="shared" si="0"/>
        <v>4</v>
      </c>
      <c r="G10" s="184" t="s">
        <v>625</v>
      </c>
      <c r="H10" s="79">
        <v>10</v>
      </c>
      <c r="I10" s="336">
        <v>0</v>
      </c>
      <c r="J10" s="277">
        <v>5</v>
      </c>
      <c r="K10" s="235">
        <v>5</v>
      </c>
      <c r="L10" s="206">
        <f t="shared" si="1"/>
        <v>20</v>
      </c>
      <c r="M10" s="358" t="s">
        <v>244</v>
      </c>
      <c r="N10" s="369">
        <v>1</v>
      </c>
      <c r="O10" s="369">
        <v>1</v>
      </c>
      <c r="P10" s="370">
        <f t="shared" ref="P10" si="10">SUM(N10/O10)*100</f>
        <v>100</v>
      </c>
      <c r="Q10" s="369" t="s">
        <v>17</v>
      </c>
      <c r="R10" s="369" t="s">
        <v>17</v>
      </c>
      <c r="S10" s="370" t="s">
        <v>17</v>
      </c>
      <c r="T10" s="372">
        <v>3</v>
      </c>
      <c r="U10" s="372">
        <v>3</v>
      </c>
      <c r="V10" s="7">
        <v>8</v>
      </c>
      <c r="W10" s="7">
        <v>13</v>
      </c>
      <c r="X10" s="7">
        <v>62</v>
      </c>
      <c r="Y10" s="7">
        <v>31</v>
      </c>
      <c r="Z10" s="7">
        <v>35</v>
      </c>
      <c r="AA10" s="7">
        <v>87</v>
      </c>
      <c r="AB10" s="94"/>
      <c r="AC10" s="95"/>
      <c r="AD10" s="199"/>
      <c r="AE10" s="7">
        <v>18</v>
      </c>
      <c r="AF10" s="7">
        <v>26</v>
      </c>
      <c r="AG10" s="7">
        <v>69</v>
      </c>
      <c r="AH10" s="150">
        <v>18</v>
      </c>
      <c r="AI10" s="7">
        <v>26</v>
      </c>
      <c r="AJ10" s="155">
        <f>SUM(AH10/AI10)*100</f>
        <v>69.230769230769226</v>
      </c>
      <c r="AK10" s="85">
        <v>1</v>
      </c>
      <c r="AL10" s="80">
        <v>1</v>
      </c>
      <c r="AM10" s="173">
        <f>SUM(AK10/AL10)*100</f>
        <v>100</v>
      </c>
      <c r="AN10" s="150">
        <v>14</v>
      </c>
      <c r="AO10" s="7">
        <v>20</v>
      </c>
      <c r="AP10" s="155">
        <f t="shared" ref="AP10" si="11">SUM(AN10/AO10)*100</f>
        <v>70</v>
      </c>
      <c r="AQ10" s="6">
        <v>15</v>
      </c>
      <c r="AR10" s="7">
        <v>20</v>
      </c>
      <c r="AS10" s="155">
        <f>SUM(AQ10/AR10)*100</f>
        <v>75</v>
      </c>
      <c r="AT10" s="150">
        <v>7</v>
      </c>
      <c r="AU10" s="7">
        <v>8</v>
      </c>
      <c r="AV10" s="155">
        <f>SUM(AT10/AU10)*100</f>
        <v>87.5</v>
      </c>
      <c r="AW10" s="150">
        <v>7</v>
      </c>
      <c r="AX10" s="7">
        <v>9</v>
      </c>
      <c r="AY10" s="155">
        <f>SUM(AW10/AX10)*100</f>
        <v>77.777777777777786</v>
      </c>
      <c r="AZ10" s="7">
        <v>3</v>
      </c>
      <c r="BA10" s="7">
        <v>3</v>
      </c>
      <c r="BB10" s="155">
        <f>SUM(AZ10/BA10)*100</f>
        <v>100</v>
      </c>
      <c r="BC10" s="7">
        <v>3</v>
      </c>
      <c r="BD10" s="7">
        <v>4</v>
      </c>
      <c r="BE10" s="155">
        <f>SUM(BC10/BD10)*100</f>
        <v>75</v>
      </c>
      <c r="BF10" s="154" t="s">
        <v>17</v>
      </c>
      <c r="BG10" s="154" t="s">
        <v>17</v>
      </c>
      <c r="BH10" s="154" t="s">
        <v>17</v>
      </c>
      <c r="BJ10" s="4"/>
      <c r="BK10" s="4"/>
      <c r="BL10" s="4"/>
    </row>
    <row r="11" spans="1:68" ht="14.95" customHeight="1" thickBot="1" x14ac:dyDescent="0.3">
      <c r="A11" s="363" t="s">
        <v>1246</v>
      </c>
      <c r="B11" s="364">
        <v>0</v>
      </c>
      <c r="C11" s="365">
        <v>0</v>
      </c>
      <c r="D11" s="446">
        <v>0</v>
      </c>
      <c r="E11" s="366">
        <v>1</v>
      </c>
      <c r="F11" s="367">
        <f t="shared" si="0"/>
        <v>1</v>
      </c>
      <c r="G11" s="184" t="s">
        <v>1246</v>
      </c>
      <c r="H11" s="79">
        <v>0</v>
      </c>
      <c r="I11" s="336">
        <v>0</v>
      </c>
      <c r="J11" s="277">
        <v>0</v>
      </c>
      <c r="K11" s="235">
        <v>5</v>
      </c>
      <c r="L11" s="206">
        <f t="shared" si="1"/>
        <v>5</v>
      </c>
      <c r="BC11" s="4"/>
    </row>
    <row r="12" spans="1:68" ht="14.95" customHeight="1" thickBot="1" x14ac:dyDescent="0.3">
      <c r="A12" s="363" t="s">
        <v>242</v>
      </c>
      <c r="B12" s="364">
        <v>4</v>
      </c>
      <c r="C12" s="365">
        <v>3</v>
      </c>
      <c r="D12" s="446">
        <v>1</v>
      </c>
      <c r="E12" s="366">
        <v>1</v>
      </c>
      <c r="F12" s="367">
        <f t="shared" si="0"/>
        <v>9</v>
      </c>
      <c r="G12" s="184" t="s">
        <v>242</v>
      </c>
      <c r="H12" s="79">
        <v>20</v>
      </c>
      <c r="I12" s="336">
        <v>15</v>
      </c>
      <c r="J12" s="277">
        <v>5</v>
      </c>
      <c r="K12" s="235">
        <v>5</v>
      </c>
      <c r="L12" s="206">
        <f t="shared" si="1"/>
        <v>45</v>
      </c>
      <c r="M12" s="463" t="s">
        <v>226</v>
      </c>
      <c r="N12" s="453" t="s">
        <v>16</v>
      </c>
      <c r="O12" s="467"/>
      <c r="P12" s="454"/>
      <c r="Q12" s="469" t="s">
        <v>267</v>
      </c>
      <c r="R12" s="470"/>
      <c r="S12" s="471"/>
      <c r="T12" s="457" t="s">
        <v>698</v>
      </c>
      <c r="U12" s="458"/>
      <c r="V12" s="459"/>
      <c r="W12" s="457" t="s">
        <v>562</v>
      </c>
      <c r="X12" s="458"/>
      <c r="Y12" s="459"/>
      <c r="Z12" s="86" t="s">
        <v>25</v>
      </c>
      <c r="AE12" s="457" t="s">
        <v>463</v>
      </c>
      <c r="AF12" s="458"/>
      <c r="AG12" s="459"/>
      <c r="AH12" s="457" t="s">
        <v>355</v>
      </c>
      <c r="AI12" s="458"/>
      <c r="AJ12" s="459"/>
      <c r="AK12" s="457" t="s">
        <v>260</v>
      </c>
      <c r="AL12" s="458"/>
      <c r="AM12" s="459"/>
      <c r="AN12" s="457" t="s">
        <v>199</v>
      </c>
      <c r="AO12" s="458"/>
      <c r="AP12" s="459"/>
      <c r="AQ12" s="457" t="s">
        <v>92</v>
      </c>
      <c r="AR12" s="458"/>
      <c r="AS12" s="459"/>
      <c r="AT12" s="457" t="s">
        <v>63</v>
      </c>
      <c r="AU12" s="458"/>
      <c r="AV12" s="459"/>
      <c r="AW12" s="457" t="s">
        <v>59</v>
      </c>
      <c r="AX12" s="458"/>
      <c r="AY12" s="459"/>
      <c r="AZ12" s="457" t="s">
        <v>45</v>
      </c>
      <c r="BA12" s="458"/>
      <c r="BB12" s="459"/>
      <c r="BE12" s="4"/>
      <c r="BF12" s="4"/>
      <c r="BG12" s="4"/>
      <c r="BH12" s="4"/>
    </row>
    <row r="13" spans="1:68" ht="14.95" customHeight="1" thickBot="1" x14ac:dyDescent="0.3">
      <c r="A13" s="363" t="s">
        <v>1244</v>
      </c>
      <c r="B13" s="364">
        <v>2</v>
      </c>
      <c r="C13" s="365">
        <v>0</v>
      </c>
      <c r="D13" s="446">
        <v>0</v>
      </c>
      <c r="E13" s="366">
        <v>1</v>
      </c>
      <c r="F13" s="367">
        <f t="shared" si="0"/>
        <v>3</v>
      </c>
      <c r="G13" s="184" t="s">
        <v>1244</v>
      </c>
      <c r="H13" s="79">
        <v>25</v>
      </c>
      <c r="I13" s="336">
        <v>0</v>
      </c>
      <c r="J13" s="277">
        <v>14</v>
      </c>
      <c r="K13" s="235">
        <v>54</v>
      </c>
      <c r="L13" s="206">
        <f t="shared" si="1"/>
        <v>93</v>
      </c>
      <c r="M13" s="464"/>
      <c r="N13" s="455"/>
      <c r="O13" s="468"/>
      <c r="P13" s="456"/>
      <c r="Q13" s="472"/>
      <c r="R13" s="473"/>
      <c r="S13" s="474"/>
      <c r="T13" s="460"/>
      <c r="U13" s="461"/>
      <c r="V13" s="462"/>
      <c r="W13" s="460"/>
      <c r="X13" s="461"/>
      <c r="Y13" s="462"/>
      <c r="AE13" s="460"/>
      <c r="AF13" s="461"/>
      <c r="AG13" s="462"/>
      <c r="AH13" s="460"/>
      <c r="AI13" s="461"/>
      <c r="AJ13" s="462"/>
      <c r="AK13" s="460"/>
      <c r="AL13" s="461"/>
      <c r="AM13" s="462"/>
      <c r="AN13" s="460"/>
      <c r="AO13" s="461"/>
      <c r="AP13" s="462"/>
      <c r="AQ13" s="460"/>
      <c r="AR13" s="461"/>
      <c r="AS13" s="462"/>
      <c r="AT13" s="460"/>
      <c r="AU13" s="461"/>
      <c r="AV13" s="462"/>
      <c r="AW13" s="460"/>
      <c r="AX13" s="461"/>
      <c r="AY13" s="462"/>
      <c r="AZ13" s="460"/>
      <c r="BA13" s="461"/>
      <c r="BB13" s="462"/>
    </row>
    <row r="14" spans="1:68" ht="14.95" customHeight="1" thickBot="1" x14ac:dyDescent="0.3">
      <c r="A14" s="363" t="s">
        <v>37</v>
      </c>
      <c r="B14" s="364">
        <v>1</v>
      </c>
      <c r="C14" s="365">
        <v>1</v>
      </c>
      <c r="D14" s="446">
        <v>5</v>
      </c>
      <c r="E14" s="366">
        <v>3</v>
      </c>
      <c r="F14" s="367">
        <f t="shared" si="0"/>
        <v>10</v>
      </c>
      <c r="G14" s="184" t="s">
        <v>37</v>
      </c>
      <c r="H14" s="79">
        <v>5</v>
      </c>
      <c r="I14" s="336">
        <v>5</v>
      </c>
      <c r="J14" s="277">
        <v>25</v>
      </c>
      <c r="K14" s="235">
        <v>15</v>
      </c>
      <c r="L14" s="206">
        <f t="shared" si="1"/>
        <v>50</v>
      </c>
      <c r="M14" s="263"/>
      <c r="N14" s="3" t="s">
        <v>55</v>
      </c>
      <c r="O14" s="3" t="s">
        <v>11</v>
      </c>
      <c r="P14" s="3" t="s">
        <v>12</v>
      </c>
      <c r="Q14" s="7" t="s">
        <v>55</v>
      </c>
      <c r="R14" s="7" t="s">
        <v>11</v>
      </c>
      <c r="S14" s="7" t="s">
        <v>12</v>
      </c>
      <c r="T14" s="80" t="s">
        <v>55</v>
      </c>
      <c r="U14" s="80" t="s">
        <v>11</v>
      </c>
      <c r="V14" s="80" t="s">
        <v>12</v>
      </c>
      <c r="W14" s="80" t="s">
        <v>55</v>
      </c>
      <c r="X14" s="80" t="s">
        <v>11</v>
      </c>
      <c r="Y14" s="80" t="s">
        <v>12</v>
      </c>
      <c r="AE14" s="85" t="s">
        <v>55</v>
      </c>
      <c r="AF14" s="80" t="s">
        <v>11</v>
      </c>
      <c r="AG14" s="80" t="s">
        <v>12</v>
      </c>
      <c r="AH14" s="85" t="s">
        <v>55</v>
      </c>
      <c r="AI14" s="80" t="s">
        <v>11</v>
      </c>
      <c r="AJ14" s="80" t="s">
        <v>12</v>
      </c>
      <c r="AK14" s="85" t="s">
        <v>55</v>
      </c>
      <c r="AL14" s="80" t="s">
        <v>11</v>
      </c>
      <c r="AM14" s="80" t="s">
        <v>12</v>
      </c>
      <c r="AN14" s="85" t="s">
        <v>55</v>
      </c>
      <c r="AO14" s="80" t="s">
        <v>11</v>
      </c>
      <c r="AP14" s="80" t="s">
        <v>12</v>
      </c>
      <c r="AQ14" s="85" t="s">
        <v>55</v>
      </c>
      <c r="AR14" s="80" t="s">
        <v>11</v>
      </c>
      <c r="AS14" s="80" t="s">
        <v>12</v>
      </c>
      <c r="AT14" s="85" t="s">
        <v>55</v>
      </c>
      <c r="AU14" s="80" t="s">
        <v>11</v>
      </c>
      <c r="AV14" s="80" t="s">
        <v>12</v>
      </c>
      <c r="AW14" s="85" t="s">
        <v>55</v>
      </c>
      <c r="AX14" s="80" t="s">
        <v>11</v>
      </c>
      <c r="AY14" s="80" t="s">
        <v>12</v>
      </c>
      <c r="AZ14" s="98" t="s">
        <v>55</v>
      </c>
      <c r="BA14" s="80" t="s">
        <v>11</v>
      </c>
      <c r="BB14" s="80" t="s">
        <v>12</v>
      </c>
    </row>
    <row r="15" spans="1:68" ht="14.95" customHeight="1" thickBot="1" x14ac:dyDescent="0.3">
      <c r="A15" s="363" t="s">
        <v>339</v>
      </c>
      <c r="B15" s="364">
        <v>5</v>
      </c>
      <c r="C15" s="365">
        <v>3</v>
      </c>
      <c r="D15" s="446">
        <v>0</v>
      </c>
      <c r="E15" s="366">
        <v>1</v>
      </c>
      <c r="F15" s="367">
        <f t="shared" si="0"/>
        <v>9</v>
      </c>
      <c r="G15" s="184" t="s">
        <v>339</v>
      </c>
      <c r="H15" s="79">
        <v>25</v>
      </c>
      <c r="I15" s="336">
        <v>15</v>
      </c>
      <c r="J15" s="277">
        <v>0</v>
      </c>
      <c r="K15" s="235">
        <v>5</v>
      </c>
      <c r="L15" s="206">
        <f t="shared" si="1"/>
        <v>45</v>
      </c>
      <c r="M15" s="368" t="s">
        <v>330</v>
      </c>
      <c r="N15" s="371">
        <v>3</v>
      </c>
      <c r="O15" s="371">
        <v>3</v>
      </c>
      <c r="P15" s="373">
        <f t="shared" ref="P15" si="12">SUM(N15/O15)*100</f>
        <v>100</v>
      </c>
      <c r="Q15" s="6">
        <v>1</v>
      </c>
      <c r="R15" s="6">
        <v>1</v>
      </c>
      <c r="S15" s="159">
        <v>100</v>
      </c>
      <c r="T15" s="6" t="s">
        <v>17</v>
      </c>
      <c r="U15" s="6" t="s">
        <v>17</v>
      </c>
      <c r="V15" s="159" t="s">
        <v>17</v>
      </c>
      <c r="W15" s="6">
        <v>5</v>
      </c>
      <c r="X15" s="6">
        <v>6</v>
      </c>
      <c r="Y15" s="159">
        <f t="shared" ref="Y15:Y17" si="13">SUM(W15/X15)*100</f>
        <v>83.333333333333343</v>
      </c>
      <c r="AE15" s="98" t="s">
        <v>17</v>
      </c>
      <c r="AF15" s="98" t="s">
        <v>17</v>
      </c>
      <c r="AG15" s="98" t="s">
        <v>17</v>
      </c>
      <c r="AH15" s="98" t="s">
        <v>17</v>
      </c>
      <c r="AI15" s="98" t="s">
        <v>17</v>
      </c>
      <c r="AJ15" s="98" t="s">
        <v>17</v>
      </c>
      <c r="AK15" s="6" t="s">
        <v>17</v>
      </c>
      <c r="AL15" s="6" t="s">
        <v>17</v>
      </c>
      <c r="AM15" s="6" t="s">
        <v>17</v>
      </c>
      <c r="AN15" s="6" t="s">
        <v>17</v>
      </c>
      <c r="AO15" s="6" t="s">
        <v>17</v>
      </c>
      <c r="AP15" s="6" t="s">
        <v>17</v>
      </c>
      <c r="AQ15" s="6" t="s">
        <v>17</v>
      </c>
      <c r="AR15" s="6" t="s">
        <v>17</v>
      </c>
      <c r="AS15" s="6" t="s">
        <v>17</v>
      </c>
      <c r="AT15" s="6" t="s">
        <v>17</v>
      </c>
      <c r="AU15" s="6" t="s">
        <v>17</v>
      </c>
      <c r="AV15" s="6" t="s">
        <v>17</v>
      </c>
      <c r="AW15" s="6" t="s">
        <v>17</v>
      </c>
      <c r="AX15" s="6" t="s">
        <v>17</v>
      </c>
      <c r="AY15" s="154" t="s">
        <v>17</v>
      </c>
      <c r="AZ15" s="6" t="s">
        <v>17</v>
      </c>
      <c r="BA15" s="154" t="s">
        <v>17</v>
      </c>
      <c r="BB15" s="154" t="s">
        <v>17</v>
      </c>
      <c r="BJ15" s="4"/>
      <c r="BK15" s="4"/>
      <c r="BL15" s="4"/>
    </row>
    <row r="16" spans="1:68" ht="14.95" customHeight="1" thickBot="1" x14ac:dyDescent="0.3">
      <c r="A16" s="363" t="s">
        <v>991</v>
      </c>
      <c r="B16" s="364">
        <v>2</v>
      </c>
      <c r="C16" s="365">
        <v>0</v>
      </c>
      <c r="D16" s="446">
        <v>0</v>
      </c>
      <c r="E16" s="366">
        <v>3</v>
      </c>
      <c r="F16" s="367">
        <f t="shared" si="0"/>
        <v>5</v>
      </c>
      <c r="G16" s="184" t="s">
        <v>991</v>
      </c>
      <c r="H16" s="79">
        <v>10</v>
      </c>
      <c r="I16" s="336">
        <v>0</v>
      </c>
      <c r="J16" s="277">
        <v>0</v>
      </c>
      <c r="K16" s="235">
        <v>15</v>
      </c>
      <c r="L16" s="206">
        <f t="shared" si="1"/>
        <v>25</v>
      </c>
      <c r="M16" s="363" t="s">
        <v>599</v>
      </c>
      <c r="N16" s="371">
        <v>12</v>
      </c>
      <c r="O16" s="371">
        <v>13</v>
      </c>
      <c r="P16" s="373">
        <f t="shared" ref="P16" si="14">SUM(N16/O16)*100</f>
        <v>92.307692307692307</v>
      </c>
      <c r="Q16" s="6">
        <v>4</v>
      </c>
      <c r="R16" s="6">
        <v>8</v>
      </c>
      <c r="S16" s="159">
        <v>50</v>
      </c>
      <c r="T16" s="6">
        <v>9</v>
      </c>
      <c r="U16" s="6">
        <v>13</v>
      </c>
      <c r="V16" s="159">
        <v>69</v>
      </c>
      <c r="W16" s="7">
        <v>1</v>
      </c>
      <c r="X16" s="7">
        <v>1</v>
      </c>
      <c r="Y16" s="155">
        <f t="shared" si="13"/>
        <v>100</v>
      </c>
      <c r="AE16" s="150" t="s">
        <v>17</v>
      </c>
      <c r="AF16" s="7" t="s">
        <v>17</v>
      </c>
      <c r="AG16" s="155" t="s">
        <v>17</v>
      </c>
      <c r="AH16" s="150">
        <v>1</v>
      </c>
      <c r="AI16" s="7">
        <v>1</v>
      </c>
      <c r="AJ16" s="155">
        <f t="shared" ref="AJ16" si="15">SUM(AH16/AI16)*100</f>
        <v>100</v>
      </c>
      <c r="AK16" s="150">
        <v>21</v>
      </c>
      <c r="AL16" s="7">
        <v>27</v>
      </c>
      <c r="AM16" s="155">
        <f t="shared" ref="AM16" si="16">SUM(AK16/AL16)*100</f>
        <v>77.777777777777786</v>
      </c>
      <c r="AN16" s="150">
        <v>12</v>
      </c>
      <c r="AO16" s="7">
        <v>15</v>
      </c>
      <c r="AP16" s="155">
        <f t="shared" ref="AP16" si="17">SUM(AN16/AO16)*100</f>
        <v>80</v>
      </c>
      <c r="AQ16" s="150">
        <v>25</v>
      </c>
      <c r="AR16" s="7">
        <v>34</v>
      </c>
      <c r="AS16" s="155">
        <v>73.529411764705884</v>
      </c>
      <c r="AT16" s="346">
        <v>18</v>
      </c>
      <c r="AU16" s="155">
        <v>26</v>
      </c>
      <c r="AV16" s="155">
        <v>69.230769230769226</v>
      </c>
      <c r="AW16" s="346">
        <v>13</v>
      </c>
      <c r="AX16" s="155">
        <v>16</v>
      </c>
      <c r="AY16" s="155">
        <v>81.25</v>
      </c>
      <c r="AZ16" s="6" t="s">
        <v>17</v>
      </c>
      <c r="BA16" s="154" t="s">
        <v>17</v>
      </c>
      <c r="BB16" s="154" t="s">
        <v>17</v>
      </c>
    </row>
    <row r="17" spans="1:61" ht="14.95" thickBot="1" x14ac:dyDescent="0.3">
      <c r="A17" s="363" t="s">
        <v>44</v>
      </c>
      <c r="B17" s="364">
        <v>1</v>
      </c>
      <c r="C17" s="365">
        <v>0</v>
      </c>
      <c r="D17" s="446">
        <v>0</v>
      </c>
      <c r="E17" s="366">
        <v>0</v>
      </c>
      <c r="F17" s="367">
        <f t="shared" si="0"/>
        <v>1</v>
      </c>
      <c r="G17" s="184" t="s">
        <v>44</v>
      </c>
      <c r="H17" s="79">
        <v>5</v>
      </c>
      <c r="I17" s="336">
        <v>0</v>
      </c>
      <c r="J17" s="277">
        <v>0</v>
      </c>
      <c r="K17" s="235">
        <v>0</v>
      </c>
      <c r="L17" s="206">
        <f t="shared" si="1"/>
        <v>5</v>
      </c>
      <c r="M17" s="358" t="s">
        <v>244</v>
      </c>
      <c r="N17" s="371" t="s">
        <v>17</v>
      </c>
      <c r="O17" s="371" t="s">
        <v>17</v>
      </c>
      <c r="P17" s="373" t="s">
        <v>17</v>
      </c>
      <c r="Q17" s="6">
        <v>12</v>
      </c>
      <c r="R17" s="6">
        <v>19</v>
      </c>
      <c r="S17" s="159">
        <v>63.157894736842103</v>
      </c>
      <c r="T17" s="6" t="s">
        <v>17</v>
      </c>
      <c r="U17" s="6" t="s">
        <v>17</v>
      </c>
      <c r="V17" s="159" t="s">
        <v>17</v>
      </c>
      <c r="W17" s="6">
        <v>3</v>
      </c>
      <c r="X17" s="6">
        <v>4</v>
      </c>
      <c r="Y17" s="159">
        <f t="shared" si="13"/>
        <v>75</v>
      </c>
      <c r="AE17" s="98">
        <v>3</v>
      </c>
      <c r="AF17" s="98">
        <v>5</v>
      </c>
      <c r="AG17" s="98">
        <v>60</v>
      </c>
      <c r="AH17" s="98" t="s">
        <v>17</v>
      </c>
      <c r="AI17" s="98" t="s">
        <v>17</v>
      </c>
      <c r="AJ17" s="98" t="s">
        <v>17</v>
      </c>
      <c r="AK17" s="6">
        <v>4</v>
      </c>
      <c r="AL17" s="6">
        <v>4</v>
      </c>
      <c r="AM17" s="6">
        <f>SUM(AK17/AL17)*100</f>
        <v>100</v>
      </c>
      <c r="AN17" s="6" t="s">
        <v>17</v>
      </c>
      <c r="AO17" s="6" t="s">
        <v>17</v>
      </c>
      <c r="AP17" s="6" t="s">
        <v>17</v>
      </c>
      <c r="AQ17" s="6">
        <v>7</v>
      </c>
      <c r="AR17" s="6">
        <v>9</v>
      </c>
      <c r="AS17" s="159">
        <f>SUM(AQ17/AR17)*100</f>
        <v>77.777777777777786</v>
      </c>
      <c r="AT17" s="6" t="s">
        <v>17</v>
      </c>
      <c r="AU17" s="6" t="s">
        <v>17</v>
      </c>
      <c r="AV17" s="6" t="s">
        <v>17</v>
      </c>
      <c r="AW17" s="6" t="s">
        <v>17</v>
      </c>
      <c r="AX17" s="7" t="s">
        <v>17</v>
      </c>
      <c r="AY17" s="7" t="s">
        <v>17</v>
      </c>
      <c r="AZ17" s="150" t="s">
        <v>17</v>
      </c>
      <c r="BA17" s="7" t="s">
        <v>17</v>
      </c>
      <c r="BB17" s="7" t="s">
        <v>17</v>
      </c>
    </row>
    <row r="18" spans="1:61" ht="14.95" thickBot="1" x14ac:dyDescent="0.3">
      <c r="A18" s="363" t="s">
        <v>262</v>
      </c>
      <c r="B18" s="364">
        <v>0</v>
      </c>
      <c r="C18" s="365">
        <v>0</v>
      </c>
      <c r="D18" s="446">
        <v>0</v>
      </c>
      <c r="E18" s="366">
        <v>0</v>
      </c>
      <c r="F18" s="367">
        <f t="shared" si="0"/>
        <v>0</v>
      </c>
      <c r="G18" s="183" t="s">
        <v>262</v>
      </c>
      <c r="H18" s="79">
        <v>0</v>
      </c>
      <c r="I18" s="336">
        <v>0</v>
      </c>
      <c r="J18" s="277">
        <v>0</v>
      </c>
      <c r="K18" s="235">
        <v>0</v>
      </c>
      <c r="L18" s="206">
        <f t="shared" si="1"/>
        <v>0</v>
      </c>
      <c r="AH18" s="37"/>
      <c r="AI18" s="37"/>
      <c r="AJ18" s="37"/>
      <c r="AN18" s="4"/>
      <c r="BC18" s="4"/>
    </row>
    <row r="19" spans="1:61" ht="14.95" customHeight="1" thickBot="1" x14ac:dyDescent="0.3">
      <c r="A19" s="363" t="s">
        <v>303</v>
      </c>
      <c r="B19" s="364">
        <v>0</v>
      </c>
      <c r="C19" s="365">
        <v>0</v>
      </c>
      <c r="D19" s="446">
        <v>0</v>
      </c>
      <c r="E19" s="366">
        <v>1</v>
      </c>
      <c r="F19" s="367">
        <f t="shared" si="0"/>
        <v>1</v>
      </c>
      <c r="G19" s="184" t="s">
        <v>303</v>
      </c>
      <c r="H19" s="79">
        <v>0</v>
      </c>
      <c r="I19" s="336">
        <v>0</v>
      </c>
      <c r="J19" s="277">
        <v>0</v>
      </c>
      <c r="K19" s="235">
        <v>5</v>
      </c>
      <c r="L19" s="206">
        <f t="shared" si="1"/>
        <v>5</v>
      </c>
      <c r="M19" s="475" t="s">
        <v>227</v>
      </c>
      <c r="N19" s="453" t="s">
        <v>16</v>
      </c>
      <c r="O19" s="467"/>
      <c r="P19" s="454"/>
      <c r="Q19" s="469" t="s">
        <v>267</v>
      </c>
      <c r="R19" s="470"/>
      <c r="S19" s="471"/>
      <c r="T19" s="457" t="s">
        <v>698</v>
      </c>
      <c r="U19" s="458"/>
      <c r="V19" s="459"/>
      <c r="W19" s="457" t="s">
        <v>562</v>
      </c>
      <c r="X19" s="458"/>
      <c r="Y19" s="459"/>
      <c r="AE19" s="457" t="s">
        <v>463</v>
      </c>
      <c r="AF19" s="458"/>
      <c r="AG19" s="459"/>
      <c r="AH19" s="457" t="s">
        <v>355</v>
      </c>
      <c r="AI19" s="458"/>
      <c r="AJ19" s="459"/>
      <c r="AK19" s="457" t="s">
        <v>260</v>
      </c>
      <c r="AL19" s="458"/>
      <c r="AM19" s="459"/>
      <c r="AN19" s="457" t="s">
        <v>199</v>
      </c>
      <c r="AO19" s="458"/>
      <c r="AP19" s="459"/>
      <c r="AQ19" s="457" t="s">
        <v>92</v>
      </c>
      <c r="AR19" s="458"/>
      <c r="AS19" s="459"/>
      <c r="AT19" s="457" t="s">
        <v>63</v>
      </c>
      <c r="AU19" s="458"/>
      <c r="AV19" s="459"/>
      <c r="AW19" s="457" t="s">
        <v>59</v>
      </c>
      <c r="AX19" s="458"/>
      <c r="AY19" s="459"/>
      <c r="AZ19" s="457" t="s">
        <v>49</v>
      </c>
      <c r="BA19" s="458"/>
      <c r="BB19" s="459"/>
    </row>
    <row r="20" spans="1:61" ht="16.5" customHeight="1" thickBot="1" x14ac:dyDescent="0.3">
      <c r="A20" s="363" t="s">
        <v>1065</v>
      </c>
      <c r="B20" s="364">
        <v>1</v>
      </c>
      <c r="C20" s="365">
        <v>0</v>
      </c>
      <c r="D20" s="446">
        <v>0</v>
      </c>
      <c r="E20" s="366">
        <v>4</v>
      </c>
      <c r="F20" s="367">
        <f t="shared" si="0"/>
        <v>5</v>
      </c>
      <c r="G20" s="184" t="s">
        <v>1065</v>
      </c>
      <c r="H20" s="79">
        <v>5</v>
      </c>
      <c r="I20" s="336">
        <v>0</v>
      </c>
      <c r="J20" s="277">
        <v>0</v>
      </c>
      <c r="K20" s="235">
        <v>20</v>
      </c>
      <c r="L20" s="206">
        <f t="shared" si="1"/>
        <v>25</v>
      </c>
      <c r="M20" s="476"/>
      <c r="N20" s="455"/>
      <c r="O20" s="468"/>
      <c r="P20" s="456"/>
      <c r="Q20" s="472"/>
      <c r="R20" s="473"/>
      <c r="S20" s="474"/>
      <c r="T20" s="460"/>
      <c r="U20" s="461"/>
      <c r="V20" s="462"/>
      <c r="W20" s="460"/>
      <c r="X20" s="461"/>
      <c r="Y20" s="462"/>
      <c r="AE20" s="460"/>
      <c r="AF20" s="461"/>
      <c r="AG20" s="462"/>
      <c r="AH20" s="460"/>
      <c r="AI20" s="461"/>
      <c r="AJ20" s="462"/>
      <c r="AK20" s="460"/>
      <c r="AL20" s="461"/>
      <c r="AM20" s="462"/>
      <c r="AN20" s="460"/>
      <c r="AO20" s="461"/>
      <c r="AP20" s="462"/>
      <c r="AQ20" s="460"/>
      <c r="AR20" s="461"/>
      <c r="AS20" s="462"/>
      <c r="AT20" s="460"/>
      <c r="AU20" s="461"/>
      <c r="AV20" s="462"/>
      <c r="AW20" s="460"/>
      <c r="AX20" s="461"/>
      <c r="AY20" s="462"/>
      <c r="AZ20" s="460"/>
      <c r="BA20" s="461"/>
      <c r="BB20" s="462"/>
      <c r="BG20" s="4"/>
      <c r="BH20" s="4"/>
      <c r="BI20" s="4"/>
    </row>
    <row r="21" spans="1:61" ht="14.95" customHeight="1" thickBot="1" x14ac:dyDescent="0.3">
      <c r="A21" s="363" t="s">
        <v>1316</v>
      </c>
      <c r="B21" s="364">
        <v>0</v>
      </c>
      <c r="C21" s="365">
        <v>0</v>
      </c>
      <c r="D21" s="446">
        <v>1</v>
      </c>
      <c r="E21" s="366">
        <v>0</v>
      </c>
      <c r="F21" s="367">
        <f t="shared" si="0"/>
        <v>1</v>
      </c>
      <c r="G21" s="184" t="s">
        <v>1316</v>
      </c>
      <c r="H21" s="79">
        <v>0</v>
      </c>
      <c r="I21" s="336">
        <v>0</v>
      </c>
      <c r="J21" s="277">
        <v>5</v>
      </c>
      <c r="K21" s="235">
        <v>0</v>
      </c>
      <c r="L21" s="206">
        <f t="shared" si="1"/>
        <v>5</v>
      </c>
      <c r="M21" s="266"/>
      <c r="N21" s="3" t="s">
        <v>55</v>
      </c>
      <c r="O21" s="3" t="s">
        <v>11</v>
      </c>
      <c r="P21" s="3" t="s">
        <v>12</v>
      </c>
      <c r="Q21" s="7" t="s">
        <v>55</v>
      </c>
      <c r="R21" s="7" t="s">
        <v>11</v>
      </c>
      <c r="S21" s="7" t="s">
        <v>12</v>
      </c>
      <c r="T21" s="7" t="s">
        <v>55</v>
      </c>
      <c r="U21" s="7" t="s">
        <v>11</v>
      </c>
      <c r="V21" s="7" t="s">
        <v>12</v>
      </c>
      <c r="W21" s="7" t="s">
        <v>55</v>
      </c>
      <c r="X21" s="7" t="s">
        <v>11</v>
      </c>
      <c r="Y21" s="7" t="s">
        <v>12</v>
      </c>
      <c r="AE21" s="150" t="s">
        <v>55</v>
      </c>
      <c r="AF21" s="7" t="s">
        <v>11</v>
      </c>
      <c r="AG21" s="7" t="s">
        <v>12</v>
      </c>
      <c r="AH21" s="85" t="s">
        <v>55</v>
      </c>
      <c r="AI21" s="80" t="s">
        <v>11</v>
      </c>
      <c r="AJ21" s="80" t="s">
        <v>12</v>
      </c>
      <c r="AK21" s="85" t="s">
        <v>55</v>
      </c>
      <c r="AL21" s="80" t="s">
        <v>11</v>
      </c>
      <c r="AM21" s="80" t="s">
        <v>12</v>
      </c>
      <c r="AN21" s="85" t="s">
        <v>55</v>
      </c>
      <c r="AO21" s="80" t="s">
        <v>11</v>
      </c>
      <c r="AP21" s="80" t="s">
        <v>12</v>
      </c>
      <c r="AQ21" s="85" t="s">
        <v>55</v>
      </c>
      <c r="AR21" s="80" t="s">
        <v>11</v>
      </c>
      <c r="AS21" s="80" t="s">
        <v>12</v>
      </c>
      <c r="AT21" s="85" t="s">
        <v>55</v>
      </c>
      <c r="AU21" s="80" t="s">
        <v>11</v>
      </c>
      <c r="AV21" s="80" t="s">
        <v>12</v>
      </c>
      <c r="AW21" s="85" t="s">
        <v>55</v>
      </c>
      <c r="AX21" s="80" t="s">
        <v>11</v>
      </c>
      <c r="AY21" s="80" t="s">
        <v>12</v>
      </c>
      <c r="AZ21" s="98" t="s">
        <v>55</v>
      </c>
      <c r="BA21" s="80" t="s">
        <v>11</v>
      </c>
      <c r="BB21" s="80" t="s">
        <v>12</v>
      </c>
    </row>
    <row r="22" spans="1:61" ht="14.95" customHeight="1" thickBot="1" x14ac:dyDescent="0.3">
      <c r="A22" s="363" t="s">
        <v>228</v>
      </c>
      <c r="B22" s="364">
        <v>1</v>
      </c>
      <c r="C22" s="365">
        <v>0</v>
      </c>
      <c r="D22" s="446">
        <v>0</v>
      </c>
      <c r="E22" s="366">
        <v>0</v>
      </c>
      <c r="F22" s="367">
        <f t="shared" si="0"/>
        <v>1</v>
      </c>
      <c r="G22" s="184" t="s">
        <v>228</v>
      </c>
      <c r="H22" s="79">
        <v>5</v>
      </c>
      <c r="I22" s="336">
        <v>0</v>
      </c>
      <c r="J22" s="277">
        <v>0</v>
      </c>
      <c r="K22" s="235">
        <v>0</v>
      </c>
      <c r="L22" s="206">
        <f t="shared" si="1"/>
        <v>5</v>
      </c>
      <c r="M22" s="368" t="s">
        <v>330</v>
      </c>
      <c r="N22" s="371" t="s">
        <v>17</v>
      </c>
      <c r="O22" s="371" t="s">
        <v>17</v>
      </c>
      <c r="P22" s="373" t="s">
        <v>17</v>
      </c>
      <c r="Q22" s="6" t="s">
        <v>17</v>
      </c>
      <c r="R22" s="6" t="s">
        <v>17</v>
      </c>
      <c r="S22" s="159" t="s">
        <v>17</v>
      </c>
      <c r="T22" s="6">
        <v>2</v>
      </c>
      <c r="U22" s="6">
        <v>5</v>
      </c>
      <c r="V22" s="6">
        <v>100</v>
      </c>
      <c r="W22" s="6">
        <v>1</v>
      </c>
      <c r="X22" s="6">
        <v>4</v>
      </c>
      <c r="Y22" s="6">
        <f>SUM(W22/X22)*100</f>
        <v>25</v>
      </c>
      <c r="AE22" s="6" t="s">
        <v>17</v>
      </c>
      <c r="AF22" s="6" t="s">
        <v>17</v>
      </c>
      <c r="AG22" s="159" t="s">
        <v>17</v>
      </c>
      <c r="AH22" s="6" t="s">
        <v>17</v>
      </c>
      <c r="AI22" s="6" t="s">
        <v>17</v>
      </c>
      <c r="AJ22" s="159" t="s">
        <v>17</v>
      </c>
      <c r="AK22" s="6" t="s">
        <v>17</v>
      </c>
      <c r="AL22" s="6" t="s">
        <v>17</v>
      </c>
      <c r="AM22" s="159" t="s">
        <v>17</v>
      </c>
      <c r="AN22" s="6" t="s">
        <v>17</v>
      </c>
      <c r="AO22" s="6" t="s">
        <v>17</v>
      </c>
      <c r="AP22" s="159" t="s">
        <v>17</v>
      </c>
      <c r="AQ22" s="6" t="s">
        <v>17</v>
      </c>
      <c r="AR22" s="6" t="s">
        <v>17</v>
      </c>
      <c r="AS22" s="159" t="s">
        <v>17</v>
      </c>
      <c r="AT22" s="6" t="s">
        <v>17</v>
      </c>
      <c r="AU22" s="6" t="s">
        <v>17</v>
      </c>
      <c r="AV22" s="159" t="s">
        <v>17</v>
      </c>
      <c r="AW22" s="6" t="s">
        <v>17</v>
      </c>
      <c r="AX22" s="6" t="s">
        <v>17</v>
      </c>
      <c r="AY22" s="159" t="s">
        <v>17</v>
      </c>
      <c r="AZ22" s="6" t="s">
        <v>17</v>
      </c>
      <c r="BA22" s="6" t="s">
        <v>17</v>
      </c>
      <c r="BB22" s="159" t="s">
        <v>17</v>
      </c>
    </row>
    <row r="23" spans="1:61" ht="14.95" customHeight="1" thickBot="1" x14ac:dyDescent="0.3">
      <c r="A23" s="363" t="s">
        <v>563</v>
      </c>
      <c r="B23" s="364">
        <v>2</v>
      </c>
      <c r="C23" s="365">
        <v>0</v>
      </c>
      <c r="D23" s="446">
        <v>0</v>
      </c>
      <c r="E23" s="366">
        <v>4</v>
      </c>
      <c r="F23" s="367">
        <f t="shared" ref="F23" si="18">SUM(B23:E23)</f>
        <v>6</v>
      </c>
      <c r="G23" s="184" t="s">
        <v>563</v>
      </c>
      <c r="H23" s="79">
        <v>10</v>
      </c>
      <c r="I23" s="336">
        <v>0</v>
      </c>
      <c r="J23" s="277">
        <v>0</v>
      </c>
      <c r="K23" s="235">
        <v>20</v>
      </c>
      <c r="L23" s="206">
        <f t="shared" ref="L23" si="19">SUM(H23:K23)</f>
        <v>30</v>
      </c>
      <c r="M23" s="368" t="s">
        <v>1244</v>
      </c>
      <c r="N23" s="371">
        <v>7</v>
      </c>
      <c r="O23" s="371">
        <v>7</v>
      </c>
      <c r="P23" s="373">
        <f t="shared" ref="P23" si="20">SUM(N23/O23)*100</f>
        <v>100</v>
      </c>
      <c r="Q23" s="6" t="s">
        <v>17</v>
      </c>
      <c r="R23" s="6" t="s">
        <v>17</v>
      </c>
      <c r="S23" s="159" t="s">
        <v>17</v>
      </c>
      <c r="T23" s="6" t="s">
        <v>17</v>
      </c>
      <c r="U23" s="6" t="s">
        <v>17</v>
      </c>
      <c r="V23" s="159" t="s">
        <v>17</v>
      </c>
      <c r="W23" s="6" t="s">
        <v>17</v>
      </c>
      <c r="X23" s="6" t="s">
        <v>17</v>
      </c>
      <c r="Y23" s="159" t="s">
        <v>17</v>
      </c>
      <c r="AE23" s="6" t="s">
        <v>17</v>
      </c>
      <c r="AF23" s="6" t="s">
        <v>17</v>
      </c>
      <c r="AG23" s="159" t="s">
        <v>17</v>
      </c>
      <c r="AH23" s="98" t="s">
        <v>17</v>
      </c>
      <c r="AI23" s="98" t="s">
        <v>17</v>
      </c>
      <c r="AJ23" s="98" t="s">
        <v>17</v>
      </c>
      <c r="AK23" s="6" t="s">
        <v>17</v>
      </c>
      <c r="AL23" s="6" t="s">
        <v>17</v>
      </c>
      <c r="AM23" s="6" t="s">
        <v>17</v>
      </c>
      <c r="AN23" s="6" t="s">
        <v>17</v>
      </c>
      <c r="AO23" s="6" t="s">
        <v>17</v>
      </c>
      <c r="AP23" s="6" t="s">
        <v>17</v>
      </c>
      <c r="AQ23" s="6" t="s">
        <v>17</v>
      </c>
      <c r="AR23" s="6" t="s">
        <v>17</v>
      </c>
      <c r="AS23" s="6" t="s">
        <v>17</v>
      </c>
      <c r="AT23" s="6" t="s">
        <v>17</v>
      </c>
      <c r="AU23" s="6" t="s">
        <v>17</v>
      </c>
      <c r="AV23" s="6" t="s">
        <v>17</v>
      </c>
      <c r="AW23" s="6" t="s">
        <v>17</v>
      </c>
      <c r="AX23" s="6" t="s">
        <v>17</v>
      </c>
      <c r="AY23" s="154" t="s">
        <v>17</v>
      </c>
      <c r="AZ23" s="6" t="s">
        <v>17</v>
      </c>
      <c r="BA23" s="154" t="s">
        <v>17</v>
      </c>
      <c r="BB23" s="154" t="s">
        <v>17</v>
      </c>
    </row>
    <row r="24" spans="1:61" ht="14.95" customHeight="1" thickBot="1" x14ac:dyDescent="0.3">
      <c r="A24" s="363" t="s">
        <v>34</v>
      </c>
      <c r="B24" s="364">
        <v>4</v>
      </c>
      <c r="C24" s="365">
        <v>0</v>
      </c>
      <c r="D24" s="446">
        <v>1</v>
      </c>
      <c r="E24" s="366">
        <v>0</v>
      </c>
      <c r="F24" s="367">
        <f t="shared" si="0"/>
        <v>5</v>
      </c>
      <c r="G24" s="184" t="s">
        <v>34</v>
      </c>
      <c r="H24" s="79">
        <v>20</v>
      </c>
      <c r="I24" s="336">
        <v>0</v>
      </c>
      <c r="J24" s="277">
        <v>5</v>
      </c>
      <c r="K24" s="235">
        <v>0</v>
      </c>
      <c r="L24" s="206">
        <f t="shared" si="1"/>
        <v>25</v>
      </c>
      <c r="M24" s="368" t="s">
        <v>603</v>
      </c>
      <c r="N24" s="371">
        <v>19</v>
      </c>
      <c r="O24" s="371">
        <v>24</v>
      </c>
      <c r="P24" s="373">
        <f t="shared" ref="P24" si="21">SUM(N24/O24)*100</f>
        <v>79.166666666666657</v>
      </c>
      <c r="Q24" s="6" t="s">
        <v>17</v>
      </c>
      <c r="R24" s="6" t="s">
        <v>17</v>
      </c>
      <c r="S24" s="159" t="s">
        <v>17</v>
      </c>
      <c r="T24" s="6" t="s">
        <v>17</v>
      </c>
      <c r="U24" s="6" t="s">
        <v>17</v>
      </c>
      <c r="V24" s="159" t="s">
        <v>17</v>
      </c>
      <c r="W24" s="6" t="s">
        <v>17</v>
      </c>
      <c r="X24" s="6" t="s">
        <v>17</v>
      </c>
      <c r="Y24" s="159" t="s">
        <v>17</v>
      </c>
      <c r="AE24" s="6" t="s">
        <v>17</v>
      </c>
      <c r="AF24" s="6" t="s">
        <v>17</v>
      </c>
      <c r="AG24" s="159" t="s">
        <v>17</v>
      </c>
      <c r="AH24" s="98" t="s">
        <v>17</v>
      </c>
      <c r="AI24" s="98" t="s">
        <v>17</v>
      </c>
      <c r="AJ24" s="98" t="s">
        <v>17</v>
      </c>
      <c r="AK24" s="6" t="s">
        <v>17</v>
      </c>
      <c r="AL24" s="6" t="s">
        <v>17</v>
      </c>
      <c r="AM24" s="6" t="s">
        <v>17</v>
      </c>
      <c r="AN24" s="6" t="s">
        <v>17</v>
      </c>
      <c r="AO24" s="6" t="s">
        <v>17</v>
      </c>
      <c r="AP24" s="6" t="s">
        <v>17</v>
      </c>
      <c r="AQ24" s="6" t="s">
        <v>17</v>
      </c>
      <c r="AR24" s="6" t="s">
        <v>17</v>
      </c>
      <c r="AS24" s="6" t="s">
        <v>17</v>
      </c>
      <c r="AT24" s="6" t="s">
        <v>17</v>
      </c>
      <c r="AU24" s="6" t="s">
        <v>17</v>
      </c>
      <c r="AV24" s="6" t="s">
        <v>17</v>
      </c>
      <c r="AW24" s="6" t="s">
        <v>17</v>
      </c>
      <c r="AX24" s="6" t="s">
        <v>17</v>
      </c>
      <c r="AY24" s="154" t="s">
        <v>17</v>
      </c>
      <c r="AZ24" s="6" t="s">
        <v>17</v>
      </c>
      <c r="BA24" s="154" t="s">
        <v>17</v>
      </c>
      <c r="BB24" s="154" t="s">
        <v>17</v>
      </c>
    </row>
    <row r="25" spans="1:61" ht="14.95" customHeight="1" thickBot="1" x14ac:dyDescent="0.3">
      <c r="A25" s="363" t="s">
        <v>1261</v>
      </c>
      <c r="B25" s="364">
        <v>0</v>
      </c>
      <c r="C25" s="365">
        <v>0</v>
      </c>
      <c r="D25" s="446">
        <v>0</v>
      </c>
      <c r="E25" s="366">
        <v>1</v>
      </c>
      <c r="F25" s="367">
        <f t="shared" si="0"/>
        <v>1</v>
      </c>
      <c r="G25" s="184" t="s">
        <v>1261</v>
      </c>
      <c r="H25" s="79">
        <v>0</v>
      </c>
      <c r="I25" s="336">
        <v>0</v>
      </c>
      <c r="J25" s="277">
        <v>0</v>
      </c>
      <c r="K25" s="235">
        <v>5</v>
      </c>
      <c r="L25" s="206">
        <f t="shared" si="1"/>
        <v>5</v>
      </c>
      <c r="M25" s="368" t="s">
        <v>598</v>
      </c>
      <c r="N25" s="371" t="s">
        <v>17</v>
      </c>
      <c r="O25" s="371" t="s">
        <v>17</v>
      </c>
      <c r="P25" s="373" t="s">
        <v>17</v>
      </c>
      <c r="Q25" s="6" t="s">
        <v>17</v>
      </c>
      <c r="R25" s="6" t="s">
        <v>17</v>
      </c>
      <c r="S25" s="159" t="s">
        <v>17</v>
      </c>
      <c r="T25" s="6">
        <v>1</v>
      </c>
      <c r="U25" s="6">
        <v>1</v>
      </c>
      <c r="V25" s="6">
        <v>100</v>
      </c>
      <c r="W25" s="6">
        <v>1</v>
      </c>
      <c r="X25" s="6">
        <v>2</v>
      </c>
      <c r="Y25" s="6">
        <f>SUM(W25/X25)*100</f>
        <v>50</v>
      </c>
      <c r="AE25" s="6">
        <v>10</v>
      </c>
      <c r="AF25" s="6">
        <v>12</v>
      </c>
      <c r="AG25" s="159">
        <f>SUM(AE25/AF25)*100</f>
        <v>83.333333333333343</v>
      </c>
      <c r="AH25" s="98" t="s">
        <v>17</v>
      </c>
      <c r="AI25" s="98" t="s">
        <v>17</v>
      </c>
      <c r="AJ25" s="98" t="s">
        <v>17</v>
      </c>
      <c r="AK25" s="6" t="s">
        <v>17</v>
      </c>
      <c r="AL25" s="6" t="s">
        <v>17</v>
      </c>
      <c r="AM25" s="6" t="s">
        <v>17</v>
      </c>
      <c r="AN25" s="6" t="s">
        <v>17</v>
      </c>
      <c r="AO25" s="6" t="s">
        <v>17</v>
      </c>
      <c r="AP25" s="6" t="s">
        <v>17</v>
      </c>
      <c r="AQ25" s="6" t="s">
        <v>17</v>
      </c>
      <c r="AR25" s="6" t="s">
        <v>17</v>
      </c>
      <c r="AS25" s="6" t="s">
        <v>17</v>
      </c>
      <c r="AT25" s="6" t="s">
        <v>17</v>
      </c>
      <c r="AU25" s="6" t="s">
        <v>17</v>
      </c>
      <c r="AV25" s="6" t="s">
        <v>17</v>
      </c>
      <c r="AW25" s="6" t="s">
        <v>17</v>
      </c>
      <c r="AX25" s="6" t="s">
        <v>17</v>
      </c>
      <c r="AY25" s="154" t="s">
        <v>17</v>
      </c>
      <c r="AZ25" s="6" t="s">
        <v>17</v>
      </c>
      <c r="BA25" s="154" t="s">
        <v>17</v>
      </c>
      <c r="BB25" s="154" t="s">
        <v>17</v>
      </c>
    </row>
    <row r="26" spans="1:61" ht="14.95" customHeight="1" thickBot="1" x14ac:dyDescent="0.3">
      <c r="A26" s="363" t="s">
        <v>80</v>
      </c>
      <c r="B26" s="364">
        <v>4</v>
      </c>
      <c r="C26" s="365">
        <v>1</v>
      </c>
      <c r="D26" s="446">
        <v>0</v>
      </c>
      <c r="E26" s="366">
        <v>0</v>
      </c>
      <c r="F26" s="367">
        <f t="shared" si="0"/>
        <v>5</v>
      </c>
      <c r="G26" s="184" t="s">
        <v>80</v>
      </c>
      <c r="H26" s="79">
        <v>20</v>
      </c>
      <c r="I26" s="336">
        <v>5</v>
      </c>
      <c r="J26" s="277">
        <v>0</v>
      </c>
      <c r="K26" s="235">
        <v>0</v>
      </c>
      <c r="L26" s="206">
        <f t="shared" si="1"/>
        <v>25</v>
      </c>
      <c r="M26" s="201"/>
      <c r="N26" s="174"/>
      <c r="O26" s="172"/>
      <c r="P26" s="172"/>
      <c r="Q26" s="202"/>
      <c r="R26" s="200"/>
      <c r="S26" s="202"/>
      <c r="T26" s="172"/>
      <c r="U26" s="172"/>
      <c r="V26" s="172"/>
      <c r="W26" s="174"/>
      <c r="X26" s="172"/>
      <c r="Y26" s="174"/>
      <c r="AE26" s="172"/>
      <c r="AF26" s="172"/>
      <c r="AG26" s="172"/>
      <c r="AH26" s="174"/>
      <c r="AI26" s="172"/>
      <c r="AJ26" s="172"/>
      <c r="AK26" s="172"/>
      <c r="AL26" s="87"/>
      <c r="AM26" s="87"/>
      <c r="AN26" s="87"/>
      <c r="AO26" s="87"/>
      <c r="AP26" s="87"/>
      <c r="AQ26" s="37"/>
      <c r="AR26" s="37"/>
      <c r="AS26" s="37"/>
      <c r="AU26" s="4"/>
      <c r="AV26" s="4"/>
      <c r="AW26" s="4"/>
    </row>
    <row r="27" spans="1:61" ht="14.95" thickBot="1" x14ac:dyDescent="0.3">
      <c r="A27" s="363" t="s">
        <v>1248</v>
      </c>
      <c r="B27" s="364">
        <v>0</v>
      </c>
      <c r="C27" s="365">
        <v>0</v>
      </c>
      <c r="D27" s="446">
        <v>0</v>
      </c>
      <c r="E27" s="366">
        <v>1</v>
      </c>
      <c r="F27" s="367">
        <f t="shared" si="0"/>
        <v>1</v>
      </c>
      <c r="G27" s="184" t="s">
        <v>1248</v>
      </c>
      <c r="H27" s="79">
        <v>0</v>
      </c>
      <c r="I27" s="336">
        <v>0</v>
      </c>
      <c r="J27" s="277">
        <v>0</v>
      </c>
      <c r="K27" s="235">
        <v>5</v>
      </c>
      <c r="L27" s="206">
        <f t="shared" si="1"/>
        <v>5</v>
      </c>
      <c r="M27" s="481" t="s">
        <v>93</v>
      </c>
      <c r="N27" s="453" t="s">
        <v>16</v>
      </c>
      <c r="O27" s="467"/>
      <c r="P27" s="454"/>
      <c r="Q27" s="469" t="s">
        <v>267</v>
      </c>
      <c r="R27" s="470"/>
      <c r="S27" s="471"/>
      <c r="T27" s="469" t="s">
        <v>698</v>
      </c>
      <c r="U27" s="470"/>
      <c r="V27" s="471"/>
      <c r="W27" s="469" t="s">
        <v>562</v>
      </c>
      <c r="X27" s="470"/>
      <c r="Y27" s="471"/>
      <c r="AE27" s="457" t="s">
        <v>355</v>
      </c>
      <c r="AF27" s="458"/>
      <c r="AG27" s="459"/>
      <c r="AH27" s="457" t="s">
        <v>260</v>
      </c>
      <c r="AI27" s="458"/>
      <c r="AJ27" s="459"/>
      <c r="AK27" s="457" t="s">
        <v>199</v>
      </c>
      <c r="AL27" s="458"/>
      <c r="AM27" s="459"/>
      <c r="AN27" s="457" t="s">
        <v>92</v>
      </c>
      <c r="AO27" s="458"/>
      <c r="AP27" s="459"/>
      <c r="AQ27" s="457" t="s">
        <v>59</v>
      </c>
      <c r="AR27" s="458"/>
      <c r="AS27" s="459"/>
      <c r="AT27" s="457" t="s">
        <v>45</v>
      </c>
      <c r="AU27" s="458"/>
      <c r="AV27" s="459"/>
      <c r="AW27" s="37"/>
      <c r="AX27" s="37"/>
      <c r="AY27" s="37"/>
    </row>
    <row r="28" spans="1:61" ht="14.95" thickBot="1" x14ac:dyDescent="0.3">
      <c r="A28" s="363" t="s">
        <v>107</v>
      </c>
      <c r="B28" s="364">
        <v>2</v>
      </c>
      <c r="C28" s="365">
        <v>0</v>
      </c>
      <c r="D28" s="446">
        <v>1</v>
      </c>
      <c r="E28" s="366">
        <v>6</v>
      </c>
      <c r="F28" s="367">
        <f t="shared" si="0"/>
        <v>9</v>
      </c>
      <c r="G28" s="184" t="s">
        <v>107</v>
      </c>
      <c r="H28" s="79">
        <v>10</v>
      </c>
      <c r="I28" s="336">
        <v>0</v>
      </c>
      <c r="J28" s="277">
        <v>5</v>
      </c>
      <c r="K28" s="235">
        <v>30</v>
      </c>
      <c r="L28" s="206">
        <f t="shared" si="1"/>
        <v>45</v>
      </c>
      <c r="M28" s="482"/>
      <c r="N28" s="455"/>
      <c r="O28" s="468"/>
      <c r="P28" s="456"/>
      <c r="Q28" s="472"/>
      <c r="R28" s="473"/>
      <c r="S28" s="474"/>
      <c r="T28" s="472"/>
      <c r="U28" s="473"/>
      <c r="V28" s="474"/>
      <c r="W28" s="472"/>
      <c r="X28" s="473"/>
      <c r="Y28" s="474"/>
      <c r="AE28" s="460"/>
      <c r="AF28" s="461"/>
      <c r="AG28" s="462"/>
      <c r="AH28" s="460"/>
      <c r="AI28" s="461"/>
      <c r="AJ28" s="462"/>
      <c r="AK28" s="460"/>
      <c r="AL28" s="461"/>
      <c r="AM28" s="462"/>
      <c r="AN28" s="460"/>
      <c r="AO28" s="461"/>
      <c r="AP28" s="462"/>
      <c r="AQ28" s="460"/>
      <c r="AR28" s="461"/>
      <c r="AS28" s="462"/>
      <c r="AT28" s="460"/>
      <c r="AU28" s="461"/>
      <c r="AV28" s="462"/>
      <c r="AW28" s="37"/>
      <c r="AX28" s="37"/>
      <c r="AY28" s="37"/>
    </row>
    <row r="29" spans="1:61" ht="14.95" thickBot="1" x14ac:dyDescent="0.3">
      <c r="A29" s="363" t="s">
        <v>702</v>
      </c>
      <c r="B29" s="364">
        <v>2</v>
      </c>
      <c r="C29" s="365">
        <v>0</v>
      </c>
      <c r="D29" s="446">
        <v>0</v>
      </c>
      <c r="E29" s="366">
        <v>0</v>
      </c>
      <c r="F29" s="367">
        <f t="shared" si="0"/>
        <v>2</v>
      </c>
      <c r="G29" s="184" t="s">
        <v>702</v>
      </c>
      <c r="H29" s="79">
        <v>10</v>
      </c>
      <c r="I29" s="336">
        <v>0</v>
      </c>
      <c r="J29" s="277">
        <v>0</v>
      </c>
      <c r="K29" s="235">
        <v>0</v>
      </c>
      <c r="L29" s="206">
        <f t="shared" si="1"/>
        <v>10</v>
      </c>
      <c r="M29" s="236" t="s">
        <v>25</v>
      </c>
      <c r="N29" s="3" t="s">
        <v>55</v>
      </c>
      <c r="O29" s="3" t="s">
        <v>11</v>
      </c>
      <c r="P29" s="3" t="s">
        <v>12</v>
      </c>
      <c r="Q29" s="7" t="s">
        <v>55</v>
      </c>
      <c r="R29" s="7" t="s">
        <v>11</v>
      </c>
      <c r="S29" s="7" t="s">
        <v>12</v>
      </c>
      <c r="T29" s="7" t="s">
        <v>55</v>
      </c>
      <c r="U29" s="7" t="s">
        <v>11</v>
      </c>
      <c r="V29" s="7" t="s">
        <v>12</v>
      </c>
      <c r="W29" s="7" t="s">
        <v>55</v>
      </c>
      <c r="X29" s="7" t="s">
        <v>11</v>
      </c>
      <c r="Y29" s="7" t="s">
        <v>12</v>
      </c>
      <c r="AE29" s="85" t="s">
        <v>55</v>
      </c>
      <c r="AF29" s="80" t="s">
        <v>11</v>
      </c>
      <c r="AG29" s="80" t="s">
        <v>12</v>
      </c>
      <c r="AH29" s="85" t="s">
        <v>55</v>
      </c>
      <c r="AI29" s="80" t="s">
        <v>11</v>
      </c>
      <c r="AJ29" s="80" t="s">
        <v>12</v>
      </c>
      <c r="AK29" s="98" t="s">
        <v>55</v>
      </c>
      <c r="AL29" s="80" t="s">
        <v>11</v>
      </c>
      <c r="AM29" s="80" t="s">
        <v>12</v>
      </c>
      <c r="AN29" s="85" t="s">
        <v>55</v>
      </c>
      <c r="AO29" s="80" t="s">
        <v>11</v>
      </c>
      <c r="AP29" s="80" t="s">
        <v>12</v>
      </c>
      <c r="AQ29" s="85" t="s">
        <v>55</v>
      </c>
      <c r="AR29" s="80" t="s">
        <v>11</v>
      </c>
      <c r="AS29" s="80" t="s">
        <v>12</v>
      </c>
      <c r="AT29" s="85" t="s">
        <v>55</v>
      </c>
      <c r="AU29" s="80" t="s">
        <v>11</v>
      </c>
      <c r="AV29" s="80" t="s">
        <v>12</v>
      </c>
      <c r="AW29" s="37"/>
      <c r="AX29" s="37"/>
      <c r="AY29" s="37"/>
    </row>
    <row r="30" spans="1:61" ht="14.95" thickBot="1" x14ac:dyDescent="0.3">
      <c r="A30" s="363" t="s">
        <v>265</v>
      </c>
      <c r="B30" s="364">
        <v>9</v>
      </c>
      <c r="C30" s="365">
        <v>0</v>
      </c>
      <c r="D30" s="446">
        <v>1</v>
      </c>
      <c r="E30" s="366">
        <v>0</v>
      </c>
      <c r="F30" s="367">
        <f t="shared" si="0"/>
        <v>10</v>
      </c>
      <c r="G30" s="184" t="s">
        <v>265</v>
      </c>
      <c r="H30" s="79">
        <v>45</v>
      </c>
      <c r="I30" s="336">
        <v>0</v>
      </c>
      <c r="J30" s="277">
        <v>5</v>
      </c>
      <c r="K30" s="235">
        <v>0</v>
      </c>
      <c r="L30" s="206">
        <f t="shared" si="1"/>
        <v>50</v>
      </c>
      <c r="M30" s="368" t="s">
        <v>330</v>
      </c>
      <c r="N30" s="369">
        <v>25</v>
      </c>
      <c r="O30" s="369">
        <v>33</v>
      </c>
      <c r="P30" s="370">
        <f t="shared" ref="P30" si="22">SUM(N30/O30)*100</f>
        <v>75.757575757575751</v>
      </c>
      <c r="Q30" s="7">
        <v>0</v>
      </c>
      <c r="R30" s="7">
        <v>1</v>
      </c>
      <c r="S30" s="155">
        <v>0</v>
      </c>
      <c r="T30" s="7" t="s">
        <v>17</v>
      </c>
      <c r="U30" s="7" t="s">
        <v>17</v>
      </c>
      <c r="V30" s="155" t="s">
        <v>17</v>
      </c>
      <c r="W30" s="7">
        <v>2</v>
      </c>
      <c r="X30" s="7">
        <v>3</v>
      </c>
      <c r="Y30" s="155">
        <f>SUM(W30/X30)*100</f>
        <v>66.666666666666657</v>
      </c>
      <c r="AE30" s="85" t="s">
        <v>17</v>
      </c>
      <c r="AF30" s="80" t="s">
        <v>17</v>
      </c>
      <c r="AG30" s="173" t="s">
        <v>17</v>
      </c>
      <c r="AH30" s="85" t="s">
        <v>17</v>
      </c>
      <c r="AI30" s="80" t="s">
        <v>17</v>
      </c>
      <c r="AJ30" s="173" t="s">
        <v>17</v>
      </c>
      <c r="AK30" s="98" t="s">
        <v>17</v>
      </c>
      <c r="AL30" s="80" t="s">
        <v>17</v>
      </c>
      <c r="AM30" s="173" t="s">
        <v>17</v>
      </c>
      <c r="AN30" s="80" t="s">
        <v>17</v>
      </c>
      <c r="AO30" s="80" t="s">
        <v>17</v>
      </c>
      <c r="AP30" s="173" t="s">
        <v>17</v>
      </c>
      <c r="AQ30" s="80" t="s">
        <v>17</v>
      </c>
      <c r="AR30" s="80" t="s">
        <v>17</v>
      </c>
      <c r="AS30" s="173" t="s">
        <v>17</v>
      </c>
      <c r="AT30" s="80" t="s">
        <v>17</v>
      </c>
      <c r="AU30" s="80" t="s">
        <v>17</v>
      </c>
      <c r="AV30" s="173" t="s">
        <v>17</v>
      </c>
      <c r="AW30" s="37"/>
      <c r="AX30" s="37"/>
      <c r="AY30" s="37"/>
      <c r="BF30" s="4"/>
    </row>
    <row r="31" spans="1:61" ht="14.95" thickBot="1" x14ac:dyDescent="0.3">
      <c r="A31" s="363" t="s">
        <v>75</v>
      </c>
      <c r="B31" s="364">
        <v>3</v>
      </c>
      <c r="C31" s="365">
        <v>0</v>
      </c>
      <c r="D31" s="446">
        <v>2</v>
      </c>
      <c r="E31" s="366">
        <v>0</v>
      </c>
      <c r="F31" s="367">
        <f t="shared" si="0"/>
        <v>5</v>
      </c>
      <c r="G31" s="184" t="s">
        <v>75</v>
      </c>
      <c r="H31" s="79">
        <v>15</v>
      </c>
      <c r="I31" s="336">
        <v>0</v>
      </c>
      <c r="J31" s="277">
        <v>10</v>
      </c>
      <c r="K31" s="235">
        <v>0</v>
      </c>
      <c r="L31" s="206">
        <f t="shared" si="1"/>
        <v>25</v>
      </c>
      <c r="M31" s="368" t="s">
        <v>228</v>
      </c>
      <c r="N31" s="369" t="s">
        <v>17</v>
      </c>
      <c r="O31" s="369" t="s">
        <v>17</v>
      </c>
      <c r="P31" s="370" t="s">
        <v>17</v>
      </c>
      <c r="Q31" s="7" t="s">
        <v>17</v>
      </c>
      <c r="R31" s="7" t="s">
        <v>17</v>
      </c>
      <c r="S31" s="155" t="s">
        <v>17</v>
      </c>
      <c r="T31" s="7">
        <v>1</v>
      </c>
      <c r="U31" s="7">
        <v>1</v>
      </c>
      <c r="V31" s="155">
        <v>100</v>
      </c>
      <c r="W31" s="7" t="s">
        <v>17</v>
      </c>
      <c r="X31" s="7" t="s">
        <v>17</v>
      </c>
      <c r="Y31" s="155" t="s">
        <v>17</v>
      </c>
      <c r="AE31" s="85" t="s">
        <v>17</v>
      </c>
      <c r="AF31" s="80" t="s">
        <v>17</v>
      </c>
      <c r="AG31" s="173" t="s">
        <v>17</v>
      </c>
      <c r="AH31" s="85" t="s">
        <v>17</v>
      </c>
      <c r="AI31" s="80" t="s">
        <v>17</v>
      </c>
      <c r="AJ31" s="173" t="s">
        <v>17</v>
      </c>
      <c r="AK31" s="6" t="s">
        <v>17</v>
      </c>
      <c r="AL31" s="6" t="s">
        <v>17</v>
      </c>
      <c r="AM31" s="6" t="s">
        <v>17</v>
      </c>
      <c r="AN31" s="6" t="s">
        <v>17</v>
      </c>
      <c r="AO31" s="6" t="s">
        <v>17</v>
      </c>
      <c r="AP31" s="6" t="s">
        <v>17</v>
      </c>
      <c r="AQ31" s="6" t="s">
        <v>17</v>
      </c>
      <c r="AR31" s="6" t="s">
        <v>17</v>
      </c>
      <c r="AS31" s="6" t="s">
        <v>17</v>
      </c>
      <c r="AT31" s="6" t="s">
        <v>17</v>
      </c>
      <c r="AU31" s="6" t="s">
        <v>17</v>
      </c>
      <c r="AV31" s="6" t="s">
        <v>17</v>
      </c>
      <c r="AW31" s="37"/>
      <c r="AX31" s="37"/>
      <c r="AY31" s="37"/>
    </row>
    <row r="32" spans="1:61" ht="14.95" thickBot="1" x14ac:dyDescent="0.3">
      <c r="A32" s="363" t="s">
        <v>1067</v>
      </c>
      <c r="B32" s="364">
        <v>1</v>
      </c>
      <c r="C32" s="365">
        <v>0</v>
      </c>
      <c r="D32" s="446">
        <v>0</v>
      </c>
      <c r="E32" s="366">
        <v>2</v>
      </c>
      <c r="F32" s="367">
        <f t="shared" si="0"/>
        <v>3</v>
      </c>
      <c r="G32" s="184" t="s">
        <v>1067</v>
      </c>
      <c r="H32" s="79">
        <v>5</v>
      </c>
      <c r="I32" s="336">
        <v>0</v>
      </c>
      <c r="J32" s="277">
        <v>0</v>
      </c>
      <c r="K32" s="235">
        <v>10</v>
      </c>
      <c r="L32" s="206">
        <f t="shared" si="1"/>
        <v>15</v>
      </c>
      <c r="M32" s="363" t="s">
        <v>1244</v>
      </c>
      <c r="N32" s="369">
        <v>23</v>
      </c>
      <c r="O32" s="369">
        <v>34</v>
      </c>
      <c r="P32" s="370">
        <f t="shared" ref="P32" si="23">SUM(N32/O32)*100</f>
        <v>67.64705882352942</v>
      </c>
      <c r="Q32" s="7" t="s">
        <v>17</v>
      </c>
      <c r="R32" s="7" t="s">
        <v>17</v>
      </c>
      <c r="S32" s="155" t="s">
        <v>17</v>
      </c>
      <c r="T32" s="7" t="s">
        <v>17</v>
      </c>
      <c r="U32" s="7" t="s">
        <v>17</v>
      </c>
      <c r="V32" s="155" t="s">
        <v>17</v>
      </c>
      <c r="W32" s="7" t="s">
        <v>17</v>
      </c>
      <c r="X32" s="7" t="s">
        <v>17</v>
      </c>
      <c r="Y32" s="155" t="s">
        <v>17</v>
      </c>
      <c r="AE32" s="6" t="s">
        <v>17</v>
      </c>
      <c r="AF32" s="7" t="s">
        <v>17</v>
      </c>
      <c r="AG32" s="155" t="s">
        <v>17</v>
      </c>
      <c r="AH32" s="7" t="s">
        <v>17</v>
      </c>
      <c r="AI32" s="7" t="s">
        <v>17</v>
      </c>
      <c r="AJ32" s="155" t="s">
        <v>17</v>
      </c>
      <c r="AK32" s="7" t="s">
        <v>17</v>
      </c>
      <c r="AL32" s="7" t="s">
        <v>17</v>
      </c>
      <c r="AM32" s="155" t="s">
        <v>17</v>
      </c>
      <c r="AN32" s="7" t="s">
        <v>17</v>
      </c>
      <c r="AO32" s="7" t="s">
        <v>17</v>
      </c>
      <c r="AP32" s="155" t="s">
        <v>17</v>
      </c>
      <c r="AQ32" s="7" t="s">
        <v>17</v>
      </c>
      <c r="AR32" s="7" t="s">
        <v>17</v>
      </c>
      <c r="AS32" s="155" t="s">
        <v>17</v>
      </c>
      <c r="AT32" s="7" t="s">
        <v>17</v>
      </c>
      <c r="AU32" s="7" t="s">
        <v>17</v>
      </c>
      <c r="AV32" s="155" t="s">
        <v>17</v>
      </c>
      <c r="AW32" s="37"/>
      <c r="AX32" s="37"/>
      <c r="AY32" s="37"/>
    </row>
    <row r="33" spans="1:54" ht="15.8" customHeight="1" thickBot="1" x14ac:dyDescent="0.3">
      <c r="A33" s="363" t="s">
        <v>393</v>
      </c>
      <c r="B33" s="364">
        <v>6</v>
      </c>
      <c r="C33" s="365">
        <v>0</v>
      </c>
      <c r="D33" s="446">
        <v>1</v>
      </c>
      <c r="E33" s="366">
        <v>0</v>
      </c>
      <c r="F33" s="367">
        <f t="shared" si="0"/>
        <v>7</v>
      </c>
      <c r="G33" s="184" t="s">
        <v>393</v>
      </c>
      <c r="H33" s="79">
        <v>30</v>
      </c>
      <c r="I33" s="336">
        <v>0</v>
      </c>
      <c r="J33" s="277">
        <v>5</v>
      </c>
      <c r="K33" s="235">
        <v>0</v>
      </c>
      <c r="L33" s="206">
        <f t="shared" si="1"/>
        <v>35</v>
      </c>
      <c r="M33" s="358" t="s">
        <v>244</v>
      </c>
      <c r="N33" s="369" t="s">
        <v>17</v>
      </c>
      <c r="O33" s="369" t="s">
        <v>17</v>
      </c>
      <c r="P33" s="370" t="s">
        <v>17</v>
      </c>
      <c r="Q33" s="7">
        <v>6</v>
      </c>
      <c r="R33" s="7">
        <v>6</v>
      </c>
      <c r="S33" s="155">
        <v>100</v>
      </c>
      <c r="T33" s="7" t="s">
        <v>17</v>
      </c>
      <c r="U33" s="7" t="s">
        <v>17</v>
      </c>
      <c r="V33" s="155" t="s">
        <v>17</v>
      </c>
      <c r="W33" s="7" t="s">
        <v>17</v>
      </c>
      <c r="X33" s="7" t="s">
        <v>17</v>
      </c>
      <c r="Y33" s="155" t="s">
        <v>17</v>
      </c>
      <c r="AE33" s="85" t="s">
        <v>17</v>
      </c>
      <c r="AF33" s="80" t="s">
        <v>17</v>
      </c>
      <c r="AG33" s="173" t="s">
        <v>17</v>
      </c>
      <c r="AH33" s="6" t="s">
        <v>17</v>
      </c>
      <c r="AI33" s="154" t="s">
        <v>17</v>
      </c>
      <c r="AJ33" s="154" t="s">
        <v>17</v>
      </c>
      <c r="AK33" s="6" t="s">
        <v>17</v>
      </c>
      <c r="AL33" s="154" t="s">
        <v>17</v>
      </c>
      <c r="AM33" s="154" t="s">
        <v>17</v>
      </c>
      <c r="AN33" s="150">
        <v>3</v>
      </c>
      <c r="AO33" s="7">
        <v>4</v>
      </c>
      <c r="AP33" s="155">
        <f>SUM(AN33/AO33)*100</f>
        <v>75</v>
      </c>
      <c r="AQ33" s="150">
        <v>27</v>
      </c>
      <c r="AR33" s="7">
        <v>36</v>
      </c>
      <c r="AS33" s="155">
        <f>SUM(AQ33/AR33)*100</f>
        <v>75</v>
      </c>
      <c r="AT33" s="6" t="s">
        <v>17</v>
      </c>
      <c r="AU33" s="154" t="s">
        <v>17</v>
      </c>
      <c r="AV33" s="154" t="s">
        <v>17</v>
      </c>
      <c r="AW33" s="157"/>
      <c r="AX33" s="157"/>
      <c r="AY33" s="157"/>
      <c r="AZ33" s="121"/>
      <c r="BA33" s="121"/>
      <c r="BB33" s="121"/>
    </row>
    <row r="34" spans="1:54" ht="15.8" customHeight="1" thickBot="1" x14ac:dyDescent="0.3">
      <c r="A34" s="363" t="s">
        <v>987</v>
      </c>
      <c r="B34" s="364">
        <v>0</v>
      </c>
      <c r="C34" s="365">
        <v>0</v>
      </c>
      <c r="D34" s="446">
        <v>0</v>
      </c>
      <c r="E34" s="366">
        <v>3</v>
      </c>
      <c r="F34" s="367">
        <f t="shared" si="0"/>
        <v>3</v>
      </c>
      <c r="G34" s="184" t="s">
        <v>987</v>
      </c>
      <c r="H34" s="79">
        <v>0</v>
      </c>
      <c r="I34" s="336">
        <v>0</v>
      </c>
      <c r="J34" s="277">
        <v>0</v>
      </c>
      <c r="K34" s="235">
        <v>15</v>
      </c>
      <c r="L34" s="206">
        <f t="shared" si="1"/>
        <v>15</v>
      </c>
      <c r="M34" s="358" t="s">
        <v>356</v>
      </c>
      <c r="N34" s="369" t="s">
        <v>17</v>
      </c>
      <c r="O34" s="369" t="s">
        <v>17</v>
      </c>
      <c r="P34" s="370" t="s">
        <v>17</v>
      </c>
      <c r="Q34" s="7" t="s">
        <v>17</v>
      </c>
      <c r="R34" s="7" t="s">
        <v>17</v>
      </c>
      <c r="S34" s="155" t="s">
        <v>17</v>
      </c>
      <c r="T34" s="7" t="s">
        <v>17</v>
      </c>
      <c r="U34" s="7" t="s">
        <v>17</v>
      </c>
      <c r="V34" s="155" t="s">
        <v>17</v>
      </c>
      <c r="W34" s="7" t="s">
        <v>17</v>
      </c>
      <c r="X34" s="7" t="s">
        <v>17</v>
      </c>
      <c r="Y34" s="155" t="s">
        <v>17</v>
      </c>
      <c r="AE34" s="85" t="s">
        <v>17</v>
      </c>
      <c r="AF34" s="80" t="s">
        <v>17</v>
      </c>
      <c r="AG34" s="173" t="s">
        <v>17</v>
      </c>
      <c r="AH34" s="85" t="s">
        <v>17</v>
      </c>
      <c r="AI34" s="80" t="s">
        <v>17</v>
      </c>
      <c r="AJ34" s="173" t="s">
        <v>17</v>
      </c>
      <c r="AK34" s="6">
        <v>1</v>
      </c>
      <c r="AL34" s="154">
        <v>1</v>
      </c>
      <c r="AM34" s="154">
        <v>100</v>
      </c>
      <c r="AN34" s="150" t="s">
        <v>17</v>
      </c>
      <c r="AO34" s="7" t="s">
        <v>17</v>
      </c>
      <c r="AP34" s="7" t="s">
        <v>17</v>
      </c>
      <c r="AQ34" s="6" t="s">
        <v>17</v>
      </c>
      <c r="AR34" s="7" t="s">
        <v>17</v>
      </c>
      <c r="AS34" s="7" t="s">
        <v>17</v>
      </c>
      <c r="AT34" s="6" t="s">
        <v>17</v>
      </c>
      <c r="AU34" s="7" t="s">
        <v>17</v>
      </c>
      <c r="AV34" s="7" t="s">
        <v>17</v>
      </c>
      <c r="AW34" s="157"/>
      <c r="AX34" s="157"/>
      <c r="AY34" s="157"/>
      <c r="AZ34" s="121"/>
      <c r="BA34" s="121"/>
      <c r="BB34" s="121"/>
    </row>
    <row r="35" spans="1:54" ht="14.95" thickBot="1" x14ac:dyDescent="0.3">
      <c r="A35" s="363" t="s">
        <v>4</v>
      </c>
      <c r="B35" s="364">
        <v>3</v>
      </c>
      <c r="C35" s="365">
        <v>0</v>
      </c>
      <c r="D35" s="446">
        <v>0</v>
      </c>
      <c r="E35" s="366">
        <v>0</v>
      </c>
      <c r="F35" s="367">
        <f t="shared" si="0"/>
        <v>3</v>
      </c>
      <c r="G35" s="184" t="s">
        <v>4</v>
      </c>
      <c r="H35" s="79">
        <v>21</v>
      </c>
      <c r="I35" s="336">
        <v>0</v>
      </c>
      <c r="J35" s="277">
        <v>0</v>
      </c>
      <c r="K35" s="235">
        <v>0</v>
      </c>
      <c r="L35" s="206">
        <f t="shared" si="1"/>
        <v>21</v>
      </c>
      <c r="M35" s="479" t="s">
        <v>699</v>
      </c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R35" s="4"/>
      <c r="AS35" s="4"/>
      <c r="AT35" s="4"/>
    </row>
    <row r="36" spans="1:54" ht="14.95" thickBot="1" x14ac:dyDescent="0.3">
      <c r="A36" s="363" t="s">
        <v>701</v>
      </c>
      <c r="B36" s="364">
        <v>4</v>
      </c>
      <c r="C36" s="365">
        <v>0</v>
      </c>
      <c r="D36" s="446">
        <v>1</v>
      </c>
      <c r="E36" s="366">
        <v>0</v>
      </c>
      <c r="F36" s="367">
        <f t="shared" si="0"/>
        <v>5</v>
      </c>
      <c r="G36" s="184" t="s">
        <v>701</v>
      </c>
      <c r="H36" s="79">
        <v>20</v>
      </c>
      <c r="I36" s="336">
        <v>0</v>
      </c>
      <c r="J36" s="277">
        <v>5</v>
      </c>
      <c r="K36" s="235">
        <v>0</v>
      </c>
      <c r="L36" s="206">
        <f t="shared" si="1"/>
        <v>25</v>
      </c>
      <c r="M36" s="479" t="s">
        <v>700</v>
      </c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E36" s="488" t="s">
        <v>518</v>
      </c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  <c r="AS36" s="480"/>
    </row>
    <row r="37" spans="1:54" ht="14.95" thickBot="1" x14ac:dyDescent="0.3">
      <c r="A37" s="363" t="s">
        <v>88</v>
      </c>
      <c r="B37" s="364">
        <v>2</v>
      </c>
      <c r="C37" s="365">
        <v>0</v>
      </c>
      <c r="D37" s="446">
        <v>0</v>
      </c>
      <c r="E37" s="366">
        <v>1</v>
      </c>
      <c r="F37" s="367">
        <f t="shared" si="0"/>
        <v>3</v>
      </c>
      <c r="G37" s="184" t="s">
        <v>88</v>
      </c>
      <c r="H37" s="79">
        <v>10</v>
      </c>
      <c r="I37" s="336">
        <v>0</v>
      </c>
      <c r="J37" s="277">
        <v>0</v>
      </c>
      <c r="K37" s="235">
        <v>5</v>
      </c>
      <c r="L37" s="206">
        <f t="shared" si="1"/>
        <v>15</v>
      </c>
      <c r="M37" s="479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480"/>
    </row>
    <row r="38" spans="1:54" ht="14.95" thickBot="1" x14ac:dyDescent="0.3">
      <c r="A38" s="363" t="s">
        <v>210</v>
      </c>
      <c r="B38" s="364">
        <v>2</v>
      </c>
      <c r="C38" s="365">
        <v>0</v>
      </c>
      <c r="D38" s="446">
        <v>1</v>
      </c>
      <c r="E38" s="366">
        <v>0</v>
      </c>
      <c r="F38" s="367">
        <f t="shared" si="0"/>
        <v>3</v>
      </c>
      <c r="G38" s="184" t="s">
        <v>210</v>
      </c>
      <c r="H38" s="79">
        <v>10</v>
      </c>
      <c r="I38" s="336">
        <v>0</v>
      </c>
      <c r="J38" s="277">
        <v>5</v>
      </c>
      <c r="K38" s="235">
        <v>0</v>
      </c>
      <c r="L38" s="206">
        <f t="shared" si="1"/>
        <v>15</v>
      </c>
      <c r="M38" s="204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54" ht="14.95" thickBot="1" x14ac:dyDescent="0.3">
      <c r="A39" s="363" t="s">
        <v>434</v>
      </c>
      <c r="B39" s="364">
        <v>1</v>
      </c>
      <c r="C39" s="365">
        <v>0</v>
      </c>
      <c r="D39" s="446">
        <v>0</v>
      </c>
      <c r="E39" s="366">
        <v>2</v>
      </c>
      <c r="F39" s="367">
        <f t="shared" ref="F39:F51" si="24">SUM(B39:E39)</f>
        <v>3</v>
      </c>
      <c r="G39" s="184" t="s">
        <v>434</v>
      </c>
      <c r="H39" s="79">
        <v>5</v>
      </c>
      <c r="I39" s="336">
        <v>0</v>
      </c>
      <c r="J39" s="277">
        <v>0</v>
      </c>
      <c r="K39" s="235">
        <v>10</v>
      </c>
      <c r="L39" s="206">
        <f t="shared" ref="L39:L51" si="25">SUM(H39:K39)</f>
        <v>15</v>
      </c>
    </row>
    <row r="40" spans="1:54" ht="14.95" thickBot="1" x14ac:dyDescent="0.3">
      <c r="A40" s="363" t="s">
        <v>1144</v>
      </c>
      <c r="B40" s="364">
        <v>2</v>
      </c>
      <c r="C40" s="365">
        <v>1</v>
      </c>
      <c r="D40" s="446">
        <v>0</v>
      </c>
      <c r="E40" s="366">
        <v>0</v>
      </c>
      <c r="F40" s="367">
        <f t="shared" si="24"/>
        <v>3</v>
      </c>
      <c r="G40" s="184" t="s">
        <v>1144</v>
      </c>
      <c r="H40" s="79">
        <v>10</v>
      </c>
      <c r="I40" s="336">
        <v>5</v>
      </c>
      <c r="J40" s="277">
        <v>0</v>
      </c>
      <c r="K40" s="235">
        <v>0</v>
      </c>
      <c r="L40" s="206">
        <f t="shared" si="25"/>
        <v>15</v>
      </c>
    </row>
    <row r="41" spans="1:54" ht="14.95" customHeight="1" thickBot="1" x14ac:dyDescent="0.3">
      <c r="A41" s="363" t="s">
        <v>603</v>
      </c>
      <c r="B41" s="364">
        <v>3</v>
      </c>
      <c r="C41" s="365">
        <v>1</v>
      </c>
      <c r="D41" s="446">
        <v>0</v>
      </c>
      <c r="E41" s="366">
        <v>0</v>
      </c>
      <c r="F41" s="367">
        <f t="shared" si="24"/>
        <v>4</v>
      </c>
      <c r="G41" s="184" t="s">
        <v>603</v>
      </c>
      <c r="H41" s="79">
        <v>183</v>
      </c>
      <c r="I41" s="336">
        <v>31</v>
      </c>
      <c r="J41" s="277">
        <v>42</v>
      </c>
      <c r="K41" s="235">
        <v>0</v>
      </c>
      <c r="L41" s="206">
        <f t="shared" si="25"/>
        <v>256</v>
      </c>
      <c r="AL41" s="4"/>
      <c r="AM41" s="4"/>
      <c r="AN41" s="4"/>
      <c r="AO41" s="4"/>
      <c r="AP41" s="4"/>
    </row>
    <row r="42" spans="1:54" ht="14.95" customHeight="1" thickBot="1" x14ac:dyDescent="0.3">
      <c r="A42" s="363" t="s">
        <v>638</v>
      </c>
      <c r="B42" s="364">
        <v>0</v>
      </c>
      <c r="C42" s="365">
        <v>0</v>
      </c>
      <c r="D42" s="446">
        <v>0</v>
      </c>
      <c r="E42" s="366">
        <v>1</v>
      </c>
      <c r="F42" s="367">
        <f t="shared" si="24"/>
        <v>1</v>
      </c>
      <c r="G42" s="184" t="s">
        <v>638</v>
      </c>
      <c r="H42" s="79">
        <v>0</v>
      </c>
      <c r="I42" s="336">
        <v>0</v>
      </c>
      <c r="J42" s="277">
        <v>0</v>
      </c>
      <c r="K42" s="235">
        <v>5</v>
      </c>
      <c r="L42" s="206">
        <f t="shared" si="25"/>
        <v>5</v>
      </c>
    </row>
    <row r="43" spans="1:54" ht="14.95" customHeight="1" thickBot="1" x14ac:dyDescent="0.3">
      <c r="A43" s="363" t="s">
        <v>989</v>
      </c>
      <c r="B43" s="364">
        <v>0</v>
      </c>
      <c r="C43" s="365">
        <v>0</v>
      </c>
      <c r="D43" s="446">
        <v>0</v>
      </c>
      <c r="E43" s="366">
        <v>4</v>
      </c>
      <c r="F43" s="367">
        <f t="shared" si="24"/>
        <v>4</v>
      </c>
      <c r="G43" s="184" t="s">
        <v>989</v>
      </c>
      <c r="H43" s="79">
        <v>0</v>
      </c>
      <c r="I43" s="336">
        <v>0</v>
      </c>
      <c r="J43" s="277">
        <v>0</v>
      </c>
      <c r="K43" s="235">
        <v>20</v>
      </c>
      <c r="L43" s="206">
        <f t="shared" si="25"/>
        <v>20</v>
      </c>
      <c r="AQ43" s="4"/>
    </row>
    <row r="44" spans="1:54" ht="14.95" customHeight="1" thickBot="1" x14ac:dyDescent="0.3">
      <c r="A44" s="363" t="s">
        <v>598</v>
      </c>
      <c r="B44" s="364">
        <v>2</v>
      </c>
      <c r="C44" s="365">
        <v>0</v>
      </c>
      <c r="D44" s="446">
        <v>2</v>
      </c>
      <c r="E44" s="366">
        <v>0</v>
      </c>
      <c r="F44" s="367">
        <f t="shared" si="24"/>
        <v>4</v>
      </c>
      <c r="G44" s="184" t="s">
        <v>598</v>
      </c>
      <c r="H44" s="79">
        <v>13</v>
      </c>
      <c r="I44" s="336">
        <v>0</v>
      </c>
      <c r="J44" s="277">
        <v>10</v>
      </c>
      <c r="K44" s="235">
        <v>0</v>
      </c>
      <c r="L44" s="206">
        <f t="shared" si="25"/>
        <v>23</v>
      </c>
      <c r="AQ44" s="4"/>
    </row>
    <row r="45" spans="1:54" ht="14.95" customHeight="1" thickBot="1" x14ac:dyDescent="0.3">
      <c r="A45" s="363" t="s">
        <v>984</v>
      </c>
      <c r="B45" s="364">
        <v>0</v>
      </c>
      <c r="C45" s="365">
        <v>0</v>
      </c>
      <c r="D45" s="446">
        <v>0</v>
      </c>
      <c r="E45" s="366">
        <v>5</v>
      </c>
      <c r="F45" s="367">
        <f t="shared" si="24"/>
        <v>5</v>
      </c>
      <c r="G45" s="184" t="s">
        <v>984</v>
      </c>
      <c r="H45" s="79">
        <v>0</v>
      </c>
      <c r="I45" s="336">
        <v>0</v>
      </c>
      <c r="J45" s="277">
        <v>0</v>
      </c>
      <c r="K45" s="235">
        <v>25</v>
      </c>
      <c r="L45" s="206">
        <f t="shared" si="25"/>
        <v>25</v>
      </c>
    </row>
    <row r="46" spans="1:54" ht="14.95" thickBot="1" x14ac:dyDescent="0.3">
      <c r="A46" s="363" t="s">
        <v>77</v>
      </c>
      <c r="B46" s="364">
        <v>4</v>
      </c>
      <c r="C46" s="365">
        <v>0</v>
      </c>
      <c r="D46" s="446">
        <v>0</v>
      </c>
      <c r="E46" s="366">
        <v>0</v>
      </c>
      <c r="F46" s="367">
        <f t="shared" si="24"/>
        <v>4</v>
      </c>
      <c r="G46" s="184" t="s">
        <v>77</v>
      </c>
      <c r="H46" s="79">
        <v>20</v>
      </c>
      <c r="I46" s="336">
        <v>0</v>
      </c>
      <c r="J46" s="277">
        <v>0</v>
      </c>
      <c r="K46" s="235">
        <v>0</v>
      </c>
      <c r="L46" s="206">
        <f t="shared" si="25"/>
        <v>20</v>
      </c>
    </row>
    <row r="47" spans="1:54" ht="14.95" thickBot="1" x14ac:dyDescent="0.3">
      <c r="A47" s="363" t="s">
        <v>704</v>
      </c>
      <c r="B47" s="364">
        <v>1</v>
      </c>
      <c r="C47" s="365">
        <v>0</v>
      </c>
      <c r="D47" s="446">
        <v>0</v>
      </c>
      <c r="E47" s="366">
        <v>5</v>
      </c>
      <c r="F47" s="367">
        <f t="shared" si="24"/>
        <v>6</v>
      </c>
      <c r="G47" s="184" t="s">
        <v>704</v>
      </c>
      <c r="H47" s="79">
        <v>5</v>
      </c>
      <c r="I47" s="336">
        <v>0</v>
      </c>
      <c r="J47" s="277">
        <v>0</v>
      </c>
      <c r="K47" s="235">
        <v>25</v>
      </c>
      <c r="L47" s="206">
        <f t="shared" si="25"/>
        <v>30</v>
      </c>
    </row>
    <row r="48" spans="1:54" ht="14.95" thickBot="1" x14ac:dyDescent="0.3">
      <c r="A48" s="363" t="s">
        <v>76</v>
      </c>
      <c r="B48" s="364">
        <v>4</v>
      </c>
      <c r="C48" s="365">
        <v>0</v>
      </c>
      <c r="D48" s="446">
        <v>1</v>
      </c>
      <c r="E48" s="366">
        <v>0</v>
      </c>
      <c r="F48" s="367">
        <f t="shared" si="24"/>
        <v>5</v>
      </c>
      <c r="G48" s="184" t="s">
        <v>76</v>
      </c>
      <c r="H48" s="79">
        <v>20</v>
      </c>
      <c r="I48" s="336">
        <v>0</v>
      </c>
      <c r="J48" s="277">
        <v>5</v>
      </c>
      <c r="K48" s="235">
        <v>0</v>
      </c>
      <c r="L48" s="206">
        <f t="shared" si="25"/>
        <v>25</v>
      </c>
    </row>
    <row r="49" spans="1:12" ht="14.95" thickBot="1" x14ac:dyDescent="0.3">
      <c r="A49" s="363" t="s">
        <v>525</v>
      </c>
      <c r="B49" s="364">
        <v>3</v>
      </c>
      <c r="C49" s="365">
        <v>0</v>
      </c>
      <c r="D49" s="446">
        <v>0</v>
      </c>
      <c r="E49" s="366">
        <v>1</v>
      </c>
      <c r="F49" s="367">
        <f t="shared" si="24"/>
        <v>4</v>
      </c>
      <c r="G49" s="184" t="s">
        <v>525</v>
      </c>
      <c r="H49" s="79">
        <v>15</v>
      </c>
      <c r="I49" s="336">
        <v>0</v>
      </c>
      <c r="J49" s="277">
        <v>0</v>
      </c>
      <c r="K49" s="235">
        <v>5</v>
      </c>
      <c r="L49" s="206">
        <f t="shared" si="25"/>
        <v>20</v>
      </c>
    </row>
    <row r="50" spans="1:12" ht="14.95" thickBot="1" x14ac:dyDescent="0.3">
      <c r="A50" s="363" t="s">
        <v>90</v>
      </c>
      <c r="B50" s="364">
        <v>0</v>
      </c>
      <c r="C50" s="365">
        <v>0</v>
      </c>
      <c r="D50" s="446">
        <v>0</v>
      </c>
      <c r="E50" s="366">
        <v>0</v>
      </c>
      <c r="F50" s="367">
        <f t="shared" si="24"/>
        <v>0</v>
      </c>
      <c r="G50" s="184" t="s">
        <v>90</v>
      </c>
      <c r="H50" s="79">
        <v>0</v>
      </c>
      <c r="I50" s="336">
        <v>0</v>
      </c>
      <c r="J50" s="277">
        <v>0</v>
      </c>
      <c r="K50" s="235">
        <v>0</v>
      </c>
      <c r="L50" s="206">
        <f t="shared" si="25"/>
        <v>0</v>
      </c>
    </row>
    <row r="51" spans="1:12" ht="14.95" thickBot="1" x14ac:dyDescent="0.3">
      <c r="A51" s="363" t="s">
        <v>3</v>
      </c>
      <c r="B51" s="364">
        <f>SUM(B3:B50)</f>
        <v>102</v>
      </c>
      <c r="C51" s="365">
        <f>SUM(C3:C50)</f>
        <v>14</v>
      </c>
      <c r="D51" s="446">
        <f>SUM(D3:D50)</f>
        <v>26</v>
      </c>
      <c r="E51" s="366">
        <f>SUM(E3:E50)</f>
        <v>63</v>
      </c>
      <c r="F51" s="367">
        <f t="shared" si="24"/>
        <v>205</v>
      </c>
      <c r="G51" s="183" t="s">
        <v>3</v>
      </c>
      <c r="H51" s="79">
        <f>SUM(H3:H50)</f>
        <v>708</v>
      </c>
      <c r="I51" s="336">
        <f>SUM(I3:I50)</f>
        <v>102</v>
      </c>
      <c r="J51" s="277">
        <f>SUM(J3:J50)</f>
        <v>186</v>
      </c>
      <c r="K51" s="235">
        <f>SUM(K3:K50)</f>
        <v>414</v>
      </c>
      <c r="L51" s="206">
        <f t="shared" si="25"/>
        <v>1410</v>
      </c>
    </row>
    <row r="52" spans="1:12" x14ac:dyDescent="0.25">
      <c r="A52" s="477"/>
      <c r="B52" s="478"/>
      <c r="C52" s="478"/>
      <c r="D52" s="478"/>
      <c r="E52" s="478"/>
      <c r="F52" s="478"/>
      <c r="G52" s="478"/>
      <c r="H52" s="478"/>
      <c r="I52" s="478"/>
      <c r="J52" s="314"/>
      <c r="K52" s="96"/>
    </row>
    <row r="53" spans="1:12" ht="14.95" thickBot="1" x14ac:dyDescent="0.3">
      <c r="A53" t="s">
        <v>572</v>
      </c>
      <c r="B53" s="134"/>
      <c r="C53" s="96"/>
      <c r="D53" s="96"/>
      <c r="E53" s="96"/>
      <c r="F53" s="67"/>
      <c r="G53" s="37"/>
      <c r="H53" s="135"/>
      <c r="I53" s="97"/>
      <c r="J53" s="97"/>
      <c r="K53" s="97"/>
      <c r="L53" s="37"/>
    </row>
    <row r="54" spans="1:12" ht="14.95" thickBot="1" x14ac:dyDescent="0.3">
      <c r="A54" s="358" t="s">
        <v>0</v>
      </c>
      <c r="B54" s="359" t="s">
        <v>259</v>
      </c>
      <c r="C54" s="360" t="s">
        <v>35</v>
      </c>
      <c r="D54" s="445" t="s">
        <v>36</v>
      </c>
      <c r="E54" s="361" t="s">
        <v>383</v>
      </c>
      <c r="F54" s="362" t="s">
        <v>1</v>
      </c>
      <c r="G54" s="182" t="s">
        <v>2</v>
      </c>
      <c r="H54" s="111" t="s">
        <v>259</v>
      </c>
      <c r="I54" s="335" t="s">
        <v>35</v>
      </c>
      <c r="J54" s="276" t="s">
        <v>36</v>
      </c>
      <c r="K54" s="234" t="s">
        <v>383</v>
      </c>
      <c r="L54" s="205" t="s">
        <v>1</v>
      </c>
    </row>
    <row r="55" spans="1:12" ht="14.95" thickBot="1" x14ac:dyDescent="0.3">
      <c r="A55" s="363" t="s">
        <v>74</v>
      </c>
      <c r="B55" s="364">
        <v>8</v>
      </c>
      <c r="C55" s="365">
        <v>1</v>
      </c>
      <c r="D55" s="446">
        <v>1</v>
      </c>
      <c r="E55" s="366">
        <v>1</v>
      </c>
      <c r="F55" s="367">
        <f t="shared" ref="F55:F102" si="26">SUM(B55:E55)</f>
        <v>11</v>
      </c>
      <c r="G55" s="183" t="s">
        <v>603</v>
      </c>
      <c r="H55" s="79">
        <v>183</v>
      </c>
      <c r="I55" s="336">
        <v>31</v>
      </c>
      <c r="J55" s="277">
        <v>42</v>
      </c>
      <c r="K55" s="235">
        <v>0</v>
      </c>
      <c r="L55" s="206">
        <f t="shared" ref="L55:L102" si="27">SUM(H55:K55)</f>
        <v>256</v>
      </c>
    </row>
    <row r="56" spans="1:12" ht="14.95" thickBot="1" x14ac:dyDescent="0.3">
      <c r="A56" s="363" t="s">
        <v>37</v>
      </c>
      <c r="B56" s="364">
        <v>1</v>
      </c>
      <c r="C56" s="365">
        <v>1</v>
      </c>
      <c r="D56" s="446">
        <v>5</v>
      </c>
      <c r="E56" s="366">
        <v>3</v>
      </c>
      <c r="F56" s="367">
        <f t="shared" si="26"/>
        <v>10</v>
      </c>
      <c r="G56" s="183" t="s">
        <v>1244</v>
      </c>
      <c r="H56" s="79">
        <v>25</v>
      </c>
      <c r="I56" s="336">
        <v>0</v>
      </c>
      <c r="J56" s="277">
        <v>14</v>
      </c>
      <c r="K56" s="235">
        <v>54</v>
      </c>
      <c r="L56" s="206">
        <f t="shared" si="27"/>
        <v>93</v>
      </c>
    </row>
    <row r="57" spans="1:12" ht="14.95" thickBot="1" x14ac:dyDescent="0.3">
      <c r="A57" s="363" t="s">
        <v>265</v>
      </c>
      <c r="B57" s="364">
        <v>9</v>
      </c>
      <c r="C57" s="365">
        <v>0</v>
      </c>
      <c r="D57" s="446">
        <v>1</v>
      </c>
      <c r="E57" s="366">
        <v>0</v>
      </c>
      <c r="F57" s="367">
        <f t="shared" si="26"/>
        <v>10</v>
      </c>
      <c r="G57" s="183" t="s">
        <v>330</v>
      </c>
      <c r="H57" s="79">
        <v>11</v>
      </c>
      <c r="I57" s="336">
        <v>6</v>
      </c>
      <c r="J57" s="277">
        <v>0</v>
      </c>
      <c r="K57" s="235">
        <v>50</v>
      </c>
      <c r="L57" s="206">
        <f t="shared" si="27"/>
        <v>67</v>
      </c>
    </row>
    <row r="58" spans="1:12" ht="14.95" thickBot="1" x14ac:dyDescent="0.3">
      <c r="A58" s="363" t="s">
        <v>528</v>
      </c>
      <c r="B58" s="364">
        <v>3</v>
      </c>
      <c r="C58" s="365">
        <v>0</v>
      </c>
      <c r="D58" s="446">
        <v>1</v>
      </c>
      <c r="E58" s="366">
        <v>5</v>
      </c>
      <c r="F58" s="367">
        <f t="shared" si="26"/>
        <v>9</v>
      </c>
      <c r="G58" s="184" t="s">
        <v>74</v>
      </c>
      <c r="H58" s="79">
        <v>40</v>
      </c>
      <c r="I58" s="336">
        <v>5</v>
      </c>
      <c r="J58" s="277">
        <v>5</v>
      </c>
      <c r="K58" s="235">
        <v>5</v>
      </c>
      <c r="L58" s="206">
        <f t="shared" si="27"/>
        <v>55</v>
      </c>
    </row>
    <row r="59" spans="1:12" ht="14.95" thickBot="1" x14ac:dyDescent="0.3">
      <c r="A59" s="363" t="s">
        <v>242</v>
      </c>
      <c r="B59" s="364">
        <v>4</v>
      </c>
      <c r="C59" s="365">
        <v>3</v>
      </c>
      <c r="D59" s="446">
        <v>1</v>
      </c>
      <c r="E59" s="366">
        <v>1</v>
      </c>
      <c r="F59" s="367">
        <f t="shared" si="26"/>
        <v>9</v>
      </c>
      <c r="G59" s="184" t="s">
        <v>37</v>
      </c>
      <c r="H59" s="79">
        <v>5</v>
      </c>
      <c r="I59" s="336">
        <v>5</v>
      </c>
      <c r="J59" s="277">
        <v>25</v>
      </c>
      <c r="K59" s="235">
        <v>15</v>
      </c>
      <c r="L59" s="206">
        <f t="shared" si="27"/>
        <v>50</v>
      </c>
    </row>
    <row r="60" spans="1:12" ht="14.95" thickBot="1" x14ac:dyDescent="0.3">
      <c r="A60" s="363" t="s">
        <v>339</v>
      </c>
      <c r="B60" s="364">
        <v>5</v>
      </c>
      <c r="C60" s="365">
        <v>3</v>
      </c>
      <c r="D60" s="446">
        <v>0</v>
      </c>
      <c r="E60" s="366">
        <v>1</v>
      </c>
      <c r="F60" s="367">
        <f t="shared" si="26"/>
        <v>9</v>
      </c>
      <c r="G60" s="184" t="s">
        <v>265</v>
      </c>
      <c r="H60" s="79">
        <v>45</v>
      </c>
      <c r="I60" s="336">
        <v>0</v>
      </c>
      <c r="J60" s="277">
        <v>5</v>
      </c>
      <c r="K60" s="235">
        <v>0</v>
      </c>
      <c r="L60" s="206">
        <f t="shared" si="27"/>
        <v>50</v>
      </c>
    </row>
    <row r="61" spans="1:12" ht="14.95" thickBot="1" x14ac:dyDescent="0.3">
      <c r="A61" s="363" t="s">
        <v>107</v>
      </c>
      <c r="B61" s="364">
        <v>2</v>
      </c>
      <c r="C61" s="365">
        <v>0</v>
      </c>
      <c r="D61" s="446">
        <v>1</v>
      </c>
      <c r="E61" s="366">
        <v>6</v>
      </c>
      <c r="F61" s="367">
        <f t="shared" si="26"/>
        <v>9</v>
      </c>
      <c r="G61" s="184" t="s">
        <v>528</v>
      </c>
      <c r="H61" s="79">
        <v>15</v>
      </c>
      <c r="I61" s="336">
        <v>0</v>
      </c>
      <c r="J61" s="277">
        <v>5</v>
      </c>
      <c r="K61" s="235">
        <v>25</v>
      </c>
      <c r="L61" s="206">
        <f t="shared" si="27"/>
        <v>45</v>
      </c>
    </row>
    <row r="62" spans="1:12" ht="14.95" thickBot="1" x14ac:dyDescent="0.3">
      <c r="A62" s="363" t="s">
        <v>596</v>
      </c>
      <c r="B62" s="364">
        <v>1</v>
      </c>
      <c r="C62" s="365">
        <v>1</v>
      </c>
      <c r="D62" s="446">
        <v>3</v>
      </c>
      <c r="E62" s="366">
        <v>3</v>
      </c>
      <c r="F62" s="367">
        <f t="shared" si="26"/>
        <v>8</v>
      </c>
      <c r="G62" s="184" t="s">
        <v>242</v>
      </c>
      <c r="H62" s="79">
        <v>20</v>
      </c>
      <c r="I62" s="336">
        <v>15</v>
      </c>
      <c r="J62" s="277">
        <v>5</v>
      </c>
      <c r="K62" s="235">
        <v>5</v>
      </c>
      <c r="L62" s="206">
        <f t="shared" si="27"/>
        <v>45</v>
      </c>
    </row>
    <row r="63" spans="1:12" ht="14.95" thickBot="1" x14ac:dyDescent="0.3">
      <c r="A63" s="363" t="s">
        <v>393</v>
      </c>
      <c r="B63" s="364">
        <v>6</v>
      </c>
      <c r="C63" s="365">
        <v>0</v>
      </c>
      <c r="D63" s="446">
        <v>1</v>
      </c>
      <c r="E63" s="366">
        <v>0</v>
      </c>
      <c r="F63" s="367">
        <f t="shared" si="26"/>
        <v>7</v>
      </c>
      <c r="G63" s="184" t="s">
        <v>339</v>
      </c>
      <c r="H63" s="79">
        <v>25</v>
      </c>
      <c r="I63" s="336">
        <v>15</v>
      </c>
      <c r="J63" s="277">
        <v>0</v>
      </c>
      <c r="K63" s="235">
        <v>5</v>
      </c>
      <c r="L63" s="206">
        <f t="shared" si="27"/>
        <v>45</v>
      </c>
    </row>
    <row r="64" spans="1:12" ht="14.95" thickBot="1" x14ac:dyDescent="0.3">
      <c r="A64" s="363" t="s">
        <v>563</v>
      </c>
      <c r="B64" s="364">
        <v>2</v>
      </c>
      <c r="C64" s="365">
        <v>0</v>
      </c>
      <c r="D64" s="446">
        <v>0</v>
      </c>
      <c r="E64" s="366">
        <v>4</v>
      </c>
      <c r="F64" s="367">
        <f t="shared" si="26"/>
        <v>6</v>
      </c>
      <c r="G64" s="184" t="s">
        <v>107</v>
      </c>
      <c r="H64" s="79">
        <v>10</v>
      </c>
      <c r="I64" s="336">
        <v>0</v>
      </c>
      <c r="J64" s="277">
        <v>5</v>
      </c>
      <c r="K64" s="235">
        <v>30</v>
      </c>
      <c r="L64" s="206">
        <f t="shared" si="27"/>
        <v>45</v>
      </c>
    </row>
    <row r="65" spans="1:12" ht="14.95" thickBot="1" x14ac:dyDescent="0.3">
      <c r="A65" s="363" t="s">
        <v>704</v>
      </c>
      <c r="B65" s="364">
        <v>1</v>
      </c>
      <c r="C65" s="365">
        <v>0</v>
      </c>
      <c r="D65" s="446">
        <v>0</v>
      </c>
      <c r="E65" s="366">
        <v>5</v>
      </c>
      <c r="F65" s="367">
        <f t="shared" si="26"/>
        <v>6</v>
      </c>
      <c r="G65" s="184" t="s">
        <v>596</v>
      </c>
      <c r="H65" s="79">
        <v>5</v>
      </c>
      <c r="I65" s="336">
        <v>5</v>
      </c>
      <c r="J65" s="277">
        <v>15</v>
      </c>
      <c r="K65" s="235">
        <v>15</v>
      </c>
      <c r="L65" s="206">
        <f t="shared" si="27"/>
        <v>40</v>
      </c>
    </row>
    <row r="66" spans="1:12" ht="14.95" thickBot="1" x14ac:dyDescent="0.3">
      <c r="A66" s="363" t="s">
        <v>991</v>
      </c>
      <c r="B66" s="364">
        <v>2</v>
      </c>
      <c r="C66" s="365">
        <v>0</v>
      </c>
      <c r="D66" s="446">
        <v>0</v>
      </c>
      <c r="E66" s="366">
        <v>3</v>
      </c>
      <c r="F66" s="367">
        <f t="shared" si="26"/>
        <v>5</v>
      </c>
      <c r="G66" s="184" t="s">
        <v>393</v>
      </c>
      <c r="H66" s="79">
        <v>30</v>
      </c>
      <c r="I66" s="336">
        <v>0</v>
      </c>
      <c r="J66" s="277">
        <v>5</v>
      </c>
      <c r="K66" s="235">
        <v>0</v>
      </c>
      <c r="L66" s="206">
        <f t="shared" si="27"/>
        <v>35</v>
      </c>
    </row>
    <row r="67" spans="1:12" ht="14.95" thickBot="1" x14ac:dyDescent="0.3">
      <c r="A67" s="363" t="s">
        <v>1065</v>
      </c>
      <c r="B67" s="364">
        <v>1</v>
      </c>
      <c r="C67" s="365">
        <v>0</v>
      </c>
      <c r="D67" s="446">
        <v>0</v>
      </c>
      <c r="E67" s="366">
        <v>4</v>
      </c>
      <c r="F67" s="367">
        <f t="shared" si="26"/>
        <v>5</v>
      </c>
      <c r="G67" s="184" t="s">
        <v>563</v>
      </c>
      <c r="H67" s="79">
        <v>10</v>
      </c>
      <c r="I67" s="336">
        <v>0</v>
      </c>
      <c r="J67" s="277">
        <v>0</v>
      </c>
      <c r="K67" s="235">
        <v>20</v>
      </c>
      <c r="L67" s="206">
        <f t="shared" si="27"/>
        <v>30</v>
      </c>
    </row>
    <row r="68" spans="1:12" ht="14.95" thickBot="1" x14ac:dyDescent="0.3">
      <c r="A68" s="363" t="s">
        <v>34</v>
      </c>
      <c r="B68" s="364">
        <v>4</v>
      </c>
      <c r="C68" s="365">
        <v>0</v>
      </c>
      <c r="D68" s="446">
        <v>1</v>
      </c>
      <c r="E68" s="366">
        <v>0</v>
      </c>
      <c r="F68" s="367">
        <f t="shared" si="26"/>
        <v>5</v>
      </c>
      <c r="G68" s="184" t="s">
        <v>704</v>
      </c>
      <c r="H68" s="79">
        <v>5</v>
      </c>
      <c r="I68" s="336">
        <v>0</v>
      </c>
      <c r="J68" s="277">
        <v>0</v>
      </c>
      <c r="K68" s="235">
        <v>25</v>
      </c>
      <c r="L68" s="206">
        <f t="shared" si="27"/>
        <v>30</v>
      </c>
    </row>
    <row r="69" spans="1:12" ht="14.95" thickBot="1" x14ac:dyDescent="0.3">
      <c r="A69" s="363" t="s">
        <v>80</v>
      </c>
      <c r="B69" s="364">
        <v>4</v>
      </c>
      <c r="C69" s="365">
        <v>1</v>
      </c>
      <c r="D69" s="446">
        <v>0</v>
      </c>
      <c r="E69" s="366">
        <v>0</v>
      </c>
      <c r="F69" s="367">
        <f t="shared" si="26"/>
        <v>5</v>
      </c>
      <c r="G69" s="184" t="s">
        <v>991</v>
      </c>
      <c r="H69" s="79">
        <v>10</v>
      </c>
      <c r="I69" s="336">
        <v>0</v>
      </c>
      <c r="J69" s="277">
        <v>0</v>
      </c>
      <c r="K69" s="235">
        <v>15</v>
      </c>
      <c r="L69" s="206">
        <f t="shared" si="27"/>
        <v>25</v>
      </c>
    </row>
    <row r="70" spans="1:12" ht="14.95" thickBot="1" x14ac:dyDescent="0.3">
      <c r="A70" s="363" t="s">
        <v>75</v>
      </c>
      <c r="B70" s="364">
        <v>3</v>
      </c>
      <c r="C70" s="365">
        <v>0</v>
      </c>
      <c r="D70" s="446">
        <v>2</v>
      </c>
      <c r="E70" s="366">
        <v>0</v>
      </c>
      <c r="F70" s="367">
        <f t="shared" si="26"/>
        <v>5</v>
      </c>
      <c r="G70" s="183" t="s">
        <v>1065</v>
      </c>
      <c r="H70" s="79">
        <v>5</v>
      </c>
      <c r="I70" s="336">
        <v>0</v>
      </c>
      <c r="J70" s="277">
        <v>0</v>
      </c>
      <c r="K70" s="235">
        <v>20</v>
      </c>
      <c r="L70" s="206">
        <f t="shared" si="27"/>
        <v>25</v>
      </c>
    </row>
    <row r="71" spans="1:12" ht="14.95" thickBot="1" x14ac:dyDescent="0.3">
      <c r="A71" s="363" t="s">
        <v>701</v>
      </c>
      <c r="B71" s="364">
        <v>4</v>
      </c>
      <c r="C71" s="365">
        <v>0</v>
      </c>
      <c r="D71" s="446">
        <v>1</v>
      </c>
      <c r="E71" s="366">
        <v>0</v>
      </c>
      <c r="F71" s="367">
        <f t="shared" si="26"/>
        <v>5</v>
      </c>
      <c r="G71" s="184" t="s">
        <v>34</v>
      </c>
      <c r="H71" s="79">
        <v>20</v>
      </c>
      <c r="I71" s="336">
        <v>0</v>
      </c>
      <c r="J71" s="277">
        <v>5</v>
      </c>
      <c r="K71" s="235">
        <v>0</v>
      </c>
      <c r="L71" s="206">
        <f t="shared" si="27"/>
        <v>25</v>
      </c>
    </row>
    <row r="72" spans="1:12" ht="14.95" thickBot="1" x14ac:dyDescent="0.3">
      <c r="A72" s="363" t="s">
        <v>984</v>
      </c>
      <c r="B72" s="364">
        <v>0</v>
      </c>
      <c r="C72" s="365">
        <v>0</v>
      </c>
      <c r="D72" s="446">
        <v>0</v>
      </c>
      <c r="E72" s="366">
        <v>5</v>
      </c>
      <c r="F72" s="367">
        <f t="shared" si="26"/>
        <v>5</v>
      </c>
      <c r="G72" s="184" t="s">
        <v>80</v>
      </c>
      <c r="H72" s="79">
        <v>20</v>
      </c>
      <c r="I72" s="336">
        <v>5</v>
      </c>
      <c r="J72" s="277">
        <v>0</v>
      </c>
      <c r="K72" s="235">
        <v>0</v>
      </c>
      <c r="L72" s="206">
        <f t="shared" si="27"/>
        <v>25</v>
      </c>
    </row>
    <row r="73" spans="1:12" ht="14.95" thickBot="1" x14ac:dyDescent="0.3">
      <c r="A73" s="363" t="s">
        <v>76</v>
      </c>
      <c r="B73" s="364">
        <v>4</v>
      </c>
      <c r="C73" s="365">
        <v>0</v>
      </c>
      <c r="D73" s="446">
        <v>1</v>
      </c>
      <c r="E73" s="366">
        <v>0</v>
      </c>
      <c r="F73" s="367">
        <f t="shared" si="26"/>
        <v>5</v>
      </c>
      <c r="G73" s="184" t="s">
        <v>75</v>
      </c>
      <c r="H73" s="79">
        <v>15</v>
      </c>
      <c r="I73" s="336">
        <v>0</v>
      </c>
      <c r="J73" s="277">
        <v>10</v>
      </c>
      <c r="K73" s="235">
        <v>0</v>
      </c>
      <c r="L73" s="206">
        <f t="shared" si="27"/>
        <v>25</v>
      </c>
    </row>
    <row r="74" spans="1:12" ht="14.95" thickBot="1" x14ac:dyDescent="0.3">
      <c r="A74" s="363" t="s">
        <v>52</v>
      </c>
      <c r="B74" s="364">
        <v>2</v>
      </c>
      <c r="C74" s="365">
        <v>1</v>
      </c>
      <c r="D74" s="446">
        <v>1</v>
      </c>
      <c r="E74" s="366">
        <v>0</v>
      </c>
      <c r="F74" s="367">
        <f t="shared" si="26"/>
        <v>4</v>
      </c>
      <c r="G74" s="184" t="s">
        <v>701</v>
      </c>
      <c r="H74" s="79">
        <v>20</v>
      </c>
      <c r="I74" s="336">
        <v>0</v>
      </c>
      <c r="J74" s="277">
        <v>5</v>
      </c>
      <c r="K74" s="235">
        <v>0</v>
      </c>
      <c r="L74" s="206">
        <f t="shared" si="27"/>
        <v>25</v>
      </c>
    </row>
    <row r="75" spans="1:12" ht="14.95" thickBot="1" x14ac:dyDescent="0.3">
      <c r="A75" s="363" t="s">
        <v>89</v>
      </c>
      <c r="B75" s="364">
        <v>2</v>
      </c>
      <c r="C75" s="365">
        <v>1</v>
      </c>
      <c r="D75" s="446">
        <v>1</v>
      </c>
      <c r="E75" s="366">
        <v>0</v>
      </c>
      <c r="F75" s="367">
        <f t="shared" si="26"/>
        <v>4</v>
      </c>
      <c r="G75" s="184" t="s">
        <v>984</v>
      </c>
      <c r="H75" s="79">
        <v>0</v>
      </c>
      <c r="I75" s="336">
        <v>0</v>
      </c>
      <c r="J75" s="277">
        <v>0</v>
      </c>
      <c r="K75" s="235">
        <v>25</v>
      </c>
      <c r="L75" s="206">
        <f t="shared" si="27"/>
        <v>25</v>
      </c>
    </row>
    <row r="76" spans="1:12" ht="14.95" thickBot="1" x14ac:dyDescent="0.3">
      <c r="A76" s="363" t="s">
        <v>353</v>
      </c>
      <c r="B76" s="364">
        <v>2</v>
      </c>
      <c r="C76" s="365">
        <v>0</v>
      </c>
      <c r="D76" s="446">
        <v>0</v>
      </c>
      <c r="E76" s="366">
        <v>2</v>
      </c>
      <c r="F76" s="367">
        <f t="shared" si="26"/>
        <v>4</v>
      </c>
      <c r="G76" s="184" t="s">
        <v>76</v>
      </c>
      <c r="H76" s="79">
        <v>20</v>
      </c>
      <c r="I76" s="336">
        <v>0</v>
      </c>
      <c r="J76" s="277">
        <v>5</v>
      </c>
      <c r="K76" s="235">
        <v>0</v>
      </c>
      <c r="L76" s="206">
        <f t="shared" si="27"/>
        <v>25</v>
      </c>
    </row>
    <row r="77" spans="1:12" ht="14.95" thickBot="1" x14ac:dyDescent="0.3">
      <c r="A77" s="363" t="s">
        <v>625</v>
      </c>
      <c r="B77" s="364">
        <v>2</v>
      </c>
      <c r="C77" s="365">
        <v>0</v>
      </c>
      <c r="D77" s="446">
        <v>1</v>
      </c>
      <c r="E77" s="366">
        <v>1</v>
      </c>
      <c r="F77" s="367">
        <f t="shared" si="26"/>
        <v>4</v>
      </c>
      <c r="G77" s="184" t="s">
        <v>598</v>
      </c>
      <c r="H77" s="79">
        <v>13</v>
      </c>
      <c r="I77" s="336">
        <v>0</v>
      </c>
      <c r="J77" s="277">
        <v>10</v>
      </c>
      <c r="K77" s="235">
        <v>0</v>
      </c>
      <c r="L77" s="206">
        <f t="shared" si="27"/>
        <v>23</v>
      </c>
    </row>
    <row r="78" spans="1:12" ht="14.95" thickBot="1" x14ac:dyDescent="0.3">
      <c r="A78" s="363" t="s">
        <v>603</v>
      </c>
      <c r="B78" s="364">
        <v>3</v>
      </c>
      <c r="C78" s="365">
        <v>1</v>
      </c>
      <c r="D78" s="446">
        <v>0</v>
      </c>
      <c r="E78" s="366">
        <v>0</v>
      </c>
      <c r="F78" s="367">
        <f t="shared" si="26"/>
        <v>4</v>
      </c>
      <c r="G78" s="184" t="s">
        <v>4</v>
      </c>
      <c r="H78" s="79">
        <v>21</v>
      </c>
      <c r="I78" s="336">
        <v>0</v>
      </c>
      <c r="J78" s="277">
        <v>0</v>
      </c>
      <c r="K78" s="235">
        <v>0</v>
      </c>
      <c r="L78" s="206">
        <f t="shared" si="27"/>
        <v>21</v>
      </c>
    </row>
    <row r="79" spans="1:12" ht="14.95" thickBot="1" x14ac:dyDescent="0.3">
      <c r="A79" s="363" t="s">
        <v>989</v>
      </c>
      <c r="B79" s="364">
        <v>0</v>
      </c>
      <c r="C79" s="365">
        <v>0</v>
      </c>
      <c r="D79" s="446">
        <v>0</v>
      </c>
      <c r="E79" s="366">
        <v>4</v>
      </c>
      <c r="F79" s="367">
        <f t="shared" si="26"/>
        <v>4</v>
      </c>
      <c r="G79" s="184" t="s">
        <v>52</v>
      </c>
      <c r="H79" s="79">
        <v>10</v>
      </c>
      <c r="I79" s="336">
        <v>5</v>
      </c>
      <c r="J79" s="277">
        <v>5</v>
      </c>
      <c r="K79" s="235">
        <v>0</v>
      </c>
      <c r="L79" s="206">
        <f t="shared" si="27"/>
        <v>20</v>
      </c>
    </row>
    <row r="80" spans="1:12" ht="14.95" thickBot="1" x14ac:dyDescent="0.3">
      <c r="A80" s="363" t="s">
        <v>598</v>
      </c>
      <c r="B80" s="364">
        <v>2</v>
      </c>
      <c r="C80" s="365">
        <v>0</v>
      </c>
      <c r="D80" s="446">
        <v>2</v>
      </c>
      <c r="E80" s="366">
        <v>0</v>
      </c>
      <c r="F80" s="367">
        <f t="shared" si="26"/>
        <v>4</v>
      </c>
      <c r="G80" s="184" t="s">
        <v>89</v>
      </c>
      <c r="H80" s="79">
        <v>10</v>
      </c>
      <c r="I80" s="336">
        <v>5</v>
      </c>
      <c r="J80" s="277">
        <v>5</v>
      </c>
      <c r="K80" s="235">
        <v>0</v>
      </c>
      <c r="L80" s="206">
        <f t="shared" si="27"/>
        <v>20</v>
      </c>
    </row>
    <row r="81" spans="1:12" ht="14.95" thickBot="1" x14ac:dyDescent="0.3">
      <c r="A81" s="363" t="s">
        <v>77</v>
      </c>
      <c r="B81" s="364">
        <v>4</v>
      </c>
      <c r="C81" s="365">
        <v>0</v>
      </c>
      <c r="D81" s="446">
        <v>0</v>
      </c>
      <c r="E81" s="366">
        <v>0</v>
      </c>
      <c r="F81" s="367">
        <f t="shared" si="26"/>
        <v>4</v>
      </c>
      <c r="G81" s="184" t="s">
        <v>353</v>
      </c>
      <c r="H81" s="79">
        <v>10</v>
      </c>
      <c r="I81" s="336">
        <v>0</v>
      </c>
      <c r="J81" s="277">
        <v>0</v>
      </c>
      <c r="K81" s="235">
        <v>10</v>
      </c>
      <c r="L81" s="206">
        <f t="shared" si="27"/>
        <v>20</v>
      </c>
    </row>
    <row r="82" spans="1:12" ht="14.95" thickBot="1" x14ac:dyDescent="0.3">
      <c r="A82" s="363" t="s">
        <v>525</v>
      </c>
      <c r="B82" s="364">
        <v>3</v>
      </c>
      <c r="C82" s="365">
        <v>0</v>
      </c>
      <c r="D82" s="446">
        <v>0</v>
      </c>
      <c r="E82" s="366">
        <v>1</v>
      </c>
      <c r="F82" s="367">
        <f t="shared" si="26"/>
        <v>4</v>
      </c>
      <c r="G82" s="184" t="s">
        <v>625</v>
      </c>
      <c r="H82" s="79">
        <v>10</v>
      </c>
      <c r="I82" s="336">
        <v>0</v>
      </c>
      <c r="J82" s="277">
        <v>5</v>
      </c>
      <c r="K82" s="235">
        <v>5</v>
      </c>
      <c r="L82" s="206">
        <f t="shared" si="27"/>
        <v>20</v>
      </c>
    </row>
    <row r="83" spans="1:12" ht="14.95" thickBot="1" x14ac:dyDescent="0.3">
      <c r="A83" s="363" t="s">
        <v>1244</v>
      </c>
      <c r="B83" s="364">
        <v>2</v>
      </c>
      <c r="C83" s="365">
        <v>0</v>
      </c>
      <c r="D83" s="446">
        <v>0</v>
      </c>
      <c r="E83" s="366">
        <v>1</v>
      </c>
      <c r="F83" s="367">
        <f t="shared" si="26"/>
        <v>3</v>
      </c>
      <c r="G83" s="184" t="s">
        <v>989</v>
      </c>
      <c r="H83" s="79">
        <v>0</v>
      </c>
      <c r="I83" s="336">
        <v>0</v>
      </c>
      <c r="J83" s="277">
        <v>0</v>
      </c>
      <c r="K83" s="235">
        <v>20</v>
      </c>
      <c r="L83" s="206">
        <f t="shared" si="27"/>
        <v>20</v>
      </c>
    </row>
    <row r="84" spans="1:12" ht="14.95" thickBot="1" x14ac:dyDescent="0.3">
      <c r="A84" s="363" t="s">
        <v>1067</v>
      </c>
      <c r="B84" s="364">
        <v>1</v>
      </c>
      <c r="C84" s="365">
        <v>0</v>
      </c>
      <c r="D84" s="446">
        <v>0</v>
      </c>
      <c r="E84" s="366">
        <v>2</v>
      </c>
      <c r="F84" s="367">
        <f t="shared" si="26"/>
        <v>3</v>
      </c>
      <c r="G84" s="184" t="s">
        <v>77</v>
      </c>
      <c r="H84" s="79">
        <v>20</v>
      </c>
      <c r="I84" s="336">
        <v>0</v>
      </c>
      <c r="J84" s="277">
        <v>0</v>
      </c>
      <c r="K84" s="235">
        <v>0</v>
      </c>
      <c r="L84" s="206">
        <f t="shared" si="27"/>
        <v>20</v>
      </c>
    </row>
    <row r="85" spans="1:12" ht="14.95" thickBot="1" x14ac:dyDescent="0.3">
      <c r="A85" s="363" t="s">
        <v>987</v>
      </c>
      <c r="B85" s="364">
        <v>0</v>
      </c>
      <c r="C85" s="365">
        <v>0</v>
      </c>
      <c r="D85" s="446">
        <v>0</v>
      </c>
      <c r="E85" s="366">
        <v>3</v>
      </c>
      <c r="F85" s="367">
        <f t="shared" si="26"/>
        <v>3</v>
      </c>
      <c r="G85" s="184" t="s">
        <v>525</v>
      </c>
      <c r="H85" s="79">
        <v>15</v>
      </c>
      <c r="I85" s="336">
        <v>0</v>
      </c>
      <c r="J85" s="277">
        <v>0</v>
      </c>
      <c r="K85" s="235">
        <v>5</v>
      </c>
      <c r="L85" s="206">
        <f t="shared" si="27"/>
        <v>20</v>
      </c>
    </row>
    <row r="86" spans="1:12" ht="14.95" thickBot="1" x14ac:dyDescent="0.3">
      <c r="A86" s="363" t="s">
        <v>4</v>
      </c>
      <c r="B86" s="364">
        <v>3</v>
      </c>
      <c r="C86" s="365">
        <v>0</v>
      </c>
      <c r="D86" s="446">
        <v>0</v>
      </c>
      <c r="E86" s="366">
        <v>0</v>
      </c>
      <c r="F86" s="367">
        <f t="shared" si="26"/>
        <v>3</v>
      </c>
      <c r="G86" s="184" t="s">
        <v>1067</v>
      </c>
      <c r="H86" s="79">
        <v>5</v>
      </c>
      <c r="I86" s="336">
        <v>0</v>
      </c>
      <c r="J86" s="277">
        <v>0</v>
      </c>
      <c r="K86" s="235">
        <v>10</v>
      </c>
      <c r="L86" s="206">
        <f t="shared" si="27"/>
        <v>15</v>
      </c>
    </row>
    <row r="87" spans="1:12" ht="14.95" thickBot="1" x14ac:dyDescent="0.3">
      <c r="A87" s="363" t="s">
        <v>88</v>
      </c>
      <c r="B87" s="364">
        <v>2</v>
      </c>
      <c r="C87" s="365">
        <v>0</v>
      </c>
      <c r="D87" s="446">
        <v>0</v>
      </c>
      <c r="E87" s="366">
        <v>1</v>
      </c>
      <c r="F87" s="367">
        <f t="shared" si="26"/>
        <v>3</v>
      </c>
      <c r="G87" s="184" t="s">
        <v>987</v>
      </c>
      <c r="H87" s="79">
        <v>0</v>
      </c>
      <c r="I87" s="336">
        <v>0</v>
      </c>
      <c r="J87" s="277">
        <v>0</v>
      </c>
      <c r="K87" s="235">
        <v>15</v>
      </c>
      <c r="L87" s="206">
        <f t="shared" si="27"/>
        <v>15</v>
      </c>
    </row>
    <row r="88" spans="1:12" ht="14.95" thickBot="1" x14ac:dyDescent="0.3">
      <c r="A88" s="363" t="s">
        <v>210</v>
      </c>
      <c r="B88" s="364">
        <v>2</v>
      </c>
      <c r="C88" s="365">
        <v>0</v>
      </c>
      <c r="D88" s="446">
        <v>1</v>
      </c>
      <c r="E88" s="366">
        <v>0</v>
      </c>
      <c r="F88" s="367">
        <f t="shared" si="26"/>
        <v>3</v>
      </c>
      <c r="G88" s="184" t="s">
        <v>88</v>
      </c>
      <c r="H88" s="79">
        <v>10</v>
      </c>
      <c r="I88" s="336">
        <v>0</v>
      </c>
      <c r="J88" s="277">
        <v>0</v>
      </c>
      <c r="K88" s="235">
        <v>5</v>
      </c>
      <c r="L88" s="206">
        <f t="shared" si="27"/>
        <v>15</v>
      </c>
    </row>
    <row r="89" spans="1:12" ht="14.95" thickBot="1" x14ac:dyDescent="0.3">
      <c r="A89" s="363" t="s">
        <v>434</v>
      </c>
      <c r="B89" s="364">
        <v>1</v>
      </c>
      <c r="C89" s="365">
        <v>0</v>
      </c>
      <c r="D89" s="446">
        <v>0</v>
      </c>
      <c r="E89" s="366">
        <v>2</v>
      </c>
      <c r="F89" s="367">
        <f t="shared" si="26"/>
        <v>3</v>
      </c>
      <c r="G89" s="184" t="s">
        <v>210</v>
      </c>
      <c r="H89" s="79">
        <v>10</v>
      </c>
      <c r="I89" s="336">
        <v>0</v>
      </c>
      <c r="J89" s="277">
        <v>5</v>
      </c>
      <c r="K89" s="235">
        <v>0</v>
      </c>
      <c r="L89" s="206">
        <f t="shared" si="27"/>
        <v>15</v>
      </c>
    </row>
    <row r="90" spans="1:12" ht="14.95" thickBot="1" x14ac:dyDescent="0.3">
      <c r="A90" s="363" t="s">
        <v>1144</v>
      </c>
      <c r="B90" s="364">
        <v>2</v>
      </c>
      <c r="C90" s="365">
        <v>1</v>
      </c>
      <c r="D90" s="446">
        <v>0</v>
      </c>
      <c r="E90" s="366">
        <v>0</v>
      </c>
      <c r="F90" s="367">
        <f t="shared" si="26"/>
        <v>3</v>
      </c>
      <c r="G90" s="184" t="s">
        <v>434</v>
      </c>
      <c r="H90" s="79">
        <v>5</v>
      </c>
      <c r="I90" s="336">
        <v>0</v>
      </c>
      <c r="J90" s="277">
        <v>0</v>
      </c>
      <c r="K90" s="235">
        <v>10</v>
      </c>
      <c r="L90" s="206">
        <f t="shared" si="27"/>
        <v>15</v>
      </c>
    </row>
    <row r="91" spans="1:12" ht="14.95" thickBot="1" x14ac:dyDescent="0.3">
      <c r="A91" s="363" t="s">
        <v>702</v>
      </c>
      <c r="B91" s="364">
        <v>2</v>
      </c>
      <c r="C91" s="365">
        <v>0</v>
      </c>
      <c r="D91" s="446">
        <v>0</v>
      </c>
      <c r="E91" s="366">
        <v>0</v>
      </c>
      <c r="F91" s="367">
        <f t="shared" si="26"/>
        <v>2</v>
      </c>
      <c r="G91" s="184" t="s">
        <v>1144</v>
      </c>
      <c r="H91" s="79">
        <v>10</v>
      </c>
      <c r="I91" s="336">
        <v>5</v>
      </c>
      <c r="J91" s="277">
        <v>0</v>
      </c>
      <c r="K91" s="235">
        <v>0</v>
      </c>
      <c r="L91" s="206">
        <f t="shared" si="27"/>
        <v>15</v>
      </c>
    </row>
    <row r="92" spans="1:12" ht="14.95" thickBot="1" x14ac:dyDescent="0.3">
      <c r="A92" s="363" t="s">
        <v>330</v>
      </c>
      <c r="B92" s="364">
        <v>1</v>
      </c>
      <c r="C92" s="365">
        <v>0</v>
      </c>
      <c r="D92" s="446">
        <v>0</v>
      </c>
      <c r="E92" s="366">
        <v>0</v>
      </c>
      <c r="F92" s="367">
        <f t="shared" si="26"/>
        <v>1</v>
      </c>
      <c r="G92" s="184" t="s">
        <v>702</v>
      </c>
      <c r="H92" s="79">
        <v>10</v>
      </c>
      <c r="I92" s="336">
        <v>0</v>
      </c>
      <c r="J92" s="277">
        <v>0</v>
      </c>
      <c r="K92" s="235">
        <v>0</v>
      </c>
      <c r="L92" s="206">
        <f t="shared" si="27"/>
        <v>10</v>
      </c>
    </row>
    <row r="93" spans="1:12" ht="14.95" thickBot="1" x14ac:dyDescent="0.3">
      <c r="A93" s="363" t="s">
        <v>1246</v>
      </c>
      <c r="B93" s="364">
        <v>0</v>
      </c>
      <c r="C93" s="365">
        <v>0</v>
      </c>
      <c r="D93" s="446">
        <v>0</v>
      </c>
      <c r="E93" s="366">
        <v>1</v>
      </c>
      <c r="F93" s="367">
        <f t="shared" si="26"/>
        <v>1</v>
      </c>
      <c r="G93" s="184" t="s">
        <v>1246</v>
      </c>
      <c r="H93" s="79">
        <v>0</v>
      </c>
      <c r="I93" s="336">
        <v>0</v>
      </c>
      <c r="J93" s="277">
        <v>0</v>
      </c>
      <c r="K93" s="235">
        <v>5</v>
      </c>
      <c r="L93" s="206">
        <f t="shared" si="27"/>
        <v>5</v>
      </c>
    </row>
    <row r="94" spans="1:12" ht="14.95" thickBot="1" x14ac:dyDescent="0.3">
      <c r="A94" s="363" t="s">
        <v>44</v>
      </c>
      <c r="B94" s="364">
        <v>1</v>
      </c>
      <c r="C94" s="365">
        <v>0</v>
      </c>
      <c r="D94" s="446">
        <v>0</v>
      </c>
      <c r="E94" s="366">
        <v>0</v>
      </c>
      <c r="F94" s="367">
        <f t="shared" si="26"/>
        <v>1</v>
      </c>
      <c r="G94" s="184" t="s">
        <v>44</v>
      </c>
      <c r="H94" s="79">
        <v>5</v>
      </c>
      <c r="I94" s="336">
        <v>0</v>
      </c>
      <c r="J94" s="277">
        <v>0</v>
      </c>
      <c r="K94" s="235">
        <v>0</v>
      </c>
      <c r="L94" s="206">
        <f t="shared" si="27"/>
        <v>5</v>
      </c>
    </row>
    <row r="95" spans="1:12" ht="14.95" thickBot="1" x14ac:dyDescent="0.3">
      <c r="A95" s="363" t="s">
        <v>303</v>
      </c>
      <c r="B95" s="364">
        <v>0</v>
      </c>
      <c r="C95" s="365">
        <v>0</v>
      </c>
      <c r="D95" s="446">
        <v>0</v>
      </c>
      <c r="E95" s="366">
        <v>1</v>
      </c>
      <c r="F95" s="367">
        <f t="shared" si="26"/>
        <v>1</v>
      </c>
      <c r="G95" s="184" t="s">
        <v>303</v>
      </c>
      <c r="H95" s="79">
        <v>0</v>
      </c>
      <c r="I95" s="336">
        <v>0</v>
      </c>
      <c r="J95" s="277">
        <v>0</v>
      </c>
      <c r="K95" s="235">
        <v>5</v>
      </c>
      <c r="L95" s="206">
        <f t="shared" si="27"/>
        <v>5</v>
      </c>
    </row>
    <row r="96" spans="1:12" ht="14.95" thickBot="1" x14ac:dyDescent="0.3">
      <c r="A96" s="363" t="s">
        <v>1316</v>
      </c>
      <c r="B96" s="364">
        <v>0</v>
      </c>
      <c r="C96" s="365">
        <v>0</v>
      </c>
      <c r="D96" s="446">
        <v>1</v>
      </c>
      <c r="E96" s="366">
        <v>0</v>
      </c>
      <c r="F96" s="367">
        <f t="shared" si="26"/>
        <v>1</v>
      </c>
      <c r="G96" s="184" t="s">
        <v>1316</v>
      </c>
      <c r="H96" s="79">
        <v>0</v>
      </c>
      <c r="I96" s="336">
        <v>0</v>
      </c>
      <c r="J96" s="277">
        <v>5</v>
      </c>
      <c r="K96" s="235">
        <v>0</v>
      </c>
      <c r="L96" s="206">
        <f t="shared" si="27"/>
        <v>5</v>
      </c>
    </row>
    <row r="97" spans="1:12" ht="14.95" thickBot="1" x14ac:dyDescent="0.3">
      <c r="A97" s="363" t="s">
        <v>228</v>
      </c>
      <c r="B97" s="364">
        <v>1</v>
      </c>
      <c r="C97" s="365">
        <v>0</v>
      </c>
      <c r="D97" s="446">
        <v>0</v>
      </c>
      <c r="E97" s="366">
        <v>0</v>
      </c>
      <c r="F97" s="367">
        <f t="shared" si="26"/>
        <v>1</v>
      </c>
      <c r="G97" s="184" t="s">
        <v>228</v>
      </c>
      <c r="H97" s="79">
        <v>5</v>
      </c>
      <c r="I97" s="336">
        <v>0</v>
      </c>
      <c r="J97" s="277">
        <v>0</v>
      </c>
      <c r="K97" s="235">
        <v>0</v>
      </c>
      <c r="L97" s="206">
        <f t="shared" si="27"/>
        <v>5</v>
      </c>
    </row>
    <row r="98" spans="1:12" ht="14.95" thickBot="1" x14ac:dyDescent="0.3">
      <c r="A98" s="363" t="s">
        <v>1261</v>
      </c>
      <c r="B98" s="364">
        <v>0</v>
      </c>
      <c r="C98" s="365">
        <v>0</v>
      </c>
      <c r="D98" s="446">
        <v>0</v>
      </c>
      <c r="E98" s="366">
        <v>1</v>
      </c>
      <c r="F98" s="367">
        <f t="shared" si="26"/>
        <v>1</v>
      </c>
      <c r="G98" s="184" t="s">
        <v>1261</v>
      </c>
      <c r="H98" s="79">
        <v>0</v>
      </c>
      <c r="I98" s="336">
        <v>0</v>
      </c>
      <c r="J98" s="277">
        <v>0</v>
      </c>
      <c r="K98" s="235">
        <v>5</v>
      </c>
      <c r="L98" s="206">
        <f t="shared" si="27"/>
        <v>5</v>
      </c>
    </row>
    <row r="99" spans="1:12" ht="14.95" thickBot="1" x14ac:dyDescent="0.3">
      <c r="A99" s="363" t="s">
        <v>1248</v>
      </c>
      <c r="B99" s="364">
        <v>0</v>
      </c>
      <c r="C99" s="365">
        <v>0</v>
      </c>
      <c r="D99" s="446">
        <v>0</v>
      </c>
      <c r="E99" s="366">
        <v>1</v>
      </c>
      <c r="F99" s="367">
        <f t="shared" si="26"/>
        <v>1</v>
      </c>
      <c r="G99" s="184" t="s">
        <v>1248</v>
      </c>
      <c r="H99" s="79">
        <v>0</v>
      </c>
      <c r="I99" s="336">
        <v>0</v>
      </c>
      <c r="J99" s="277">
        <v>0</v>
      </c>
      <c r="K99" s="235">
        <v>5</v>
      </c>
      <c r="L99" s="206">
        <f t="shared" si="27"/>
        <v>5</v>
      </c>
    </row>
    <row r="100" spans="1:12" ht="14.95" thickBot="1" x14ac:dyDescent="0.3">
      <c r="A100" s="363" t="s">
        <v>638</v>
      </c>
      <c r="B100" s="364">
        <v>0</v>
      </c>
      <c r="C100" s="365">
        <v>0</v>
      </c>
      <c r="D100" s="446">
        <v>0</v>
      </c>
      <c r="E100" s="366">
        <v>1</v>
      </c>
      <c r="F100" s="367">
        <f t="shared" si="26"/>
        <v>1</v>
      </c>
      <c r="G100" s="184" t="s">
        <v>638</v>
      </c>
      <c r="H100" s="79">
        <v>0</v>
      </c>
      <c r="I100" s="336">
        <v>0</v>
      </c>
      <c r="J100" s="277">
        <v>0</v>
      </c>
      <c r="K100" s="235">
        <v>5</v>
      </c>
      <c r="L100" s="206">
        <f t="shared" si="27"/>
        <v>5</v>
      </c>
    </row>
    <row r="101" spans="1:12" ht="14.95" thickBot="1" x14ac:dyDescent="0.3">
      <c r="A101" s="363" t="s">
        <v>262</v>
      </c>
      <c r="B101" s="364">
        <v>0</v>
      </c>
      <c r="C101" s="365">
        <v>0</v>
      </c>
      <c r="D101" s="446">
        <v>0</v>
      </c>
      <c r="E101" s="366">
        <v>0</v>
      </c>
      <c r="F101" s="367">
        <f t="shared" si="26"/>
        <v>0</v>
      </c>
      <c r="G101" s="184" t="s">
        <v>262</v>
      </c>
      <c r="H101" s="79">
        <v>0</v>
      </c>
      <c r="I101" s="336">
        <v>0</v>
      </c>
      <c r="J101" s="277">
        <v>0</v>
      </c>
      <c r="K101" s="235">
        <v>0</v>
      </c>
      <c r="L101" s="206">
        <f t="shared" si="27"/>
        <v>0</v>
      </c>
    </row>
    <row r="102" spans="1:12" ht="14.95" thickBot="1" x14ac:dyDescent="0.3">
      <c r="A102" s="363" t="s">
        <v>90</v>
      </c>
      <c r="B102" s="364">
        <v>0</v>
      </c>
      <c r="C102" s="365">
        <v>0</v>
      </c>
      <c r="D102" s="446">
        <v>0</v>
      </c>
      <c r="E102" s="366">
        <v>0</v>
      </c>
      <c r="F102" s="367">
        <f t="shared" si="26"/>
        <v>0</v>
      </c>
      <c r="G102" s="184" t="s">
        <v>90</v>
      </c>
      <c r="H102" s="79">
        <v>0</v>
      </c>
      <c r="I102" s="336">
        <v>0</v>
      </c>
      <c r="J102" s="277">
        <v>0</v>
      </c>
      <c r="K102" s="235">
        <v>0</v>
      </c>
      <c r="L102" s="206">
        <f t="shared" si="27"/>
        <v>0</v>
      </c>
    </row>
    <row r="103" spans="1:12" ht="14.95" thickBot="1" x14ac:dyDescent="0.3">
      <c r="A103" s="363" t="s">
        <v>3</v>
      </c>
      <c r="B103" s="364">
        <f>SUM(B55:B102)</f>
        <v>102</v>
      </c>
      <c r="C103" s="365">
        <f>SUM(C55:C102)</f>
        <v>14</v>
      </c>
      <c r="D103" s="446">
        <f>SUM(D55:D102)</f>
        <v>26</v>
      </c>
      <c r="E103" s="366">
        <f>SUM(E55:E102)</f>
        <v>63</v>
      </c>
      <c r="F103" s="367">
        <f t="shared" ref="F103" si="28">SUM(B103:E103)</f>
        <v>205</v>
      </c>
      <c r="G103" s="183" t="s">
        <v>3</v>
      </c>
      <c r="H103" s="79">
        <f>SUM(H55:H102)</f>
        <v>708</v>
      </c>
      <c r="I103" s="336">
        <f>SUM(I55:I102)</f>
        <v>102</v>
      </c>
      <c r="J103" s="277">
        <f>SUM(J55:J102)</f>
        <v>186</v>
      </c>
      <c r="K103" s="235">
        <f>SUM(K55:K102)</f>
        <v>414</v>
      </c>
      <c r="L103" s="206">
        <f t="shared" ref="L103" si="29">SUM(H103:K103)</f>
        <v>1410</v>
      </c>
    </row>
    <row r="104" spans="1:12" x14ac:dyDescent="0.25">
      <c r="A104" s="489" t="s">
        <v>42</v>
      </c>
      <c r="B104" s="490"/>
      <c r="C104" s="490"/>
      <c r="D104" s="490"/>
      <c r="E104" s="490"/>
      <c r="F104" s="490"/>
      <c r="G104" s="490"/>
      <c r="H104" s="490"/>
      <c r="I104" s="490"/>
      <c r="J104" s="490"/>
      <c r="K104" s="490"/>
      <c r="L104" s="490"/>
    </row>
  </sheetData>
  <sortState xmlns:xlrd2="http://schemas.microsoft.com/office/spreadsheetml/2017/richdata2" ref="G55:L102">
    <sortCondition descending="1" ref="L55:L102"/>
  </sortState>
  <mergeCells count="60">
    <mergeCell ref="AE36:AS36"/>
    <mergeCell ref="A104:L104"/>
    <mergeCell ref="AQ27:AS28"/>
    <mergeCell ref="BF1:BH2"/>
    <mergeCell ref="AZ1:BB2"/>
    <mergeCell ref="AW1:AY2"/>
    <mergeCell ref="BC1:BE2"/>
    <mergeCell ref="AZ12:BB13"/>
    <mergeCell ref="AW12:AY13"/>
    <mergeCell ref="AQ19:AS20"/>
    <mergeCell ref="AT1:AV2"/>
    <mergeCell ref="AT12:AV13"/>
    <mergeCell ref="AW19:AY20"/>
    <mergeCell ref="AZ19:BB20"/>
    <mergeCell ref="AT27:AV28"/>
    <mergeCell ref="AT19:AV20"/>
    <mergeCell ref="AQ1:AS2"/>
    <mergeCell ref="AQ12:AS13"/>
    <mergeCell ref="AN1:AP2"/>
    <mergeCell ref="Y1:AA2"/>
    <mergeCell ref="V1:X2"/>
    <mergeCell ref="AK1:AM2"/>
    <mergeCell ref="AN12:AP13"/>
    <mergeCell ref="W12:Y13"/>
    <mergeCell ref="AH1:AJ2"/>
    <mergeCell ref="AH12:AJ13"/>
    <mergeCell ref="AK12:AM13"/>
    <mergeCell ref="AE1:AG2"/>
    <mergeCell ref="AE12:AG13"/>
    <mergeCell ref="A52:I52"/>
    <mergeCell ref="AN19:AP20"/>
    <mergeCell ref="AN27:AP28"/>
    <mergeCell ref="M35:AA35"/>
    <mergeCell ref="M36:AA36"/>
    <mergeCell ref="AE19:AG20"/>
    <mergeCell ref="AE27:AG28"/>
    <mergeCell ref="Q19:S20"/>
    <mergeCell ref="Q27:S28"/>
    <mergeCell ref="AK19:AM20"/>
    <mergeCell ref="AK27:AM28"/>
    <mergeCell ref="M27:M28"/>
    <mergeCell ref="N27:P28"/>
    <mergeCell ref="AH19:AJ20"/>
    <mergeCell ref="AH27:AJ28"/>
    <mergeCell ref="M37:AA37"/>
    <mergeCell ref="M19:M20"/>
    <mergeCell ref="N19:P20"/>
    <mergeCell ref="T19:V20"/>
    <mergeCell ref="T27:V28"/>
    <mergeCell ref="W19:Y20"/>
    <mergeCell ref="W27:Y28"/>
    <mergeCell ref="A1:L1"/>
    <mergeCell ref="T1:U2"/>
    <mergeCell ref="T12:V13"/>
    <mergeCell ref="M12:M13"/>
    <mergeCell ref="M1:M2"/>
    <mergeCell ref="N1:P2"/>
    <mergeCell ref="N12:P13"/>
    <mergeCell ref="Q12:S13"/>
    <mergeCell ref="Q1:S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BF118"/>
  <sheetViews>
    <sheetView workbookViewId="0">
      <selection activeCell="AB19" sqref="AB19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2" width="5.75" customWidth="1"/>
    <col min="53" max="58" width="5.625" customWidth="1"/>
  </cols>
  <sheetData>
    <row r="1" spans="1:58" ht="17" thickBot="1" x14ac:dyDescent="0.3">
      <c r="A1" s="554" t="s">
        <v>697</v>
      </c>
      <c r="B1" s="555"/>
      <c r="C1" s="555"/>
      <c r="D1" s="555"/>
      <c r="E1" s="555"/>
      <c r="F1" s="555"/>
      <c r="G1" s="555"/>
      <c r="H1" s="555"/>
      <c r="I1" s="555"/>
      <c r="J1" s="556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62"/>
      <c r="AA1" s="95"/>
      <c r="AB1" s="95"/>
      <c r="AC1" s="469" t="s">
        <v>562</v>
      </c>
      <c r="AD1" s="470"/>
      <c r="AE1" s="471"/>
      <c r="AF1" s="469" t="s">
        <v>464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45</v>
      </c>
      <c r="BB1" s="470"/>
      <c r="BC1" s="471"/>
      <c r="BD1" s="469" t="s">
        <v>54</v>
      </c>
      <c r="BE1" s="470"/>
      <c r="BF1" s="471"/>
    </row>
    <row r="2" spans="1:58" ht="14.95" customHeight="1" thickBot="1" x14ac:dyDescent="0.3">
      <c r="A2" s="299" t="s">
        <v>0</v>
      </c>
      <c r="B2" s="208" t="s">
        <v>259</v>
      </c>
      <c r="C2" s="269" t="s">
        <v>35</v>
      </c>
      <c r="D2" s="246" t="s">
        <v>383</v>
      </c>
      <c r="E2" s="301" t="s">
        <v>1</v>
      </c>
      <c r="F2" s="252" t="s">
        <v>2</v>
      </c>
      <c r="G2" s="251" t="s">
        <v>259</v>
      </c>
      <c r="H2" s="347" t="s">
        <v>35</v>
      </c>
      <c r="I2" s="249" t="s">
        <v>383</v>
      </c>
      <c r="J2" s="250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5"/>
      <c r="AA2" s="95"/>
      <c r="AB2" s="95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</row>
    <row r="3" spans="1:58" ht="14.95" customHeight="1" thickBot="1" x14ac:dyDescent="0.3">
      <c r="A3" s="300" t="s">
        <v>452</v>
      </c>
      <c r="B3" s="209">
        <v>0</v>
      </c>
      <c r="C3" s="270">
        <v>0</v>
      </c>
      <c r="D3" s="247">
        <v>0</v>
      </c>
      <c r="E3" s="302">
        <f>SUM(B3:D3)</f>
        <v>0</v>
      </c>
      <c r="F3" s="253" t="s">
        <v>452</v>
      </c>
      <c r="G3" s="254">
        <v>0</v>
      </c>
      <c r="H3" s="348">
        <v>0</v>
      </c>
      <c r="I3" s="255">
        <v>0</v>
      </c>
      <c r="J3" s="256">
        <f>SUM(G3:I3)</f>
        <v>0</v>
      </c>
      <c r="K3" s="222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150" t="s">
        <v>55</v>
      </c>
      <c r="X3" s="7" t="s">
        <v>11</v>
      </c>
      <c r="Y3" s="7" t="s">
        <v>12</v>
      </c>
      <c r="Z3" s="95"/>
      <c r="AA3" s="95"/>
      <c r="AB3" s="95"/>
      <c r="AC3" s="150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  <c r="BD3" s="7" t="s">
        <v>55</v>
      </c>
      <c r="BE3" s="7" t="s">
        <v>11</v>
      </c>
      <c r="BF3" s="7" t="s">
        <v>12</v>
      </c>
    </row>
    <row r="4" spans="1:58" ht="14.95" customHeight="1" thickBot="1" x14ac:dyDescent="0.3">
      <c r="A4" s="300" t="s">
        <v>905</v>
      </c>
      <c r="B4" s="209">
        <v>0</v>
      </c>
      <c r="C4" s="270">
        <v>0</v>
      </c>
      <c r="D4" s="247">
        <v>0</v>
      </c>
      <c r="E4" s="302">
        <f>SUM(B4:D4)</f>
        <v>0</v>
      </c>
      <c r="F4" s="253" t="s">
        <v>905</v>
      </c>
      <c r="G4" s="254">
        <v>0</v>
      </c>
      <c r="H4" s="348">
        <v>0</v>
      </c>
      <c r="I4" s="255">
        <v>0</v>
      </c>
      <c r="J4" s="256">
        <f>SUM(G4:I4)</f>
        <v>0</v>
      </c>
      <c r="K4" s="300" t="s">
        <v>930</v>
      </c>
      <c r="L4" s="302">
        <v>28</v>
      </c>
      <c r="M4" s="302">
        <v>43</v>
      </c>
      <c r="N4" s="303">
        <f t="shared" ref="N4" si="0">SUM(L4/M4)*100</f>
        <v>65.116279069767444</v>
      </c>
      <c r="O4" s="302">
        <v>3</v>
      </c>
      <c r="P4" s="302">
        <v>6</v>
      </c>
      <c r="Q4" s="303">
        <f t="shared" ref="Q4" si="1">SUM(O4/P4)*100</f>
        <v>50</v>
      </c>
      <c r="R4" s="302">
        <v>1</v>
      </c>
      <c r="S4" s="302">
        <v>1</v>
      </c>
      <c r="T4" s="7">
        <v>8</v>
      </c>
      <c r="U4" s="7">
        <v>13</v>
      </c>
      <c r="V4" s="7">
        <v>62</v>
      </c>
      <c r="W4" s="7" t="s">
        <v>17</v>
      </c>
      <c r="X4" s="7" t="s">
        <v>17</v>
      </c>
      <c r="Y4" s="7" t="s">
        <v>17</v>
      </c>
      <c r="Z4" s="95"/>
      <c r="AA4" s="95"/>
      <c r="AB4" s="95"/>
      <c r="AC4" s="150" t="s">
        <v>17</v>
      </c>
      <c r="AD4" s="7" t="s">
        <v>17</v>
      </c>
      <c r="AE4" s="7" t="s">
        <v>17</v>
      </c>
      <c r="AF4" s="150" t="s">
        <v>17</v>
      </c>
      <c r="AG4" s="7" t="s">
        <v>17</v>
      </c>
      <c r="AH4" s="155" t="s">
        <v>17</v>
      </c>
      <c r="AI4" s="150" t="s">
        <v>17</v>
      </c>
      <c r="AJ4" s="7" t="s">
        <v>17</v>
      </c>
      <c r="AK4" s="155" t="s">
        <v>17</v>
      </c>
      <c r="AL4" s="150" t="s">
        <v>17</v>
      </c>
      <c r="AM4" s="7" t="s">
        <v>17</v>
      </c>
      <c r="AN4" s="155" t="s">
        <v>17</v>
      </c>
      <c r="AO4" s="150" t="s">
        <v>17</v>
      </c>
      <c r="AP4" s="7" t="s">
        <v>17</v>
      </c>
      <c r="AQ4" s="155" t="s">
        <v>17</v>
      </c>
      <c r="AR4" s="150" t="s">
        <v>17</v>
      </c>
      <c r="AS4" s="7" t="s">
        <v>17</v>
      </c>
      <c r="AT4" s="155" t="s">
        <v>17</v>
      </c>
      <c r="AU4" s="150" t="s">
        <v>17</v>
      </c>
      <c r="AV4" s="7" t="s">
        <v>17</v>
      </c>
      <c r="AW4" s="155" t="s">
        <v>17</v>
      </c>
      <c r="AX4" s="150" t="s">
        <v>17</v>
      </c>
      <c r="AY4" s="7" t="s">
        <v>17</v>
      </c>
      <c r="AZ4" s="155" t="s">
        <v>17</v>
      </c>
      <c r="BA4" s="150" t="s">
        <v>17</v>
      </c>
      <c r="BB4" s="7" t="s">
        <v>17</v>
      </c>
      <c r="BC4" s="155" t="s">
        <v>17</v>
      </c>
      <c r="BD4" s="150" t="s">
        <v>17</v>
      </c>
      <c r="BE4" s="7" t="s">
        <v>17</v>
      </c>
      <c r="BF4" s="155" t="s">
        <v>17</v>
      </c>
    </row>
    <row r="5" spans="1:58" ht="14.95" customHeight="1" thickBot="1" x14ac:dyDescent="0.3">
      <c r="A5" s="300" t="s">
        <v>1322</v>
      </c>
      <c r="B5" s="209">
        <v>1</v>
      </c>
      <c r="C5" s="270">
        <v>0</v>
      </c>
      <c r="D5" s="247">
        <v>0</v>
      </c>
      <c r="E5" s="302">
        <f>SUM(B5:D5)</f>
        <v>1</v>
      </c>
      <c r="F5" s="253" t="s">
        <v>1322</v>
      </c>
      <c r="G5" s="254">
        <v>5</v>
      </c>
      <c r="H5" s="348">
        <v>0</v>
      </c>
      <c r="I5" s="255">
        <v>0</v>
      </c>
      <c r="J5" s="256">
        <f>SUM(G5:I5)</f>
        <v>5</v>
      </c>
      <c r="K5" s="300" t="s">
        <v>1152</v>
      </c>
      <c r="L5" s="302" t="s">
        <v>17</v>
      </c>
      <c r="M5" s="302" t="s">
        <v>17</v>
      </c>
      <c r="N5" s="303" t="s">
        <v>17</v>
      </c>
      <c r="O5" s="302" t="s">
        <v>17</v>
      </c>
      <c r="P5" s="302" t="s">
        <v>17</v>
      </c>
      <c r="Q5" s="303" t="s">
        <v>17</v>
      </c>
      <c r="R5" s="302">
        <v>2</v>
      </c>
      <c r="S5" s="302">
        <v>-1</v>
      </c>
      <c r="T5" s="7">
        <v>3</v>
      </c>
      <c r="U5" s="7">
        <v>3</v>
      </c>
      <c r="V5" s="7">
        <v>100</v>
      </c>
      <c r="W5" s="7">
        <v>23</v>
      </c>
      <c r="X5" s="7">
        <v>38</v>
      </c>
      <c r="Y5" s="7">
        <v>61</v>
      </c>
      <c r="Z5" s="95"/>
      <c r="AA5" s="95"/>
      <c r="AB5" s="95"/>
      <c r="AC5" s="150">
        <v>10</v>
      </c>
      <c r="AD5" s="7">
        <v>16</v>
      </c>
      <c r="AE5" s="7">
        <v>63</v>
      </c>
      <c r="AF5" s="7">
        <v>10</v>
      </c>
      <c r="AG5" s="7">
        <v>16</v>
      </c>
      <c r="AH5" s="155">
        <v>62.5</v>
      </c>
      <c r="AI5" s="7">
        <v>1</v>
      </c>
      <c r="AJ5" s="7">
        <v>1</v>
      </c>
      <c r="AK5" s="155">
        <v>100</v>
      </c>
      <c r="AL5" s="150" t="s">
        <v>17</v>
      </c>
      <c r="AM5" s="7" t="s">
        <v>17</v>
      </c>
      <c r="AN5" s="155" t="s">
        <v>17</v>
      </c>
      <c r="AO5" s="150" t="s">
        <v>17</v>
      </c>
      <c r="AP5" s="7" t="s">
        <v>17</v>
      </c>
      <c r="AQ5" s="155" t="s">
        <v>17</v>
      </c>
      <c r="AR5" s="150" t="s">
        <v>17</v>
      </c>
      <c r="AS5" s="7" t="s">
        <v>17</v>
      </c>
      <c r="AT5" s="155" t="s">
        <v>17</v>
      </c>
      <c r="AU5" s="7">
        <v>24</v>
      </c>
      <c r="AV5" s="7">
        <v>29</v>
      </c>
      <c r="AW5" s="155">
        <v>82.758620689655174</v>
      </c>
      <c r="AX5" s="7">
        <v>47</v>
      </c>
      <c r="AY5" s="7">
        <v>54</v>
      </c>
      <c r="AZ5" s="155">
        <v>87.037037037037038</v>
      </c>
      <c r="BA5" s="150" t="s">
        <v>17</v>
      </c>
      <c r="BB5" s="7" t="s">
        <v>17</v>
      </c>
      <c r="BC5" s="155" t="s">
        <v>17</v>
      </c>
      <c r="BD5" s="150" t="s">
        <v>17</v>
      </c>
      <c r="BE5" s="7" t="s">
        <v>17</v>
      </c>
      <c r="BF5" s="155" t="s">
        <v>17</v>
      </c>
    </row>
    <row r="6" spans="1:58" ht="14.95" customHeight="1" thickBot="1" x14ac:dyDescent="0.3">
      <c r="A6" s="300" t="s">
        <v>1304</v>
      </c>
      <c r="B6" s="209">
        <v>0</v>
      </c>
      <c r="C6" s="270">
        <v>0</v>
      </c>
      <c r="D6" s="247">
        <v>2</v>
      </c>
      <c r="E6" s="302">
        <f>SUM(B6:D6)</f>
        <v>2</v>
      </c>
      <c r="F6" s="253" t="s">
        <v>1304</v>
      </c>
      <c r="G6" s="254">
        <v>0</v>
      </c>
      <c r="H6" s="348">
        <v>0</v>
      </c>
      <c r="I6" s="255">
        <v>10</v>
      </c>
      <c r="J6" s="256">
        <f>SUM(G6:I6)</f>
        <v>10</v>
      </c>
      <c r="K6" s="300" t="s">
        <v>929</v>
      </c>
      <c r="L6" s="302">
        <v>3</v>
      </c>
      <c r="M6" s="302">
        <v>3</v>
      </c>
      <c r="N6" s="303">
        <f t="shared" ref="N6" si="2">SUM(L6/M6)*100</f>
        <v>100</v>
      </c>
      <c r="O6" s="302" t="s">
        <v>17</v>
      </c>
      <c r="P6" s="302" t="s">
        <v>17</v>
      </c>
      <c r="Q6" s="303" t="s">
        <v>17</v>
      </c>
      <c r="R6" s="302">
        <v>9</v>
      </c>
      <c r="S6" s="302">
        <v>6</v>
      </c>
      <c r="T6" s="7">
        <v>6</v>
      </c>
      <c r="U6" s="7">
        <v>6</v>
      </c>
      <c r="V6" s="155">
        <v>100</v>
      </c>
      <c r="W6" s="7" t="s">
        <v>17</v>
      </c>
      <c r="X6" s="7" t="s">
        <v>17</v>
      </c>
      <c r="Y6" s="7" t="s">
        <v>17</v>
      </c>
      <c r="Z6" s="95"/>
      <c r="AA6" s="95"/>
      <c r="AB6" s="95"/>
      <c r="AC6" s="6" t="s">
        <v>17</v>
      </c>
      <c r="AD6" s="7" t="s">
        <v>17</v>
      </c>
      <c r="AE6" s="7" t="s">
        <v>17</v>
      </c>
      <c r="AF6" s="7" t="s">
        <v>17</v>
      </c>
      <c r="AG6" s="7" t="s">
        <v>17</v>
      </c>
      <c r="AH6" s="7" t="s">
        <v>17</v>
      </c>
      <c r="AI6" s="7" t="s">
        <v>17</v>
      </c>
      <c r="AJ6" s="7" t="s">
        <v>17</v>
      </c>
      <c r="AK6" s="7" t="s">
        <v>17</v>
      </c>
      <c r="AL6" s="7" t="s">
        <v>17</v>
      </c>
      <c r="AM6" s="7" t="s">
        <v>17</v>
      </c>
      <c r="AN6" s="7" t="s">
        <v>17</v>
      </c>
      <c r="AO6" s="7" t="s">
        <v>17</v>
      </c>
      <c r="AP6" s="7" t="s">
        <v>17</v>
      </c>
      <c r="AQ6" s="7" t="s">
        <v>17</v>
      </c>
      <c r="AR6" s="7" t="s">
        <v>17</v>
      </c>
      <c r="AS6" s="7" t="s">
        <v>17</v>
      </c>
      <c r="AT6" s="7" t="s">
        <v>17</v>
      </c>
      <c r="AU6" s="7" t="s">
        <v>17</v>
      </c>
      <c r="AV6" s="7" t="s">
        <v>17</v>
      </c>
      <c r="AW6" s="7" t="s">
        <v>17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  <c r="BD6" s="7" t="s">
        <v>17</v>
      </c>
      <c r="BE6" s="7" t="s">
        <v>17</v>
      </c>
      <c r="BF6" s="7" t="s">
        <v>17</v>
      </c>
    </row>
    <row r="7" spans="1:58" ht="14.95" customHeight="1" thickBot="1" x14ac:dyDescent="0.3">
      <c r="A7" s="300" t="s">
        <v>903</v>
      </c>
      <c r="B7" s="209">
        <v>0</v>
      </c>
      <c r="C7" s="270">
        <v>0</v>
      </c>
      <c r="D7" s="247">
        <v>1</v>
      </c>
      <c r="E7" s="302">
        <f t="shared" ref="E7:E57" si="3">SUM(B7:D7)</f>
        <v>1</v>
      </c>
      <c r="F7" s="253" t="s">
        <v>903</v>
      </c>
      <c r="G7" s="254">
        <v>0</v>
      </c>
      <c r="H7" s="348">
        <v>0</v>
      </c>
      <c r="I7" s="255">
        <v>5</v>
      </c>
      <c r="J7" s="256">
        <f t="shared" ref="J7:J58" si="4">SUM(G7:I7)</f>
        <v>5</v>
      </c>
      <c r="K7" s="300" t="s">
        <v>362</v>
      </c>
      <c r="L7" s="302">
        <v>28</v>
      </c>
      <c r="M7" s="302">
        <v>45</v>
      </c>
      <c r="N7" s="303">
        <f t="shared" ref="N7" si="5">SUM(L7/M7)*100</f>
        <v>62.222222222222221</v>
      </c>
      <c r="O7" s="302" t="s">
        <v>17</v>
      </c>
      <c r="P7" s="302" t="s">
        <v>17</v>
      </c>
      <c r="Q7" s="303" t="s">
        <v>17</v>
      </c>
      <c r="R7" s="302">
        <v>-2</v>
      </c>
      <c r="S7" s="302">
        <v>-2</v>
      </c>
      <c r="T7" s="7">
        <v>13</v>
      </c>
      <c r="U7" s="7">
        <v>18</v>
      </c>
      <c r="V7" s="155">
        <v>72.222222222222214</v>
      </c>
      <c r="W7" s="7">
        <v>1</v>
      </c>
      <c r="X7" s="7">
        <v>1</v>
      </c>
      <c r="Y7" s="155">
        <v>100</v>
      </c>
      <c r="Z7" s="95"/>
      <c r="AA7" s="95"/>
      <c r="AB7" s="95"/>
      <c r="AC7" s="150">
        <v>66</v>
      </c>
      <c r="AD7" s="7">
        <v>87</v>
      </c>
      <c r="AE7" s="155">
        <f>SUM(AC7/AD7)*100</f>
        <v>75.862068965517238</v>
      </c>
      <c r="AF7" s="150" t="s">
        <v>17</v>
      </c>
      <c r="AG7" s="7" t="s">
        <v>17</v>
      </c>
      <c r="AH7" s="155" t="s">
        <v>17</v>
      </c>
      <c r="AI7" s="150">
        <v>5</v>
      </c>
      <c r="AJ7" s="7">
        <v>9</v>
      </c>
      <c r="AK7" s="155">
        <f>SUM(AI7/AJ7)*100</f>
        <v>55.555555555555557</v>
      </c>
      <c r="AL7" s="150">
        <v>21</v>
      </c>
      <c r="AM7" s="7">
        <v>27</v>
      </c>
      <c r="AN7" s="155">
        <f>SUM(AL7/AM7)*100</f>
        <v>77.777777777777786</v>
      </c>
      <c r="AO7" s="150">
        <v>26</v>
      </c>
      <c r="AP7" s="7">
        <v>38</v>
      </c>
      <c r="AQ7" s="155">
        <f>SUM(AO7/AP7)*100</f>
        <v>68.421052631578945</v>
      </c>
      <c r="AR7" s="150">
        <v>54</v>
      </c>
      <c r="AS7" s="7">
        <v>78</v>
      </c>
      <c r="AT7" s="155">
        <f>SUM(AR7/AS7)*100</f>
        <v>69.230769230769226</v>
      </c>
      <c r="AU7" s="150">
        <v>4</v>
      </c>
      <c r="AV7" s="7">
        <v>4</v>
      </c>
      <c r="AW7" s="155">
        <f>SUM(AU7/AV7)*100</f>
        <v>100</v>
      </c>
      <c r="AX7" s="7">
        <v>14</v>
      </c>
      <c r="AY7" s="7">
        <v>17</v>
      </c>
      <c r="AZ7" s="155">
        <f>SUM(AX7/AY7)*100</f>
        <v>82.35294117647058</v>
      </c>
      <c r="BA7" s="7" t="s">
        <v>17</v>
      </c>
      <c r="BB7" s="7" t="s">
        <v>17</v>
      </c>
      <c r="BC7" s="7" t="s">
        <v>17</v>
      </c>
      <c r="BD7" s="7" t="s">
        <v>17</v>
      </c>
      <c r="BE7" s="7" t="s">
        <v>17</v>
      </c>
      <c r="BF7" s="7" t="s">
        <v>17</v>
      </c>
    </row>
    <row r="8" spans="1:58" ht="14.95" customHeight="1" thickBot="1" x14ac:dyDescent="0.3">
      <c r="A8" s="300" t="s">
        <v>913</v>
      </c>
      <c r="B8" s="209">
        <v>0</v>
      </c>
      <c r="C8" s="270">
        <v>0</v>
      </c>
      <c r="D8" s="247">
        <v>0</v>
      </c>
      <c r="E8" s="302">
        <f t="shared" si="3"/>
        <v>0</v>
      </c>
      <c r="F8" s="253" t="s">
        <v>913</v>
      </c>
      <c r="G8" s="254">
        <v>0</v>
      </c>
      <c r="H8" s="348">
        <v>0</v>
      </c>
      <c r="I8" s="255">
        <v>0</v>
      </c>
      <c r="J8" s="256">
        <f t="shared" si="4"/>
        <v>0</v>
      </c>
      <c r="K8" s="300" t="s">
        <v>351</v>
      </c>
      <c r="L8" s="302" t="s">
        <v>17</v>
      </c>
      <c r="M8" s="302" t="s">
        <v>17</v>
      </c>
      <c r="N8" s="303" t="s">
        <v>17</v>
      </c>
      <c r="O8" s="302" t="s">
        <v>17</v>
      </c>
      <c r="P8" s="302" t="s">
        <v>17</v>
      </c>
      <c r="Q8" s="303" t="s">
        <v>17</v>
      </c>
      <c r="R8" s="302">
        <v>-2</v>
      </c>
      <c r="S8" s="302">
        <v>1</v>
      </c>
      <c r="T8" s="7">
        <v>2</v>
      </c>
      <c r="U8" s="7">
        <v>4</v>
      </c>
      <c r="V8" s="155">
        <v>50</v>
      </c>
      <c r="W8" s="7">
        <v>26</v>
      </c>
      <c r="X8" s="7">
        <v>39</v>
      </c>
      <c r="Y8" s="155">
        <v>66.666666666666657</v>
      </c>
      <c r="Z8" s="95"/>
      <c r="AA8" s="95"/>
      <c r="AB8" s="95"/>
      <c r="AC8" s="150">
        <v>6</v>
      </c>
      <c r="AD8" s="7">
        <v>8</v>
      </c>
      <c r="AE8" s="155">
        <f>SUM(AC8/AD8)*100</f>
        <v>75</v>
      </c>
      <c r="AF8" s="150">
        <v>1</v>
      </c>
      <c r="AG8" s="7">
        <v>4</v>
      </c>
      <c r="AH8" s="155">
        <v>25</v>
      </c>
      <c r="AI8" s="150">
        <v>5</v>
      </c>
      <c r="AJ8" s="7">
        <v>6</v>
      </c>
      <c r="AK8" s="155">
        <f>SUM(AI8/AJ8)*100</f>
        <v>83.333333333333343</v>
      </c>
      <c r="AL8" s="150">
        <v>9</v>
      </c>
      <c r="AM8" s="7">
        <v>14</v>
      </c>
      <c r="AN8" s="155">
        <f t="shared" ref="AN8" si="6">SUM(AL8/AM8)*100</f>
        <v>64.285714285714292</v>
      </c>
      <c r="AO8" s="150" t="s">
        <v>17</v>
      </c>
      <c r="AP8" s="7" t="s">
        <v>17</v>
      </c>
      <c r="AQ8" s="7" t="s">
        <v>17</v>
      </c>
      <c r="AR8" s="150">
        <v>4</v>
      </c>
      <c r="AS8" s="7">
        <v>9</v>
      </c>
      <c r="AT8" s="155">
        <f>SUM(AR8/AS8)*100</f>
        <v>44.444444444444443</v>
      </c>
      <c r="AU8" s="150">
        <v>13</v>
      </c>
      <c r="AV8" s="7">
        <v>15</v>
      </c>
      <c r="AW8" s="155">
        <f>SUM(AU8/AV8)*100</f>
        <v>86.666666666666671</v>
      </c>
      <c r="AX8" s="7">
        <v>28</v>
      </c>
      <c r="AY8" s="7">
        <v>37</v>
      </c>
      <c r="AZ8" s="155">
        <f>SUM(AX8/AY8)*100</f>
        <v>75.675675675675677</v>
      </c>
      <c r="BA8" s="7">
        <v>19</v>
      </c>
      <c r="BB8" s="7">
        <v>23</v>
      </c>
      <c r="BC8" s="155">
        <f>SUM(BA8/BB8)*100</f>
        <v>82.608695652173907</v>
      </c>
      <c r="BD8" s="7">
        <v>1</v>
      </c>
      <c r="BE8" s="7">
        <v>1</v>
      </c>
      <c r="BF8" s="7">
        <v>100</v>
      </c>
    </row>
    <row r="9" spans="1:58" ht="14.95" customHeight="1" thickBot="1" x14ac:dyDescent="0.3">
      <c r="A9" s="300" t="s">
        <v>899</v>
      </c>
      <c r="B9" s="209">
        <v>6</v>
      </c>
      <c r="C9" s="270">
        <v>0</v>
      </c>
      <c r="D9" s="247">
        <v>0</v>
      </c>
      <c r="E9" s="302">
        <f t="shared" si="3"/>
        <v>6</v>
      </c>
      <c r="F9" s="253" t="s">
        <v>899</v>
      </c>
      <c r="G9" s="254">
        <v>90</v>
      </c>
      <c r="H9" s="348">
        <v>32</v>
      </c>
      <c r="I9" s="255">
        <v>0</v>
      </c>
      <c r="J9" s="256">
        <f t="shared" si="4"/>
        <v>122</v>
      </c>
      <c r="K9" s="299" t="s">
        <v>382</v>
      </c>
      <c r="L9" s="302">
        <v>2</v>
      </c>
      <c r="M9" s="302">
        <v>3</v>
      </c>
      <c r="N9" s="303">
        <f t="shared" ref="N9:N10" si="7">SUM(L9/M9)*100</f>
        <v>66.666666666666657</v>
      </c>
      <c r="O9" s="302" t="s">
        <v>17</v>
      </c>
      <c r="P9" s="302" t="s">
        <v>17</v>
      </c>
      <c r="Q9" s="303" t="s">
        <v>17</v>
      </c>
      <c r="R9" s="304">
        <v>-1</v>
      </c>
      <c r="S9" s="304">
        <v>-1</v>
      </c>
      <c r="T9" s="7">
        <v>10</v>
      </c>
      <c r="U9" s="7">
        <v>12</v>
      </c>
      <c r="V9" s="7">
        <v>83</v>
      </c>
      <c r="W9" s="7">
        <v>7</v>
      </c>
      <c r="X9" s="7">
        <v>9</v>
      </c>
      <c r="Y9" s="6">
        <v>78</v>
      </c>
      <c r="Z9" s="95"/>
      <c r="AA9" s="95"/>
      <c r="AB9" s="95"/>
      <c r="AC9" s="150">
        <v>1</v>
      </c>
      <c r="AD9" s="7">
        <v>2</v>
      </c>
      <c r="AE9" s="6">
        <f>SUM(AC9/AD9)*100</f>
        <v>50</v>
      </c>
      <c r="AF9" s="150" t="s">
        <v>17</v>
      </c>
      <c r="AG9" s="7" t="s">
        <v>17</v>
      </c>
      <c r="AH9" s="155" t="s">
        <v>17</v>
      </c>
      <c r="AI9" s="150">
        <v>3</v>
      </c>
      <c r="AJ9" s="7">
        <v>3</v>
      </c>
      <c r="AK9" s="7">
        <v>100</v>
      </c>
      <c r="AL9" s="150">
        <v>5</v>
      </c>
      <c r="AM9" s="7">
        <v>10</v>
      </c>
      <c r="AN9" s="7">
        <v>50</v>
      </c>
      <c r="AO9" s="150">
        <v>4</v>
      </c>
      <c r="AP9" s="7">
        <v>5</v>
      </c>
      <c r="AQ9" s="155">
        <v>80</v>
      </c>
      <c r="AR9" s="150">
        <v>1</v>
      </c>
      <c r="AS9" s="7">
        <v>3</v>
      </c>
      <c r="AT9" s="155">
        <v>33.333333333333329</v>
      </c>
      <c r="AU9" s="150">
        <v>13</v>
      </c>
      <c r="AV9" s="7">
        <v>20</v>
      </c>
      <c r="AW9" s="7">
        <v>65</v>
      </c>
      <c r="AX9" s="7">
        <v>3</v>
      </c>
      <c r="AY9" s="7">
        <v>3</v>
      </c>
      <c r="AZ9" s="7">
        <v>100</v>
      </c>
      <c r="BA9" s="9">
        <v>2</v>
      </c>
      <c r="BB9" s="9">
        <v>6</v>
      </c>
      <c r="BC9" s="214">
        <v>33.333333333333329</v>
      </c>
      <c r="BD9" s="6" t="s">
        <v>17</v>
      </c>
      <c r="BE9" s="6" t="s">
        <v>17</v>
      </c>
      <c r="BF9" s="6" t="s">
        <v>17</v>
      </c>
    </row>
    <row r="10" spans="1:58" ht="14.95" customHeight="1" thickBot="1" x14ac:dyDescent="0.3">
      <c r="A10" s="300" t="s">
        <v>909</v>
      </c>
      <c r="B10" s="209">
        <v>1</v>
      </c>
      <c r="C10" s="270">
        <v>1</v>
      </c>
      <c r="D10" s="247">
        <v>0</v>
      </c>
      <c r="E10" s="302">
        <f t="shared" si="3"/>
        <v>2</v>
      </c>
      <c r="F10" s="253" t="s">
        <v>909</v>
      </c>
      <c r="G10" s="254">
        <v>5</v>
      </c>
      <c r="H10" s="348">
        <v>5</v>
      </c>
      <c r="I10" s="255">
        <v>0</v>
      </c>
      <c r="J10" s="256">
        <f t="shared" si="4"/>
        <v>10</v>
      </c>
      <c r="K10" s="402" t="s">
        <v>947</v>
      </c>
      <c r="L10" s="398">
        <v>4</v>
      </c>
      <c r="M10" s="398">
        <v>5</v>
      </c>
      <c r="N10" s="403">
        <f t="shared" si="7"/>
        <v>80</v>
      </c>
      <c r="O10" s="302" t="s">
        <v>17</v>
      </c>
      <c r="P10" s="302" t="s">
        <v>17</v>
      </c>
      <c r="Q10" s="303" t="s">
        <v>17</v>
      </c>
      <c r="R10" s="404">
        <v>1</v>
      </c>
      <c r="S10" s="405">
        <v>11</v>
      </c>
      <c r="T10" s="6" t="s">
        <v>17</v>
      </c>
      <c r="U10" s="7" t="s">
        <v>17</v>
      </c>
      <c r="V10" s="7" t="s">
        <v>17</v>
      </c>
      <c r="W10" s="6" t="s">
        <v>17</v>
      </c>
      <c r="X10" s="7" t="s">
        <v>17</v>
      </c>
      <c r="Y10" s="7" t="s">
        <v>17</v>
      </c>
      <c r="Z10" s="95"/>
      <c r="AA10" s="95"/>
      <c r="AB10" s="95"/>
      <c r="AC10" s="6" t="s">
        <v>17</v>
      </c>
      <c r="AD10" s="7" t="s">
        <v>17</v>
      </c>
      <c r="AE10" s="7" t="s">
        <v>17</v>
      </c>
      <c r="AF10" s="7" t="s">
        <v>17</v>
      </c>
      <c r="AG10" s="7" t="s">
        <v>17</v>
      </c>
      <c r="AH10" s="7" t="s">
        <v>17</v>
      </c>
      <c r="AI10" s="7" t="s">
        <v>17</v>
      </c>
      <c r="AJ10" s="7" t="s">
        <v>17</v>
      </c>
      <c r="AK10" s="7" t="s">
        <v>17</v>
      </c>
      <c r="AL10" s="6">
        <v>0</v>
      </c>
      <c r="AM10" s="6">
        <v>1</v>
      </c>
      <c r="AN10" s="6">
        <v>0</v>
      </c>
      <c r="AO10" s="6">
        <v>2</v>
      </c>
      <c r="AP10" s="6">
        <v>2</v>
      </c>
      <c r="AQ10" s="159">
        <v>100</v>
      </c>
      <c r="AR10" s="6">
        <v>36</v>
      </c>
      <c r="AS10" s="6">
        <v>45</v>
      </c>
      <c r="AT10" s="159">
        <v>80</v>
      </c>
      <c r="AU10" s="6">
        <v>0</v>
      </c>
      <c r="AV10" s="6">
        <v>2</v>
      </c>
      <c r="AW10" s="6">
        <v>0</v>
      </c>
      <c r="AX10" s="6">
        <v>12</v>
      </c>
      <c r="AY10" s="6">
        <v>16</v>
      </c>
      <c r="AZ10" s="6">
        <v>75</v>
      </c>
      <c r="BA10" s="7" t="s">
        <v>17</v>
      </c>
      <c r="BB10" s="7" t="s">
        <v>17</v>
      </c>
      <c r="BC10" s="7" t="s">
        <v>17</v>
      </c>
      <c r="BD10" s="7" t="s">
        <v>17</v>
      </c>
      <c r="BE10" s="7" t="s">
        <v>17</v>
      </c>
      <c r="BF10" s="7" t="s">
        <v>17</v>
      </c>
    </row>
    <row r="11" spans="1:58" ht="14.95" customHeight="1" thickBot="1" x14ac:dyDescent="0.3">
      <c r="A11" s="300" t="s">
        <v>931</v>
      </c>
      <c r="B11" s="209">
        <v>2</v>
      </c>
      <c r="C11" s="270">
        <v>0</v>
      </c>
      <c r="D11" s="247">
        <v>0</v>
      </c>
      <c r="E11" s="302">
        <f t="shared" si="3"/>
        <v>2</v>
      </c>
      <c r="F11" s="253" t="s">
        <v>931</v>
      </c>
      <c r="G11" s="254">
        <v>10</v>
      </c>
      <c r="H11" s="348">
        <v>0</v>
      </c>
      <c r="I11" s="255">
        <v>0</v>
      </c>
      <c r="J11" s="256">
        <f t="shared" si="4"/>
        <v>10</v>
      </c>
      <c r="K11" s="400"/>
      <c r="L11" s="401"/>
      <c r="M11" s="52"/>
      <c r="N11" s="52"/>
      <c r="O11" s="401"/>
      <c r="P11" s="52"/>
      <c r="Q11" s="54"/>
      <c r="R11" s="36"/>
      <c r="S11" s="36"/>
      <c r="T11" s="36"/>
      <c r="U11" s="36"/>
      <c r="V11" s="36"/>
    </row>
    <row r="12" spans="1:58" ht="14.95" customHeight="1" thickBot="1" x14ac:dyDescent="0.3">
      <c r="A12" s="300" t="s">
        <v>630</v>
      </c>
      <c r="B12" s="209">
        <v>1</v>
      </c>
      <c r="C12" s="270">
        <v>0</v>
      </c>
      <c r="D12" s="247">
        <v>0</v>
      </c>
      <c r="E12" s="302">
        <f t="shared" si="3"/>
        <v>1</v>
      </c>
      <c r="F12" s="253" t="s">
        <v>630</v>
      </c>
      <c r="G12" s="254">
        <v>5</v>
      </c>
      <c r="H12" s="348">
        <v>0</v>
      </c>
      <c r="I12" s="255">
        <v>0</v>
      </c>
      <c r="J12" s="256">
        <f t="shared" si="4"/>
        <v>5</v>
      </c>
      <c r="K12" s="463" t="s">
        <v>226</v>
      </c>
      <c r="L12" s="453" t="s">
        <v>16</v>
      </c>
      <c r="M12" s="467"/>
      <c r="N12" s="454"/>
      <c r="O12" s="457" t="s">
        <v>267</v>
      </c>
      <c r="P12" s="458"/>
      <c r="Q12" s="459"/>
      <c r="R12" s="469" t="s">
        <v>698</v>
      </c>
      <c r="S12" s="470"/>
      <c r="T12" s="471"/>
      <c r="U12" s="469" t="s">
        <v>562</v>
      </c>
      <c r="V12" s="483"/>
      <c r="W12" s="484"/>
      <c r="X12" s="162"/>
      <c r="Y12" s="162"/>
      <c r="Z12" s="162"/>
      <c r="AA12" s="162"/>
      <c r="AB12" s="162"/>
      <c r="AC12" s="469" t="s">
        <v>463</v>
      </c>
      <c r="AD12" s="483"/>
      <c r="AE12" s="484"/>
      <c r="AF12" s="469" t="s">
        <v>355</v>
      </c>
      <c r="AG12" s="470"/>
      <c r="AH12" s="471"/>
      <c r="AI12" s="469" t="s">
        <v>260</v>
      </c>
      <c r="AJ12" s="470"/>
      <c r="AK12" s="471"/>
      <c r="AL12" s="469" t="s">
        <v>199</v>
      </c>
      <c r="AM12" s="470"/>
      <c r="AN12" s="471"/>
      <c r="AO12" s="469" t="s">
        <v>92</v>
      </c>
      <c r="AP12" s="470"/>
      <c r="AQ12" s="471"/>
      <c r="AR12" s="469" t="s">
        <v>63</v>
      </c>
      <c r="AS12" s="470"/>
      <c r="AT12" s="471"/>
      <c r="AU12" s="469" t="s">
        <v>59</v>
      </c>
      <c r="AV12" s="470"/>
      <c r="AW12" s="471"/>
      <c r="AX12" s="469" t="s">
        <v>69</v>
      </c>
      <c r="AY12" s="470"/>
      <c r="AZ12" s="471"/>
    </row>
    <row r="13" spans="1:58" ht="14.95" customHeight="1" thickBot="1" x14ac:dyDescent="0.3">
      <c r="A13" s="300" t="s">
        <v>361</v>
      </c>
      <c r="B13" s="209">
        <v>0</v>
      </c>
      <c r="C13" s="270">
        <v>0</v>
      </c>
      <c r="D13" s="247">
        <v>0</v>
      </c>
      <c r="E13" s="302">
        <f t="shared" si="3"/>
        <v>0</v>
      </c>
      <c r="F13" s="253" t="s">
        <v>361</v>
      </c>
      <c r="G13" s="254">
        <v>0</v>
      </c>
      <c r="H13" s="348">
        <v>0</v>
      </c>
      <c r="I13" s="255">
        <v>0</v>
      </c>
      <c r="J13" s="256">
        <f t="shared" si="4"/>
        <v>0</v>
      </c>
      <c r="K13" s="464"/>
      <c r="L13" s="455"/>
      <c r="M13" s="468"/>
      <c r="N13" s="456"/>
      <c r="O13" s="460"/>
      <c r="P13" s="461"/>
      <c r="Q13" s="462"/>
      <c r="R13" s="472"/>
      <c r="S13" s="473"/>
      <c r="T13" s="474"/>
      <c r="U13" s="485"/>
      <c r="V13" s="486"/>
      <c r="W13" s="487"/>
      <c r="X13" s="162"/>
      <c r="Y13" s="162"/>
      <c r="Z13" s="162"/>
      <c r="AA13" s="162"/>
      <c r="AB13" s="162"/>
      <c r="AC13" s="485"/>
      <c r="AD13" s="486"/>
      <c r="AE13" s="487"/>
      <c r="AF13" s="472"/>
      <c r="AG13" s="473"/>
      <c r="AH13" s="474"/>
      <c r="AI13" s="472"/>
      <c r="AJ13" s="473"/>
      <c r="AK13" s="474"/>
      <c r="AL13" s="472"/>
      <c r="AM13" s="473"/>
      <c r="AN13" s="474"/>
      <c r="AO13" s="472"/>
      <c r="AP13" s="473"/>
      <c r="AQ13" s="474"/>
      <c r="AR13" s="472"/>
      <c r="AS13" s="473"/>
      <c r="AT13" s="474"/>
      <c r="AU13" s="472"/>
      <c r="AV13" s="473"/>
      <c r="AW13" s="474"/>
      <c r="AX13" s="472"/>
      <c r="AY13" s="473"/>
      <c r="AZ13" s="474"/>
    </row>
    <row r="14" spans="1:58" ht="14.95" customHeight="1" thickBot="1" x14ac:dyDescent="0.3">
      <c r="A14" s="300" t="s">
        <v>911</v>
      </c>
      <c r="B14" s="209">
        <v>0</v>
      </c>
      <c r="C14" s="270">
        <v>0</v>
      </c>
      <c r="D14" s="247">
        <v>0</v>
      </c>
      <c r="E14" s="302">
        <f t="shared" si="3"/>
        <v>0</v>
      </c>
      <c r="F14" s="253" t="s">
        <v>911</v>
      </c>
      <c r="G14" s="254">
        <v>0</v>
      </c>
      <c r="H14" s="348">
        <v>0</v>
      </c>
      <c r="I14" s="255">
        <v>0</v>
      </c>
      <c r="J14" s="256">
        <f t="shared" si="4"/>
        <v>0</v>
      </c>
      <c r="K14" s="263" t="s">
        <v>25</v>
      </c>
      <c r="L14" s="3" t="s">
        <v>55</v>
      </c>
      <c r="M14" s="3" t="s">
        <v>11</v>
      </c>
      <c r="N14" s="3" t="s">
        <v>12</v>
      </c>
      <c r="O14" s="80" t="s">
        <v>55</v>
      </c>
      <c r="P14" s="80" t="s">
        <v>11</v>
      </c>
      <c r="Q14" s="80" t="s">
        <v>12</v>
      </c>
      <c r="R14" s="80" t="s">
        <v>55</v>
      </c>
      <c r="S14" s="80" t="s">
        <v>11</v>
      </c>
      <c r="T14" s="80" t="s">
        <v>12</v>
      </c>
      <c r="U14" s="80" t="s">
        <v>55</v>
      </c>
      <c r="V14" s="80" t="s">
        <v>11</v>
      </c>
      <c r="W14" s="80" t="s">
        <v>12</v>
      </c>
      <c r="AC14" s="85" t="s">
        <v>55</v>
      </c>
      <c r="AD14" s="80" t="s">
        <v>11</v>
      </c>
      <c r="AE14" s="80" t="s">
        <v>12</v>
      </c>
      <c r="AF14" s="150" t="s">
        <v>55</v>
      </c>
      <c r="AG14" s="7" t="s">
        <v>11</v>
      </c>
      <c r="AH14" s="7" t="s">
        <v>12</v>
      </c>
      <c r="AI14" s="150" t="s">
        <v>55</v>
      </c>
      <c r="AJ14" s="7" t="s">
        <v>11</v>
      </c>
      <c r="AK14" s="7" t="s">
        <v>12</v>
      </c>
      <c r="AL14" s="150" t="s">
        <v>55</v>
      </c>
      <c r="AM14" s="7" t="s">
        <v>11</v>
      </c>
      <c r="AN14" s="7" t="s">
        <v>12</v>
      </c>
      <c r="AO14" s="150" t="s">
        <v>55</v>
      </c>
      <c r="AP14" s="7" t="s">
        <v>11</v>
      </c>
      <c r="AQ14" s="7" t="s">
        <v>12</v>
      </c>
      <c r="AR14" s="150" t="s">
        <v>55</v>
      </c>
      <c r="AS14" s="7" t="s">
        <v>11</v>
      </c>
      <c r="AT14" s="7" t="s">
        <v>12</v>
      </c>
      <c r="AU14" s="150" t="s">
        <v>55</v>
      </c>
      <c r="AV14" s="7" t="s">
        <v>11</v>
      </c>
      <c r="AW14" s="7" t="s">
        <v>12</v>
      </c>
      <c r="AX14" s="150" t="s">
        <v>55</v>
      </c>
      <c r="AY14" s="7" t="s">
        <v>11</v>
      </c>
      <c r="AZ14" s="7" t="s">
        <v>12</v>
      </c>
    </row>
    <row r="15" spans="1:58" ht="14.95" customHeight="1" thickBot="1" x14ac:dyDescent="0.3">
      <c r="A15" s="300" t="s">
        <v>352</v>
      </c>
      <c r="B15" s="209">
        <v>5</v>
      </c>
      <c r="C15" s="270">
        <v>0</v>
      </c>
      <c r="D15" s="247">
        <v>0</v>
      </c>
      <c r="E15" s="302">
        <f t="shared" si="3"/>
        <v>5</v>
      </c>
      <c r="F15" s="253" t="s">
        <v>352</v>
      </c>
      <c r="G15" s="254">
        <v>31</v>
      </c>
      <c r="H15" s="348">
        <v>3</v>
      </c>
      <c r="I15" s="255">
        <v>0</v>
      </c>
      <c r="J15" s="256">
        <f t="shared" si="4"/>
        <v>34</v>
      </c>
      <c r="K15" s="300" t="s">
        <v>899</v>
      </c>
      <c r="L15" s="302">
        <v>14</v>
      </c>
      <c r="M15" s="302">
        <v>19</v>
      </c>
      <c r="N15" s="303">
        <f t="shared" ref="N15:N16" si="8">SUM(L15/M15)*100</f>
        <v>73.68421052631578</v>
      </c>
      <c r="O15" s="7" t="s">
        <v>17</v>
      </c>
      <c r="P15" s="7" t="s">
        <v>17</v>
      </c>
      <c r="Q15" s="155" t="s">
        <v>17</v>
      </c>
      <c r="R15" s="7" t="s">
        <v>17</v>
      </c>
      <c r="S15" s="7" t="s">
        <v>17</v>
      </c>
      <c r="T15" s="155" t="s">
        <v>17</v>
      </c>
      <c r="U15" s="7" t="s">
        <v>17</v>
      </c>
      <c r="V15" s="7" t="s">
        <v>17</v>
      </c>
      <c r="W15" s="155" t="s">
        <v>17</v>
      </c>
      <c r="AC15" s="150" t="s">
        <v>17</v>
      </c>
      <c r="AD15" s="7" t="s">
        <v>17</v>
      </c>
      <c r="AE15" s="155" t="s">
        <v>17</v>
      </c>
      <c r="AF15" s="150" t="s">
        <v>17</v>
      </c>
      <c r="AG15" s="7" t="s">
        <v>17</v>
      </c>
      <c r="AH15" s="155" t="s">
        <v>17</v>
      </c>
      <c r="AI15" s="150" t="s">
        <v>17</v>
      </c>
      <c r="AJ15" s="7" t="s">
        <v>17</v>
      </c>
      <c r="AK15" s="155" t="s">
        <v>17</v>
      </c>
      <c r="AL15" s="150" t="s">
        <v>17</v>
      </c>
      <c r="AM15" s="7" t="s">
        <v>17</v>
      </c>
      <c r="AN15" s="155" t="s">
        <v>17</v>
      </c>
      <c r="AO15" s="150" t="s">
        <v>17</v>
      </c>
      <c r="AP15" s="7" t="s">
        <v>17</v>
      </c>
      <c r="AQ15" s="155" t="s">
        <v>17</v>
      </c>
      <c r="AR15" s="150" t="s">
        <v>17</v>
      </c>
      <c r="AS15" s="7" t="s">
        <v>17</v>
      </c>
      <c r="AT15" s="155" t="s">
        <v>17</v>
      </c>
      <c r="AU15" s="150" t="s">
        <v>17</v>
      </c>
      <c r="AV15" s="7" t="s">
        <v>17</v>
      </c>
      <c r="AW15" s="155" t="s">
        <v>17</v>
      </c>
      <c r="AX15" s="150" t="s">
        <v>17</v>
      </c>
      <c r="AY15" s="7" t="s">
        <v>17</v>
      </c>
      <c r="AZ15" s="155" t="s">
        <v>17</v>
      </c>
    </row>
    <row r="16" spans="1:58" ht="14.95" customHeight="1" thickBot="1" x14ac:dyDescent="0.3">
      <c r="A16" s="300" t="s">
        <v>547</v>
      </c>
      <c r="B16" s="209">
        <v>6</v>
      </c>
      <c r="C16" s="270">
        <v>3</v>
      </c>
      <c r="D16" s="247">
        <v>0</v>
      </c>
      <c r="E16" s="302">
        <f t="shared" si="3"/>
        <v>9</v>
      </c>
      <c r="F16" s="253" t="s">
        <v>547</v>
      </c>
      <c r="G16" s="254">
        <v>30</v>
      </c>
      <c r="H16" s="348">
        <v>15</v>
      </c>
      <c r="I16" s="255">
        <v>0</v>
      </c>
      <c r="J16" s="256">
        <f t="shared" si="4"/>
        <v>45</v>
      </c>
      <c r="K16" s="300" t="s">
        <v>382</v>
      </c>
      <c r="L16" s="302">
        <v>1</v>
      </c>
      <c r="M16" s="302">
        <v>1</v>
      </c>
      <c r="N16" s="303">
        <f t="shared" si="8"/>
        <v>100</v>
      </c>
      <c r="O16" s="7" t="s">
        <v>17</v>
      </c>
      <c r="P16" s="7" t="s">
        <v>17</v>
      </c>
      <c r="Q16" s="155" t="s">
        <v>17</v>
      </c>
      <c r="R16" s="7">
        <v>1</v>
      </c>
      <c r="S16" s="7">
        <v>1</v>
      </c>
      <c r="T16" s="155">
        <v>100</v>
      </c>
      <c r="U16" s="7" t="s">
        <v>17</v>
      </c>
      <c r="V16" s="7" t="s">
        <v>17</v>
      </c>
      <c r="W16" s="155" t="s">
        <v>17</v>
      </c>
      <c r="AC16" s="150" t="s">
        <v>17</v>
      </c>
      <c r="AD16" s="7" t="s">
        <v>17</v>
      </c>
      <c r="AE16" s="155" t="s">
        <v>17</v>
      </c>
      <c r="AF16" s="150">
        <v>3</v>
      </c>
      <c r="AG16" s="7">
        <v>6</v>
      </c>
      <c r="AH16" s="155">
        <f>SUM(AF16/AG16)*100</f>
        <v>50</v>
      </c>
      <c r="AI16" s="150">
        <v>2</v>
      </c>
      <c r="AJ16" s="7">
        <v>2</v>
      </c>
      <c r="AK16" s="7">
        <v>100</v>
      </c>
      <c r="AL16" s="150">
        <v>3</v>
      </c>
      <c r="AM16" s="7">
        <v>4</v>
      </c>
      <c r="AN16" s="155">
        <v>75</v>
      </c>
      <c r="AO16" s="150" t="s">
        <v>17</v>
      </c>
      <c r="AP16" s="7" t="s">
        <v>17</v>
      </c>
      <c r="AQ16" s="155" t="s">
        <v>17</v>
      </c>
      <c r="AR16" s="150">
        <v>3</v>
      </c>
      <c r="AS16" s="7">
        <v>10</v>
      </c>
      <c r="AT16" s="7">
        <v>30</v>
      </c>
      <c r="AU16" s="150">
        <v>1</v>
      </c>
      <c r="AV16" s="7">
        <v>1</v>
      </c>
      <c r="AW16" s="155">
        <v>100</v>
      </c>
      <c r="AX16" s="150" t="s">
        <v>17</v>
      </c>
      <c r="AY16" s="7" t="s">
        <v>17</v>
      </c>
      <c r="AZ16" s="7" t="s">
        <v>17</v>
      </c>
    </row>
    <row r="17" spans="1:52" ht="14.95" customHeight="1" thickBot="1" x14ac:dyDescent="0.3">
      <c r="A17" s="300" t="s">
        <v>363</v>
      </c>
      <c r="B17" s="209">
        <v>5</v>
      </c>
      <c r="C17" s="270">
        <v>3</v>
      </c>
      <c r="D17" s="247">
        <v>0</v>
      </c>
      <c r="E17" s="302">
        <f t="shared" si="3"/>
        <v>8</v>
      </c>
      <c r="F17" s="253" t="s">
        <v>363</v>
      </c>
      <c r="G17" s="254">
        <v>25</v>
      </c>
      <c r="H17" s="348">
        <v>15</v>
      </c>
      <c r="I17" s="255">
        <v>0</v>
      </c>
      <c r="J17" s="256">
        <f t="shared" si="4"/>
        <v>40</v>
      </c>
      <c r="K17" s="300" t="s">
        <v>351</v>
      </c>
      <c r="L17" s="302" t="s">
        <v>17</v>
      </c>
      <c r="M17" s="302" t="s">
        <v>17</v>
      </c>
      <c r="N17" s="303" t="s">
        <v>17</v>
      </c>
      <c r="O17" s="7">
        <v>1</v>
      </c>
      <c r="P17" s="7">
        <v>3</v>
      </c>
      <c r="Q17" s="155">
        <v>33.333333333333329</v>
      </c>
      <c r="R17" s="7">
        <v>9</v>
      </c>
      <c r="S17" s="7">
        <v>13</v>
      </c>
      <c r="T17" s="155">
        <v>69.230769230769226</v>
      </c>
      <c r="U17" s="7" t="s">
        <v>17</v>
      </c>
      <c r="V17" s="7" t="s">
        <v>17</v>
      </c>
      <c r="W17" s="155" t="s">
        <v>17</v>
      </c>
      <c r="AC17" s="150" t="s">
        <v>17</v>
      </c>
      <c r="AD17" s="7" t="s">
        <v>17</v>
      </c>
      <c r="AE17" s="155" t="s">
        <v>17</v>
      </c>
      <c r="AF17" s="150">
        <v>10</v>
      </c>
      <c r="AG17" s="7">
        <v>11</v>
      </c>
      <c r="AH17" s="155">
        <f>SUM(AF17/AG17)*100</f>
        <v>90.909090909090907</v>
      </c>
      <c r="AI17" s="150" t="s">
        <v>17</v>
      </c>
      <c r="AJ17" s="7" t="s">
        <v>17</v>
      </c>
      <c r="AK17" s="7" t="s">
        <v>17</v>
      </c>
      <c r="AL17" s="150" t="s">
        <v>17</v>
      </c>
      <c r="AM17" s="7" t="s">
        <v>17</v>
      </c>
      <c r="AN17" s="7" t="s">
        <v>17</v>
      </c>
      <c r="AO17" s="150" t="s">
        <v>17</v>
      </c>
      <c r="AP17" s="7" t="s">
        <v>17</v>
      </c>
      <c r="AQ17" s="7" t="s">
        <v>17</v>
      </c>
      <c r="AR17" s="150" t="s">
        <v>17</v>
      </c>
      <c r="AS17" s="7" t="s">
        <v>17</v>
      </c>
      <c r="AT17" s="7" t="s">
        <v>17</v>
      </c>
      <c r="AU17" s="150">
        <v>1</v>
      </c>
      <c r="AV17" s="7">
        <v>1</v>
      </c>
      <c r="AW17" s="155">
        <f>SUM(AU17/AV17)*100</f>
        <v>100</v>
      </c>
      <c r="AX17" s="150">
        <v>6</v>
      </c>
      <c r="AY17" s="7">
        <v>8</v>
      </c>
      <c r="AZ17" s="155">
        <f>SUM(AX17/AY17)*100</f>
        <v>75</v>
      </c>
    </row>
    <row r="18" spans="1:52" ht="14.95" customHeight="1" thickBot="1" x14ac:dyDescent="0.3">
      <c r="A18" s="300" t="s">
        <v>1096</v>
      </c>
      <c r="B18" s="209">
        <v>0</v>
      </c>
      <c r="C18" s="270">
        <v>0</v>
      </c>
      <c r="D18" s="247">
        <v>1</v>
      </c>
      <c r="E18" s="302">
        <f t="shared" si="3"/>
        <v>1</v>
      </c>
      <c r="F18" s="253" t="s">
        <v>1096</v>
      </c>
      <c r="G18" s="254">
        <v>0</v>
      </c>
      <c r="H18" s="348">
        <v>0</v>
      </c>
      <c r="I18" s="255">
        <v>24</v>
      </c>
      <c r="J18" s="256">
        <f t="shared" si="4"/>
        <v>24</v>
      </c>
      <c r="K18" s="300" t="s">
        <v>901</v>
      </c>
      <c r="L18" s="302" t="s">
        <v>17</v>
      </c>
      <c r="M18" s="302" t="s">
        <v>17</v>
      </c>
      <c r="N18" s="303" t="s">
        <v>17</v>
      </c>
      <c r="O18" s="7" t="s">
        <v>17</v>
      </c>
      <c r="P18" s="7" t="s">
        <v>17</v>
      </c>
      <c r="Q18" s="155" t="s">
        <v>17</v>
      </c>
      <c r="R18" s="7" t="s">
        <v>17</v>
      </c>
      <c r="S18" s="7" t="s">
        <v>17</v>
      </c>
      <c r="T18" s="155" t="s">
        <v>17</v>
      </c>
      <c r="U18" s="7" t="s">
        <v>17</v>
      </c>
      <c r="V18" s="7" t="s">
        <v>17</v>
      </c>
      <c r="W18" s="155" t="s">
        <v>17</v>
      </c>
      <c r="AC18" s="150" t="s">
        <v>17</v>
      </c>
      <c r="AD18" s="7" t="s">
        <v>17</v>
      </c>
      <c r="AE18" s="155" t="s">
        <v>17</v>
      </c>
      <c r="AF18" s="150" t="s">
        <v>17</v>
      </c>
      <c r="AG18" s="7" t="s">
        <v>17</v>
      </c>
      <c r="AH18" s="155" t="s">
        <v>17</v>
      </c>
      <c r="AI18" s="150" t="s">
        <v>17</v>
      </c>
      <c r="AJ18" s="7" t="s">
        <v>17</v>
      </c>
      <c r="AK18" s="7" t="s">
        <v>17</v>
      </c>
      <c r="AL18" s="150" t="s">
        <v>17</v>
      </c>
      <c r="AM18" s="7" t="s">
        <v>17</v>
      </c>
      <c r="AN18" s="7" t="s">
        <v>17</v>
      </c>
      <c r="AO18" s="150" t="s">
        <v>17</v>
      </c>
      <c r="AP18" s="7" t="s">
        <v>17</v>
      </c>
      <c r="AQ18" s="7" t="s">
        <v>17</v>
      </c>
      <c r="AR18" s="150" t="s">
        <v>17</v>
      </c>
      <c r="AS18" s="7" t="s">
        <v>17</v>
      </c>
      <c r="AT18" s="7" t="s">
        <v>17</v>
      </c>
      <c r="AU18" s="150" t="s">
        <v>17</v>
      </c>
      <c r="AV18" s="7" t="s">
        <v>17</v>
      </c>
      <c r="AW18" s="155" t="s">
        <v>17</v>
      </c>
      <c r="AX18" s="150" t="s">
        <v>17</v>
      </c>
      <c r="AY18" s="7" t="s">
        <v>17</v>
      </c>
      <c r="AZ18" s="155" t="s">
        <v>17</v>
      </c>
    </row>
    <row r="19" spans="1:52" ht="14.95" customHeight="1" thickBot="1" x14ac:dyDescent="0.3">
      <c r="A19" s="300" t="s">
        <v>925</v>
      </c>
      <c r="B19" s="209">
        <v>0</v>
      </c>
      <c r="C19" s="270">
        <v>0</v>
      </c>
      <c r="D19" s="247">
        <v>2</v>
      </c>
      <c r="E19" s="302">
        <f t="shared" si="3"/>
        <v>2</v>
      </c>
      <c r="F19" s="253" t="s">
        <v>925</v>
      </c>
      <c r="G19" s="254">
        <v>0</v>
      </c>
      <c r="H19" s="348">
        <v>0</v>
      </c>
      <c r="I19" s="255">
        <v>10</v>
      </c>
      <c r="J19" s="256">
        <f t="shared" si="4"/>
        <v>10</v>
      </c>
      <c r="K19" s="300" t="s">
        <v>362</v>
      </c>
      <c r="L19" s="302">
        <v>5</v>
      </c>
      <c r="M19" s="302">
        <v>7</v>
      </c>
      <c r="N19" s="303">
        <f t="shared" ref="N19" si="9">SUM(L19/M19)*100</f>
        <v>71.428571428571431</v>
      </c>
      <c r="O19" s="7" t="s">
        <v>17</v>
      </c>
      <c r="P19" s="7" t="s">
        <v>17</v>
      </c>
      <c r="Q19" s="155" t="s">
        <v>17</v>
      </c>
      <c r="R19" s="7" t="s">
        <v>17</v>
      </c>
      <c r="S19" s="7" t="s">
        <v>17</v>
      </c>
      <c r="T19" s="155" t="s">
        <v>17</v>
      </c>
      <c r="U19" s="7" t="s">
        <v>17</v>
      </c>
      <c r="V19" s="7" t="s">
        <v>17</v>
      </c>
      <c r="W19" s="155" t="s">
        <v>17</v>
      </c>
      <c r="AC19" s="150" t="s">
        <v>17</v>
      </c>
      <c r="AD19" s="7" t="s">
        <v>17</v>
      </c>
      <c r="AE19" s="155" t="s">
        <v>17</v>
      </c>
      <c r="AF19" s="150" t="s">
        <v>17</v>
      </c>
      <c r="AG19" s="7" t="s">
        <v>17</v>
      </c>
      <c r="AH19" s="155" t="s">
        <v>17</v>
      </c>
      <c r="AI19" s="150">
        <v>11</v>
      </c>
      <c r="AJ19" s="7">
        <v>13</v>
      </c>
      <c r="AK19" s="155">
        <f>SUM(AI19/AJ19)*100</f>
        <v>84.615384615384613</v>
      </c>
      <c r="AL19" s="150" t="s">
        <v>17</v>
      </c>
      <c r="AM19" s="7" t="s">
        <v>17</v>
      </c>
      <c r="AN19" s="7" t="s">
        <v>17</v>
      </c>
      <c r="AO19" s="150">
        <v>2</v>
      </c>
      <c r="AP19" s="7">
        <v>5</v>
      </c>
      <c r="AQ19" s="155">
        <f>SUM(AO19/AP19)*100</f>
        <v>40</v>
      </c>
      <c r="AR19" s="150" t="s">
        <v>17</v>
      </c>
      <c r="AS19" s="7" t="s">
        <v>17</v>
      </c>
      <c r="AT19" s="7" t="s">
        <v>17</v>
      </c>
      <c r="AU19" s="150">
        <v>4</v>
      </c>
      <c r="AV19" s="7">
        <v>4</v>
      </c>
      <c r="AW19" s="155">
        <f>SUM(AU19/AV19)*100</f>
        <v>100</v>
      </c>
      <c r="AX19" s="150" t="s">
        <v>17</v>
      </c>
      <c r="AY19" s="7" t="s">
        <v>17</v>
      </c>
      <c r="AZ19" s="7" t="s">
        <v>17</v>
      </c>
    </row>
    <row r="20" spans="1:52" ht="14.95" customHeight="1" thickBot="1" x14ac:dyDescent="0.3">
      <c r="A20" s="300" t="s">
        <v>512</v>
      </c>
      <c r="B20" s="209">
        <v>7</v>
      </c>
      <c r="C20" s="270">
        <v>0</v>
      </c>
      <c r="D20" s="247">
        <v>2</v>
      </c>
      <c r="E20" s="302">
        <f t="shared" si="3"/>
        <v>9</v>
      </c>
      <c r="F20" s="253" t="s">
        <v>512</v>
      </c>
      <c r="G20" s="254">
        <v>35</v>
      </c>
      <c r="H20" s="348">
        <v>0</v>
      </c>
      <c r="I20" s="255">
        <v>10</v>
      </c>
      <c r="J20" s="256">
        <f t="shared" si="4"/>
        <v>45</v>
      </c>
    </row>
    <row r="21" spans="1:52" ht="14.95" customHeight="1" thickBot="1" x14ac:dyDescent="0.3">
      <c r="A21" s="300" t="s">
        <v>344</v>
      </c>
      <c r="B21" s="209">
        <v>8</v>
      </c>
      <c r="C21" s="270">
        <v>2</v>
      </c>
      <c r="D21" s="247">
        <v>0</v>
      </c>
      <c r="E21" s="302">
        <f t="shared" si="3"/>
        <v>10</v>
      </c>
      <c r="F21" s="253" t="s">
        <v>344</v>
      </c>
      <c r="G21" s="254">
        <v>40</v>
      </c>
      <c r="H21" s="348">
        <v>10</v>
      </c>
      <c r="I21" s="255">
        <v>0</v>
      </c>
      <c r="J21" s="256">
        <f t="shared" si="4"/>
        <v>50</v>
      </c>
      <c r="K21" s="511" t="s">
        <v>227</v>
      </c>
      <c r="L21" s="469" t="s">
        <v>16</v>
      </c>
      <c r="M21" s="470"/>
      <c r="N21" s="471"/>
      <c r="O21" s="469" t="s">
        <v>267</v>
      </c>
      <c r="P21" s="470"/>
      <c r="Q21" s="471"/>
      <c r="R21" s="469" t="s">
        <v>698</v>
      </c>
      <c r="S21" s="470"/>
      <c r="T21" s="471"/>
      <c r="U21" s="469" t="s">
        <v>562</v>
      </c>
      <c r="V21" s="470"/>
      <c r="W21" s="471"/>
      <c r="AC21" s="469" t="s">
        <v>463</v>
      </c>
      <c r="AD21" s="483"/>
      <c r="AE21" s="484"/>
      <c r="AF21" s="469" t="s">
        <v>355</v>
      </c>
      <c r="AG21" s="470"/>
      <c r="AH21" s="471"/>
      <c r="AI21" s="469" t="s">
        <v>260</v>
      </c>
      <c r="AJ21" s="470"/>
      <c r="AK21" s="471"/>
      <c r="AL21" s="469" t="s">
        <v>199</v>
      </c>
      <c r="AM21" s="470"/>
      <c r="AN21" s="471"/>
      <c r="AO21" s="469" t="s">
        <v>92</v>
      </c>
      <c r="AP21" s="470"/>
      <c r="AQ21" s="471"/>
      <c r="AR21" s="469" t="s">
        <v>63</v>
      </c>
      <c r="AS21" s="470"/>
      <c r="AT21" s="471"/>
      <c r="AU21" s="469" t="s">
        <v>59</v>
      </c>
      <c r="AV21" s="470"/>
      <c r="AW21" s="471"/>
      <c r="AX21" s="469" t="s">
        <v>69</v>
      </c>
      <c r="AY21" s="470"/>
      <c r="AZ21" s="471"/>
    </row>
    <row r="22" spans="1:52" ht="14.95" customHeight="1" thickBot="1" x14ac:dyDescent="0.3">
      <c r="A22" s="300" t="s">
        <v>616</v>
      </c>
      <c r="B22" s="209">
        <v>7</v>
      </c>
      <c r="C22" s="270">
        <v>2</v>
      </c>
      <c r="D22" s="247">
        <v>0</v>
      </c>
      <c r="E22" s="302">
        <f t="shared" si="3"/>
        <v>9</v>
      </c>
      <c r="F22" s="253" t="s">
        <v>616</v>
      </c>
      <c r="G22" s="254">
        <v>35</v>
      </c>
      <c r="H22" s="348">
        <v>10</v>
      </c>
      <c r="I22" s="255">
        <v>0</v>
      </c>
      <c r="J22" s="256">
        <f t="shared" si="4"/>
        <v>45</v>
      </c>
      <c r="K22" s="512"/>
      <c r="L22" s="472"/>
      <c r="M22" s="473"/>
      <c r="N22" s="474"/>
      <c r="O22" s="472"/>
      <c r="P22" s="473"/>
      <c r="Q22" s="474"/>
      <c r="R22" s="472"/>
      <c r="S22" s="473"/>
      <c r="T22" s="474"/>
      <c r="U22" s="472"/>
      <c r="V22" s="473"/>
      <c r="W22" s="474"/>
      <c r="AC22" s="485"/>
      <c r="AD22" s="486"/>
      <c r="AE22" s="487"/>
      <c r="AF22" s="472"/>
      <c r="AG22" s="473"/>
      <c r="AH22" s="474"/>
      <c r="AI22" s="472"/>
      <c r="AJ22" s="473"/>
      <c r="AK22" s="474"/>
      <c r="AL22" s="472"/>
      <c r="AM22" s="473"/>
      <c r="AN22" s="474"/>
      <c r="AO22" s="472"/>
      <c r="AP22" s="473"/>
      <c r="AQ22" s="474"/>
      <c r="AR22" s="472"/>
      <c r="AS22" s="473"/>
      <c r="AT22" s="474"/>
      <c r="AU22" s="472"/>
      <c r="AV22" s="473"/>
      <c r="AW22" s="474"/>
      <c r="AX22" s="472"/>
      <c r="AY22" s="473"/>
      <c r="AZ22" s="474"/>
    </row>
    <row r="23" spans="1:52" ht="14.95" customHeight="1" thickBot="1" x14ac:dyDescent="0.3">
      <c r="A23" s="300" t="s">
        <v>351</v>
      </c>
      <c r="B23" s="209">
        <v>1</v>
      </c>
      <c r="C23" s="270">
        <v>0</v>
      </c>
      <c r="D23" s="247">
        <v>0</v>
      </c>
      <c r="E23" s="302">
        <f t="shared" si="3"/>
        <v>1</v>
      </c>
      <c r="F23" s="253" t="s">
        <v>351</v>
      </c>
      <c r="G23" s="254">
        <v>5</v>
      </c>
      <c r="H23" s="348">
        <v>0</v>
      </c>
      <c r="I23" s="255">
        <v>0</v>
      </c>
      <c r="J23" s="256">
        <f t="shared" si="4"/>
        <v>5</v>
      </c>
      <c r="K23" s="257" t="s">
        <v>25</v>
      </c>
      <c r="L23" s="7" t="s">
        <v>55</v>
      </c>
      <c r="M23" s="7" t="s">
        <v>11</v>
      </c>
      <c r="N23" s="7" t="s">
        <v>12</v>
      </c>
      <c r="O23" s="7" t="s">
        <v>55</v>
      </c>
      <c r="P23" s="7" t="s">
        <v>11</v>
      </c>
      <c r="Q23" s="7" t="s">
        <v>12</v>
      </c>
      <c r="R23" s="7" t="s">
        <v>55</v>
      </c>
      <c r="S23" s="7" t="s">
        <v>11</v>
      </c>
      <c r="T23" s="7" t="s">
        <v>12</v>
      </c>
      <c r="U23" s="7" t="s">
        <v>55</v>
      </c>
      <c r="V23" s="7" t="s">
        <v>11</v>
      </c>
      <c r="W23" s="7" t="s">
        <v>12</v>
      </c>
      <c r="AC23" s="85" t="s">
        <v>55</v>
      </c>
      <c r="AD23" s="80" t="s">
        <v>11</v>
      </c>
      <c r="AE23" s="80" t="s">
        <v>12</v>
      </c>
      <c r="AF23" s="150" t="s">
        <v>55</v>
      </c>
      <c r="AG23" s="7" t="s">
        <v>11</v>
      </c>
      <c r="AH23" s="7" t="s">
        <v>12</v>
      </c>
      <c r="AI23" s="150" t="s">
        <v>55</v>
      </c>
      <c r="AJ23" s="7" t="s">
        <v>11</v>
      </c>
      <c r="AK23" s="7" t="s">
        <v>12</v>
      </c>
      <c r="AL23" s="150" t="s">
        <v>55</v>
      </c>
      <c r="AM23" s="7" t="s">
        <v>11</v>
      </c>
      <c r="AN23" s="7" t="s">
        <v>12</v>
      </c>
      <c r="AO23" s="150" t="s">
        <v>55</v>
      </c>
      <c r="AP23" s="7" t="s">
        <v>11</v>
      </c>
      <c r="AQ23" s="7" t="s">
        <v>12</v>
      </c>
      <c r="AR23" s="150" t="s">
        <v>55</v>
      </c>
      <c r="AS23" s="7" t="s">
        <v>11</v>
      </c>
      <c r="AT23" s="7" t="s">
        <v>12</v>
      </c>
      <c r="AU23" s="150" t="s">
        <v>55</v>
      </c>
      <c r="AV23" s="7" t="s">
        <v>11</v>
      </c>
      <c r="AW23" s="7" t="s">
        <v>12</v>
      </c>
      <c r="AX23" s="150" t="s">
        <v>55</v>
      </c>
      <c r="AY23" s="7" t="s">
        <v>11</v>
      </c>
      <c r="AZ23" s="7" t="s">
        <v>12</v>
      </c>
    </row>
    <row r="24" spans="1:52" ht="14.95" customHeight="1" thickBot="1" x14ac:dyDescent="0.3">
      <c r="A24" s="300" t="s">
        <v>661</v>
      </c>
      <c r="B24" s="209">
        <v>1</v>
      </c>
      <c r="C24" s="270">
        <v>1</v>
      </c>
      <c r="D24" s="247">
        <v>6</v>
      </c>
      <c r="E24" s="302">
        <f t="shared" si="3"/>
        <v>8</v>
      </c>
      <c r="F24" s="253" t="s">
        <v>661</v>
      </c>
      <c r="G24" s="254">
        <v>5</v>
      </c>
      <c r="H24" s="348">
        <v>5</v>
      </c>
      <c r="I24" s="255">
        <v>30</v>
      </c>
      <c r="J24" s="256">
        <f t="shared" si="4"/>
        <v>40</v>
      </c>
      <c r="K24" s="300" t="s">
        <v>899</v>
      </c>
      <c r="L24" s="7" t="s">
        <v>17</v>
      </c>
      <c r="M24" s="7" t="s">
        <v>17</v>
      </c>
      <c r="N24" s="155" t="s">
        <v>17</v>
      </c>
      <c r="O24" s="7" t="s">
        <v>17</v>
      </c>
      <c r="P24" s="7" t="s">
        <v>17</v>
      </c>
      <c r="Q24" s="155" t="s">
        <v>17</v>
      </c>
      <c r="R24" s="7" t="s">
        <v>17</v>
      </c>
      <c r="S24" s="7" t="s">
        <v>17</v>
      </c>
      <c r="T24" s="155" t="s">
        <v>17</v>
      </c>
      <c r="U24" s="7" t="s">
        <v>17</v>
      </c>
      <c r="V24" s="7" t="s">
        <v>17</v>
      </c>
      <c r="W24" s="155" t="s">
        <v>17</v>
      </c>
      <c r="AC24" s="150" t="s">
        <v>17</v>
      </c>
      <c r="AD24" s="7" t="s">
        <v>17</v>
      </c>
      <c r="AE24" s="155" t="s">
        <v>17</v>
      </c>
      <c r="AF24" s="150" t="s">
        <v>17</v>
      </c>
      <c r="AG24" s="7" t="s">
        <v>17</v>
      </c>
      <c r="AH24" s="155" t="s">
        <v>17</v>
      </c>
      <c r="AI24" s="150" t="s">
        <v>17</v>
      </c>
      <c r="AJ24" s="7" t="s">
        <v>17</v>
      </c>
      <c r="AK24" s="155" t="s">
        <v>17</v>
      </c>
      <c r="AL24" s="150" t="s">
        <v>17</v>
      </c>
      <c r="AM24" s="7" t="s">
        <v>17</v>
      </c>
      <c r="AN24" s="155" t="s">
        <v>17</v>
      </c>
      <c r="AO24" s="6" t="s">
        <v>17</v>
      </c>
      <c r="AP24" s="7" t="s">
        <v>17</v>
      </c>
      <c r="AQ24" s="155" t="s">
        <v>17</v>
      </c>
      <c r="AR24" s="7" t="s">
        <v>17</v>
      </c>
      <c r="AS24" s="7" t="s">
        <v>17</v>
      </c>
      <c r="AT24" s="155" t="s">
        <v>17</v>
      </c>
      <c r="AU24" s="7" t="s">
        <v>17</v>
      </c>
      <c r="AV24" s="7" t="s">
        <v>17</v>
      </c>
      <c r="AW24" s="155" t="s">
        <v>17</v>
      </c>
      <c r="AX24" s="7" t="s">
        <v>17</v>
      </c>
      <c r="AY24" s="7" t="s">
        <v>17</v>
      </c>
      <c r="AZ24" s="155" t="s">
        <v>17</v>
      </c>
    </row>
    <row r="25" spans="1:52" ht="14.95" customHeight="1" thickBot="1" x14ac:dyDescent="0.3">
      <c r="A25" s="300" t="s">
        <v>1092</v>
      </c>
      <c r="B25" s="209">
        <v>2</v>
      </c>
      <c r="C25" s="270">
        <v>0</v>
      </c>
      <c r="D25" s="247">
        <v>2</v>
      </c>
      <c r="E25" s="302">
        <f t="shared" si="3"/>
        <v>4</v>
      </c>
      <c r="F25" s="253" t="s">
        <v>1092</v>
      </c>
      <c r="G25" s="254">
        <v>10</v>
      </c>
      <c r="H25" s="348">
        <v>0</v>
      </c>
      <c r="I25" s="255">
        <v>10</v>
      </c>
      <c r="J25" s="256">
        <f t="shared" si="4"/>
        <v>20</v>
      </c>
      <c r="K25" s="300" t="s">
        <v>382</v>
      </c>
      <c r="L25" s="7" t="s">
        <v>17</v>
      </c>
      <c r="M25" s="7" t="s">
        <v>17</v>
      </c>
      <c r="N25" s="155" t="s">
        <v>17</v>
      </c>
      <c r="O25" s="7" t="s">
        <v>17</v>
      </c>
      <c r="P25" s="7" t="s">
        <v>17</v>
      </c>
      <c r="Q25" s="155" t="s">
        <v>17</v>
      </c>
      <c r="R25" s="7" t="s">
        <v>17</v>
      </c>
      <c r="S25" s="7" t="s">
        <v>17</v>
      </c>
      <c r="T25" s="155" t="s">
        <v>17</v>
      </c>
      <c r="U25" s="7">
        <v>0</v>
      </c>
      <c r="V25" s="7">
        <v>1</v>
      </c>
      <c r="W25" s="155">
        <f>SUM(U25/V25)*100</f>
        <v>0</v>
      </c>
      <c r="AC25" s="150" t="s">
        <v>17</v>
      </c>
      <c r="AD25" s="7" t="s">
        <v>17</v>
      </c>
      <c r="AE25" s="155" t="s">
        <v>17</v>
      </c>
      <c r="AF25" s="150">
        <v>3</v>
      </c>
      <c r="AG25" s="7">
        <v>6</v>
      </c>
      <c r="AH25" s="155">
        <f>SUM(AF25/AG25)*100</f>
        <v>50</v>
      </c>
      <c r="AI25" s="150">
        <v>2</v>
      </c>
      <c r="AJ25" s="7">
        <v>2</v>
      </c>
      <c r="AK25" s="7">
        <v>100</v>
      </c>
      <c r="AL25" s="150">
        <v>3</v>
      </c>
      <c r="AM25" s="7">
        <v>4</v>
      </c>
      <c r="AN25" s="155">
        <v>75</v>
      </c>
      <c r="AO25" s="150" t="s">
        <v>17</v>
      </c>
      <c r="AP25" s="7" t="s">
        <v>17</v>
      </c>
      <c r="AQ25" s="155" t="s">
        <v>17</v>
      </c>
      <c r="AR25" s="150">
        <v>3</v>
      </c>
      <c r="AS25" s="7">
        <v>10</v>
      </c>
      <c r="AT25" s="7">
        <v>30</v>
      </c>
      <c r="AU25" s="150">
        <v>1</v>
      </c>
      <c r="AV25" s="7">
        <v>1</v>
      </c>
      <c r="AW25" s="155">
        <v>100</v>
      </c>
      <c r="AX25" s="150">
        <v>1</v>
      </c>
      <c r="AY25" s="7">
        <v>1</v>
      </c>
      <c r="AZ25" s="155">
        <v>100</v>
      </c>
    </row>
    <row r="26" spans="1:52" ht="14.95" customHeight="1" thickBot="1" x14ac:dyDescent="0.3">
      <c r="A26" s="300" t="s">
        <v>476</v>
      </c>
      <c r="B26" s="209">
        <v>0</v>
      </c>
      <c r="C26" s="270">
        <v>0</v>
      </c>
      <c r="D26" s="247">
        <v>0</v>
      </c>
      <c r="E26" s="302">
        <f t="shared" si="3"/>
        <v>0</v>
      </c>
      <c r="F26" s="253" t="s">
        <v>476</v>
      </c>
      <c r="G26" s="254">
        <v>0</v>
      </c>
      <c r="H26" s="348">
        <v>0</v>
      </c>
      <c r="I26" s="255">
        <v>0</v>
      </c>
      <c r="J26" s="256">
        <f t="shared" si="4"/>
        <v>0</v>
      </c>
      <c r="K26" s="300" t="s">
        <v>1152</v>
      </c>
      <c r="L26" s="7" t="s">
        <v>17</v>
      </c>
      <c r="M26" s="7" t="s">
        <v>17</v>
      </c>
      <c r="N26" s="155" t="s">
        <v>17</v>
      </c>
      <c r="O26" s="7">
        <v>2</v>
      </c>
      <c r="P26" s="7">
        <v>2</v>
      </c>
      <c r="Q26" s="155">
        <v>100</v>
      </c>
      <c r="R26" s="7">
        <v>7</v>
      </c>
      <c r="S26" s="7">
        <v>11</v>
      </c>
      <c r="T26" s="155">
        <v>63.636363636363633</v>
      </c>
      <c r="U26" s="7" t="s">
        <v>17</v>
      </c>
      <c r="V26" s="7" t="s">
        <v>17</v>
      </c>
      <c r="W26" s="155" t="s">
        <v>17</v>
      </c>
      <c r="AC26" s="6" t="s">
        <v>17</v>
      </c>
      <c r="AD26" s="7" t="s">
        <v>17</v>
      </c>
      <c r="AE26" s="155" t="s">
        <v>17</v>
      </c>
      <c r="AF26" s="7" t="s">
        <v>17</v>
      </c>
      <c r="AG26" s="7" t="s">
        <v>17</v>
      </c>
      <c r="AH26" s="155" t="s">
        <v>17</v>
      </c>
      <c r="AI26" s="7" t="s">
        <v>17</v>
      </c>
      <c r="AJ26" s="7" t="s">
        <v>17</v>
      </c>
      <c r="AK26" s="155" t="s">
        <v>17</v>
      </c>
      <c r="AL26" s="7" t="s">
        <v>17</v>
      </c>
      <c r="AM26" s="7" t="s">
        <v>17</v>
      </c>
      <c r="AN26" s="155" t="s">
        <v>17</v>
      </c>
      <c r="AO26" s="7" t="s">
        <v>17</v>
      </c>
      <c r="AP26" s="7" t="s">
        <v>17</v>
      </c>
      <c r="AQ26" s="155" t="s">
        <v>17</v>
      </c>
      <c r="AR26" s="7" t="s">
        <v>17</v>
      </c>
      <c r="AS26" s="7" t="s">
        <v>17</v>
      </c>
      <c r="AT26" s="155" t="s">
        <v>17</v>
      </c>
      <c r="AU26" s="7" t="s">
        <v>17</v>
      </c>
      <c r="AV26" s="7" t="s">
        <v>17</v>
      </c>
      <c r="AW26" s="155" t="s">
        <v>17</v>
      </c>
      <c r="AX26" s="7" t="s">
        <v>17</v>
      </c>
      <c r="AY26" s="7" t="s">
        <v>17</v>
      </c>
      <c r="AZ26" s="155" t="s">
        <v>17</v>
      </c>
    </row>
    <row r="27" spans="1:52" ht="14.95" customHeight="1" thickBot="1" x14ac:dyDescent="0.3">
      <c r="A27" s="300" t="s">
        <v>1094</v>
      </c>
      <c r="B27" s="209">
        <v>0</v>
      </c>
      <c r="C27" s="270">
        <v>0</v>
      </c>
      <c r="D27" s="247">
        <v>1</v>
      </c>
      <c r="E27" s="302">
        <f t="shared" si="3"/>
        <v>1</v>
      </c>
      <c r="F27" s="253" t="s">
        <v>1094</v>
      </c>
      <c r="G27" s="254">
        <v>0</v>
      </c>
      <c r="H27" s="348">
        <v>0</v>
      </c>
      <c r="I27" s="255">
        <v>5</v>
      </c>
      <c r="J27" s="256">
        <f t="shared" si="4"/>
        <v>5</v>
      </c>
      <c r="K27" s="300" t="s">
        <v>351</v>
      </c>
      <c r="L27" s="7" t="s">
        <v>17</v>
      </c>
      <c r="M27" s="7" t="s">
        <v>17</v>
      </c>
      <c r="N27" s="155" t="s">
        <v>17</v>
      </c>
      <c r="O27" s="7" t="s">
        <v>17</v>
      </c>
      <c r="P27" s="7" t="s">
        <v>17</v>
      </c>
      <c r="Q27" s="155" t="s">
        <v>17</v>
      </c>
      <c r="R27" s="7" t="s">
        <v>17</v>
      </c>
      <c r="S27" s="7" t="s">
        <v>17</v>
      </c>
      <c r="T27" s="155" t="s">
        <v>17</v>
      </c>
      <c r="U27" s="7" t="s">
        <v>17</v>
      </c>
      <c r="V27" s="7" t="s">
        <v>17</v>
      </c>
      <c r="W27" s="155" t="s">
        <v>17</v>
      </c>
      <c r="AC27" s="150" t="s">
        <v>17</v>
      </c>
      <c r="AD27" s="7" t="s">
        <v>17</v>
      </c>
      <c r="AE27" s="155" t="s">
        <v>17</v>
      </c>
      <c r="AF27" s="150">
        <v>10</v>
      </c>
      <c r="AG27" s="7">
        <v>11</v>
      </c>
      <c r="AH27" s="155">
        <f>SUM(AF27/AG27)*100</f>
        <v>90.909090909090907</v>
      </c>
      <c r="AI27" s="150" t="s">
        <v>17</v>
      </c>
      <c r="AJ27" s="7" t="s">
        <v>17</v>
      </c>
      <c r="AK27" s="7" t="s">
        <v>17</v>
      </c>
      <c r="AL27" s="150" t="s">
        <v>17</v>
      </c>
      <c r="AM27" s="7" t="s">
        <v>17</v>
      </c>
      <c r="AN27" s="7" t="s">
        <v>17</v>
      </c>
      <c r="AO27" s="150" t="s">
        <v>17</v>
      </c>
      <c r="AP27" s="7" t="s">
        <v>17</v>
      </c>
      <c r="AQ27" s="7" t="s">
        <v>17</v>
      </c>
      <c r="AR27" s="150" t="s">
        <v>17</v>
      </c>
      <c r="AS27" s="7" t="s">
        <v>17</v>
      </c>
      <c r="AT27" s="7" t="s">
        <v>17</v>
      </c>
      <c r="AU27" s="150">
        <v>1</v>
      </c>
      <c r="AV27" s="7">
        <v>1</v>
      </c>
      <c r="AW27" s="155">
        <f>SUM(AU27/AV27)*100</f>
        <v>100</v>
      </c>
      <c r="AX27" s="150">
        <v>6</v>
      </c>
      <c r="AY27" s="7">
        <v>8</v>
      </c>
      <c r="AZ27" s="155">
        <f>SUM(AX27/AY27)*100</f>
        <v>75</v>
      </c>
    </row>
    <row r="28" spans="1:52" ht="14.95" customHeight="1" thickBot="1" x14ac:dyDescent="0.3">
      <c r="A28" s="300" t="s">
        <v>506</v>
      </c>
      <c r="B28" s="209">
        <v>0</v>
      </c>
      <c r="C28" s="270">
        <v>1</v>
      </c>
      <c r="D28" s="247">
        <v>1</v>
      </c>
      <c r="E28" s="302">
        <f t="shared" si="3"/>
        <v>2</v>
      </c>
      <c r="F28" s="253" t="s">
        <v>506</v>
      </c>
      <c r="G28" s="254">
        <v>0</v>
      </c>
      <c r="H28" s="348">
        <v>5</v>
      </c>
      <c r="I28" s="255">
        <v>5</v>
      </c>
      <c r="J28" s="256">
        <f t="shared" si="4"/>
        <v>10</v>
      </c>
      <c r="K28" s="300" t="s">
        <v>929</v>
      </c>
      <c r="L28" s="7" t="s">
        <v>17</v>
      </c>
      <c r="M28" s="7" t="s">
        <v>17</v>
      </c>
      <c r="N28" s="155" t="s">
        <v>17</v>
      </c>
      <c r="O28" s="7">
        <v>9</v>
      </c>
      <c r="P28" s="7">
        <v>9</v>
      </c>
      <c r="Q28" s="155">
        <v>100</v>
      </c>
      <c r="R28" s="7" t="s">
        <v>17</v>
      </c>
      <c r="S28" s="7" t="s">
        <v>17</v>
      </c>
      <c r="T28" s="155" t="s">
        <v>17</v>
      </c>
      <c r="U28" s="7" t="s">
        <v>17</v>
      </c>
      <c r="V28" s="7" t="s">
        <v>17</v>
      </c>
      <c r="W28" s="155" t="s">
        <v>17</v>
      </c>
      <c r="AC28" s="150" t="s">
        <v>17</v>
      </c>
      <c r="AD28" s="7" t="s">
        <v>17</v>
      </c>
      <c r="AE28" s="155" t="s">
        <v>17</v>
      </c>
      <c r="AF28" s="150" t="s">
        <v>17</v>
      </c>
      <c r="AG28" s="7" t="s">
        <v>17</v>
      </c>
      <c r="AH28" s="155" t="s">
        <v>17</v>
      </c>
      <c r="AI28" s="150" t="s">
        <v>17</v>
      </c>
      <c r="AJ28" s="7" t="s">
        <v>17</v>
      </c>
      <c r="AK28" s="7" t="s">
        <v>17</v>
      </c>
      <c r="AL28" s="150" t="s">
        <v>17</v>
      </c>
      <c r="AM28" s="7" t="s">
        <v>17</v>
      </c>
      <c r="AN28" s="7" t="s">
        <v>17</v>
      </c>
      <c r="AO28" s="150" t="s">
        <v>17</v>
      </c>
      <c r="AP28" s="7" t="s">
        <v>17</v>
      </c>
      <c r="AQ28" s="7" t="s">
        <v>17</v>
      </c>
      <c r="AR28" s="150" t="s">
        <v>17</v>
      </c>
      <c r="AS28" s="7" t="s">
        <v>17</v>
      </c>
      <c r="AT28" s="7" t="s">
        <v>17</v>
      </c>
      <c r="AU28" s="150" t="s">
        <v>17</v>
      </c>
      <c r="AV28" s="7" t="s">
        <v>17</v>
      </c>
      <c r="AW28" s="155" t="s">
        <v>17</v>
      </c>
      <c r="AX28" s="150" t="s">
        <v>17</v>
      </c>
      <c r="AY28" s="7" t="s">
        <v>17</v>
      </c>
      <c r="AZ28" s="155" t="s">
        <v>17</v>
      </c>
    </row>
    <row r="29" spans="1:52" ht="14.95" customHeight="1" thickBot="1" x14ac:dyDescent="0.3">
      <c r="A29" s="300" t="s">
        <v>907</v>
      </c>
      <c r="B29" s="209">
        <v>0</v>
      </c>
      <c r="C29" s="270">
        <v>0</v>
      </c>
      <c r="D29" s="247">
        <v>0</v>
      </c>
      <c r="E29" s="302">
        <f t="shared" si="3"/>
        <v>0</v>
      </c>
      <c r="F29" s="253" t="s">
        <v>907</v>
      </c>
      <c r="G29" s="254">
        <v>0</v>
      </c>
      <c r="H29" s="348">
        <v>0</v>
      </c>
      <c r="I29" s="255">
        <v>0</v>
      </c>
      <c r="J29" s="256">
        <f t="shared" si="4"/>
        <v>0</v>
      </c>
      <c r="K29" s="300" t="s">
        <v>362</v>
      </c>
      <c r="L29" s="7" t="s">
        <v>17</v>
      </c>
      <c r="M29" s="7" t="s">
        <v>17</v>
      </c>
      <c r="N29" s="155" t="s">
        <v>17</v>
      </c>
      <c r="O29" s="7" t="s">
        <v>17</v>
      </c>
      <c r="P29" s="7" t="s">
        <v>17</v>
      </c>
      <c r="Q29" s="155" t="s">
        <v>17</v>
      </c>
      <c r="R29" s="7" t="s">
        <v>17</v>
      </c>
      <c r="S29" s="7" t="s">
        <v>17</v>
      </c>
      <c r="T29" s="155" t="s">
        <v>17</v>
      </c>
      <c r="U29" s="7" t="s">
        <v>17</v>
      </c>
      <c r="V29" s="7" t="s">
        <v>17</v>
      </c>
      <c r="W29" s="155" t="s">
        <v>17</v>
      </c>
      <c r="AC29" s="150" t="s">
        <v>17</v>
      </c>
      <c r="AD29" s="7" t="s">
        <v>17</v>
      </c>
      <c r="AE29" s="155" t="s">
        <v>17</v>
      </c>
      <c r="AF29" s="150" t="s">
        <v>17</v>
      </c>
      <c r="AG29" s="7" t="s">
        <v>17</v>
      </c>
      <c r="AH29" s="155" t="s">
        <v>17</v>
      </c>
      <c r="AI29" s="150">
        <v>11</v>
      </c>
      <c r="AJ29" s="7">
        <v>13</v>
      </c>
      <c r="AK29" s="155">
        <f>SUM(AI29/AJ29)*100</f>
        <v>84.615384615384613</v>
      </c>
      <c r="AL29" s="150" t="s">
        <v>17</v>
      </c>
      <c r="AM29" s="7" t="s">
        <v>17</v>
      </c>
      <c r="AN29" s="7" t="s">
        <v>17</v>
      </c>
      <c r="AO29" s="150">
        <v>2</v>
      </c>
      <c r="AP29" s="7">
        <v>5</v>
      </c>
      <c r="AQ29" s="155">
        <f>SUM(AO29/AP29)*100</f>
        <v>40</v>
      </c>
      <c r="AR29" s="150" t="s">
        <v>17</v>
      </c>
      <c r="AS29" s="7" t="s">
        <v>17</v>
      </c>
      <c r="AT29" s="7" t="s">
        <v>17</v>
      </c>
      <c r="AU29" s="150">
        <v>4</v>
      </c>
      <c r="AV29" s="7">
        <v>4</v>
      </c>
      <c r="AW29" s="155">
        <f>SUM(AU29/AV29)*100</f>
        <v>100</v>
      </c>
      <c r="AX29" s="150" t="s">
        <v>17</v>
      </c>
      <c r="AY29" s="7" t="s">
        <v>17</v>
      </c>
      <c r="AZ29" s="7" t="s">
        <v>17</v>
      </c>
    </row>
    <row r="30" spans="1:52" ht="14.95" customHeight="1" thickBot="1" x14ac:dyDescent="0.3">
      <c r="A30" s="300" t="s">
        <v>304</v>
      </c>
      <c r="B30" s="209">
        <v>0</v>
      </c>
      <c r="C30" s="270">
        <v>0</v>
      </c>
      <c r="D30" s="247">
        <v>0</v>
      </c>
      <c r="E30" s="302">
        <f t="shared" si="3"/>
        <v>0</v>
      </c>
      <c r="F30" s="253" t="s">
        <v>304</v>
      </c>
      <c r="G30" s="254">
        <v>0</v>
      </c>
      <c r="H30" s="348">
        <v>0</v>
      </c>
      <c r="I30" s="255">
        <v>0</v>
      </c>
      <c r="J30" s="256">
        <f t="shared" si="4"/>
        <v>0</v>
      </c>
      <c r="K30" s="399" t="s">
        <v>949</v>
      </c>
      <c r="L30" s="7" t="s">
        <v>17</v>
      </c>
      <c r="M30" s="7" t="s">
        <v>17</v>
      </c>
      <c r="N30" s="155" t="s">
        <v>17</v>
      </c>
      <c r="O30" s="6">
        <v>2</v>
      </c>
      <c r="P30" s="6">
        <v>2</v>
      </c>
      <c r="Q30" s="159">
        <v>100</v>
      </c>
      <c r="R30" s="7" t="s">
        <v>17</v>
      </c>
      <c r="S30" s="7" t="s">
        <v>17</v>
      </c>
      <c r="T30" s="155" t="s">
        <v>17</v>
      </c>
      <c r="U30" s="7" t="s">
        <v>17</v>
      </c>
      <c r="V30" s="7" t="s">
        <v>17</v>
      </c>
      <c r="W30" s="155" t="s">
        <v>17</v>
      </c>
      <c r="AC30" s="150" t="s">
        <v>17</v>
      </c>
      <c r="AD30" s="7" t="s">
        <v>17</v>
      </c>
      <c r="AE30" s="155" t="s">
        <v>17</v>
      </c>
      <c r="AF30" s="150" t="s">
        <v>17</v>
      </c>
      <c r="AG30" s="7" t="s">
        <v>17</v>
      </c>
      <c r="AH30" s="155" t="s">
        <v>17</v>
      </c>
      <c r="AI30" s="150" t="s">
        <v>17</v>
      </c>
      <c r="AJ30" s="7" t="s">
        <v>17</v>
      </c>
      <c r="AK30" s="155" t="s">
        <v>17</v>
      </c>
      <c r="AL30" s="150" t="s">
        <v>17</v>
      </c>
      <c r="AM30" s="7" t="s">
        <v>17</v>
      </c>
      <c r="AN30" s="155" t="s">
        <v>17</v>
      </c>
      <c r="AO30" s="6">
        <v>13</v>
      </c>
      <c r="AP30" s="6">
        <v>18</v>
      </c>
      <c r="AQ30" s="159">
        <v>72.222222222222214</v>
      </c>
      <c r="AR30" s="6">
        <v>1</v>
      </c>
      <c r="AS30" s="6">
        <v>1</v>
      </c>
      <c r="AT30" s="6">
        <v>100</v>
      </c>
      <c r="AU30" s="150">
        <v>6</v>
      </c>
      <c r="AV30" s="7">
        <v>10</v>
      </c>
      <c r="AW30" s="155">
        <v>60</v>
      </c>
      <c r="AX30" s="150" t="s">
        <v>17</v>
      </c>
      <c r="AY30" s="7" t="s">
        <v>17</v>
      </c>
      <c r="AZ30" s="155" t="s">
        <v>17</v>
      </c>
    </row>
    <row r="31" spans="1:52" ht="14.95" customHeight="1" thickBot="1" x14ac:dyDescent="0.3">
      <c r="A31" s="300" t="s">
        <v>346</v>
      </c>
      <c r="B31" s="209">
        <v>1</v>
      </c>
      <c r="C31" s="270">
        <v>0</v>
      </c>
      <c r="D31" s="247">
        <v>0</v>
      </c>
      <c r="E31" s="302">
        <f t="shared" si="3"/>
        <v>1</v>
      </c>
      <c r="F31" s="253" t="s">
        <v>346</v>
      </c>
      <c r="G31" s="254">
        <v>5</v>
      </c>
      <c r="H31" s="348">
        <v>0</v>
      </c>
      <c r="I31" s="255">
        <v>0</v>
      </c>
      <c r="J31" s="256">
        <f t="shared" si="4"/>
        <v>5</v>
      </c>
      <c r="K31" s="557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AC31" s="174"/>
      <c r="AD31" s="87"/>
      <c r="AE31" s="87"/>
      <c r="AF31" s="174"/>
      <c r="AG31" s="87"/>
      <c r="AH31" s="175"/>
      <c r="AI31" s="87"/>
      <c r="AJ31" s="87"/>
      <c r="AK31" s="175"/>
    </row>
    <row r="32" spans="1:52" ht="14.95" customHeight="1" thickBot="1" x14ac:dyDescent="0.3">
      <c r="A32" s="300" t="s">
        <v>201</v>
      </c>
      <c r="B32" s="209">
        <v>0</v>
      </c>
      <c r="C32" s="270">
        <v>0</v>
      </c>
      <c r="D32" s="247">
        <v>7</v>
      </c>
      <c r="E32" s="302">
        <f t="shared" si="3"/>
        <v>7</v>
      </c>
      <c r="F32" s="253" t="s">
        <v>201</v>
      </c>
      <c r="G32" s="254">
        <v>0</v>
      </c>
      <c r="H32" s="348">
        <v>0</v>
      </c>
      <c r="I32" s="255">
        <v>35</v>
      </c>
      <c r="J32" s="256">
        <f t="shared" si="4"/>
        <v>35</v>
      </c>
      <c r="K32" s="499" t="s">
        <v>93</v>
      </c>
      <c r="L32" s="453" t="s">
        <v>16</v>
      </c>
      <c r="M32" s="467"/>
      <c r="N32" s="454"/>
      <c r="O32" s="469" t="s">
        <v>267</v>
      </c>
      <c r="P32" s="470"/>
      <c r="Q32" s="471"/>
      <c r="R32" s="469" t="s">
        <v>698</v>
      </c>
      <c r="S32" s="470"/>
      <c r="T32" s="471"/>
      <c r="U32" s="469" t="s">
        <v>562</v>
      </c>
      <c r="V32" s="470"/>
      <c r="W32" s="471"/>
      <c r="AC32" s="469" t="s">
        <v>355</v>
      </c>
      <c r="AD32" s="470"/>
      <c r="AE32" s="471"/>
      <c r="AF32" s="469" t="s">
        <v>260</v>
      </c>
      <c r="AG32" s="470"/>
      <c r="AH32" s="471"/>
      <c r="AI32" s="469" t="s">
        <v>199</v>
      </c>
      <c r="AJ32" s="470"/>
      <c r="AK32" s="471"/>
      <c r="AL32" s="469" t="s">
        <v>92</v>
      </c>
      <c r="AM32" s="470"/>
      <c r="AN32" s="471"/>
      <c r="AO32" s="469" t="s">
        <v>59</v>
      </c>
      <c r="AP32" s="470"/>
      <c r="AQ32" s="471"/>
      <c r="AR32" s="469" t="s">
        <v>45</v>
      </c>
      <c r="AS32" s="470"/>
      <c r="AT32" s="471"/>
    </row>
    <row r="33" spans="1:56" ht="14.95" customHeight="1" thickBot="1" x14ac:dyDescent="0.3">
      <c r="A33" s="300" t="s">
        <v>901</v>
      </c>
      <c r="B33" s="209">
        <v>0</v>
      </c>
      <c r="C33" s="270">
        <v>0</v>
      </c>
      <c r="D33" s="247">
        <v>0</v>
      </c>
      <c r="E33" s="302">
        <f t="shared" si="3"/>
        <v>0</v>
      </c>
      <c r="F33" s="253" t="s">
        <v>901</v>
      </c>
      <c r="G33" s="254">
        <v>6</v>
      </c>
      <c r="H33" s="348">
        <v>0</v>
      </c>
      <c r="I33" s="255">
        <v>19</v>
      </c>
      <c r="J33" s="256">
        <f t="shared" si="4"/>
        <v>25</v>
      </c>
      <c r="K33" s="500"/>
      <c r="L33" s="455"/>
      <c r="M33" s="468"/>
      <c r="N33" s="456"/>
      <c r="O33" s="472"/>
      <c r="P33" s="473"/>
      <c r="Q33" s="474"/>
      <c r="R33" s="472"/>
      <c r="S33" s="473"/>
      <c r="T33" s="474"/>
      <c r="U33" s="472"/>
      <c r="V33" s="473"/>
      <c r="W33" s="474"/>
      <c r="AC33" s="472"/>
      <c r="AD33" s="473"/>
      <c r="AE33" s="474"/>
      <c r="AF33" s="472"/>
      <c r="AG33" s="473"/>
      <c r="AH33" s="474"/>
      <c r="AI33" s="472"/>
      <c r="AJ33" s="473"/>
      <c r="AK33" s="474"/>
      <c r="AL33" s="472"/>
      <c r="AM33" s="473"/>
      <c r="AN33" s="474"/>
      <c r="AO33" s="472"/>
      <c r="AP33" s="473"/>
      <c r="AQ33" s="474"/>
      <c r="AR33" s="472"/>
      <c r="AS33" s="473"/>
      <c r="AT33" s="474"/>
    </row>
    <row r="34" spans="1:56" ht="14.95" customHeight="1" thickBot="1" x14ac:dyDescent="0.3">
      <c r="A34" s="300" t="s">
        <v>533</v>
      </c>
      <c r="B34" s="209">
        <v>1</v>
      </c>
      <c r="C34" s="270">
        <v>0</v>
      </c>
      <c r="D34" s="247">
        <v>0</v>
      </c>
      <c r="E34" s="302">
        <f t="shared" ref="E34" si="10">SUM(B34:D34)</f>
        <v>1</v>
      </c>
      <c r="F34" s="253" t="s">
        <v>533</v>
      </c>
      <c r="G34" s="254">
        <v>5</v>
      </c>
      <c r="H34" s="348">
        <v>0</v>
      </c>
      <c r="I34" s="255">
        <v>0</v>
      </c>
      <c r="J34" s="256">
        <f t="shared" ref="J34" si="11">SUM(G34:I34)</f>
        <v>5</v>
      </c>
      <c r="K34" s="225" t="s">
        <v>25</v>
      </c>
      <c r="L34" s="3" t="s">
        <v>55</v>
      </c>
      <c r="M34" s="3" t="s">
        <v>11</v>
      </c>
      <c r="N34" s="3" t="s">
        <v>12</v>
      </c>
      <c r="O34" s="7" t="s">
        <v>55</v>
      </c>
      <c r="P34" s="7" t="s">
        <v>11</v>
      </c>
      <c r="Q34" s="7" t="s">
        <v>12</v>
      </c>
      <c r="R34" s="7" t="s">
        <v>55</v>
      </c>
      <c r="S34" s="7" t="s">
        <v>11</v>
      </c>
      <c r="T34" s="7" t="s">
        <v>12</v>
      </c>
      <c r="U34" s="7" t="s">
        <v>55</v>
      </c>
      <c r="V34" s="7" t="s">
        <v>11</v>
      </c>
      <c r="W34" s="7" t="s">
        <v>12</v>
      </c>
      <c r="AC34" s="150" t="s">
        <v>55</v>
      </c>
      <c r="AD34" s="7" t="s">
        <v>11</v>
      </c>
      <c r="AE34" s="7" t="s">
        <v>12</v>
      </c>
      <c r="AF34" s="150" t="s">
        <v>55</v>
      </c>
      <c r="AG34" s="7" t="s">
        <v>11</v>
      </c>
      <c r="AH34" s="7" t="s">
        <v>12</v>
      </c>
      <c r="AI34" s="150" t="s">
        <v>55</v>
      </c>
      <c r="AJ34" s="7" t="s">
        <v>11</v>
      </c>
      <c r="AK34" s="7" t="s">
        <v>12</v>
      </c>
      <c r="AL34" s="150" t="s">
        <v>55</v>
      </c>
      <c r="AM34" s="7" t="s">
        <v>11</v>
      </c>
      <c r="AN34" s="7" t="s">
        <v>12</v>
      </c>
      <c r="AO34" s="150" t="s">
        <v>55</v>
      </c>
      <c r="AP34" s="7" t="s">
        <v>11</v>
      </c>
      <c r="AQ34" s="7" t="s">
        <v>12</v>
      </c>
      <c r="AR34" s="150" t="s">
        <v>55</v>
      </c>
      <c r="AS34" s="7" t="s">
        <v>11</v>
      </c>
      <c r="AT34" s="7" t="s">
        <v>12</v>
      </c>
    </row>
    <row r="35" spans="1:56" ht="14.95" customHeight="1" thickBot="1" x14ac:dyDescent="0.3">
      <c r="A35" s="300" t="s">
        <v>362</v>
      </c>
      <c r="B35" s="209">
        <v>0</v>
      </c>
      <c r="C35" s="270">
        <v>0</v>
      </c>
      <c r="D35" s="247">
        <v>0</v>
      </c>
      <c r="E35" s="302">
        <f t="shared" si="3"/>
        <v>0</v>
      </c>
      <c r="F35" s="253" t="s">
        <v>362</v>
      </c>
      <c r="G35" s="254">
        <v>71</v>
      </c>
      <c r="H35" s="348">
        <v>13</v>
      </c>
      <c r="I35" s="255">
        <v>0</v>
      </c>
      <c r="J35" s="256">
        <f t="shared" si="4"/>
        <v>84</v>
      </c>
      <c r="K35" s="300" t="s">
        <v>1096</v>
      </c>
      <c r="L35" s="302">
        <v>8</v>
      </c>
      <c r="M35" s="302">
        <v>12</v>
      </c>
      <c r="N35" s="303">
        <f t="shared" ref="N35:N37" si="12">SUM(L35/M35)*100</f>
        <v>66.666666666666657</v>
      </c>
      <c r="O35" s="6" t="s">
        <v>17</v>
      </c>
      <c r="P35" s="6" t="s">
        <v>17</v>
      </c>
      <c r="Q35" s="159" t="s">
        <v>17</v>
      </c>
      <c r="R35" s="6" t="s">
        <v>17</v>
      </c>
      <c r="S35" s="6" t="s">
        <v>17</v>
      </c>
      <c r="T35" s="159" t="s">
        <v>17</v>
      </c>
      <c r="U35" s="7">
        <v>7</v>
      </c>
      <c r="V35" s="7">
        <v>8</v>
      </c>
      <c r="W35" s="155">
        <v>87.5</v>
      </c>
      <c r="AC35" s="6">
        <v>9</v>
      </c>
      <c r="AD35" s="6">
        <v>9</v>
      </c>
      <c r="AE35" s="6">
        <f>SUM(AC35/AD35)*100</f>
        <v>100</v>
      </c>
      <c r="AF35" s="6">
        <v>1</v>
      </c>
      <c r="AG35" s="6">
        <v>1</v>
      </c>
      <c r="AH35" s="155">
        <f t="shared" ref="AH35" si="13">SUM(AF35/AG35)*100</f>
        <v>100</v>
      </c>
      <c r="AI35" s="6"/>
      <c r="AJ35" s="7"/>
      <c r="AK35" s="155"/>
      <c r="AL35" s="7"/>
      <c r="AM35" s="7"/>
      <c r="AN35" s="155"/>
      <c r="AO35" s="7"/>
      <c r="AP35" s="7"/>
      <c r="AQ35" s="155"/>
      <c r="AR35" s="7"/>
      <c r="AS35" s="7"/>
      <c r="AT35" s="155"/>
    </row>
    <row r="36" spans="1:56" ht="14.95" customHeight="1" thickBot="1" x14ac:dyDescent="0.3">
      <c r="A36" s="300" t="s">
        <v>350</v>
      </c>
      <c r="B36" s="209">
        <v>1</v>
      </c>
      <c r="C36" s="270">
        <v>0</v>
      </c>
      <c r="D36" s="247">
        <v>0</v>
      </c>
      <c r="E36" s="302">
        <f t="shared" si="3"/>
        <v>1</v>
      </c>
      <c r="F36" s="253" t="s">
        <v>350</v>
      </c>
      <c r="G36" s="254">
        <v>5</v>
      </c>
      <c r="H36" s="348">
        <v>0</v>
      </c>
      <c r="I36" s="255">
        <v>0</v>
      </c>
      <c r="J36" s="256">
        <f t="shared" si="4"/>
        <v>5</v>
      </c>
      <c r="K36" s="300" t="s">
        <v>512</v>
      </c>
      <c r="L36" s="302" t="s">
        <v>17</v>
      </c>
      <c r="M36" s="302" t="s">
        <v>17</v>
      </c>
      <c r="N36" s="303" t="s">
        <v>17</v>
      </c>
      <c r="O36" s="6" t="s">
        <v>17</v>
      </c>
      <c r="P36" s="6" t="s">
        <v>17</v>
      </c>
      <c r="Q36" s="159" t="s">
        <v>17</v>
      </c>
      <c r="R36" s="7">
        <v>2</v>
      </c>
      <c r="S36" s="7">
        <v>2</v>
      </c>
      <c r="T36" s="155">
        <v>100</v>
      </c>
      <c r="U36" s="7" t="s">
        <v>17</v>
      </c>
      <c r="V36" s="7" t="s">
        <v>17</v>
      </c>
      <c r="W36" s="155" t="s">
        <v>17</v>
      </c>
      <c r="AC36" s="150" t="s">
        <v>17</v>
      </c>
      <c r="AD36" s="7" t="s">
        <v>17</v>
      </c>
      <c r="AE36" s="155" t="s">
        <v>17</v>
      </c>
      <c r="AF36" s="150" t="s">
        <v>17</v>
      </c>
      <c r="AG36" s="7" t="s">
        <v>17</v>
      </c>
      <c r="AH36" s="155" t="s">
        <v>17</v>
      </c>
      <c r="AI36" s="6" t="s">
        <v>17</v>
      </c>
      <c r="AJ36" s="7" t="s">
        <v>17</v>
      </c>
      <c r="AK36" s="155" t="s">
        <v>17</v>
      </c>
      <c r="AL36" s="7" t="s">
        <v>17</v>
      </c>
      <c r="AM36" s="7" t="s">
        <v>17</v>
      </c>
      <c r="AN36" s="155" t="s">
        <v>17</v>
      </c>
      <c r="AO36" s="7" t="s">
        <v>17</v>
      </c>
      <c r="AP36" s="7" t="s">
        <v>17</v>
      </c>
      <c r="AQ36" s="155" t="s">
        <v>17</v>
      </c>
      <c r="AR36" s="7" t="s">
        <v>17</v>
      </c>
      <c r="AS36" s="7" t="s">
        <v>17</v>
      </c>
      <c r="AT36" s="155" t="s">
        <v>17</v>
      </c>
    </row>
    <row r="37" spans="1:56" ht="14.95" customHeight="1" thickBot="1" x14ac:dyDescent="0.3">
      <c r="A37" s="300" t="s">
        <v>360</v>
      </c>
      <c r="B37" s="209">
        <v>1</v>
      </c>
      <c r="C37" s="270">
        <v>0</v>
      </c>
      <c r="D37" s="247">
        <v>0</v>
      </c>
      <c r="E37" s="302">
        <f t="shared" si="3"/>
        <v>1</v>
      </c>
      <c r="F37" s="253" t="s">
        <v>360</v>
      </c>
      <c r="G37" s="254">
        <v>5</v>
      </c>
      <c r="H37" s="348">
        <v>0</v>
      </c>
      <c r="I37" s="255">
        <v>0</v>
      </c>
      <c r="J37" s="256">
        <f t="shared" si="4"/>
        <v>5</v>
      </c>
      <c r="K37" s="300" t="s">
        <v>929</v>
      </c>
      <c r="L37" s="302">
        <v>8</v>
      </c>
      <c r="M37" s="302">
        <v>15</v>
      </c>
      <c r="N37" s="303">
        <f t="shared" si="12"/>
        <v>53.333333333333336</v>
      </c>
      <c r="O37" s="7">
        <v>10</v>
      </c>
      <c r="P37" s="7">
        <v>12</v>
      </c>
      <c r="Q37" s="155">
        <v>83</v>
      </c>
      <c r="R37" s="7">
        <v>1</v>
      </c>
      <c r="S37" s="7">
        <v>1</v>
      </c>
      <c r="T37" s="155">
        <v>100</v>
      </c>
      <c r="U37" s="7" t="s">
        <v>17</v>
      </c>
      <c r="V37" s="7" t="s">
        <v>17</v>
      </c>
      <c r="W37" s="155" t="s">
        <v>17</v>
      </c>
      <c r="AC37" s="150" t="s">
        <v>17</v>
      </c>
      <c r="AD37" s="7" t="s">
        <v>17</v>
      </c>
      <c r="AE37" s="155" t="s">
        <v>17</v>
      </c>
      <c r="AF37" s="7" t="s">
        <v>17</v>
      </c>
      <c r="AG37" s="7" t="s">
        <v>17</v>
      </c>
      <c r="AH37" s="155" t="s">
        <v>17</v>
      </c>
      <c r="AI37" s="7" t="s">
        <v>17</v>
      </c>
      <c r="AJ37" s="7" t="s">
        <v>17</v>
      </c>
      <c r="AK37" s="155" t="s">
        <v>17</v>
      </c>
      <c r="AL37" s="7" t="s">
        <v>17</v>
      </c>
      <c r="AM37" s="7" t="s">
        <v>17</v>
      </c>
      <c r="AN37" s="155" t="s">
        <v>17</v>
      </c>
      <c r="AO37" s="7" t="s">
        <v>17</v>
      </c>
      <c r="AP37" s="7" t="s">
        <v>17</v>
      </c>
      <c r="AQ37" s="155" t="s">
        <v>17</v>
      </c>
      <c r="AR37" s="7" t="s">
        <v>17</v>
      </c>
      <c r="AS37" s="7" t="s">
        <v>17</v>
      </c>
      <c r="AT37" s="155" t="s">
        <v>17</v>
      </c>
      <c r="BA37" s="71"/>
    </row>
    <row r="38" spans="1:56" ht="14.95" customHeight="1" thickBot="1" x14ac:dyDescent="0.3">
      <c r="A38" s="300" t="s">
        <v>919</v>
      </c>
      <c r="B38" s="209">
        <v>0</v>
      </c>
      <c r="C38" s="270">
        <v>0</v>
      </c>
      <c r="D38" s="247">
        <v>0</v>
      </c>
      <c r="E38" s="302">
        <f t="shared" si="3"/>
        <v>0</v>
      </c>
      <c r="F38" s="253" t="s">
        <v>919</v>
      </c>
      <c r="G38" s="254">
        <v>0</v>
      </c>
      <c r="H38" s="348">
        <v>0</v>
      </c>
      <c r="I38" s="255">
        <v>0</v>
      </c>
      <c r="J38" s="256">
        <f t="shared" si="4"/>
        <v>0</v>
      </c>
      <c r="K38" s="299" t="s">
        <v>362</v>
      </c>
      <c r="L38" s="302" t="s">
        <v>17</v>
      </c>
      <c r="M38" s="302" t="s">
        <v>17</v>
      </c>
      <c r="N38" s="303" t="s">
        <v>17</v>
      </c>
      <c r="O38" s="6">
        <v>6</v>
      </c>
      <c r="P38" s="6">
        <v>7</v>
      </c>
      <c r="Q38" s="159">
        <v>86</v>
      </c>
      <c r="R38" s="6" t="s">
        <v>17</v>
      </c>
      <c r="S38" s="6" t="s">
        <v>17</v>
      </c>
      <c r="T38" s="159" t="s">
        <v>17</v>
      </c>
      <c r="U38" s="6" t="s">
        <v>17</v>
      </c>
      <c r="V38" s="6" t="s">
        <v>17</v>
      </c>
      <c r="W38" s="159" t="s">
        <v>17</v>
      </c>
      <c r="AC38" s="6" t="s">
        <v>17</v>
      </c>
      <c r="AD38" s="6" t="s">
        <v>17</v>
      </c>
      <c r="AE38" s="159" t="s">
        <v>17</v>
      </c>
      <c r="AF38" s="150">
        <v>11</v>
      </c>
      <c r="AG38" s="7">
        <v>12</v>
      </c>
      <c r="AH38" s="155">
        <f>SUM(AF38/AG38)*100</f>
        <v>91.666666666666657</v>
      </c>
      <c r="AI38" s="150">
        <v>0</v>
      </c>
      <c r="AJ38" s="7">
        <v>1</v>
      </c>
      <c r="AK38" s="155">
        <f>SUM(AI38/AJ38)*100</f>
        <v>0</v>
      </c>
      <c r="AL38" s="150">
        <v>0</v>
      </c>
      <c r="AM38" s="7">
        <v>1</v>
      </c>
      <c r="AN38" s="155">
        <f>SUM(AL38/AM38)*100</f>
        <v>0</v>
      </c>
      <c r="AO38" s="150">
        <v>21</v>
      </c>
      <c r="AP38" s="7">
        <v>25</v>
      </c>
      <c r="AQ38" s="155">
        <f>SUM(AO38/AP38)*100</f>
        <v>84</v>
      </c>
      <c r="AR38" s="150" t="s">
        <v>17</v>
      </c>
      <c r="AS38" s="7" t="s">
        <v>17</v>
      </c>
      <c r="AT38" s="7" t="s">
        <v>17</v>
      </c>
    </row>
    <row r="39" spans="1:56" ht="14.95" customHeight="1" thickBot="1" x14ac:dyDescent="0.3">
      <c r="A39" s="300" t="s">
        <v>920</v>
      </c>
      <c r="B39" s="209">
        <v>0</v>
      </c>
      <c r="C39" s="270">
        <v>0</v>
      </c>
      <c r="D39" s="247">
        <v>1</v>
      </c>
      <c r="E39" s="302">
        <f t="shared" si="3"/>
        <v>1</v>
      </c>
      <c r="F39" s="253" t="s">
        <v>920</v>
      </c>
      <c r="G39" s="254">
        <v>0</v>
      </c>
      <c r="H39" s="348">
        <v>0</v>
      </c>
      <c r="I39" s="255">
        <v>5</v>
      </c>
      <c r="J39" s="256">
        <f t="shared" si="4"/>
        <v>5</v>
      </c>
      <c r="K39" s="299" t="s">
        <v>19</v>
      </c>
      <c r="L39" s="302" t="s">
        <v>17</v>
      </c>
      <c r="M39" s="302" t="s">
        <v>17</v>
      </c>
      <c r="N39" s="303" t="s">
        <v>17</v>
      </c>
      <c r="O39" s="6">
        <v>3</v>
      </c>
      <c r="P39" s="6">
        <v>3</v>
      </c>
      <c r="Q39" s="159">
        <v>100</v>
      </c>
      <c r="R39" s="6" t="s">
        <v>17</v>
      </c>
      <c r="S39" s="6" t="s">
        <v>17</v>
      </c>
      <c r="T39" s="159" t="s">
        <v>17</v>
      </c>
      <c r="U39" s="6" t="s">
        <v>17</v>
      </c>
      <c r="V39" s="6" t="s">
        <v>17</v>
      </c>
      <c r="W39" s="159" t="s">
        <v>17</v>
      </c>
      <c r="AC39" s="6" t="s">
        <v>17</v>
      </c>
      <c r="AD39" s="6" t="s">
        <v>17</v>
      </c>
      <c r="AE39" s="159" t="s">
        <v>17</v>
      </c>
      <c r="AF39" s="6" t="s">
        <v>17</v>
      </c>
      <c r="AG39" s="6" t="s">
        <v>17</v>
      </c>
      <c r="AH39" s="159" t="s">
        <v>17</v>
      </c>
      <c r="AI39" s="6" t="s">
        <v>17</v>
      </c>
      <c r="AJ39" s="6" t="s">
        <v>17</v>
      </c>
      <c r="AK39" s="159" t="s">
        <v>17</v>
      </c>
      <c r="AL39" s="6" t="s">
        <v>17</v>
      </c>
      <c r="AM39" s="6" t="s">
        <v>17</v>
      </c>
      <c r="AN39" s="159" t="s">
        <v>17</v>
      </c>
      <c r="AO39" s="6" t="s">
        <v>17</v>
      </c>
      <c r="AP39" s="6" t="s">
        <v>17</v>
      </c>
      <c r="AQ39" s="159" t="s">
        <v>17</v>
      </c>
      <c r="AR39" s="6" t="s">
        <v>17</v>
      </c>
      <c r="AS39" s="6" t="s">
        <v>17</v>
      </c>
      <c r="AT39" s="159" t="s">
        <v>17</v>
      </c>
    </row>
    <row r="40" spans="1:56" ht="14.95" customHeight="1" thickBot="1" x14ac:dyDescent="0.3">
      <c r="A40" s="300" t="s">
        <v>1090</v>
      </c>
      <c r="B40" s="209">
        <v>0</v>
      </c>
      <c r="C40" s="270">
        <v>0</v>
      </c>
      <c r="D40" s="247">
        <v>1</v>
      </c>
      <c r="E40" s="302">
        <f t="shared" si="3"/>
        <v>1</v>
      </c>
      <c r="F40" s="253" t="s">
        <v>1090</v>
      </c>
      <c r="G40" s="254">
        <v>0</v>
      </c>
      <c r="H40" s="348">
        <v>0</v>
      </c>
      <c r="I40" s="255">
        <v>5</v>
      </c>
      <c r="J40" s="256">
        <f t="shared" si="4"/>
        <v>5</v>
      </c>
      <c r="K40" s="299" t="s">
        <v>947</v>
      </c>
      <c r="L40" s="302">
        <v>11</v>
      </c>
      <c r="M40" s="302">
        <v>12</v>
      </c>
      <c r="N40" s="303">
        <f t="shared" ref="N40" si="14">SUM(L40/M40)*100</f>
        <v>91.666666666666657</v>
      </c>
      <c r="O40" s="6" t="s">
        <v>17</v>
      </c>
      <c r="P40" s="6" t="s">
        <v>17</v>
      </c>
      <c r="Q40" s="159" t="s">
        <v>17</v>
      </c>
      <c r="R40" s="6" t="s">
        <v>17</v>
      </c>
      <c r="S40" s="6" t="s">
        <v>17</v>
      </c>
      <c r="T40" s="159" t="s">
        <v>17</v>
      </c>
      <c r="U40" s="6" t="s">
        <v>17</v>
      </c>
      <c r="V40" s="6" t="s">
        <v>17</v>
      </c>
      <c r="W40" s="159" t="s">
        <v>17</v>
      </c>
      <c r="X40" s="37"/>
      <c r="Y40" s="37"/>
      <c r="Z40" s="37"/>
      <c r="AA40" s="37"/>
      <c r="AB40" s="37"/>
      <c r="AC40" s="6" t="s">
        <v>17</v>
      </c>
      <c r="AD40" s="6" t="s">
        <v>17</v>
      </c>
      <c r="AE40" s="159" t="s">
        <v>17</v>
      </c>
      <c r="AF40" s="6">
        <v>1</v>
      </c>
      <c r="AG40" s="6">
        <v>2</v>
      </c>
      <c r="AH40" s="159">
        <v>50</v>
      </c>
      <c r="AI40" s="6">
        <v>0</v>
      </c>
      <c r="AJ40" s="6">
        <v>1</v>
      </c>
      <c r="AK40" s="159">
        <v>0</v>
      </c>
      <c r="AL40" s="6">
        <v>2</v>
      </c>
      <c r="AM40" s="6">
        <v>2</v>
      </c>
      <c r="AN40" s="159">
        <v>100</v>
      </c>
      <c r="AO40" s="6">
        <v>9</v>
      </c>
      <c r="AP40" s="6">
        <v>11</v>
      </c>
      <c r="AQ40" s="159">
        <v>81.818181818181827</v>
      </c>
      <c r="AR40" s="6" t="s">
        <v>17</v>
      </c>
      <c r="AS40" s="6" t="s">
        <v>17</v>
      </c>
      <c r="AT40" s="159" t="s">
        <v>17</v>
      </c>
      <c r="AU40" s="37"/>
      <c r="AV40" s="37"/>
      <c r="AW40" s="37"/>
      <c r="AX40" s="37"/>
      <c r="AY40" s="37"/>
      <c r="AZ40" s="37"/>
    </row>
    <row r="41" spans="1:56" ht="14.95" customHeight="1" thickBot="1" x14ac:dyDescent="0.3">
      <c r="A41" s="300" t="s">
        <v>592</v>
      </c>
      <c r="B41" s="209">
        <v>0</v>
      </c>
      <c r="C41" s="270">
        <v>0</v>
      </c>
      <c r="D41" s="247">
        <v>0</v>
      </c>
      <c r="E41" s="302">
        <f t="shared" ref="E41" si="15">SUM(B41:D41)</f>
        <v>0</v>
      </c>
      <c r="F41" s="253" t="s">
        <v>592</v>
      </c>
      <c r="G41" s="254">
        <v>0</v>
      </c>
      <c r="H41" s="348">
        <v>0</v>
      </c>
      <c r="I41" s="255">
        <v>0</v>
      </c>
      <c r="J41" s="256">
        <f t="shared" ref="J41" si="16">SUM(G41:I41)</f>
        <v>0</v>
      </c>
      <c r="K41" s="479" t="s">
        <v>928</v>
      </c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71"/>
      <c r="AV41" s="71"/>
      <c r="AW41" s="71"/>
    </row>
    <row r="42" spans="1:56" ht="14.95" customHeight="1" thickBot="1" x14ac:dyDescent="0.3">
      <c r="A42" s="300" t="s">
        <v>4</v>
      </c>
      <c r="B42" s="209">
        <v>0</v>
      </c>
      <c r="C42" s="270">
        <v>0</v>
      </c>
      <c r="D42" s="247">
        <v>0</v>
      </c>
      <c r="E42" s="302">
        <f t="shared" si="3"/>
        <v>0</v>
      </c>
      <c r="F42" s="253" t="s">
        <v>4</v>
      </c>
      <c r="G42" s="254">
        <v>0</v>
      </c>
      <c r="H42" s="348">
        <v>0</v>
      </c>
      <c r="I42" s="255">
        <v>0</v>
      </c>
      <c r="J42" s="256">
        <f t="shared" si="4"/>
        <v>0</v>
      </c>
      <c r="K42" s="479" t="s">
        <v>927</v>
      </c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0"/>
      <c r="AQ42" s="480"/>
      <c r="AR42" s="480"/>
      <c r="AS42" s="480"/>
      <c r="AT42" s="480"/>
      <c r="AU42" s="480"/>
      <c r="AV42" s="480"/>
      <c r="AW42" s="480"/>
      <c r="AX42" s="480"/>
      <c r="AY42" s="480"/>
      <c r="AZ42" s="480"/>
      <c r="BA42" s="480"/>
      <c r="BB42" s="480"/>
      <c r="BC42" s="480"/>
      <c r="BD42" s="480"/>
    </row>
    <row r="43" spans="1:56" ht="14.95" customHeight="1" thickBot="1" x14ac:dyDescent="0.3">
      <c r="A43" s="300" t="s">
        <v>364</v>
      </c>
      <c r="B43" s="209">
        <v>1</v>
      </c>
      <c r="C43" s="270">
        <v>0</v>
      </c>
      <c r="D43" s="247">
        <v>0</v>
      </c>
      <c r="E43" s="302">
        <f t="shared" si="3"/>
        <v>1</v>
      </c>
      <c r="F43" s="253" t="s">
        <v>364</v>
      </c>
      <c r="G43" s="254">
        <v>5</v>
      </c>
      <c r="H43" s="348">
        <v>0</v>
      </c>
      <c r="I43" s="255">
        <v>0</v>
      </c>
      <c r="J43" s="256">
        <f t="shared" si="4"/>
        <v>5</v>
      </c>
      <c r="K43" s="479" t="s">
        <v>1153</v>
      </c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</row>
    <row r="44" spans="1:56" ht="14.95" customHeight="1" thickBot="1" x14ac:dyDescent="0.3">
      <c r="A44" s="300" t="s">
        <v>359</v>
      </c>
      <c r="B44" s="209">
        <v>0</v>
      </c>
      <c r="C44" s="270">
        <v>0</v>
      </c>
      <c r="D44" s="247">
        <v>0</v>
      </c>
      <c r="E44" s="302">
        <f t="shared" si="3"/>
        <v>0</v>
      </c>
      <c r="F44" s="253" t="s">
        <v>359</v>
      </c>
      <c r="G44" s="254">
        <v>0</v>
      </c>
      <c r="H44" s="348">
        <v>0</v>
      </c>
      <c r="I44" s="255">
        <v>0</v>
      </c>
      <c r="J44" s="256">
        <f t="shared" si="4"/>
        <v>0</v>
      </c>
    </row>
    <row r="45" spans="1:56" ht="14.95" customHeight="1" thickBot="1" x14ac:dyDescent="0.3">
      <c r="A45" s="300" t="s">
        <v>343</v>
      </c>
      <c r="B45" s="209">
        <v>5</v>
      </c>
      <c r="C45" s="270">
        <v>0</v>
      </c>
      <c r="D45" s="247">
        <v>0</v>
      </c>
      <c r="E45" s="302">
        <f t="shared" si="3"/>
        <v>5</v>
      </c>
      <c r="F45" s="253" t="s">
        <v>343</v>
      </c>
      <c r="G45" s="254">
        <v>25</v>
      </c>
      <c r="H45" s="348">
        <v>0</v>
      </c>
      <c r="I45" s="255">
        <v>0</v>
      </c>
      <c r="J45" s="256">
        <f t="shared" si="4"/>
        <v>25</v>
      </c>
    </row>
    <row r="46" spans="1:56" ht="14.95" customHeight="1" thickBot="1" x14ac:dyDescent="0.3">
      <c r="A46" s="300" t="s">
        <v>19</v>
      </c>
      <c r="B46" s="209">
        <v>0</v>
      </c>
      <c r="C46" s="270">
        <v>0</v>
      </c>
      <c r="D46" s="247">
        <v>0</v>
      </c>
      <c r="E46" s="302">
        <f t="shared" si="3"/>
        <v>0</v>
      </c>
      <c r="F46" s="253" t="s">
        <v>19</v>
      </c>
      <c r="G46" s="254">
        <v>0</v>
      </c>
      <c r="H46" s="348">
        <v>0</v>
      </c>
      <c r="I46" s="255">
        <v>0</v>
      </c>
      <c r="J46" s="256">
        <f t="shared" si="4"/>
        <v>0</v>
      </c>
    </row>
    <row r="47" spans="1:56" ht="14.95" customHeight="1" thickBot="1" x14ac:dyDescent="0.3">
      <c r="A47" s="300" t="s">
        <v>897</v>
      </c>
      <c r="B47" s="209">
        <v>0</v>
      </c>
      <c r="C47" s="270">
        <v>0</v>
      </c>
      <c r="D47" s="247">
        <v>0</v>
      </c>
      <c r="E47" s="302">
        <f t="shared" si="3"/>
        <v>0</v>
      </c>
      <c r="F47" s="253" t="s">
        <v>897</v>
      </c>
      <c r="G47" s="254">
        <v>0</v>
      </c>
      <c r="H47" s="348">
        <v>0</v>
      </c>
      <c r="I47" s="255">
        <v>0</v>
      </c>
      <c r="J47" s="256">
        <f t="shared" si="4"/>
        <v>0</v>
      </c>
    </row>
    <row r="48" spans="1:56" ht="14.95" customHeight="1" thickBot="1" x14ac:dyDescent="0.3">
      <c r="A48" s="300" t="s">
        <v>947</v>
      </c>
      <c r="B48" s="209">
        <v>1</v>
      </c>
      <c r="C48" s="270">
        <v>0</v>
      </c>
      <c r="D48" s="247">
        <v>0</v>
      </c>
      <c r="E48" s="302">
        <f t="shared" si="3"/>
        <v>1</v>
      </c>
      <c r="F48" s="253" t="s">
        <v>947</v>
      </c>
      <c r="G48" s="254">
        <v>14</v>
      </c>
      <c r="H48" s="348">
        <v>0</v>
      </c>
      <c r="I48" s="255">
        <v>22</v>
      </c>
      <c r="J48" s="256">
        <f t="shared" si="4"/>
        <v>36</v>
      </c>
    </row>
    <row r="49" spans="1:10" ht="14.95" customHeight="1" thickBot="1" x14ac:dyDescent="0.3">
      <c r="A49" s="300" t="s">
        <v>1140</v>
      </c>
      <c r="B49" s="209">
        <v>0</v>
      </c>
      <c r="C49" s="270">
        <v>0</v>
      </c>
      <c r="D49" s="247">
        <v>1</v>
      </c>
      <c r="E49" s="302">
        <f t="shared" si="3"/>
        <v>1</v>
      </c>
      <c r="F49" s="253" t="s">
        <v>1140</v>
      </c>
      <c r="G49" s="254">
        <v>0</v>
      </c>
      <c r="H49" s="348">
        <v>0</v>
      </c>
      <c r="I49" s="255">
        <v>5</v>
      </c>
      <c r="J49" s="256">
        <f t="shared" si="4"/>
        <v>5</v>
      </c>
    </row>
    <row r="50" spans="1:10" ht="14.95" customHeight="1" thickBot="1" x14ac:dyDescent="0.3">
      <c r="A50" s="300" t="s">
        <v>915</v>
      </c>
      <c r="B50" s="209">
        <v>1</v>
      </c>
      <c r="C50" s="270">
        <v>0</v>
      </c>
      <c r="D50" s="247">
        <v>1</v>
      </c>
      <c r="E50" s="302">
        <f t="shared" si="3"/>
        <v>2</v>
      </c>
      <c r="F50" s="253" t="s">
        <v>915</v>
      </c>
      <c r="G50" s="254">
        <v>5</v>
      </c>
      <c r="H50" s="348">
        <v>0</v>
      </c>
      <c r="I50" s="255">
        <v>5</v>
      </c>
      <c r="J50" s="256">
        <f t="shared" si="4"/>
        <v>10</v>
      </c>
    </row>
    <row r="51" spans="1:10" ht="14.95" customHeight="1" thickBot="1" x14ac:dyDescent="0.3">
      <c r="A51" s="300" t="s">
        <v>349</v>
      </c>
      <c r="B51" s="209">
        <v>2</v>
      </c>
      <c r="C51" s="270">
        <v>1</v>
      </c>
      <c r="D51" s="247">
        <v>0</v>
      </c>
      <c r="E51" s="302">
        <f t="shared" si="3"/>
        <v>3</v>
      </c>
      <c r="F51" s="253" t="s">
        <v>349</v>
      </c>
      <c r="G51" s="254">
        <v>10</v>
      </c>
      <c r="H51" s="348">
        <v>5</v>
      </c>
      <c r="I51" s="255">
        <v>0</v>
      </c>
      <c r="J51" s="256">
        <f t="shared" si="4"/>
        <v>15</v>
      </c>
    </row>
    <row r="52" spans="1:10" ht="14.95" thickBot="1" x14ac:dyDescent="0.3">
      <c r="A52" s="300" t="s">
        <v>704</v>
      </c>
      <c r="B52" s="209">
        <v>0</v>
      </c>
      <c r="C52" s="270">
        <v>0</v>
      </c>
      <c r="D52" s="247">
        <v>1</v>
      </c>
      <c r="E52" s="302">
        <f t="shared" si="3"/>
        <v>1</v>
      </c>
      <c r="F52" s="253" t="s">
        <v>704</v>
      </c>
      <c r="G52" s="254">
        <v>0</v>
      </c>
      <c r="H52" s="348">
        <v>0</v>
      </c>
      <c r="I52" s="255">
        <v>5</v>
      </c>
      <c r="J52" s="256">
        <f t="shared" si="4"/>
        <v>5</v>
      </c>
    </row>
    <row r="53" spans="1:10" ht="14.95" thickBot="1" x14ac:dyDescent="0.3">
      <c r="A53" s="300" t="s">
        <v>358</v>
      </c>
      <c r="B53" s="209">
        <v>2</v>
      </c>
      <c r="C53" s="270">
        <v>1</v>
      </c>
      <c r="D53" s="247">
        <v>0</v>
      </c>
      <c r="E53" s="302">
        <f t="shared" si="3"/>
        <v>3</v>
      </c>
      <c r="F53" s="253" t="s">
        <v>358</v>
      </c>
      <c r="G53" s="254">
        <v>10</v>
      </c>
      <c r="H53" s="348">
        <v>5</v>
      </c>
      <c r="I53" s="255">
        <v>0</v>
      </c>
      <c r="J53" s="256">
        <f t="shared" si="4"/>
        <v>15</v>
      </c>
    </row>
    <row r="54" spans="1:10" ht="14.95" thickBot="1" x14ac:dyDescent="0.3">
      <c r="A54" s="300" t="s">
        <v>5</v>
      </c>
      <c r="B54" s="209">
        <v>0</v>
      </c>
      <c r="C54" s="270">
        <v>1</v>
      </c>
      <c r="D54" s="247">
        <v>0</v>
      </c>
      <c r="E54" s="302">
        <f t="shared" si="3"/>
        <v>1</v>
      </c>
      <c r="F54" s="253" t="s">
        <v>5</v>
      </c>
      <c r="G54" s="254">
        <v>0</v>
      </c>
      <c r="H54" s="348">
        <v>5</v>
      </c>
      <c r="I54" s="255">
        <v>0</v>
      </c>
      <c r="J54" s="256">
        <f t="shared" si="4"/>
        <v>5</v>
      </c>
    </row>
    <row r="55" spans="1:10" ht="14.95" thickBot="1" x14ac:dyDescent="0.3">
      <c r="A55" s="300" t="s">
        <v>593</v>
      </c>
      <c r="B55" s="209">
        <v>5</v>
      </c>
      <c r="C55" s="270">
        <v>1</v>
      </c>
      <c r="D55" s="247">
        <v>0</v>
      </c>
      <c r="E55" s="302">
        <f t="shared" si="3"/>
        <v>6</v>
      </c>
      <c r="F55" s="253" t="s">
        <v>593</v>
      </c>
      <c r="G55" s="254">
        <v>25</v>
      </c>
      <c r="H55" s="348">
        <v>5</v>
      </c>
      <c r="I55" s="255">
        <v>0</v>
      </c>
      <c r="J55" s="256">
        <f t="shared" si="4"/>
        <v>30</v>
      </c>
    </row>
    <row r="56" spans="1:10" ht="14.95" thickBot="1" x14ac:dyDescent="0.3">
      <c r="A56" s="300" t="s">
        <v>918</v>
      </c>
      <c r="B56" s="209">
        <v>0</v>
      </c>
      <c r="C56" s="270">
        <v>0</v>
      </c>
      <c r="D56" s="247">
        <v>1</v>
      </c>
      <c r="E56" s="302">
        <f t="shared" si="3"/>
        <v>1</v>
      </c>
      <c r="F56" s="253" t="s">
        <v>918</v>
      </c>
      <c r="G56" s="254">
        <v>0</v>
      </c>
      <c r="H56" s="348">
        <v>0</v>
      </c>
      <c r="I56" s="255">
        <v>5</v>
      </c>
      <c r="J56" s="256">
        <f t="shared" si="4"/>
        <v>5</v>
      </c>
    </row>
    <row r="57" spans="1:10" ht="14.95" thickBot="1" x14ac:dyDescent="0.3">
      <c r="A57" s="300" t="s">
        <v>1260</v>
      </c>
      <c r="B57" s="209">
        <v>0</v>
      </c>
      <c r="C57" s="270">
        <v>0</v>
      </c>
      <c r="D57" s="247">
        <v>2</v>
      </c>
      <c r="E57" s="302">
        <f t="shared" si="3"/>
        <v>2</v>
      </c>
      <c r="F57" s="253" t="s">
        <v>1260</v>
      </c>
      <c r="G57" s="254">
        <v>0</v>
      </c>
      <c r="H57" s="348">
        <v>0</v>
      </c>
      <c r="I57" s="255">
        <v>10</v>
      </c>
      <c r="J57" s="256">
        <f t="shared" si="4"/>
        <v>10</v>
      </c>
    </row>
    <row r="58" spans="1:10" ht="14.95" thickBot="1" x14ac:dyDescent="0.3">
      <c r="A58" s="300" t="s">
        <v>3</v>
      </c>
      <c r="B58" s="209">
        <f>SUM(B3:B57)</f>
        <v>74</v>
      </c>
      <c r="C58" s="270">
        <f>SUM(C3:C57)</f>
        <v>17</v>
      </c>
      <c r="D58" s="247">
        <f>SUM(D3:D57)</f>
        <v>33</v>
      </c>
      <c r="E58" s="302">
        <f>SUM(B58:D58)</f>
        <v>124</v>
      </c>
      <c r="F58" s="253" t="s">
        <v>3</v>
      </c>
      <c r="G58" s="254">
        <f>SUM(G3:G57)</f>
        <v>522</v>
      </c>
      <c r="H58" s="348">
        <f>SUM(H3:H57)</f>
        <v>133</v>
      </c>
      <c r="I58" s="255">
        <f>SUM(I3:I57)</f>
        <v>225</v>
      </c>
      <c r="J58" s="256">
        <f t="shared" si="4"/>
        <v>880</v>
      </c>
    </row>
    <row r="59" spans="1:10" x14ac:dyDescent="0.25">
      <c r="A59" s="210"/>
      <c r="B59" s="211"/>
      <c r="C59" s="212"/>
      <c r="D59" s="241"/>
      <c r="E59" s="52"/>
      <c r="F59" s="210"/>
      <c r="G59" s="213"/>
      <c r="H59" s="212"/>
      <c r="I59" s="241"/>
      <c r="J59" s="52"/>
    </row>
    <row r="60" spans="1:10" ht="14.95" thickBot="1" x14ac:dyDescent="0.3">
      <c r="A60" s="48" t="s">
        <v>14</v>
      </c>
      <c r="B60" s="211"/>
      <c r="C60" s="212"/>
      <c r="D60" s="212"/>
      <c r="E60" s="52"/>
      <c r="F60" s="210"/>
      <c r="G60" s="213"/>
      <c r="H60" s="212"/>
      <c r="I60" s="212"/>
      <c r="J60" s="52"/>
    </row>
    <row r="61" spans="1:10" ht="14.95" thickBot="1" x14ac:dyDescent="0.3">
      <c r="A61" s="299" t="s">
        <v>0</v>
      </c>
      <c r="B61" s="208" t="s">
        <v>259</v>
      </c>
      <c r="C61" s="269" t="s">
        <v>35</v>
      </c>
      <c r="D61" s="246" t="s">
        <v>383</v>
      </c>
      <c r="E61" s="301" t="s">
        <v>1</v>
      </c>
      <c r="F61" s="252" t="s">
        <v>2</v>
      </c>
      <c r="G61" s="251" t="s">
        <v>259</v>
      </c>
      <c r="H61" s="347" t="s">
        <v>35</v>
      </c>
      <c r="I61" s="249" t="s">
        <v>383</v>
      </c>
      <c r="J61" s="250" t="s">
        <v>1</v>
      </c>
    </row>
    <row r="62" spans="1:10" ht="14.95" thickBot="1" x14ac:dyDescent="0.3">
      <c r="A62" s="300" t="s">
        <v>344</v>
      </c>
      <c r="B62" s="209">
        <v>8</v>
      </c>
      <c r="C62" s="270">
        <v>2</v>
      </c>
      <c r="D62" s="247">
        <v>0</v>
      </c>
      <c r="E62" s="302">
        <f t="shared" ref="E62:E93" si="17">SUM(B62:D62)</f>
        <v>10</v>
      </c>
      <c r="F62" s="253" t="s">
        <v>899</v>
      </c>
      <c r="G62" s="254">
        <v>90</v>
      </c>
      <c r="H62" s="348">
        <v>32</v>
      </c>
      <c r="I62" s="255">
        <v>0</v>
      </c>
      <c r="J62" s="256">
        <f t="shared" ref="J62:J93" si="18">SUM(G62:I62)</f>
        <v>122</v>
      </c>
    </row>
    <row r="63" spans="1:10" ht="14.95" thickBot="1" x14ac:dyDescent="0.3">
      <c r="A63" s="300" t="s">
        <v>547</v>
      </c>
      <c r="B63" s="209">
        <v>6</v>
      </c>
      <c r="C63" s="270">
        <v>3</v>
      </c>
      <c r="D63" s="247">
        <v>0</v>
      </c>
      <c r="E63" s="302">
        <f t="shared" si="17"/>
        <v>9</v>
      </c>
      <c r="F63" s="253" t="s">
        <v>362</v>
      </c>
      <c r="G63" s="254">
        <v>71</v>
      </c>
      <c r="H63" s="348">
        <v>13</v>
      </c>
      <c r="I63" s="255">
        <v>0</v>
      </c>
      <c r="J63" s="256">
        <f t="shared" si="18"/>
        <v>84</v>
      </c>
    </row>
    <row r="64" spans="1:10" ht="14.95" thickBot="1" x14ac:dyDescent="0.3">
      <c r="A64" s="300" t="s">
        <v>512</v>
      </c>
      <c r="B64" s="209">
        <v>7</v>
      </c>
      <c r="C64" s="270">
        <v>0</v>
      </c>
      <c r="D64" s="247">
        <v>2</v>
      </c>
      <c r="E64" s="302">
        <f t="shared" si="17"/>
        <v>9</v>
      </c>
      <c r="F64" s="253" t="s">
        <v>344</v>
      </c>
      <c r="G64" s="254">
        <v>40</v>
      </c>
      <c r="H64" s="348">
        <v>10</v>
      </c>
      <c r="I64" s="255">
        <v>0</v>
      </c>
      <c r="J64" s="256">
        <f t="shared" si="18"/>
        <v>50</v>
      </c>
    </row>
    <row r="65" spans="1:10" ht="14.95" thickBot="1" x14ac:dyDescent="0.3">
      <c r="A65" s="300" t="s">
        <v>616</v>
      </c>
      <c r="B65" s="209">
        <v>7</v>
      </c>
      <c r="C65" s="270">
        <v>2</v>
      </c>
      <c r="D65" s="247">
        <v>0</v>
      </c>
      <c r="E65" s="302">
        <f t="shared" si="17"/>
        <v>9</v>
      </c>
      <c r="F65" s="253" t="s">
        <v>547</v>
      </c>
      <c r="G65" s="254">
        <v>30</v>
      </c>
      <c r="H65" s="348">
        <v>15</v>
      </c>
      <c r="I65" s="255">
        <v>0</v>
      </c>
      <c r="J65" s="256">
        <f t="shared" si="18"/>
        <v>45</v>
      </c>
    </row>
    <row r="66" spans="1:10" ht="14.95" thickBot="1" x14ac:dyDescent="0.3">
      <c r="A66" s="300" t="s">
        <v>363</v>
      </c>
      <c r="B66" s="209">
        <v>5</v>
      </c>
      <c r="C66" s="270">
        <v>3</v>
      </c>
      <c r="D66" s="247">
        <v>0</v>
      </c>
      <c r="E66" s="302">
        <f t="shared" si="17"/>
        <v>8</v>
      </c>
      <c r="F66" s="253" t="s">
        <v>512</v>
      </c>
      <c r="G66" s="254">
        <v>35</v>
      </c>
      <c r="H66" s="348">
        <v>0</v>
      </c>
      <c r="I66" s="255">
        <v>10</v>
      </c>
      <c r="J66" s="256">
        <f t="shared" si="18"/>
        <v>45</v>
      </c>
    </row>
    <row r="67" spans="1:10" ht="14.95" thickBot="1" x14ac:dyDescent="0.3">
      <c r="A67" s="300" t="s">
        <v>661</v>
      </c>
      <c r="B67" s="209">
        <v>1</v>
      </c>
      <c r="C67" s="270">
        <v>1</v>
      </c>
      <c r="D67" s="247">
        <v>6</v>
      </c>
      <c r="E67" s="302">
        <f t="shared" si="17"/>
        <v>8</v>
      </c>
      <c r="F67" s="253" t="s">
        <v>616</v>
      </c>
      <c r="G67" s="254">
        <v>35</v>
      </c>
      <c r="H67" s="348">
        <v>10</v>
      </c>
      <c r="I67" s="255">
        <v>0</v>
      </c>
      <c r="J67" s="256">
        <f t="shared" si="18"/>
        <v>45</v>
      </c>
    </row>
    <row r="68" spans="1:10" ht="14.95" thickBot="1" x14ac:dyDescent="0.3">
      <c r="A68" s="300" t="s">
        <v>201</v>
      </c>
      <c r="B68" s="209">
        <v>0</v>
      </c>
      <c r="C68" s="270">
        <v>0</v>
      </c>
      <c r="D68" s="247">
        <v>7</v>
      </c>
      <c r="E68" s="302">
        <f t="shared" si="17"/>
        <v>7</v>
      </c>
      <c r="F68" s="253" t="s">
        <v>363</v>
      </c>
      <c r="G68" s="254">
        <v>25</v>
      </c>
      <c r="H68" s="348">
        <v>15</v>
      </c>
      <c r="I68" s="255">
        <v>0</v>
      </c>
      <c r="J68" s="256">
        <f t="shared" si="18"/>
        <v>40</v>
      </c>
    </row>
    <row r="69" spans="1:10" ht="14.95" thickBot="1" x14ac:dyDescent="0.3">
      <c r="A69" s="300" t="s">
        <v>899</v>
      </c>
      <c r="B69" s="209">
        <v>6</v>
      </c>
      <c r="C69" s="270">
        <v>0</v>
      </c>
      <c r="D69" s="247">
        <v>0</v>
      </c>
      <c r="E69" s="302">
        <f t="shared" si="17"/>
        <v>6</v>
      </c>
      <c r="F69" s="253" t="s">
        <v>661</v>
      </c>
      <c r="G69" s="254">
        <v>5</v>
      </c>
      <c r="H69" s="348">
        <v>5</v>
      </c>
      <c r="I69" s="255">
        <v>30</v>
      </c>
      <c r="J69" s="256">
        <f t="shared" si="18"/>
        <v>40</v>
      </c>
    </row>
    <row r="70" spans="1:10" ht="14.95" thickBot="1" x14ac:dyDescent="0.3">
      <c r="A70" s="300" t="s">
        <v>593</v>
      </c>
      <c r="B70" s="209">
        <v>5</v>
      </c>
      <c r="C70" s="270">
        <v>1</v>
      </c>
      <c r="D70" s="247">
        <v>0</v>
      </c>
      <c r="E70" s="302">
        <f t="shared" si="17"/>
        <v>6</v>
      </c>
      <c r="F70" s="253" t="s">
        <v>947</v>
      </c>
      <c r="G70" s="254">
        <v>14</v>
      </c>
      <c r="H70" s="348">
        <v>0</v>
      </c>
      <c r="I70" s="255">
        <v>22</v>
      </c>
      <c r="J70" s="256">
        <f t="shared" si="18"/>
        <v>36</v>
      </c>
    </row>
    <row r="71" spans="1:10" ht="14.95" thickBot="1" x14ac:dyDescent="0.3">
      <c r="A71" s="300" t="s">
        <v>352</v>
      </c>
      <c r="B71" s="209">
        <v>5</v>
      </c>
      <c r="C71" s="270">
        <v>0</v>
      </c>
      <c r="D71" s="247">
        <v>0</v>
      </c>
      <c r="E71" s="302">
        <f t="shared" si="17"/>
        <v>5</v>
      </c>
      <c r="F71" s="253" t="s">
        <v>201</v>
      </c>
      <c r="G71" s="254">
        <v>0</v>
      </c>
      <c r="H71" s="348">
        <v>0</v>
      </c>
      <c r="I71" s="255">
        <v>35</v>
      </c>
      <c r="J71" s="256">
        <f t="shared" si="18"/>
        <v>35</v>
      </c>
    </row>
    <row r="72" spans="1:10" ht="14.95" thickBot="1" x14ac:dyDescent="0.3">
      <c r="A72" s="300" t="s">
        <v>343</v>
      </c>
      <c r="B72" s="209">
        <v>5</v>
      </c>
      <c r="C72" s="270">
        <v>0</v>
      </c>
      <c r="D72" s="247">
        <v>0</v>
      </c>
      <c r="E72" s="302">
        <f t="shared" si="17"/>
        <v>5</v>
      </c>
      <c r="F72" s="253" t="s">
        <v>352</v>
      </c>
      <c r="G72" s="254">
        <v>31</v>
      </c>
      <c r="H72" s="348">
        <v>3</v>
      </c>
      <c r="I72" s="255">
        <v>0</v>
      </c>
      <c r="J72" s="256">
        <f t="shared" si="18"/>
        <v>34</v>
      </c>
    </row>
    <row r="73" spans="1:10" ht="14.95" thickBot="1" x14ac:dyDescent="0.3">
      <c r="A73" s="300" t="s">
        <v>1092</v>
      </c>
      <c r="B73" s="209">
        <v>2</v>
      </c>
      <c r="C73" s="270">
        <v>0</v>
      </c>
      <c r="D73" s="247">
        <v>2</v>
      </c>
      <c r="E73" s="302">
        <f t="shared" si="17"/>
        <v>4</v>
      </c>
      <c r="F73" s="253" t="s">
        <v>593</v>
      </c>
      <c r="G73" s="254">
        <v>25</v>
      </c>
      <c r="H73" s="348">
        <v>5</v>
      </c>
      <c r="I73" s="255">
        <v>0</v>
      </c>
      <c r="J73" s="256">
        <f t="shared" si="18"/>
        <v>30</v>
      </c>
    </row>
    <row r="74" spans="1:10" ht="14.95" thickBot="1" x14ac:dyDescent="0.3">
      <c r="A74" s="300" t="s">
        <v>349</v>
      </c>
      <c r="B74" s="209">
        <v>2</v>
      </c>
      <c r="C74" s="270">
        <v>1</v>
      </c>
      <c r="D74" s="247">
        <v>0</v>
      </c>
      <c r="E74" s="302">
        <f t="shared" si="17"/>
        <v>3</v>
      </c>
      <c r="F74" s="253" t="s">
        <v>901</v>
      </c>
      <c r="G74" s="254">
        <v>6</v>
      </c>
      <c r="H74" s="348">
        <v>0</v>
      </c>
      <c r="I74" s="255">
        <v>19</v>
      </c>
      <c r="J74" s="256">
        <f t="shared" si="18"/>
        <v>25</v>
      </c>
    </row>
    <row r="75" spans="1:10" ht="14.95" thickBot="1" x14ac:dyDescent="0.3">
      <c r="A75" s="300" t="s">
        <v>358</v>
      </c>
      <c r="B75" s="209">
        <v>2</v>
      </c>
      <c r="C75" s="270">
        <v>1</v>
      </c>
      <c r="D75" s="247">
        <v>0</v>
      </c>
      <c r="E75" s="302">
        <f t="shared" si="17"/>
        <v>3</v>
      </c>
      <c r="F75" s="253" t="s">
        <v>343</v>
      </c>
      <c r="G75" s="254">
        <v>25</v>
      </c>
      <c r="H75" s="348">
        <v>0</v>
      </c>
      <c r="I75" s="255">
        <v>0</v>
      </c>
      <c r="J75" s="256">
        <f t="shared" si="18"/>
        <v>25</v>
      </c>
    </row>
    <row r="76" spans="1:10" ht="14.95" thickBot="1" x14ac:dyDescent="0.3">
      <c r="A76" s="300" t="s">
        <v>1304</v>
      </c>
      <c r="B76" s="209">
        <v>0</v>
      </c>
      <c r="C76" s="270">
        <v>0</v>
      </c>
      <c r="D76" s="247">
        <v>2</v>
      </c>
      <c r="E76" s="302">
        <f t="shared" si="17"/>
        <v>2</v>
      </c>
      <c r="F76" s="253" t="s">
        <v>1096</v>
      </c>
      <c r="G76" s="254">
        <v>0</v>
      </c>
      <c r="H76" s="348">
        <v>0</v>
      </c>
      <c r="I76" s="255">
        <v>24</v>
      </c>
      <c r="J76" s="256">
        <f t="shared" si="18"/>
        <v>24</v>
      </c>
    </row>
    <row r="77" spans="1:10" ht="14.95" thickBot="1" x14ac:dyDescent="0.3">
      <c r="A77" s="300" t="s">
        <v>909</v>
      </c>
      <c r="B77" s="209">
        <v>1</v>
      </c>
      <c r="C77" s="270">
        <v>1</v>
      </c>
      <c r="D77" s="247">
        <v>0</v>
      </c>
      <c r="E77" s="302">
        <f t="shared" si="17"/>
        <v>2</v>
      </c>
      <c r="F77" s="253" t="s">
        <v>1092</v>
      </c>
      <c r="G77" s="254">
        <v>10</v>
      </c>
      <c r="H77" s="348">
        <v>0</v>
      </c>
      <c r="I77" s="255">
        <v>10</v>
      </c>
      <c r="J77" s="256">
        <f t="shared" si="18"/>
        <v>20</v>
      </c>
    </row>
    <row r="78" spans="1:10" ht="14.95" thickBot="1" x14ac:dyDescent="0.3">
      <c r="A78" s="300" t="s">
        <v>931</v>
      </c>
      <c r="B78" s="209">
        <v>2</v>
      </c>
      <c r="C78" s="270">
        <v>0</v>
      </c>
      <c r="D78" s="247">
        <v>0</v>
      </c>
      <c r="E78" s="302">
        <f t="shared" si="17"/>
        <v>2</v>
      </c>
      <c r="F78" s="253" t="s">
        <v>349</v>
      </c>
      <c r="G78" s="254">
        <v>10</v>
      </c>
      <c r="H78" s="348">
        <v>5</v>
      </c>
      <c r="I78" s="255">
        <v>0</v>
      </c>
      <c r="J78" s="256">
        <f t="shared" si="18"/>
        <v>15</v>
      </c>
    </row>
    <row r="79" spans="1:10" ht="14.95" thickBot="1" x14ac:dyDescent="0.3">
      <c r="A79" s="300" t="s">
        <v>925</v>
      </c>
      <c r="B79" s="209">
        <v>0</v>
      </c>
      <c r="C79" s="270">
        <v>0</v>
      </c>
      <c r="D79" s="247">
        <v>2</v>
      </c>
      <c r="E79" s="302">
        <f t="shared" si="17"/>
        <v>2</v>
      </c>
      <c r="F79" s="253" t="s">
        <v>358</v>
      </c>
      <c r="G79" s="254">
        <v>10</v>
      </c>
      <c r="H79" s="348">
        <v>5</v>
      </c>
      <c r="I79" s="255">
        <v>0</v>
      </c>
      <c r="J79" s="256">
        <f t="shared" si="18"/>
        <v>15</v>
      </c>
    </row>
    <row r="80" spans="1:10" ht="14.95" customHeight="1" thickBot="1" x14ac:dyDescent="0.3">
      <c r="A80" s="300" t="s">
        <v>506</v>
      </c>
      <c r="B80" s="209">
        <v>0</v>
      </c>
      <c r="C80" s="270">
        <v>1</v>
      </c>
      <c r="D80" s="247">
        <v>1</v>
      </c>
      <c r="E80" s="302">
        <f t="shared" si="17"/>
        <v>2</v>
      </c>
      <c r="F80" s="253" t="s">
        <v>1304</v>
      </c>
      <c r="G80" s="254">
        <v>0</v>
      </c>
      <c r="H80" s="348">
        <v>0</v>
      </c>
      <c r="I80" s="255">
        <v>10</v>
      </c>
      <c r="J80" s="256">
        <f t="shared" si="18"/>
        <v>10</v>
      </c>
    </row>
    <row r="81" spans="1:10" ht="14.95" thickBot="1" x14ac:dyDescent="0.3">
      <c r="A81" s="300" t="s">
        <v>915</v>
      </c>
      <c r="B81" s="209">
        <v>1</v>
      </c>
      <c r="C81" s="270">
        <v>0</v>
      </c>
      <c r="D81" s="247">
        <v>1</v>
      </c>
      <c r="E81" s="302">
        <f t="shared" si="17"/>
        <v>2</v>
      </c>
      <c r="F81" s="253" t="s">
        <v>909</v>
      </c>
      <c r="G81" s="254">
        <v>5</v>
      </c>
      <c r="H81" s="348">
        <v>5</v>
      </c>
      <c r="I81" s="255">
        <v>0</v>
      </c>
      <c r="J81" s="256">
        <f t="shared" si="18"/>
        <v>10</v>
      </c>
    </row>
    <row r="82" spans="1:10" ht="14.95" thickBot="1" x14ac:dyDescent="0.3">
      <c r="A82" s="300" t="s">
        <v>1260</v>
      </c>
      <c r="B82" s="209">
        <v>0</v>
      </c>
      <c r="C82" s="270">
        <v>0</v>
      </c>
      <c r="D82" s="247">
        <v>2</v>
      </c>
      <c r="E82" s="302">
        <f t="shared" si="17"/>
        <v>2</v>
      </c>
      <c r="F82" s="253" t="s">
        <v>931</v>
      </c>
      <c r="G82" s="254">
        <v>10</v>
      </c>
      <c r="H82" s="348">
        <v>0</v>
      </c>
      <c r="I82" s="255">
        <v>0</v>
      </c>
      <c r="J82" s="256">
        <f t="shared" si="18"/>
        <v>10</v>
      </c>
    </row>
    <row r="83" spans="1:10" ht="14.95" thickBot="1" x14ac:dyDescent="0.3">
      <c r="A83" s="300" t="s">
        <v>1322</v>
      </c>
      <c r="B83" s="209">
        <v>1</v>
      </c>
      <c r="C83" s="270">
        <v>0</v>
      </c>
      <c r="D83" s="247">
        <v>0</v>
      </c>
      <c r="E83" s="302">
        <f t="shared" si="17"/>
        <v>1</v>
      </c>
      <c r="F83" s="253" t="s">
        <v>925</v>
      </c>
      <c r="G83" s="254">
        <v>0</v>
      </c>
      <c r="H83" s="348">
        <v>0</v>
      </c>
      <c r="I83" s="255">
        <v>10</v>
      </c>
      <c r="J83" s="256">
        <f t="shared" si="18"/>
        <v>10</v>
      </c>
    </row>
    <row r="84" spans="1:10" ht="14.95" thickBot="1" x14ac:dyDescent="0.3">
      <c r="A84" s="300" t="s">
        <v>903</v>
      </c>
      <c r="B84" s="209">
        <v>0</v>
      </c>
      <c r="C84" s="270">
        <v>0</v>
      </c>
      <c r="D84" s="247">
        <v>1</v>
      </c>
      <c r="E84" s="302">
        <f t="shared" si="17"/>
        <v>1</v>
      </c>
      <c r="F84" s="253" t="s">
        <v>506</v>
      </c>
      <c r="G84" s="254">
        <v>0</v>
      </c>
      <c r="H84" s="348">
        <v>5</v>
      </c>
      <c r="I84" s="255">
        <v>5</v>
      </c>
      <c r="J84" s="256">
        <f t="shared" si="18"/>
        <v>10</v>
      </c>
    </row>
    <row r="85" spans="1:10" ht="14.95" thickBot="1" x14ac:dyDescent="0.3">
      <c r="A85" s="300" t="s">
        <v>630</v>
      </c>
      <c r="B85" s="209">
        <v>1</v>
      </c>
      <c r="C85" s="270">
        <v>0</v>
      </c>
      <c r="D85" s="247">
        <v>0</v>
      </c>
      <c r="E85" s="302">
        <f t="shared" si="17"/>
        <v>1</v>
      </c>
      <c r="F85" s="253" t="s">
        <v>915</v>
      </c>
      <c r="G85" s="254">
        <v>5</v>
      </c>
      <c r="H85" s="348">
        <v>0</v>
      </c>
      <c r="I85" s="255">
        <v>5</v>
      </c>
      <c r="J85" s="256">
        <f t="shared" si="18"/>
        <v>10</v>
      </c>
    </row>
    <row r="86" spans="1:10" ht="14.95" thickBot="1" x14ac:dyDescent="0.3">
      <c r="A86" s="300" t="s">
        <v>1096</v>
      </c>
      <c r="B86" s="209">
        <v>0</v>
      </c>
      <c r="C86" s="270">
        <v>0</v>
      </c>
      <c r="D86" s="247">
        <v>1</v>
      </c>
      <c r="E86" s="302">
        <f t="shared" si="17"/>
        <v>1</v>
      </c>
      <c r="F86" s="253" t="s">
        <v>1260</v>
      </c>
      <c r="G86" s="254">
        <v>0</v>
      </c>
      <c r="H86" s="348">
        <v>0</v>
      </c>
      <c r="I86" s="255">
        <v>10</v>
      </c>
      <c r="J86" s="256">
        <f t="shared" si="18"/>
        <v>10</v>
      </c>
    </row>
    <row r="87" spans="1:10" ht="14.95" thickBot="1" x14ac:dyDescent="0.3">
      <c r="A87" s="300" t="s">
        <v>351</v>
      </c>
      <c r="B87" s="209">
        <v>1</v>
      </c>
      <c r="C87" s="270">
        <v>0</v>
      </c>
      <c r="D87" s="247">
        <v>0</v>
      </c>
      <c r="E87" s="302">
        <f t="shared" si="17"/>
        <v>1</v>
      </c>
      <c r="F87" s="253" t="s">
        <v>1322</v>
      </c>
      <c r="G87" s="254">
        <v>5</v>
      </c>
      <c r="H87" s="348">
        <v>0</v>
      </c>
      <c r="I87" s="255">
        <v>0</v>
      </c>
      <c r="J87" s="256">
        <f t="shared" si="18"/>
        <v>5</v>
      </c>
    </row>
    <row r="88" spans="1:10" ht="14.95" thickBot="1" x14ac:dyDescent="0.3">
      <c r="A88" s="300" t="s">
        <v>1094</v>
      </c>
      <c r="B88" s="209">
        <v>0</v>
      </c>
      <c r="C88" s="270">
        <v>0</v>
      </c>
      <c r="D88" s="247">
        <v>1</v>
      </c>
      <c r="E88" s="302">
        <f t="shared" si="17"/>
        <v>1</v>
      </c>
      <c r="F88" s="253" t="s">
        <v>903</v>
      </c>
      <c r="G88" s="254">
        <v>0</v>
      </c>
      <c r="H88" s="348">
        <v>0</v>
      </c>
      <c r="I88" s="255">
        <v>5</v>
      </c>
      <c r="J88" s="256">
        <f t="shared" si="18"/>
        <v>5</v>
      </c>
    </row>
    <row r="89" spans="1:10" ht="14.95" thickBot="1" x14ac:dyDescent="0.3">
      <c r="A89" s="300" t="s">
        <v>346</v>
      </c>
      <c r="B89" s="209">
        <v>1</v>
      </c>
      <c r="C89" s="270">
        <v>0</v>
      </c>
      <c r="D89" s="247">
        <v>0</v>
      </c>
      <c r="E89" s="302">
        <f t="shared" si="17"/>
        <v>1</v>
      </c>
      <c r="F89" s="253" t="s">
        <v>630</v>
      </c>
      <c r="G89" s="254">
        <v>5</v>
      </c>
      <c r="H89" s="348">
        <v>0</v>
      </c>
      <c r="I89" s="255">
        <v>0</v>
      </c>
      <c r="J89" s="256">
        <f t="shared" si="18"/>
        <v>5</v>
      </c>
    </row>
    <row r="90" spans="1:10" ht="14.95" thickBot="1" x14ac:dyDescent="0.3">
      <c r="A90" s="300" t="s">
        <v>533</v>
      </c>
      <c r="B90" s="209">
        <v>1</v>
      </c>
      <c r="C90" s="270">
        <v>0</v>
      </c>
      <c r="D90" s="247">
        <v>0</v>
      </c>
      <c r="E90" s="302">
        <f t="shared" si="17"/>
        <v>1</v>
      </c>
      <c r="F90" s="253" t="s">
        <v>351</v>
      </c>
      <c r="G90" s="254">
        <v>5</v>
      </c>
      <c r="H90" s="348">
        <v>0</v>
      </c>
      <c r="I90" s="255">
        <v>0</v>
      </c>
      <c r="J90" s="256">
        <f t="shared" si="18"/>
        <v>5</v>
      </c>
    </row>
    <row r="91" spans="1:10" ht="14.95" thickBot="1" x14ac:dyDescent="0.3">
      <c r="A91" s="300" t="s">
        <v>350</v>
      </c>
      <c r="B91" s="209">
        <v>1</v>
      </c>
      <c r="C91" s="270">
        <v>0</v>
      </c>
      <c r="D91" s="247">
        <v>0</v>
      </c>
      <c r="E91" s="302">
        <f t="shared" si="17"/>
        <v>1</v>
      </c>
      <c r="F91" s="253" t="s">
        <v>1094</v>
      </c>
      <c r="G91" s="254">
        <v>0</v>
      </c>
      <c r="H91" s="348">
        <v>0</v>
      </c>
      <c r="I91" s="255">
        <v>5</v>
      </c>
      <c r="J91" s="256">
        <f t="shared" si="18"/>
        <v>5</v>
      </c>
    </row>
    <row r="92" spans="1:10" ht="14.95" thickBot="1" x14ac:dyDescent="0.3">
      <c r="A92" s="300" t="s">
        <v>360</v>
      </c>
      <c r="B92" s="209">
        <v>1</v>
      </c>
      <c r="C92" s="270">
        <v>0</v>
      </c>
      <c r="D92" s="247">
        <v>0</v>
      </c>
      <c r="E92" s="302">
        <f t="shared" si="17"/>
        <v>1</v>
      </c>
      <c r="F92" s="253" t="s">
        <v>346</v>
      </c>
      <c r="G92" s="254">
        <v>5</v>
      </c>
      <c r="H92" s="348">
        <v>0</v>
      </c>
      <c r="I92" s="255">
        <v>0</v>
      </c>
      <c r="J92" s="256">
        <f t="shared" si="18"/>
        <v>5</v>
      </c>
    </row>
    <row r="93" spans="1:10" ht="14.95" thickBot="1" x14ac:dyDescent="0.3">
      <c r="A93" s="300" t="s">
        <v>920</v>
      </c>
      <c r="B93" s="209">
        <v>0</v>
      </c>
      <c r="C93" s="270">
        <v>0</v>
      </c>
      <c r="D93" s="247">
        <v>1</v>
      </c>
      <c r="E93" s="302">
        <f t="shared" si="17"/>
        <v>1</v>
      </c>
      <c r="F93" s="253" t="s">
        <v>533</v>
      </c>
      <c r="G93" s="254">
        <v>5</v>
      </c>
      <c r="H93" s="348">
        <v>0</v>
      </c>
      <c r="I93" s="255">
        <v>0</v>
      </c>
      <c r="J93" s="256">
        <f t="shared" si="18"/>
        <v>5</v>
      </c>
    </row>
    <row r="94" spans="1:10" ht="14.95" thickBot="1" x14ac:dyDescent="0.3">
      <c r="A94" s="300" t="s">
        <v>1090</v>
      </c>
      <c r="B94" s="209">
        <v>0</v>
      </c>
      <c r="C94" s="270">
        <v>0</v>
      </c>
      <c r="D94" s="247">
        <v>1</v>
      </c>
      <c r="E94" s="302">
        <f t="shared" ref="E94:E117" si="19">SUM(B94:D94)</f>
        <v>1</v>
      </c>
      <c r="F94" s="253" t="s">
        <v>350</v>
      </c>
      <c r="G94" s="254">
        <v>5</v>
      </c>
      <c r="H94" s="348">
        <v>0</v>
      </c>
      <c r="I94" s="255">
        <v>0</v>
      </c>
      <c r="J94" s="256">
        <f t="shared" ref="J94:J116" si="20">SUM(G94:I94)</f>
        <v>5</v>
      </c>
    </row>
    <row r="95" spans="1:10" ht="14.95" thickBot="1" x14ac:dyDescent="0.3">
      <c r="A95" s="300" t="s">
        <v>364</v>
      </c>
      <c r="B95" s="209">
        <v>1</v>
      </c>
      <c r="C95" s="270">
        <v>0</v>
      </c>
      <c r="D95" s="247">
        <v>0</v>
      </c>
      <c r="E95" s="302">
        <f t="shared" si="19"/>
        <v>1</v>
      </c>
      <c r="F95" s="253" t="s">
        <v>360</v>
      </c>
      <c r="G95" s="254">
        <v>5</v>
      </c>
      <c r="H95" s="348">
        <v>0</v>
      </c>
      <c r="I95" s="255">
        <v>0</v>
      </c>
      <c r="J95" s="256">
        <f t="shared" si="20"/>
        <v>5</v>
      </c>
    </row>
    <row r="96" spans="1:10" ht="14.95" thickBot="1" x14ac:dyDescent="0.3">
      <c r="A96" s="300" t="s">
        <v>947</v>
      </c>
      <c r="B96" s="209">
        <v>1</v>
      </c>
      <c r="C96" s="270">
        <v>0</v>
      </c>
      <c r="D96" s="247">
        <v>0</v>
      </c>
      <c r="E96" s="302">
        <f t="shared" si="19"/>
        <v>1</v>
      </c>
      <c r="F96" s="253" t="s">
        <v>920</v>
      </c>
      <c r="G96" s="254">
        <v>0</v>
      </c>
      <c r="H96" s="348">
        <v>0</v>
      </c>
      <c r="I96" s="255">
        <v>5</v>
      </c>
      <c r="J96" s="256">
        <f t="shared" si="20"/>
        <v>5</v>
      </c>
    </row>
    <row r="97" spans="1:10" ht="14.95" thickBot="1" x14ac:dyDescent="0.3">
      <c r="A97" s="300" t="s">
        <v>1140</v>
      </c>
      <c r="B97" s="209">
        <v>0</v>
      </c>
      <c r="C97" s="270">
        <v>0</v>
      </c>
      <c r="D97" s="247">
        <v>1</v>
      </c>
      <c r="E97" s="302">
        <f t="shared" si="19"/>
        <v>1</v>
      </c>
      <c r="F97" s="253" t="s">
        <v>1090</v>
      </c>
      <c r="G97" s="254">
        <v>0</v>
      </c>
      <c r="H97" s="348">
        <v>0</v>
      </c>
      <c r="I97" s="255">
        <v>5</v>
      </c>
      <c r="J97" s="256">
        <f t="shared" si="20"/>
        <v>5</v>
      </c>
    </row>
    <row r="98" spans="1:10" ht="14.95" thickBot="1" x14ac:dyDescent="0.3">
      <c r="A98" s="300" t="s">
        <v>704</v>
      </c>
      <c r="B98" s="209">
        <v>0</v>
      </c>
      <c r="C98" s="270">
        <v>0</v>
      </c>
      <c r="D98" s="247">
        <v>1</v>
      </c>
      <c r="E98" s="302">
        <f t="shared" si="19"/>
        <v>1</v>
      </c>
      <c r="F98" s="253" t="s">
        <v>364</v>
      </c>
      <c r="G98" s="254">
        <v>5</v>
      </c>
      <c r="H98" s="348">
        <v>0</v>
      </c>
      <c r="I98" s="255">
        <v>0</v>
      </c>
      <c r="J98" s="256">
        <f t="shared" si="20"/>
        <v>5</v>
      </c>
    </row>
    <row r="99" spans="1:10" ht="14.95" thickBot="1" x14ac:dyDescent="0.3">
      <c r="A99" s="300" t="s">
        <v>5</v>
      </c>
      <c r="B99" s="209">
        <v>0</v>
      </c>
      <c r="C99" s="270">
        <v>1</v>
      </c>
      <c r="D99" s="247">
        <v>0</v>
      </c>
      <c r="E99" s="302">
        <f t="shared" si="19"/>
        <v>1</v>
      </c>
      <c r="F99" s="253" t="s">
        <v>1140</v>
      </c>
      <c r="G99" s="254">
        <v>0</v>
      </c>
      <c r="H99" s="348">
        <v>0</v>
      </c>
      <c r="I99" s="255">
        <v>5</v>
      </c>
      <c r="J99" s="256">
        <f t="shared" si="20"/>
        <v>5</v>
      </c>
    </row>
    <row r="100" spans="1:10" ht="14.95" thickBot="1" x14ac:dyDescent="0.3">
      <c r="A100" s="300" t="s">
        <v>918</v>
      </c>
      <c r="B100" s="209">
        <v>0</v>
      </c>
      <c r="C100" s="270">
        <v>0</v>
      </c>
      <c r="D100" s="247">
        <v>1</v>
      </c>
      <c r="E100" s="302">
        <f t="shared" si="19"/>
        <v>1</v>
      </c>
      <c r="F100" s="253" t="s">
        <v>704</v>
      </c>
      <c r="G100" s="254">
        <v>0</v>
      </c>
      <c r="H100" s="348">
        <v>0</v>
      </c>
      <c r="I100" s="255">
        <v>5</v>
      </c>
      <c r="J100" s="256">
        <f t="shared" si="20"/>
        <v>5</v>
      </c>
    </row>
    <row r="101" spans="1:10" ht="14.95" thickBot="1" x14ac:dyDescent="0.3">
      <c r="A101" s="300" t="s">
        <v>452</v>
      </c>
      <c r="B101" s="209">
        <v>0</v>
      </c>
      <c r="C101" s="270">
        <v>0</v>
      </c>
      <c r="D101" s="247">
        <v>0</v>
      </c>
      <c r="E101" s="302">
        <f t="shared" si="19"/>
        <v>0</v>
      </c>
      <c r="F101" s="253" t="s">
        <v>5</v>
      </c>
      <c r="G101" s="254">
        <v>0</v>
      </c>
      <c r="H101" s="348">
        <v>5</v>
      </c>
      <c r="I101" s="255">
        <v>0</v>
      </c>
      <c r="J101" s="256">
        <f t="shared" si="20"/>
        <v>5</v>
      </c>
    </row>
    <row r="102" spans="1:10" ht="14.95" thickBot="1" x14ac:dyDescent="0.3">
      <c r="A102" s="300" t="s">
        <v>905</v>
      </c>
      <c r="B102" s="209">
        <v>0</v>
      </c>
      <c r="C102" s="270">
        <v>0</v>
      </c>
      <c r="D102" s="247">
        <v>0</v>
      </c>
      <c r="E102" s="302">
        <f t="shared" si="19"/>
        <v>0</v>
      </c>
      <c r="F102" s="253" t="s">
        <v>918</v>
      </c>
      <c r="G102" s="254">
        <v>0</v>
      </c>
      <c r="H102" s="348">
        <v>0</v>
      </c>
      <c r="I102" s="255">
        <v>5</v>
      </c>
      <c r="J102" s="256">
        <f t="shared" si="20"/>
        <v>5</v>
      </c>
    </row>
    <row r="103" spans="1:10" ht="14.95" thickBot="1" x14ac:dyDescent="0.3">
      <c r="A103" s="300" t="s">
        <v>913</v>
      </c>
      <c r="B103" s="209">
        <v>0</v>
      </c>
      <c r="C103" s="270">
        <v>0</v>
      </c>
      <c r="D103" s="247">
        <v>0</v>
      </c>
      <c r="E103" s="302">
        <f t="shared" si="19"/>
        <v>0</v>
      </c>
      <c r="F103" s="253" t="s">
        <v>452</v>
      </c>
      <c r="G103" s="254">
        <v>0</v>
      </c>
      <c r="H103" s="348">
        <v>0</v>
      </c>
      <c r="I103" s="255">
        <v>0</v>
      </c>
      <c r="J103" s="256">
        <f t="shared" si="20"/>
        <v>0</v>
      </c>
    </row>
    <row r="104" spans="1:10" ht="14.95" thickBot="1" x14ac:dyDescent="0.3">
      <c r="A104" s="300" t="s">
        <v>361</v>
      </c>
      <c r="B104" s="209">
        <v>0</v>
      </c>
      <c r="C104" s="270">
        <v>0</v>
      </c>
      <c r="D104" s="247">
        <v>0</v>
      </c>
      <c r="E104" s="302">
        <f t="shared" si="19"/>
        <v>0</v>
      </c>
      <c r="F104" s="253" t="s">
        <v>905</v>
      </c>
      <c r="G104" s="254">
        <v>0</v>
      </c>
      <c r="H104" s="348">
        <v>0</v>
      </c>
      <c r="I104" s="255">
        <v>0</v>
      </c>
      <c r="J104" s="256">
        <f t="shared" si="20"/>
        <v>0</v>
      </c>
    </row>
    <row r="105" spans="1:10" ht="14.95" thickBot="1" x14ac:dyDescent="0.3">
      <c r="A105" s="300" t="s">
        <v>911</v>
      </c>
      <c r="B105" s="209">
        <v>0</v>
      </c>
      <c r="C105" s="270">
        <v>0</v>
      </c>
      <c r="D105" s="247">
        <v>0</v>
      </c>
      <c r="E105" s="302">
        <f t="shared" si="19"/>
        <v>0</v>
      </c>
      <c r="F105" s="253" t="s">
        <v>913</v>
      </c>
      <c r="G105" s="254">
        <v>0</v>
      </c>
      <c r="H105" s="348">
        <v>0</v>
      </c>
      <c r="I105" s="255">
        <v>0</v>
      </c>
      <c r="J105" s="256">
        <f t="shared" si="20"/>
        <v>0</v>
      </c>
    </row>
    <row r="106" spans="1:10" ht="14.95" thickBot="1" x14ac:dyDescent="0.3">
      <c r="A106" s="300" t="s">
        <v>476</v>
      </c>
      <c r="B106" s="209">
        <v>0</v>
      </c>
      <c r="C106" s="270">
        <v>0</v>
      </c>
      <c r="D106" s="247">
        <v>0</v>
      </c>
      <c r="E106" s="302">
        <f t="shared" si="19"/>
        <v>0</v>
      </c>
      <c r="F106" s="253" t="s">
        <v>361</v>
      </c>
      <c r="G106" s="254">
        <v>0</v>
      </c>
      <c r="H106" s="348">
        <v>0</v>
      </c>
      <c r="I106" s="255">
        <v>0</v>
      </c>
      <c r="J106" s="256">
        <f t="shared" si="20"/>
        <v>0</v>
      </c>
    </row>
    <row r="107" spans="1:10" ht="14.95" thickBot="1" x14ac:dyDescent="0.3">
      <c r="A107" s="300" t="s">
        <v>907</v>
      </c>
      <c r="B107" s="209">
        <v>0</v>
      </c>
      <c r="C107" s="270">
        <v>0</v>
      </c>
      <c r="D107" s="247">
        <v>0</v>
      </c>
      <c r="E107" s="302">
        <f t="shared" si="19"/>
        <v>0</v>
      </c>
      <c r="F107" s="253" t="s">
        <v>911</v>
      </c>
      <c r="G107" s="254">
        <v>0</v>
      </c>
      <c r="H107" s="348">
        <v>0</v>
      </c>
      <c r="I107" s="255">
        <v>0</v>
      </c>
      <c r="J107" s="256">
        <f t="shared" si="20"/>
        <v>0</v>
      </c>
    </row>
    <row r="108" spans="1:10" ht="14.95" thickBot="1" x14ac:dyDescent="0.3">
      <c r="A108" s="300" t="s">
        <v>304</v>
      </c>
      <c r="B108" s="209">
        <v>0</v>
      </c>
      <c r="C108" s="270">
        <v>0</v>
      </c>
      <c r="D108" s="247">
        <v>0</v>
      </c>
      <c r="E108" s="302">
        <f t="shared" si="19"/>
        <v>0</v>
      </c>
      <c r="F108" s="253" t="s">
        <v>476</v>
      </c>
      <c r="G108" s="254">
        <v>0</v>
      </c>
      <c r="H108" s="348">
        <v>0</v>
      </c>
      <c r="I108" s="255">
        <v>0</v>
      </c>
      <c r="J108" s="256">
        <f t="shared" si="20"/>
        <v>0</v>
      </c>
    </row>
    <row r="109" spans="1:10" ht="14.95" thickBot="1" x14ac:dyDescent="0.3">
      <c r="A109" s="300" t="s">
        <v>901</v>
      </c>
      <c r="B109" s="209">
        <v>0</v>
      </c>
      <c r="C109" s="270">
        <v>0</v>
      </c>
      <c r="D109" s="247">
        <v>0</v>
      </c>
      <c r="E109" s="302">
        <f t="shared" si="19"/>
        <v>0</v>
      </c>
      <c r="F109" s="253" t="s">
        <v>907</v>
      </c>
      <c r="G109" s="254">
        <v>0</v>
      </c>
      <c r="H109" s="348">
        <v>0</v>
      </c>
      <c r="I109" s="255">
        <v>0</v>
      </c>
      <c r="J109" s="256">
        <f t="shared" si="20"/>
        <v>0</v>
      </c>
    </row>
    <row r="110" spans="1:10" ht="14.95" thickBot="1" x14ac:dyDescent="0.3">
      <c r="A110" s="300" t="s">
        <v>362</v>
      </c>
      <c r="B110" s="209">
        <v>0</v>
      </c>
      <c r="C110" s="270">
        <v>0</v>
      </c>
      <c r="D110" s="247">
        <v>0</v>
      </c>
      <c r="E110" s="302">
        <f t="shared" si="19"/>
        <v>0</v>
      </c>
      <c r="F110" s="253" t="s">
        <v>304</v>
      </c>
      <c r="G110" s="254">
        <v>0</v>
      </c>
      <c r="H110" s="348">
        <v>0</v>
      </c>
      <c r="I110" s="255">
        <v>0</v>
      </c>
      <c r="J110" s="256">
        <f t="shared" si="20"/>
        <v>0</v>
      </c>
    </row>
    <row r="111" spans="1:10" ht="14.95" thickBot="1" x14ac:dyDescent="0.3">
      <c r="A111" s="300" t="s">
        <v>919</v>
      </c>
      <c r="B111" s="209">
        <v>0</v>
      </c>
      <c r="C111" s="270">
        <v>0</v>
      </c>
      <c r="D111" s="247">
        <v>0</v>
      </c>
      <c r="E111" s="302">
        <f t="shared" si="19"/>
        <v>0</v>
      </c>
      <c r="F111" s="253" t="s">
        <v>919</v>
      </c>
      <c r="G111" s="254">
        <v>0</v>
      </c>
      <c r="H111" s="348">
        <v>0</v>
      </c>
      <c r="I111" s="255">
        <v>0</v>
      </c>
      <c r="J111" s="256">
        <f t="shared" si="20"/>
        <v>0</v>
      </c>
    </row>
    <row r="112" spans="1:10" ht="14.95" thickBot="1" x14ac:dyDescent="0.3">
      <c r="A112" s="300" t="s">
        <v>592</v>
      </c>
      <c r="B112" s="209">
        <v>0</v>
      </c>
      <c r="C112" s="270">
        <v>0</v>
      </c>
      <c r="D112" s="247">
        <v>0</v>
      </c>
      <c r="E112" s="302">
        <f t="shared" si="19"/>
        <v>0</v>
      </c>
      <c r="F112" s="253" t="s">
        <v>592</v>
      </c>
      <c r="G112" s="254">
        <v>0</v>
      </c>
      <c r="H112" s="348">
        <v>0</v>
      </c>
      <c r="I112" s="255">
        <v>0</v>
      </c>
      <c r="J112" s="256">
        <f t="shared" si="20"/>
        <v>0</v>
      </c>
    </row>
    <row r="113" spans="1:10" ht="14.95" thickBot="1" x14ac:dyDescent="0.3">
      <c r="A113" s="300" t="s">
        <v>4</v>
      </c>
      <c r="B113" s="209">
        <v>0</v>
      </c>
      <c r="C113" s="270">
        <v>0</v>
      </c>
      <c r="D113" s="247">
        <v>0</v>
      </c>
      <c r="E113" s="302">
        <f t="shared" si="19"/>
        <v>0</v>
      </c>
      <c r="F113" s="253" t="s">
        <v>4</v>
      </c>
      <c r="G113" s="254">
        <v>0</v>
      </c>
      <c r="H113" s="348">
        <v>0</v>
      </c>
      <c r="I113" s="255">
        <v>0</v>
      </c>
      <c r="J113" s="256">
        <f t="shared" si="20"/>
        <v>0</v>
      </c>
    </row>
    <row r="114" spans="1:10" ht="14.95" thickBot="1" x14ac:dyDescent="0.3">
      <c r="A114" s="300" t="s">
        <v>359</v>
      </c>
      <c r="B114" s="209">
        <v>0</v>
      </c>
      <c r="C114" s="270">
        <v>0</v>
      </c>
      <c r="D114" s="247">
        <v>0</v>
      </c>
      <c r="E114" s="302">
        <f t="shared" si="19"/>
        <v>0</v>
      </c>
      <c r="F114" s="253" t="s">
        <v>359</v>
      </c>
      <c r="G114" s="254">
        <v>0</v>
      </c>
      <c r="H114" s="348">
        <v>0</v>
      </c>
      <c r="I114" s="255">
        <v>0</v>
      </c>
      <c r="J114" s="256">
        <f t="shared" si="20"/>
        <v>0</v>
      </c>
    </row>
    <row r="115" spans="1:10" ht="14.95" thickBot="1" x14ac:dyDescent="0.3">
      <c r="A115" s="300" t="s">
        <v>19</v>
      </c>
      <c r="B115" s="209">
        <v>0</v>
      </c>
      <c r="C115" s="270">
        <v>0</v>
      </c>
      <c r="D115" s="247">
        <v>0</v>
      </c>
      <c r="E115" s="302">
        <f t="shared" si="19"/>
        <v>0</v>
      </c>
      <c r="F115" s="253" t="s">
        <v>19</v>
      </c>
      <c r="G115" s="254">
        <v>0</v>
      </c>
      <c r="H115" s="348">
        <v>0</v>
      </c>
      <c r="I115" s="255">
        <v>0</v>
      </c>
      <c r="J115" s="256">
        <f t="shared" si="20"/>
        <v>0</v>
      </c>
    </row>
    <row r="116" spans="1:10" ht="14.95" thickBot="1" x14ac:dyDescent="0.3">
      <c r="A116" s="300" t="s">
        <v>897</v>
      </c>
      <c r="B116" s="209">
        <v>0</v>
      </c>
      <c r="C116" s="270">
        <v>0</v>
      </c>
      <c r="D116" s="247">
        <v>0</v>
      </c>
      <c r="E116" s="302">
        <f t="shared" si="19"/>
        <v>0</v>
      </c>
      <c r="F116" s="253" t="s">
        <v>897</v>
      </c>
      <c r="G116" s="254">
        <v>0</v>
      </c>
      <c r="H116" s="348">
        <v>0</v>
      </c>
      <c r="I116" s="255">
        <v>0</v>
      </c>
      <c r="J116" s="256">
        <f t="shared" si="20"/>
        <v>0</v>
      </c>
    </row>
    <row r="117" spans="1:10" ht="14.3" customHeight="1" thickBot="1" x14ac:dyDescent="0.3">
      <c r="A117" s="300" t="s">
        <v>3</v>
      </c>
      <c r="B117" s="209">
        <f>SUM(B62:B116)</f>
        <v>74</v>
      </c>
      <c r="C117" s="270">
        <f>SUM(C62:C116)</f>
        <v>17</v>
      </c>
      <c r="D117" s="247">
        <f>SUM(D62:D116)</f>
        <v>33</v>
      </c>
      <c r="E117" s="302">
        <f t="shared" si="19"/>
        <v>124</v>
      </c>
      <c r="F117" s="253" t="s">
        <v>3</v>
      </c>
      <c r="G117" s="254">
        <f>SUM(G62:G116)</f>
        <v>522</v>
      </c>
      <c r="H117" s="348">
        <f>SUM(H62:H116)</f>
        <v>133</v>
      </c>
      <c r="I117" s="255">
        <f>SUM(I62:I116)</f>
        <v>225</v>
      </c>
      <c r="J117" s="256">
        <f t="shared" ref="J117" si="21">SUM(G117:I117)</f>
        <v>880</v>
      </c>
    </row>
    <row r="118" spans="1:10" x14ac:dyDescent="0.25">
      <c r="A118" s="488" t="s">
        <v>42</v>
      </c>
      <c r="B118" s="480"/>
      <c r="C118" s="480"/>
      <c r="D118" s="480"/>
      <c r="E118" s="480"/>
      <c r="F118" s="480"/>
      <c r="G118" s="480"/>
      <c r="H118" s="480"/>
      <c r="I118" s="480"/>
      <c r="J118" s="480"/>
    </row>
  </sheetData>
  <sortState xmlns:xlrd2="http://schemas.microsoft.com/office/spreadsheetml/2017/richdata2" ref="F62:J116">
    <sortCondition descending="1" ref="J62:J116"/>
  </sortState>
  <mergeCells count="59">
    <mergeCell ref="AF32:AH33"/>
    <mergeCell ref="AI21:AK22"/>
    <mergeCell ref="AL21:AN22"/>
    <mergeCell ref="AO21:AQ22"/>
    <mergeCell ref="AR21:AT22"/>
    <mergeCell ref="AU21:AW22"/>
    <mergeCell ref="R1:S2"/>
    <mergeCell ref="W1:Y2"/>
    <mergeCell ref="AL1:AN2"/>
    <mergeCell ref="AI12:AK13"/>
    <mergeCell ref="R12:T13"/>
    <mergeCell ref="T1:V2"/>
    <mergeCell ref="AI1:AK2"/>
    <mergeCell ref="AF1:AH2"/>
    <mergeCell ref="AF12:AH13"/>
    <mergeCell ref="AC1:AE2"/>
    <mergeCell ref="AF21:AH22"/>
    <mergeCell ref="BD1:BF2"/>
    <mergeCell ref="AX12:AZ13"/>
    <mergeCell ref="AU1:AW2"/>
    <mergeCell ref="AX1:AZ2"/>
    <mergeCell ref="AO12:AQ13"/>
    <mergeCell ref="AR1:AT2"/>
    <mergeCell ref="AR12:AT13"/>
    <mergeCell ref="AU12:AW13"/>
    <mergeCell ref="BA1:BC2"/>
    <mergeCell ref="AO1:AQ2"/>
    <mergeCell ref="A1:J1"/>
    <mergeCell ref="K1:K2"/>
    <mergeCell ref="L1:N2"/>
    <mergeCell ref="K32:K33"/>
    <mergeCell ref="L32:N33"/>
    <mergeCell ref="K21:K22"/>
    <mergeCell ref="L21:N22"/>
    <mergeCell ref="K31:V31"/>
    <mergeCell ref="R21:T22"/>
    <mergeCell ref="U21:W22"/>
    <mergeCell ref="R32:T33"/>
    <mergeCell ref="O1:Q2"/>
    <mergeCell ref="K12:K13"/>
    <mergeCell ref="L12:N13"/>
    <mergeCell ref="O12:Q13"/>
    <mergeCell ref="O21:Q22"/>
    <mergeCell ref="A118:J118"/>
    <mergeCell ref="K43:Y43"/>
    <mergeCell ref="K42:BD42"/>
    <mergeCell ref="AC12:AE13"/>
    <mergeCell ref="AC21:AE22"/>
    <mergeCell ref="AC32:AE33"/>
    <mergeCell ref="O32:Q33"/>
    <mergeCell ref="K41:AT41"/>
    <mergeCell ref="AL12:AN13"/>
    <mergeCell ref="U12:W13"/>
    <mergeCell ref="AX21:AZ22"/>
    <mergeCell ref="AL32:AN33"/>
    <mergeCell ref="AO32:AQ33"/>
    <mergeCell ref="AR32:AT33"/>
    <mergeCell ref="U32:W33"/>
    <mergeCell ref="AI32:AK33"/>
  </mergeCells>
  <pageMargins left="0.7" right="0.7" top="0.75" bottom="0.75" header="0.3" footer="0.3"/>
  <pageSetup paperSize="9" orientation="portrait" horizontalDpi="0" verticalDpi="0" r:id="rId1"/>
  <ignoredErrors>
    <ignoredError sqref="E41 J41 J34 E3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41"/>
  <sheetViews>
    <sheetView workbookViewId="0">
      <selection activeCell="G20" sqref="G20"/>
    </sheetView>
  </sheetViews>
  <sheetFormatPr defaultColWidth="8.875" defaultRowHeight="14.3" x14ac:dyDescent="0.25"/>
  <cols>
    <col min="1" max="1" width="21.375" bestFit="1" customWidth="1"/>
    <col min="2" max="2" width="6.875" bestFit="1" customWidth="1"/>
    <col min="3" max="3" width="5.75" customWidth="1"/>
    <col min="4" max="4" width="21.375" bestFit="1" customWidth="1"/>
    <col min="5" max="5" width="6.875" bestFit="1" customWidth="1"/>
    <col min="6" max="6" width="5.75" customWidth="1"/>
    <col min="7" max="7" width="18.5" bestFit="1" customWidth="1"/>
    <col min="8" max="8" width="5.1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2" x14ac:dyDescent="0.25">
      <c r="A1" s="407" t="s">
        <v>951</v>
      </c>
    </row>
    <row r="2" spans="1:22" ht="14.95" customHeight="1" thickBot="1" x14ac:dyDescent="0.3">
      <c r="A2" s="419" t="s">
        <v>1330</v>
      </c>
    </row>
    <row r="3" spans="1:22" ht="14.95" customHeight="1" thickBot="1" x14ac:dyDescent="0.3">
      <c r="A3" s="32" t="s">
        <v>31</v>
      </c>
      <c r="B3" s="118"/>
      <c r="C3" s="11"/>
      <c r="D3" s="27" t="s">
        <v>10</v>
      </c>
      <c r="E3" s="27"/>
      <c r="F3" s="24"/>
      <c r="G3" s="562" t="s">
        <v>43</v>
      </c>
      <c r="H3" s="560"/>
      <c r="I3" s="28" t="s">
        <v>55</v>
      </c>
      <c r="J3" s="28" t="s">
        <v>11</v>
      </c>
      <c r="K3" s="29" t="s">
        <v>12</v>
      </c>
      <c r="L3" s="559" t="s">
        <v>198</v>
      </c>
      <c r="M3" s="559"/>
      <c r="N3" s="560"/>
      <c r="O3" s="558" t="s">
        <v>1329</v>
      </c>
      <c r="P3" s="559"/>
      <c r="Q3" s="560"/>
    </row>
    <row r="4" spans="1:22" ht="14.95" customHeight="1" thickBot="1" x14ac:dyDescent="0.3">
      <c r="A4" s="62" t="s">
        <v>606</v>
      </c>
      <c r="B4" s="10" t="s">
        <v>620</v>
      </c>
      <c r="C4" s="9">
        <f>Hassell_CollinsLEItries</f>
        <v>13</v>
      </c>
      <c r="D4" s="2" t="s">
        <v>600</v>
      </c>
      <c r="E4" s="2" t="s">
        <v>96</v>
      </c>
      <c r="F4" s="19">
        <f>Russellbthpts</f>
        <v>183</v>
      </c>
      <c r="G4" s="33" t="s">
        <v>169</v>
      </c>
      <c r="H4" s="30" t="s">
        <v>104</v>
      </c>
      <c r="I4" s="196">
        <f>Smithhargls</f>
        <v>43</v>
      </c>
      <c r="J4" s="196">
        <f>smithharatt</f>
        <v>47</v>
      </c>
      <c r="K4" s="396">
        <f t="shared" ref="K4:K14" si="0">SUM(I4/J4)*100</f>
        <v>91.489361702127653</v>
      </c>
      <c r="L4" s="349" t="s">
        <v>606</v>
      </c>
      <c r="M4" s="349" t="s">
        <v>620</v>
      </c>
      <c r="N4" s="350">
        <v>13</v>
      </c>
      <c r="O4" s="253" t="s">
        <v>600</v>
      </c>
      <c r="P4" s="253" t="s">
        <v>96</v>
      </c>
      <c r="Q4" s="351">
        <v>156</v>
      </c>
      <c r="T4" s="4"/>
      <c r="U4" s="4"/>
      <c r="V4" s="4"/>
    </row>
    <row r="5" spans="1:22" ht="14.95" customHeight="1" thickBot="1" x14ac:dyDescent="0.3">
      <c r="A5" s="62" t="s">
        <v>535</v>
      </c>
      <c r="B5" s="62" t="s">
        <v>108</v>
      </c>
      <c r="C5" s="9">
        <f>Hughesbritries</f>
        <v>13</v>
      </c>
      <c r="D5" s="2" t="s">
        <v>544</v>
      </c>
      <c r="E5" s="2" t="s">
        <v>620</v>
      </c>
      <c r="F5" s="19">
        <f>Olowofela_Jleicpts</f>
        <v>159</v>
      </c>
      <c r="G5" s="30" t="s">
        <v>406</v>
      </c>
      <c r="H5" s="30" t="s">
        <v>104</v>
      </c>
      <c r="I5" s="194">
        <f>bensonhargls</f>
        <v>9</v>
      </c>
      <c r="J5" s="196">
        <f>bensonharatt</f>
        <v>10</v>
      </c>
      <c r="K5" s="396">
        <f t="shared" si="0"/>
        <v>90</v>
      </c>
      <c r="L5" s="349" t="s">
        <v>535</v>
      </c>
      <c r="M5" s="349" t="s">
        <v>108</v>
      </c>
      <c r="N5" s="350">
        <v>13</v>
      </c>
      <c r="O5" s="2" t="s">
        <v>544</v>
      </c>
      <c r="P5" s="2" t="s">
        <v>620</v>
      </c>
      <c r="Q5" s="19">
        <v>147</v>
      </c>
      <c r="S5" s="4"/>
    </row>
    <row r="6" spans="1:22" ht="14.95" customHeight="1" thickBot="1" x14ac:dyDescent="0.3">
      <c r="A6" s="10" t="s">
        <v>297</v>
      </c>
      <c r="B6" s="10" t="s">
        <v>1215</v>
      </c>
      <c r="C6" s="9">
        <f>Radwannewtriescorrect+Radwanleitries</f>
        <v>12</v>
      </c>
      <c r="D6" s="2" t="s">
        <v>318</v>
      </c>
      <c r="E6" s="2" t="s">
        <v>94</v>
      </c>
      <c r="F6" s="19">
        <f>Carrerasglopts</f>
        <v>124</v>
      </c>
      <c r="G6" s="33" t="s">
        <v>939</v>
      </c>
      <c r="H6" s="50" t="s">
        <v>282</v>
      </c>
      <c r="I6" s="196">
        <f>Graysonnewgls</f>
        <v>9</v>
      </c>
      <c r="J6" s="196">
        <f>Graysonnewatt</f>
        <v>10</v>
      </c>
      <c r="K6" s="396">
        <f t="shared" si="0"/>
        <v>90</v>
      </c>
      <c r="L6" s="10" t="s">
        <v>717</v>
      </c>
      <c r="M6" s="10" t="s">
        <v>108</v>
      </c>
      <c r="N6" s="9">
        <v>11</v>
      </c>
      <c r="O6" s="2" t="s">
        <v>318</v>
      </c>
      <c r="P6" s="2" t="s">
        <v>94</v>
      </c>
      <c r="Q6" s="19">
        <v>124</v>
      </c>
      <c r="S6" s="4"/>
    </row>
    <row r="7" spans="1:22" ht="14.95" customHeight="1" thickBot="1" x14ac:dyDescent="0.3">
      <c r="A7" s="62" t="s">
        <v>193</v>
      </c>
      <c r="B7" s="62" t="s">
        <v>104</v>
      </c>
      <c r="C7" s="9">
        <f>Murleyhartries</f>
        <v>11</v>
      </c>
      <c r="D7" s="17" t="s">
        <v>148</v>
      </c>
      <c r="E7" s="17" t="s">
        <v>108</v>
      </c>
      <c r="F7" s="19">
        <f>MacGintybripts</f>
        <v>119</v>
      </c>
      <c r="G7" s="30" t="s">
        <v>140</v>
      </c>
      <c r="H7" s="30" t="s">
        <v>97</v>
      </c>
      <c r="I7" s="194">
        <f>hutchinsonnorgls</f>
        <v>12</v>
      </c>
      <c r="J7" s="196">
        <f>hutchinsonnoratt</f>
        <v>14</v>
      </c>
      <c r="K7" s="396">
        <f t="shared" si="0"/>
        <v>85.714285714285708</v>
      </c>
      <c r="L7" s="62" t="s">
        <v>193</v>
      </c>
      <c r="M7" s="62" t="s">
        <v>104</v>
      </c>
      <c r="N7" s="49">
        <v>11</v>
      </c>
      <c r="O7" s="2" t="s">
        <v>169</v>
      </c>
      <c r="P7" s="2" t="s">
        <v>104</v>
      </c>
      <c r="Q7" s="19">
        <v>114</v>
      </c>
      <c r="S7" s="4"/>
    </row>
    <row r="8" spans="1:22" ht="14.95" customHeight="1" thickBot="1" x14ac:dyDescent="0.3">
      <c r="A8" s="10" t="s">
        <v>717</v>
      </c>
      <c r="B8" s="10" t="s">
        <v>108</v>
      </c>
      <c r="C8" s="9">
        <f>Ravouvoufijtries</f>
        <v>11</v>
      </c>
      <c r="D8" s="2" t="s">
        <v>169</v>
      </c>
      <c r="E8" s="2" t="s">
        <v>104</v>
      </c>
      <c r="F8" s="19">
        <f>Smithharpts</f>
        <v>114</v>
      </c>
      <c r="G8" s="30" t="s">
        <v>205</v>
      </c>
      <c r="H8" s="30" t="s">
        <v>94</v>
      </c>
      <c r="I8" s="194">
        <f>Bartonglogls</f>
        <v>15</v>
      </c>
      <c r="J8" s="196">
        <f>Bartongloatt</f>
        <v>18</v>
      </c>
      <c r="K8" s="31">
        <f t="shared" si="0"/>
        <v>83.333333333333343</v>
      </c>
      <c r="L8" s="62" t="s">
        <v>773</v>
      </c>
      <c r="M8" s="62" t="s">
        <v>94</v>
      </c>
      <c r="N8" s="9">
        <v>11</v>
      </c>
      <c r="O8" s="2" t="s">
        <v>148</v>
      </c>
      <c r="P8" s="2" t="s">
        <v>108</v>
      </c>
      <c r="Q8" s="19">
        <v>111</v>
      </c>
      <c r="S8" s="4"/>
    </row>
    <row r="9" spans="1:22" ht="14.95" customHeight="1" thickBot="1" x14ac:dyDescent="0.3">
      <c r="A9" s="62" t="s">
        <v>773</v>
      </c>
      <c r="B9" s="62" t="s">
        <v>94</v>
      </c>
      <c r="C9" s="9">
        <f>Wadeglotries</f>
        <v>11</v>
      </c>
      <c r="D9" s="2" t="s">
        <v>183</v>
      </c>
      <c r="E9" s="2" t="s">
        <v>95</v>
      </c>
      <c r="F9" s="19">
        <f>du_Preez_Rsalpts</f>
        <v>113</v>
      </c>
      <c r="G9" s="30" t="s">
        <v>552</v>
      </c>
      <c r="H9" s="30" t="s">
        <v>95</v>
      </c>
      <c r="I9" s="194">
        <f>fordsalgls</f>
        <v>39</v>
      </c>
      <c r="J9" s="196">
        <f>fordsalatt</f>
        <v>47</v>
      </c>
      <c r="K9" s="31">
        <f t="shared" si="0"/>
        <v>82.978723404255319</v>
      </c>
      <c r="L9" s="62" t="s">
        <v>297</v>
      </c>
      <c r="M9" s="62" t="s">
        <v>1215</v>
      </c>
      <c r="N9" s="9">
        <v>10</v>
      </c>
      <c r="O9" s="2" t="s">
        <v>183</v>
      </c>
      <c r="P9" s="2" t="s">
        <v>95</v>
      </c>
      <c r="Q9" s="19">
        <v>108</v>
      </c>
      <c r="S9" s="4"/>
    </row>
    <row r="10" spans="1:22" ht="14.95" customHeight="1" thickBot="1" x14ac:dyDescent="0.3">
      <c r="A10" s="10" t="s">
        <v>634</v>
      </c>
      <c r="B10" s="10" t="s">
        <v>95</v>
      </c>
      <c r="C10" s="9">
        <f>Cowan_Dickiesaltries</f>
        <v>9</v>
      </c>
      <c r="D10" s="2" t="s">
        <v>552</v>
      </c>
      <c r="E10" s="2" t="s">
        <v>95</v>
      </c>
      <c r="F10" s="19">
        <f>Fordgeorgesalpts</f>
        <v>105</v>
      </c>
      <c r="G10" s="30" t="s">
        <v>544</v>
      </c>
      <c r="H10" s="30" t="s">
        <v>620</v>
      </c>
      <c r="I10" s="194">
        <f>Pollardleicgls</f>
        <v>66</v>
      </c>
      <c r="J10" s="196">
        <f>pollardleicatt</f>
        <v>81</v>
      </c>
      <c r="K10" s="396">
        <f t="shared" si="0"/>
        <v>81.481481481481481</v>
      </c>
      <c r="L10" s="62" t="s">
        <v>213</v>
      </c>
      <c r="M10" s="62" t="s">
        <v>95</v>
      </c>
      <c r="N10" s="9">
        <v>9</v>
      </c>
      <c r="O10" s="2" t="s">
        <v>334</v>
      </c>
      <c r="P10" s="2" t="s">
        <v>97</v>
      </c>
      <c r="Q10" s="19">
        <v>104</v>
      </c>
      <c r="S10" s="4"/>
    </row>
    <row r="11" spans="1:22" ht="14.95" customHeight="1" thickBot="1" x14ac:dyDescent="0.3">
      <c r="A11" s="62" t="s">
        <v>266</v>
      </c>
      <c r="B11" s="62" t="s">
        <v>96</v>
      </c>
      <c r="C11" s="9">
        <f>Muirbthtries</f>
        <v>9</v>
      </c>
      <c r="D11" s="2" t="s">
        <v>334</v>
      </c>
      <c r="E11" s="2" t="s">
        <v>97</v>
      </c>
      <c r="F11" s="19">
        <f>Tonksnorpts</f>
        <v>104</v>
      </c>
      <c r="G11" s="218" t="s">
        <v>334</v>
      </c>
      <c r="H11" s="30" t="s">
        <v>97</v>
      </c>
      <c r="I11" s="194">
        <f>Smithnorgls</f>
        <v>43</v>
      </c>
      <c r="J11" s="196">
        <f>smithnoratt</f>
        <v>53</v>
      </c>
      <c r="K11" s="31">
        <f t="shared" si="0"/>
        <v>81.132075471698116</v>
      </c>
      <c r="L11" s="62" t="s">
        <v>634</v>
      </c>
      <c r="M11" s="62" t="s">
        <v>95</v>
      </c>
      <c r="N11" s="9">
        <v>9</v>
      </c>
      <c r="O11" s="2" t="s">
        <v>552</v>
      </c>
      <c r="P11" s="2" t="s">
        <v>95</v>
      </c>
      <c r="Q11" s="19">
        <v>94</v>
      </c>
      <c r="S11" s="4"/>
    </row>
    <row r="12" spans="1:22" ht="14.95" customHeight="1" thickBot="1" x14ac:dyDescent="0.3">
      <c r="A12" s="10" t="s">
        <v>213</v>
      </c>
      <c r="B12" s="10" t="s">
        <v>95</v>
      </c>
      <c r="C12" s="9">
        <f>Roebucksaltries</f>
        <v>9</v>
      </c>
      <c r="D12" s="2" t="s">
        <v>900</v>
      </c>
      <c r="E12" s="2" t="s">
        <v>366</v>
      </c>
      <c r="F12" s="19">
        <f>Bryansarpts</f>
        <v>90</v>
      </c>
      <c r="G12" s="218" t="s">
        <v>253</v>
      </c>
      <c r="H12" s="30" t="s">
        <v>105</v>
      </c>
      <c r="I12" s="194">
        <f>Hodgeexegls</f>
        <v>25</v>
      </c>
      <c r="J12" s="196">
        <f>Hodgeexeatt</f>
        <v>31</v>
      </c>
      <c r="K12" s="31">
        <f t="shared" si="0"/>
        <v>80.645161290322577</v>
      </c>
      <c r="L12" s="62" t="s">
        <v>776</v>
      </c>
      <c r="M12" s="62" t="s">
        <v>94</v>
      </c>
      <c r="N12" s="9">
        <v>9</v>
      </c>
      <c r="O12" s="17" t="s">
        <v>900</v>
      </c>
      <c r="P12" s="17" t="s">
        <v>366</v>
      </c>
      <c r="Q12" s="19">
        <v>90</v>
      </c>
      <c r="S12" s="4"/>
    </row>
    <row r="13" spans="1:22" ht="14.95" customHeight="1" thickBot="1" x14ac:dyDescent="0.3">
      <c r="A13" s="62" t="s">
        <v>776</v>
      </c>
      <c r="B13" s="62" t="s">
        <v>94</v>
      </c>
      <c r="C13" s="9">
        <f>Williamstomasglotries</f>
        <v>9</v>
      </c>
      <c r="D13" s="2" t="s">
        <v>253</v>
      </c>
      <c r="E13" s="2" t="s">
        <v>105</v>
      </c>
      <c r="F13" s="20">
        <f>Hodgeexepts</f>
        <v>86</v>
      </c>
      <c r="G13" s="218" t="s">
        <v>600</v>
      </c>
      <c r="H13" s="30" t="s">
        <v>96</v>
      </c>
      <c r="I13" s="194">
        <f>Searlebthgls</f>
        <v>79</v>
      </c>
      <c r="J13" s="196">
        <f>searlebthatt</f>
        <v>100</v>
      </c>
      <c r="K13" s="31">
        <f t="shared" si="0"/>
        <v>79</v>
      </c>
      <c r="L13" s="62" t="s">
        <v>266</v>
      </c>
      <c r="M13" s="62" t="s">
        <v>96</v>
      </c>
      <c r="N13" s="9">
        <v>8</v>
      </c>
      <c r="O13" s="2" t="s">
        <v>253</v>
      </c>
      <c r="P13" s="2" t="s">
        <v>105</v>
      </c>
      <c r="Q13" s="19">
        <v>86</v>
      </c>
      <c r="S13" s="4"/>
    </row>
    <row r="14" spans="1:22" ht="14.95" customHeight="1" thickBot="1" x14ac:dyDescent="0.3">
      <c r="A14" s="62" t="s">
        <v>129</v>
      </c>
      <c r="B14" s="62" t="s">
        <v>96</v>
      </c>
      <c r="C14" s="9">
        <f>Cokanasigabthtries</f>
        <v>8</v>
      </c>
      <c r="D14" s="2" t="s">
        <v>296</v>
      </c>
      <c r="E14" s="2" t="s">
        <v>282</v>
      </c>
      <c r="F14" s="19">
        <f>Connonnewptscorrectthisone</f>
        <v>74</v>
      </c>
      <c r="G14" s="33" t="s">
        <v>296</v>
      </c>
      <c r="H14" s="30" t="s">
        <v>282</v>
      </c>
      <c r="I14" s="196">
        <f>Hodgsoncharliegoals</f>
        <v>33</v>
      </c>
      <c r="J14" s="196">
        <f>hodgsoncharlieatt</f>
        <v>42</v>
      </c>
      <c r="K14" s="31">
        <f t="shared" si="0"/>
        <v>78.571428571428569</v>
      </c>
      <c r="L14" s="62" t="s">
        <v>369</v>
      </c>
      <c r="M14" s="62" t="s">
        <v>366</v>
      </c>
      <c r="N14" s="9">
        <v>8</v>
      </c>
      <c r="O14" s="561" t="s">
        <v>170</v>
      </c>
      <c r="P14" s="490"/>
      <c r="Q14" s="490"/>
      <c r="S14" s="4"/>
    </row>
    <row r="15" spans="1:22" ht="14.95" customHeight="1" thickBot="1" x14ac:dyDescent="0.3">
      <c r="A15" s="62" t="s">
        <v>369</v>
      </c>
      <c r="B15" s="62" t="s">
        <v>366</v>
      </c>
      <c r="C15" s="9">
        <f>Georgesartriescorrect</f>
        <v>8</v>
      </c>
      <c r="D15" s="2" t="s">
        <v>373</v>
      </c>
      <c r="E15" s="2" t="s">
        <v>366</v>
      </c>
      <c r="F15" s="19">
        <f>Lozowskisarptscorrect</f>
        <v>71</v>
      </c>
      <c r="G15" s="30" t="s">
        <v>1157</v>
      </c>
      <c r="H15" s="30" t="s">
        <v>108</v>
      </c>
      <c r="I15" s="194">
        <f>Byrnebrigls</f>
        <v>17</v>
      </c>
      <c r="J15" s="196">
        <f>byrnebriatt</f>
        <v>22</v>
      </c>
      <c r="K15" s="396">
        <f t="shared" ref="K15:K43" si="1">SUM(I15/J15)*100</f>
        <v>77.272727272727266</v>
      </c>
      <c r="L15" s="62" t="s">
        <v>129</v>
      </c>
      <c r="M15" s="62" t="s">
        <v>96</v>
      </c>
      <c r="N15" s="9">
        <v>7</v>
      </c>
      <c r="O15" s="262" t="s">
        <v>25</v>
      </c>
      <c r="S15" s="4"/>
    </row>
    <row r="16" spans="1:22" ht="14.95" customHeight="1" thickBot="1" x14ac:dyDescent="0.3">
      <c r="A16" s="62" t="s">
        <v>433</v>
      </c>
      <c r="B16" s="62" t="s">
        <v>94</v>
      </c>
      <c r="C16" s="9">
        <f>Atkinson_Sglotries</f>
        <v>7</v>
      </c>
      <c r="D16" s="2" t="s">
        <v>606</v>
      </c>
      <c r="E16" s="2" t="s">
        <v>620</v>
      </c>
      <c r="F16" s="18">
        <f>Hassell_CollinsLEIpts</f>
        <v>65</v>
      </c>
      <c r="G16" s="30" t="s">
        <v>148</v>
      </c>
      <c r="H16" s="30" t="s">
        <v>108</v>
      </c>
      <c r="I16" s="194">
        <f>MacGintybrigls</f>
        <v>55</v>
      </c>
      <c r="J16" s="196">
        <f>macgintybriatt</f>
        <v>75</v>
      </c>
      <c r="K16" s="31">
        <f t="shared" si="1"/>
        <v>73.333333333333329</v>
      </c>
      <c r="L16" s="62" t="s">
        <v>513</v>
      </c>
      <c r="M16" s="62" t="s">
        <v>366</v>
      </c>
      <c r="N16" s="9">
        <v>7</v>
      </c>
      <c r="S16" s="4"/>
    </row>
    <row r="17" spans="1:21" ht="14.95" customHeight="1" thickBot="1" x14ac:dyDescent="0.3">
      <c r="A17" s="62" t="s">
        <v>941</v>
      </c>
      <c r="B17" s="62" t="s">
        <v>105</v>
      </c>
      <c r="C17" s="9">
        <f>Brown_Bampoeexetries</f>
        <v>7</v>
      </c>
      <c r="D17" s="2" t="s">
        <v>535</v>
      </c>
      <c r="E17" s="2" t="s">
        <v>108</v>
      </c>
      <c r="F17" s="19">
        <f>Hughesbripts</f>
        <v>65</v>
      </c>
      <c r="G17" s="30" t="s">
        <v>318</v>
      </c>
      <c r="H17" s="30" t="s">
        <v>94</v>
      </c>
      <c r="I17" s="194">
        <f>Carrerasglogls</f>
        <v>44</v>
      </c>
      <c r="J17" s="196">
        <f>carrerasgloatt</f>
        <v>62</v>
      </c>
      <c r="K17" s="396">
        <f t="shared" si="1"/>
        <v>70.967741935483872</v>
      </c>
      <c r="L17" s="62" t="s">
        <v>327</v>
      </c>
      <c r="M17" s="62" t="s">
        <v>97</v>
      </c>
      <c r="N17" s="9">
        <v>7</v>
      </c>
    </row>
    <row r="18" spans="1:21" ht="14.95" customHeight="1" thickBot="1" x14ac:dyDescent="0.3">
      <c r="A18" s="62" t="s">
        <v>513</v>
      </c>
      <c r="B18" s="62" t="s">
        <v>366</v>
      </c>
      <c r="C18" s="9">
        <f>farrellsartriescorrect</f>
        <v>7</v>
      </c>
      <c r="D18" s="2" t="s">
        <v>160</v>
      </c>
      <c r="E18" s="2" t="s">
        <v>105</v>
      </c>
      <c r="F18" s="19">
        <f>Sladeexepts</f>
        <v>61</v>
      </c>
      <c r="G18" s="30" t="s">
        <v>183</v>
      </c>
      <c r="H18" s="30" t="s">
        <v>95</v>
      </c>
      <c r="I18" s="194">
        <f>dupreezsalgls</f>
        <v>38</v>
      </c>
      <c r="J18" s="196">
        <f>dupreezsalatt</f>
        <v>55</v>
      </c>
      <c r="K18" s="396">
        <f t="shared" si="1"/>
        <v>69.090909090909093</v>
      </c>
      <c r="L18" s="62" t="s">
        <v>617</v>
      </c>
      <c r="M18" s="62" t="s">
        <v>366</v>
      </c>
      <c r="N18" s="9">
        <v>7</v>
      </c>
    </row>
    <row r="19" spans="1:21" ht="14.95" customHeight="1" thickBot="1" x14ac:dyDescent="0.3">
      <c r="A19" s="62" t="s">
        <v>327</v>
      </c>
      <c r="B19" s="62" t="s">
        <v>97</v>
      </c>
      <c r="C19" s="9">
        <f>Freemannortries</f>
        <v>7</v>
      </c>
      <c r="D19" s="2" t="s">
        <v>297</v>
      </c>
      <c r="E19" s="2" t="s">
        <v>1215</v>
      </c>
      <c r="F19" s="19">
        <f>Radwannewptscorrect+Radwanleipts</f>
        <v>60</v>
      </c>
      <c r="G19" s="30" t="s">
        <v>160</v>
      </c>
      <c r="H19" s="30" t="s">
        <v>105</v>
      </c>
      <c r="I19" s="194">
        <f>sladegoals</f>
        <v>25</v>
      </c>
      <c r="J19" s="196">
        <f>sladeatt</f>
        <v>37</v>
      </c>
      <c r="K19" s="396">
        <f t="shared" si="1"/>
        <v>67.567567567567565</v>
      </c>
      <c r="L19" s="8" t="s">
        <v>664</v>
      </c>
      <c r="M19" s="8" t="s">
        <v>94</v>
      </c>
      <c r="N19" s="9">
        <v>7</v>
      </c>
    </row>
    <row r="20" spans="1:21" ht="14.95" customHeight="1" thickBot="1" x14ac:dyDescent="0.3">
      <c r="A20" s="62" t="s">
        <v>617</v>
      </c>
      <c r="B20" s="62" t="s">
        <v>366</v>
      </c>
      <c r="C20" s="9">
        <f>Gonzalezsartries</f>
        <v>7</v>
      </c>
      <c r="D20" s="2" t="s">
        <v>193</v>
      </c>
      <c r="E20" s="2" t="s">
        <v>104</v>
      </c>
      <c r="F20" s="19">
        <f>Murleyharpts</f>
        <v>55</v>
      </c>
      <c r="G20" s="30" t="s">
        <v>900</v>
      </c>
      <c r="H20" s="30" t="s">
        <v>366</v>
      </c>
      <c r="I20" s="194">
        <f>elliottsargls</f>
        <v>28</v>
      </c>
      <c r="J20" s="196">
        <f>elliottsaratt</f>
        <v>43</v>
      </c>
      <c r="K20" s="31">
        <f t="shared" si="1"/>
        <v>65.116279069767444</v>
      </c>
      <c r="L20" s="8" t="s">
        <v>157</v>
      </c>
      <c r="M20" s="8" t="s">
        <v>95</v>
      </c>
      <c r="N20" s="9">
        <v>7</v>
      </c>
    </row>
    <row r="21" spans="1:21" ht="14.95" customHeight="1" thickBot="1" x14ac:dyDescent="0.3">
      <c r="A21" s="12" t="s">
        <v>664</v>
      </c>
      <c r="B21" s="12" t="s">
        <v>94</v>
      </c>
      <c r="C21" s="9">
        <f>Knightglotriescorrect</f>
        <v>7</v>
      </c>
      <c r="D21" s="17" t="s">
        <v>717</v>
      </c>
      <c r="E21" s="17" t="s">
        <v>108</v>
      </c>
      <c r="F21" s="19">
        <f>Ravouvoubripts</f>
        <v>55</v>
      </c>
      <c r="G21" s="30" t="s">
        <v>595</v>
      </c>
      <c r="H21" s="30" t="s">
        <v>620</v>
      </c>
      <c r="I21" s="194">
        <f>Shillcockleicgls</f>
        <v>9</v>
      </c>
      <c r="J21" s="196">
        <f>shillcockleicatt</f>
        <v>14</v>
      </c>
      <c r="K21" s="31">
        <f t="shared" si="1"/>
        <v>64.285714285714292</v>
      </c>
      <c r="L21" s="8" t="s">
        <v>233</v>
      </c>
      <c r="M21" s="8" t="s">
        <v>620</v>
      </c>
      <c r="N21" s="9">
        <v>7</v>
      </c>
    </row>
    <row r="22" spans="1:21" ht="14.95" customHeight="1" thickBot="1" x14ac:dyDescent="0.3">
      <c r="A22" s="62" t="s">
        <v>157</v>
      </c>
      <c r="B22" s="62" t="s">
        <v>95</v>
      </c>
      <c r="C22" s="9">
        <f>Readsaltries</f>
        <v>7</v>
      </c>
      <c r="D22" s="2" t="s">
        <v>773</v>
      </c>
      <c r="E22" s="2" t="s">
        <v>94</v>
      </c>
      <c r="F22" s="19">
        <f>Wadeglopts</f>
        <v>55</v>
      </c>
      <c r="G22" s="33" t="s">
        <v>373</v>
      </c>
      <c r="H22" s="50" t="s">
        <v>366</v>
      </c>
      <c r="I22" s="196">
        <f>lozowskisarglscorrect</f>
        <v>28</v>
      </c>
      <c r="J22" s="196">
        <f>lozowksisarattcorrect</f>
        <v>45</v>
      </c>
      <c r="K22" s="396">
        <f t="shared" si="1"/>
        <v>62.222222222222221</v>
      </c>
      <c r="L22" s="8" t="s">
        <v>433</v>
      </c>
      <c r="M22" s="8" t="s">
        <v>94</v>
      </c>
      <c r="N22" s="9">
        <v>7</v>
      </c>
      <c r="U22" t="s">
        <v>25</v>
      </c>
    </row>
    <row r="23" spans="1:21" ht="14.95" customHeight="1" thickBot="1" x14ac:dyDescent="0.3">
      <c r="A23" s="62" t="s">
        <v>233</v>
      </c>
      <c r="B23" s="10" t="s">
        <v>620</v>
      </c>
      <c r="C23" s="6">
        <f>Stevensleictries</f>
        <v>7</v>
      </c>
      <c r="D23" s="2" t="s">
        <v>776</v>
      </c>
      <c r="E23" s="2" t="s">
        <v>94</v>
      </c>
      <c r="F23" s="19">
        <f>Williamstomosglopts</f>
        <v>51</v>
      </c>
      <c r="G23" s="30" t="s">
        <v>601</v>
      </c>
      <c r="H23" s="30" t="s">
        <v>104</v>
      </c>
      <c r="I23" s="194">
        <f>Marchanthargls</f>
        <v>8</v>
      </c>
      <c r="J23" s="196">
        <f>marchantharatt</f>
        <v>14</v>
      </c>
      <c r="K23" s="396">
        <f t="shared" si="1"/>
        <v>57.142857142857139</v>
      </c>
      <c r="L23" s="8" t="s">
        <v>941</v>
      </c>
      <c r="M23" s="8" t="s">
        <v>105</v>
      </c>
      <c r="N23" s="9">
        <v>7</v>
      </c>
    </row>
    <row r="24" spans="1:21" ht="14.95" customHeight="1" thickBot="1" x14ac:dyDescent="0.3">
      <c r="A24" s="12" t="s">
        <v>284</v>
      </c>
      <c r="B24" s="12" t="s">
        <v>282</v>
      </c>
      <c r="C24" s="6">
        <f>Barrittbradtries</f>
        <v>6</v>
      </c>
      <c r="D24" s="17" t="s">
        <v>634</v>
      </c>
      <c r="E24" s="17" t="s">
        <v>95</v>
      </c>
      <c r="F24" s="19">
        <f>Cowan_Dickiesalpts</f>
        <v>45</v>
      </c>
      <c r="G24" s="30" t="s">
        <v>1250</v>
      </c>
      <c r="H24" s="30" t="s">
        <v>96</v>
      </c>
      <c r="I24" s="194">
        <f>odonoghuebthgls</f>
        <v>7</v>
      </c>
      <c r="J24" s="195">
        <f>odonoghuebthatt</f>
        <v>7</v>
      </c>
      <c r="K24" s="396">
        <f t="shared" si="1"/>
        <v>100</v>
      </c>
      <c r="L24" s="561" t="s">
        <v>170</v>
      </c>
      <c r="M24" s="490"/>
      <c r="N24" s="490"/>
    </row>
    <row r="25" spans="1:21" ht="14.95" customHeight="1" thickBot="1" x14ac:dyDescent="0.3">
      <c r="A25" s="62" t="s">
        <v>900</v>
      </c>
      <c r="B25" s="62" t="s">
        <v>366</v>
      </c>
      <c r="C25" s="9">
        <f>Bryansartries</f>
        <v>6</v>
      </c>
      <c r="D25" s="2" t="s">
        <v>266</v>
      </c>
      <c r="E25" s="2" t="s">
        <v>96</v>
      </c>
      <c r="F25" s="19">
        <f>Muirbthpts</f>
        <v>45</v>
      </c>
      <c r="G25" s="33" t="s">
        <v>902</v>
      </c>
      <c r="H25" s="50" t="s">
        <v>366</v>
      </c>
      <c r="I25" s="196">
        <f>farrellsarglscorrect</f>
        <v>3</v>
      </c>
      <c r="J25" s="195">
        <f>farrellsarattcorrect</f>
        <v>3</v>
      </c>
      <c r="K25" s="396">
        <f t="shared" si="1"/>
        <v>100</v>
      </c>
    </row>
    <row r="26" spans="1:21" ht="14.95" customHeight="1" thickBot="1" x14ac:dyDescent="0.3">
      <c r="A26" s="62" t="s">
        <v>318</v>
      </c>
      <c r="B26" s="62" t="s">
        <v>94</v>
      </c>
      <c r="C26" s="9">
        <f>Carrerasglotries</f>
        <v>6</v>
      </c>
      <c r="D26" s="17" t="s">
        <v>213</v>
      </c>
      <c r="E26" s="17" t="s">
        <v>95</v>
      </c>
      <c r="F26" s="20">
        <f>Roebucksalpts</f>
        <v>45</v>
      </c>
      <c r="G26" s="218" t="s">
        <v>309</v>
      </c>
      <c r="H26" s="30" t="s">
        <v>97</v>
      </c>
      <c r="I26" s="194">
        <f>Jamesnorgls</f>
        <v>2</v>
      </c>
      <c r="J26" s="195">
        <f>jamesnoratt</f>
        <v>2</v>
      </c>
      <c r="K26" s="396">
        <f t="shared" si="1"/>
        <v>100</v>
      </c>
    </row>
    <row r="27" spans="1:21" ht="14.95" customHeight="1" thickBot="1" x14ac:dyDescent="0.3">
      <c r="A27" s="62" t="s">
        <v>392</v>
      </c>
      <c r="B27" s="62" t="s">
        <v>94</v>
      </c>
      <c r="C27" s="9">
        <f>Coetzerglotries</f>
        <v>6</v>
      </c>
      <c r="D27" s="2" t="s">
        <v>206</v>
      </c>
      <c r="E27" s="2" t="s">
        <v>94</v>
      </c>
      <c r="F27" s="19">
        <f>Bartonglopts</f>
        <v>44</v>
      </c>
      <c r="G27" s="218" t="s">
        <v>118</v>
      </c>
      <c r="H27" s="30" t="s">
        <v>96</v>
      </c>
      <c r="I27" s="194">
        <f>spcncerbthgls</f>
        <v>1</v>
      </c>
      <c r="J27" s="195">
        <f>spencerbthatt</f>
        <v>1</v>
      </c>
      <c r="K27" s="396">
        <f t="shared" si="1"/>
        <v>100</v>
      </c>
    </row>
    <row r="28" spans="1:21" ht="14.95" customHeight="1" thickBot="1" x14ac:dyDescent="0.3">
      <c r="A28" s="62" t="s">
        <v>548</v>
      </c>
      <c r="B28" s="62" t="s">
        <v>366</v>
      </c>
      <c r="C28" s="9">
        <f>Dansartries</f>
        <v>6</v>
      </c>
      <c r="D28" s="2" t="s">
        <v>1157</v>
      </c>
      <c r="E28" s="2" t="s">
        <v>108</v>
      </c>
      <c r="F28" s="20">
        <f>Byrnehbripts</f>
        <v>40</v>
      </c>
      <c r="G28" s="33" t="s">
        <v>216</v>
      </c>
      <c r="H28" s="30" t="s">
        <v>108</v>
      </c>
      <c r="I28" s="196">
        <f>williamsbrigls</f>
        <v>1</v>
      </c>
      <c r="J28" s="195">
        <f>williamsbriatt</f>
        <v>1</v>
      </c>
      <c r="K28" s="396">
        <f t="shared" si="1"/>
        <v>100</v>
      </c>
    </row>
    <row r="29" spans="1:21" ht="14.95" customHeight="1" thickBot="1" x14ac:dyDescent="0.3">
      <c r="A29" s="62" t="s">
        <v>253</v>
      </c>
      <c r="B29" s="62" t="s">
        <v>105</v>
      </c>
      <c r="C29" s="9">
        <f>Hodgeexetries</f>
        <v>6</v>
      </c>
      <c r="D29" s="2" t="s">
        <v>129</v>
      </c>
      <c r="E29" s="2" t="s">
        <v>96</v>
      </c>
      <c r="F29" s="19">
        <f>Cokanasigabthpts</f>
        <v>40</v>
      </c>
      <c r="G29" s="30" t="s">
        <v>870</v>
      </c>
      <c r="H29" s="30" t="s">
        <v>108</v>
      </c>
      <c r="I29" s="194">
        <f>worsleybrigls</f>
        <v>5</v>
      </c>
      <c r="J29" s="355">
        <f>worsleybriatt</f>
        <v>6</v>
      </c>
      <c r="K29" s="396">
        <f t="shared" si="1"/>
        <v>83.333333333333343</v>
      </c>
      <c r="L29" s="4"/>
    </row>
    <row r="30" spans="1:21" ht="14.95" customHeight="1" thickBot="1" x14ac:dyDescent="0.3">
      <c r="A30" s="62" t="s">
        <v>659</v>
      </c>
      <c r="B30" s="62" t="s">
        <v>108</v>
      </c>
      <c r="C30" s="49">
        <f>Jeffriesbritriescorrect</f>
        <v>6</v>
      </c>
      <c r="D30" s="2" t="s">
        <v>369</v>
      </c>
      <c r="E30" s="2" t="s">
        <v>366</v>
      </c>
      <c r="F30" s="19">
        <f>Georgesarptscorrect</f>
        <v>40</v>
      </c>
      <c r="G30" s="30" t="s">
        <v>948</v>
      </c>
      <c r="H30" s="30" t="s">
        <v>366</v>
      </c>
      <c r="I30" s="194">
        <f>Swielsargls</f>
        <v>4</v>
      </c>
      <c r="J30" s="355">
        <f>Swielsaratt</f>
        <v>5</v>
      </c>
      <c r="K30" s="396">
        <f t="shared" si="1"/>
        <v>80</v>
      </c>
      <c r="L30" t="s">
        <v>25</v>
      </c>
    </row>
    <row r="31" spans="1:21" ht="14.95" customHeight="1" thickBot="1" x14ac:dyDescent="0.3">
      <c r="A31" s="10" t="s">
        <v>248</v>
      </c>
      <c r="B31" s="10" t="s">
        <v>620</v>
      </c>
      <c r="C31" s="9">
        <f>Liebenbergleictries</f>
        <v>6</v>
      </c>
      <c r="D31" s="2" t="s">
        <v>433</v>
      </c>
      <c r="E31" s="2" t="s">
        <v>94</v>
      </c>
      <c r="F31" s="19">
        <f>Atkinson_Sglopts</f>
        <v>35</v>
      </c>
      <c r="G31" s="33" t="s">
        <v>331</v>
      </c>
      <c r="H31" s="30" t="s">
        <v>96</v>
      </c>
      <c r="I31" s="194">
        <f>Baileybthgls</f>
        <v>3</v>
      </c>
      <c r="J31" s="195">
        <f>baileybthatt</f>
        <v>4</v>
      </c>
      <c r="K31" s="396">
        <f t="shared" si="1"/>
        <v>75</v>
      </c>
      <c r="L31" t="s">
        <v>25</v>
      </c>
    </row>
    <row r="32" spans="1:21" ht="14.95" customHeight="1" thickBot="1" x14ac:dyDescent="0.3">
      <c r="A32" s="62" t="s">
        <v>713</v>
      </c>
      <c r="B32" s="62" t="s">
        <v>108</v>
      </c>
      <c r="C32" s="9">
        <f>McNallylirtries</f>
        <v>6</v>
      </c>
      <c r="D32" s="2" t="s">
        <v>941</v>
      </c>
      <c r="E32" s="2" t="s">
        <v>105</v>
      </c>
      <c r="F32" s="19">
        <f>Brown_Bampoeexepts</f>
        <v>35</v>
      </c>
      <c r="G32" s="30" t="s">
        <v>180</v>
      </c>
      <c r="H32" s="30" t="s">
        <v>105</v>
      </c>
      <c r="I32" s="194">
        <f>Skinnerexegls</f>
        <v>3</v>
      </c>
      <c r="J32" s="195">
        <f>Skinnerexeatt</f>
        <v>4</v>
      </c>
      <c r="K32" s="396">
        <f t="shared" si="1"/>
        <v>75</v>
      </c>
      <c r="L32" t="s">
        <v>25</v>
      </c>
    </row>
    <row r="33" spans="1:15" ht="14.95" customHeight="1" thickBot="1" x14ac:dyDescent="0.3">
      <c r="A33" s="62" t="s">
        <v>624</v>
      </c>
      <c r="B33" s="62" t="s">
        <v>108</v>
      </c>
      <c r="C33" s="9">
        <f>Oghrebritries</f>
        <v>6</v>
      </c>
      <c r="D33" s="2" t="s">
        <v>513</v>
      </c>
      <c r="E33" s="2" t="s">
        <v>366</v>
      </c>
      <c r="F33" s="19">
        <f>Farrellsarptscorrect</f>
        <v>35</v>
      </c>
      <c r="G33" s="30" t="s">
        <v>775</v>
      </c>
      <c r="H33" s="30" t="s">
        <v>94</v>
      </c>
      <c r="I33" s="194">
        <f>anscombeglogls</f>
        <v>4</v>
      </c>
      <c r="J33" s="195">
        <f>anscombegloatt</f>
        <v>6</v>
      </c>
      <c r="K33" s="396">
        <f t="shared" si="1"/>
        <v>66.666666666666657</v>
      </c>
    </row>
    <row r="34" spans="1:15" ht="14.95" customHeight="1" thickBot="1" x14ac:dyDescent="0.3">
      <c r="A34" s="62" t="s">
        <v>399</v>
      </c>
      <c r="B34" s="62" t="s">
        <v>96</v>
      </c>
      <c r="C34" s="9">
        <f>OjomohBTHTRIES</f>
        <v>6</v>
      </c>
      <c r="D34" s="2" t="s">
        <v>327</v>
      </c>
      <c r="E34" s="2" t="s">
        <v>97</v>
      </c>
      <c r="F34" s="19">
        <f>Freemannorpts</f>
        <v>35</v>
      </c>
      <c r="G34" s="33" t="s">
        <v>368</v>
      </c>
      <c r="H34" s="50" t="s">
        <v>366</v>
      </c>
      <c r="I34" s="196">
        <f>dalysarglscorrect</f>
        <v>2</v>
      </c>
      <c r="J34" s="195">
        <f>dalysarattcorrect</f>
        <v>3</v>
      </c>
      <c r="K34" s="396">
        <f t="shared" si="1"/>
        <v>66.666666666666657</v>
      </c>
    </row>
    <row r="35" spans="1:15" ht="14.95" customHeight="1" thickBot="1" x14ac:dyDescent="0.3">
      <c r="A35" s="10" t="s">
        <v>154</v>
      </c>
      <c r="B35" s="10" t="s">
        <v>108</v>
      </c>
      <c r="C35" s="9">
        <f>Palamobristries</f>
        <v>6</v>
      </c>
      <c r="D35" s="2" t="s">
        <v>617</v>
      </c>
      <c r="E35" s="2" t="s">
        <v>366</v>
      </c>
      <c r="F35" s="19">
        <f>Gonzalezsarpts</f>
        <v>35</v>
      </c>
      <c r="G35" s="30" t="s">
        <v>783</v>
      </c>
      <c r="H35" s="30" t="s">
        <v>104</v>
      </c>
      <c r="I35" s="194">
        <f>Halfpennyhargls</f>
        <v>2</v>
      </c>
      <c r="J35" s="195">
        <f>halfpennyharatt</f>
        <v>3</v>
      </c>
      <c r="K35" s="31">
        <f t="shared" si="1"/>
        <v>66.666666666666657</v>
      </c>
    </row>
    <row r="36" spans="1:15" ht="14.95" customHeight="1" thickBot="1" x14ac:dyDescent="0.3">
      <c r="A36" s="62" t="s">
        <v>216</v>
      </c>
      <c r="B36" s="62" t="s">
        <v>108</v>
      </c>
      <c r="C36" s="9">
        <f>Williamsbritries</f>
        <v>6</v>
      </c>
      <c r="D36" s="2" t="s">
        <v>140</v>
      </c>
      <c r="E36" s="2" t="s">
        <v>97</v>
      </c>
      <c r="F36" s="19">
        <f>Hutchinsonnorpts</f>
        <v>35</v>
      </c>
      <c r="G36" s="30" t="s">
        <v>863</v>
      </c>
      <c r="H36" s="397" t="s">
        <v>97</v>
      </c>
      <c r="I36" s="194">
        <f>Makepeace_Cubittnorgls</f>
        <v>5</v>
      </c>
      <c r="J36" s="195">
        <f>Makepeace_Cubittnoratt</f>
        <v>8</v>
      </c>
      <c r="K36" s="31">
        <f t="shared" si="1"/>
        <v>62.5</v>
      </c>
    </row>
    <row r="37" spans="1:15" ht="14.95" customHeight="1" thickBot="1" x14ac:dyDescent="0.3">
      <c r="A37" s="62" t="s">
        <v>428</v>
      </c>
      <c r="B37" s="62" t="s">
        <v>94</v>
      </c>
      <c r="C37" s="9">
        <f>Blakeglotries</f>
        <v>5</v>
      </c>
      <c r="D37" s="2" t="s">
        <v>664</v>
      </c>
      <c r="E37" s="2" t="s">
        <v>94</v>
      </c>
      <c r="F37" s="19">
        <f>Knightgloptscorrect</f>
        <v>35</v>
      </c>
      <c r="G37" s="33" t="s">
        <v>776</v>
      </c>
      <c r="H37" s="30" t="s">
        <v>94</v>
      </c>
      <c r="I37" s="194">
        <f>Williamsglogls</f>
        <v>3</v>
      </c>
      <c r="J37" s="195">
        <f>williamsgloatt</f>
        <v>5</v>
      </c>
      <c r="K37" s="396">
        <f t="shared" si="1"/>
        <v>60</v>
      </c>
      <c r="L37" s="45"/>
    </row>
    <row r="38" spans="1:15" ht="14.95" customHeight="1" thickBot="1" x14ac:dyDescent="0.3">
      <c r="A38" s="62" t="s">
        <v>1299</v>
      </c>
      <c r="B38" s="62" t="s">
        <v>94</v>
      </c>
      <c r="C38" s="9">
        <f>Cotgreaveglotries</f>
        <v>5</v>
      </c>
      <c r="D38" s="2" t="s">
        <v>157</v>
      </c>
      <c r="E38" s="2" t="s">
        <v>95</v>
      </c>
      <c r="F38" s="19">
        <f>Readsalpts</f>
        <v>35</v>
      </c>
      <c r="G38" s="30" t="s">
        <v>936</v>
      </c>
      <c r="H38" s="30" t="s">
        <v>620</v>
      </c>
      <c r="I38" s="194">
        <f>Volavolaleigls</f>
        <v>3</v>
      </c>
      <c r="J38" s="195">
        <f>Volavolaleiatt</f>
        <v>6</v>
      </c>
      <c r="K38" s="31">
        <f t="shared" si="1"/>
        <v>50</v>
      </c>
    </row>
    <row r="39" spans="1:15" ht="14.95" customHeight="1" thickBot="1" x14ac:dyDescent="0.3">
      <c r="A39" s="62" t="s">
        <v>368</v>
      </c>
      <c r="B39" s="62" t="s">
        <v>366</v>
      </c>
      <c r="C39" s="9">
        <f>Dalysartriescorrect</f>
        <v>5</v>
      </c>
      <c r="D39" s="2" t="s">
        <v>233</v>
      </c>
      <c r="E39" s="2" t="s">
        <v>620</v>
      </c>
      <c r="F39" s="19">
        <f>Stevensleicpts</f>
        <v>35</v>
      </c>
      <c r="G39" s="30" t="s">
        <v>660</v>
      </c>
      <c r="H39" s="30" t="s">
        <v>108</v>
      </c>
      <c r="I39" s="194">
        <f>LloydBriGls</f>
        <v>2</v>
      </c>
      <c r="J39" s="195">
        <f>LloydBriAtt</f>
        <v>4</v>
      </c>
      <c r="K39" s="396">
        <f t="shared" si="1"/>
        <v>50</v>
      </c>
    </row>
    <row r="40" spans="1:15" ht="14.95" customHeight="1" thickBot="1" x14ac:dyDescent="0.3">
      <c r="A40" s="62" t="s">
        <v>183</v>
      </c>
      <c r="B40" s="62" t="s">
        <v>95</v>
      </c>
      <c r="C40" s="9">
        <f>du_Preez_Rsaltries</f>
        <v>5</v>
      </c>
      <c r="D40" s="2" t="s">
        <v>659</v>
      </c>
      <c r="E40" s="2" t="s">
        <v>108</v>
      </c>
      <c r="F40" s="19">
        <f>Jeffriesbriptscorrect</f>
        <v>34</v>
      </c>
      <c r="G40" s="30" t="s">
        <v>215</v>
      </c>
      <c r="H40" s="30" t="s">
        <v>95</v>
      </c>
      <c r="I40" s="194">
        <f>redpathsalegls</f>
        <v>1</v>
      </c>
      <c r="J40" s="195">
        <f>redpathsalatt</f>
        <v>2</v>
      </c>
      <c r="K40" s="396">
        <f t="shared" si="1"/>
        <v>50</v>
      </c>
    </row>
    <row r="41" spans="1:15" ht="14.95" customHeight="1" thickBot="1" x14ac:dyDescent="0.3">
      <c r="A41" s="62" t="s">
        <v>612</v>
      </c>
      <c r="B41" s="62" t="s">
        <v>96</v>
      </c>
      <c r="C41" s="9">
        <f>du_Toitbthtries</f>
        <v>5</v>
      </c>
      <c r="D41" s="2" t="s">
        <v>216</v>
      </c>
      <c r="E41" s="2" t="s">
        <v>108</v>
      </c>
      <c r="F41" s="19">
        <f>Williamsbripts</f>
        <v>32</v>
      </c>
      <c r="G41" s="30" t="s">
        <v>151</v>
      </c>
      <c r="H41" s="30" t="s">
        <v>97</v>
      </c>
      <c r="I41" s="194">
        <f>Mitchellnoryrgls</f>
        <v>2</v>
      </c>
      <c r="J41" s="195">
        <f>mitchellnoryratt</f>
        <v>5</v>
      </c>
      <c r="K41" s="396">
        <f t="shared" si="1"/>
        <v>40</v>
      </c>
    </row>
    <row r="42" spans="1:15" ht="14.95" customHeight="1" thickBot="1" x14ac:dyDescent="0.3">
      <c r="A42" s="62" t="s">
        <v>133</v>
      </c>
      <c r="B42" s="62" t="s">
        <v>366</v>
      </c>
      <c r="C42" s="9">
        <f>Earlsartriescorrect</f>
        <v>5</v>
      </c>
      <c r="D42" s="2" t="s">
        <v>368</v>
      </c>
      <c r="E42" s="2" t="s">
        <v>366</v>
      </c>
      <c r="F42" s="19">
        <f>Dalysarptscorrect</f>
        <v>31</v>
      </c>
      <c r="G42" s="33" t="s">
        <v>307</v>
      </c>
      <c r="H42" s="30" t="s">
        <v>94</v>
      </c>
      <c r="I42" s="194">
        <f>atkinsonCglogls</f>
        <v>1</v>
      </c>
      <c r="J42" s="195">
        <f>atkinsonCgloatt</f>
        <v>3</v>
      </c>
      <c r="K42" s="396">
        <f t="shared" si="1"/>
        <v>33.333333333333329</v>
      </c>
      <c r="O42" s="45" t="s">
        <v>25</v>
      </c>
    </row>
    <row r="43" spans="1:15" ht="14.95" customHeight="1" thickBot="1" x14ac:dyDescent="0.3">
      <c r="A43" s="62" t="s">
        <v>537</v>
      </c>
      <c r="B43" s="62" t="s">
        <v>105</v>
      </c>
      <c r="C43" s="49">
        <f>Feyi_Wabosoexetries</f>
        <v>5</v>
      </c>
      <c r="D43" s="203" t="s">
        <v>284</v>
      </c>
      <c r="E43" s="203" t="s">
        <v>282</v>
      </c>
      <c r="F43" s="19">
        <f>Barrittbradpts</f>
        <v>30</v>
      </c>
      <c r="G43" s="30" t="s">
        <v>678</v>
      </c>
      <c r="H43" s="30" t="s">
        <v>94</v>
      </c>
      <c r="I43" s="194">
        <f>englefieldglogls</f>
        <v>0</v>
      </c>
      <c r="J43" s="195">
        <f>englefieldgloatt</f>
        <v>2</v>
      </c>
      <c r="K43" s="396">
        <f t="shared" si="1"/>
        <v>0</v>
      </c>
    </row>
    <row r="44" spans="1:15" ht="14.95" customHeight="1" thickBot="1" x14ac:dyDescent="0.3">
      <c r="A44" s="62" t="s">
        <v>336</v>
      </c>
      <c r="B44" s="62" t="s">
        <v>108</v>
      </c>
      <c r="C44" s="9">
        <f>Hardingbritries</f>
        <v>5</v>
      </c>
      <c r="D44" s="2" t="s">
        <v>392</v>
      </c>
      <c r="E44" s="2" t="s">
        <v>94</v>
      </c>
      <c r="F44" s="19">
        <f>Coetzerglopts</f>
        <v>30</v>
      </c>
      <c r="G44" s="30" t="s">
        <v>121</v>
      </c>
      <c r="H44" s="30" t="s">
        <v>94</v>
      </c>
      <c r="I44" s="194">
        <v>0</v>
      </c>
      <c r="J44" s="195">
        <v>1</v>
      </c>
      <c r="K44" s="396">
        <v>0</v>
      </c>
    </row>
    <row r="45" spans="1:15" ht="14.95" customHeight="1" thickBot="1" x14ac:dyDescent="0.3">
      <c r="A45" s="62" t="s">
        <v>234</v>
      </c>
      <c r="B45" s="62" t="s">
        <v>94</v>
      </c>
      <c r="C45" s="9">
        <f>Harrisglotries</f>
        <v>5</v>
      </c>
      <c r="D45" s="2" t="s">
        <v>548</v>
      </c>
      <c r="E45" s="2" t="s">
        <v>366</v>
      </c>
      <c r="F45" s="19">
        <f>Dansarpts</f>
        <v>30</v>
      </c>
      <c r="G45" s="30" t="s">
        <v>243</v>
      </c>
      <c r="H45" s="30" t="s">
        <v>96</v>
      </c>
      <c r="I45" s="194">
        <f>de_Glanvillebthgls</f>
        <v>0</v>
      </c>
      <c r="J45" s="195">
        <f>deglanvillebthatt</f>
        <v>1</v>
      </c>
      <c r="K45" s="396">
        <f>SUM(I45/J45)*100</f>
        <v>0</v>
      </c>
    </row>
    <row r="46" spans="1:15" ht="14.95" customHeight="1" thickBot="1" x14ac:dyDescent="0.3">
      <c r="A46" s="62" t="s">
        <v>946</v>
      </c>
      <c r="B46" s="62" t="s">
        <v>104</v>
      </c>
      <c r="C46" s="6">
        <f>Isgrohartries</f>
        <v>5</v>
      </c>
      <c r="D46" s="17" t="s">
        <v>248</v>
      </c>
      <c r="E46" s="17" t="s">
        <v>620</v>
      </c>
      <c r="F46" s="19">
        <f>Liebenbergleicpts</f>
        <v>30</v>
      </c>
      <c r="G46" s="30" t="s">
        <v>1161</v>
      </c>
      <c r="H46" s="30" t="s">
        <v>105</v>
      </c>
      <c r="I46" s="194">
        <f>HAYDONWOODEXEGLS</f>
        <v>0</v>
      </c>
      <c r="J46" s="195">
        <f>HAYDONWOODEXEATT</f>
        <v>1</v>
      </c>
      <c r="K46" s="396">
        <f>SUM(I46/J46)*100</f>
        <v>0</v>
      </c>
    </row>
    <row r="47" spans="1:15" ht="14.95" customHeight="1" thickBot="1" x14ac:dyDescent="0.3">
      <c r="A47" s="62" t="s">
        <v>934</v>
      </c>
      <c r="B47" s="62" t="s">
        <v>97</v>
      </c>
      <c r="C47" s="9">
        <f>Kemenynortries</f>
        <v>5</v>
      </c>
      <c r="D47" s="2" t="s">
        <v>713</v>
      </c>
      <c r="E47" s="2" t="s">
        <v>108</v>
      </c>
      <c r="F47" s="19">
        <f>McNallylirpts</f>
        <v>30</v>
      </c>
      <c r="G47" s="30" t="s">
        <v>839</v>
      </c>
      <c r="H47" s="30" t="s">
        <v>282</v>
      </c>
      <c r="I47" s="194">
        <f>thomasnewgls</f>
        <v>0</v>
      </c>
      <c r="J47" s="195">
        <f>thomasnewatt</f>
        <v>1</v>
      </c>
      <c r="K47" s="396">
        <f>SUM(I47/J47)*100</f>
        <v>0</v>
      </c>
    </row>
    <row r="48" spans="1:15" ht="14.95" customHeight="1" thickBot="1" x14ac:dyDescent="0.3">
      <c r="A48" s="62" t="s">
        <v>618</v>
      </c>
      <c r="B48" s="62" t="s">
        <v>108</v>
      </c>
      <c r="C48" s="49">
        <f>Malinsbritries</f>
        <v>5</v>
      </c>
      <c r="D48" s="2" t="s">
        <v>624</v>
      </c>
      <c r="E48" s="2" t="s">
        <v>108</v>
      </c>
      <c r="F48" s="19">
        <f>Oghrebripts</f>
        <v>30</v>
      </c>
      <c r="G48" s="33" t="s">
        <v>1007</v>
      </c>
      <c r="H48" s="30" t="s">
        <v>108</v>
      </c>
      <c r="I48" s="194" t="str">
        <f>bazalgettebrigls</f>
        <v>-</v>
      </c>
      <c r="J48" s="195" t="str">
        <f>bazalgettebribriatt</f>
        <v>-</v>
      </c>
      <c r="K48" s="396" t="str">
        <f t="shared" ref="K48:K70" si="2">chapmanglogls</f>
        <v>-</v>
      </c>
    </row>
    <row r="49" spans="1:11" ht="14.95" customHeight="1" thickBot="1" x14ac:dyDescent="0.3">
      <c r="A49" s="62" t="s">
        <v>1151</v>
      </c>
      <c r="B49" s="62" t="s">
        <v>97</v>
      </c>
      <c r="C49" s="6">
        <f>PearsonNOR_tries</f>
        <v>5</v>
      </c>
      <c r="D49" s="2" t="s">
        <v>399</v>
      </c>
      <c r="E49" s="2" t="s">
        <v>96</v>
      </c>
      <c r="F49" s="19">
        <f>OjomohBTHPTS</f>
        <v>30</v>
      </c>
      <c r="G49" s="30" t="s">
        <v>420</v>
      </c>
      <c r="H49" s="30" t="s">
        <v>104</v>
      </c>
      <c r="I49" s="194" t="str">
        <f>beardhargls</f>
        <v>-</v>
      </c>
      <c r="J49" s="195" t="str">
        <f>beardharatt</f>
        <v>-</v>
      </c>
      <c r="K49" s="396" t="str">
        <f t="shared" si="2"/>
        <v>-</v>
      </c>
    </row>
    <row r="50" spans="1:11" ht="14.95" customHeight="1" thickBot="1" x14ac:dyDescent="0.3">
      <c r="A50" s="62" t="s">
        <v>757</v>
      </c>
      <c r="B50" s="62" t="s">
        <v>105</v>
      </c>
      <c r="C50" s="9">
        <f>PostlethwaiteEXEtries</f>
        <v>5</v>
      </c>
      <c r="D50" s="17" t="s">
        <v>154</v>
      </c>
      <c r="E50" s="17" t="s">
        <v>108</v>
      </c>
      <c r="F50" s="19">
        <f>Randallbripts</f>
        <v>30</v>
      </c>
      <c r="G50" s="30" t="s">
        <v>503</v>
      </c>
      <c r="H50" s="30" t="s">
        <v>105</v>
      </c>
      <c r="I50" s="194" t="str">
        <f>becconsallexegls</f>
        <v>-</v>
      </c>
      <c r="J50" s="195" t="str">
        <f>becconsallexeatt</f>
        <v>-</v>
      </c>
      <c r="K50" s="396" t="str">
        <f t="shared" si="2"/>
        <v>-</v>
      </c>
    </row>
    <row r="51" spans="1:11" ht="14.95" customHeight="1" thickBot="1" x14ac:dyDescent="0.3">
      <c r="A51" s="62" t="s">
        <v>379</v>
      </c>
      <c r="B51" s="62" t="s">
        <v>366</v>
      </c>
      <c r="C51" s="9">
        <f>Segunsartriescorrect</f>
        <v>5</v>
      </c>
      <c r="D51" s="2" t="s">
        <v>428</v>
      </c>
      <c r="E51" s="2" t="s">
        <v>94</v>
      </c>
      <c r="F51" s="19">
        <f>Blakeglopts</f>
        <v>25</v>
      </c>
      <c r="G51" s="30" t="s">
        <v>181</v>
      </c>
      <c r="H51" s="30" t="s">
        <v>95</v>
      </c>
      <c r="I51" s="194" t="str">
        <f>bedlowsalglscorrect</f>
        <v>-</v>
      </c>
      <c r="J51" s="195" t="str">
        <f>bedlowsalattcorrect</f>
        <v>-</v>
      </c>
      <c r="K51" s="396" t="str">
        <f t="shared" si="2"/>
        <v>-</v>
      </c>
    </row>
    <row r="52" spans="1:11" ht="14.95" customHeight="1" thickBot="1" x14ac:dyDescent="0.3">
      <c r="A52" s="62" t="s">
        <v>190</v>
      </c>
      <c r="B52" s="62" t="s">
        <v>97</v>
      </c>
      <c r="C52" s="9">
        <f>Sleightholmenortries</f>
        <v>5</v>
      </c>
      <c r="D52" s="2" t="s">
        <v>1299</v>
      </c>
      <c r="E52" s="2" t="s">
        <v>94</v>
      </c>
      <c r="F52" s="19">
        <f>Cotgreaveglopts</f>
        <v>25</v>
      </c>
      <c r="G52" s="30" t="s">
        <v>179</v>
      </c>
      <c r="H52" s="30" t="s">
        <v>94</v>
      </c>
      <c r="I52" s="194" t="str">
        <f>chapmanglogls</f>
        <v>-</v>
      </c>
      <c r="J52" s="195" t="str">
        <f>chapmangloatt</f>
        <v>-</v>
      </c>
      <c r="K52" s="396" t="str">
        <f t="shared" si="2"/>
        <v>-</v>
      </c>
    </row>
    <row r="53" spans="1:11" ht="14.95" customHeight="1" thickBot="1" x14ac:dyDescent="0.3">
      <c r="A53" s="62" t="s">
        <v>300</v>
      </c>
      <c r="B53" s="62" t="s">
        <v>282</v>
      </c>
      <c r="C53" s="9">
        <f>Kruisgeorgetries</f>
        <v>5</v>
      </c>
      <c r="D53" s="17" t="s">
        <v>1245</v>
      </c>
      <c r="E53" s="2" t="s">
        <v>96</v>
      </c>
      <c r="F53" s="19">
        <f>Donoghuebthpts</f>
        <v>25</v>
      </c>
      <c r="G53" s="33" t="s">
        <v>1010</v>
      </c>
      <c r="H53" s="30" t="s">
        <v>108</v>
      </c>
      <c r="I53" s="194" t="str">
        <f>elizaldebrigls</f>
        <v>-</v>
      </c>
      <c r="J53" s="195" t="str">
        <f>elizaldebriatt</f>
        <v>-</v>
      </c>
      <c r="K53" s="396" t="str">
        <f t="shared" si="2"/>
        <v>-</v>
      </c>
    </row>
    <row r="54" spans="1:11" ht="14.95" customHeight="1" thickBot="1" x14ac:dyDescent="0.3">
      <c r="A54" s="62" t="s">
        <v>611</v>
      </c>
      <c r="B54" s="62" t="s">
        <v>366</v>
      </c>
      <c r="C54" s="6">
        <f>Wilsonsartries</f>
        <v>5</v>
      </c>
      <c r="D54" s="2" t="s">
        <v>612</v>
      </c>
      <c r="E54" s="2" t="s">
        <v>96</v>
      </c>
      <c r="F54" s="19">
        <f>du_Toitbthpts</f>
        <v>25</v>
      </c>
      <c r="G54" s="30" t="s">
        <v>136</v>
      </c>
      <c r="H54" s="30" t="s">
        <v>97</v>
      </c>
      <c r="I54" s="194" t="str">
        <f>furbanknorgls</f>
        <v>-</v>
      </c>
      <c r="J54" s="195" t="str">
        <f>furbanknoratt</f>
        <v>-</v>
      </c>
      <c r="K54" s="396" t="str">
        <f t="shared" si="2"/>
        <v>-</v>
      </c>
    </row>
    <row r="55" spans="1:11" ht="14.95" customHeight="1" thickBot="1" x14ac:dyDescent="0.3">
      <c r="A55" s="10" t="s">
        <v>454</v>
      </c>
      <c r="B55" s="10" t="s">
        <v>95</v>
      </c>
      <c r="C55" s="9">
        <f>Carpentersaltries</f>
        <v>4</v>
      </c>
      <c r="D55" s="2" t="s">
        <v>133</v>
      </c>
      <c r="E55" s="2" t="s">
        <v>366</v>
      </c>
      <c r="F55" s="19">
        <f>Earlsarptscorrect</f>
        <v>25</v>
      </c>
      <c r="G55" s="33" t="s">
        <v>370</v>
      </c>
      <c r="H55" s="50" t="s">
        <v>366</v>
      </c>
      <c r="I55" s="196" t="str">
        <f>goodesarglscorrect</f>
        <v>-</v>
      </c>
      <c r="J55" s="195" t="str">
        <f>GOODESARATTCORRECT</f>
        <v>-</v>
      </c>
      <c r="K55" s="396" t="str">
        <f t="shared" si="2"/>
        <v>-</v>
      </c>
    </row>
    <row r="56" spans="1:11" ht="14.95" customHeight="1" thickBot="1" x14ac:dyDescent="0.3">
      <c r="A56" s="62" t="s">
        <v>243</v>
      </c>
      <c r="B56" s="62" t="s">
        <v>96</v>
      </c>
      <c r="C56" s="9">
        <f>Delmasbthtries</f>
        <v>4</v>
      </c>
      <c r="D56" s="2" t="s">
        <v>537</v>
      </c>
      <c r="E56" s="2" t="s">
        <v>105</v>
      </c>
      <c r="F56" s="19">
        <f>Feyi_Wabosoexepts</f>
        <v>25</v>
      </c>
      <c r="G56" s="30" t="s">
        <v>530</v>
      </c>
      <c r="H56" s="30" t="s">
        <v>96</v>
      </c>
      <c r="I56" s="194" t="str">
        <f>Harrisbthgls</f>
        <v>-</v>
      </c>
      <c r="J56" s="195" t="str">
        <f>harisbthatt</f>
        <v>-</v>
      </c>
      <c r="K56" s="396" t="str">
        <f t="shared" si="2"/>
        <v>-</v>
      </c>
    </row>
    <row r="57" spans="1:11" ht="14.95" customHeight="1" thickBot="1" x14ac:dyDescent="0.3">
      <c r="A57" s="62" t="s">
        <v>314</v>
      </c>
      <c r="B57" s="62" t="s">
        <v>104</v>
      </c>
      <c r="C57" s="9">
        <f>Evanshartries</f>
        <v>4</v>
      </c>
      <c r="D57" s="2" t="s">
        <v>336</v>
      </c>
      <c r="E57" s="2" t="s">
        <v>108</v>
      </c>
      <c r="F57" s="19">
        <f>Hardingbripts</f>
        <v>25</v>
      </c>
      <c r="G57" s="30" t="s">
        <v>535</v>
      </c>
      <c r="H57" s="30" t="s">
        <v>108</v>
      </c>
      <c r="I57" s="194" t="str">
        <f>Ibitoyebrigls</f>
        <v>-</v>
      </c>
      <c r="J57" s="195" t="str">
        <f>ibitoyebriatt</f>
        <v>-</v>
      </c>
      <c r="K57" s="396" t="str">
        <f t="shared" si="2"/>
        <v>-</v>
      </c>
    </row>
    <row r="58" spans="1:11" ht="14.95" customHeight="1" thickBot="1" x14ac:dyDescent="0.3">
      <c r="A58" s="62" t="s">
        <v>723</v>
      </c>
      <c r="B58" s="62" t="s">
        <v>108</v>
      </c>
      <c r="C58" s="49">
        <f>Grondona_Sbritries</f>
        <v>4</v>
      </c>
      <c r="D58" s="2" t="s">
        <v>234</v>
      </c>
      <c r="E58" s="2" t="s">
        <v>94</v>
      </c>
      <c r="F58" s="19">
        <f>Harrisglopts</f>
        <v>25</v>
      </c>
      <c r="G58" s="30" t="s">
        <v>526</v>
      </c>
      <c r="H58" s="30" t="s">
        <v>105</v>
      </c>
      <c r="I58" s="194" t="str">
        <f>jenkinsiexegls</f>
        <v>-</v>
      </c>
      <c r="J58" s="195" t="str">
        <f>jenkinsiexeatt</f>
        <v>-</v>
      </c>
      <c r="K58" s="396" t="str">
        <f t="shared" si="2"/>
        <v>-</v>
      </c>
    </row>
    <row r="59" spans="1:11" ht="14.95" customHeight="1" thickBot="1" x14ac:dyDescent="0.3">
      <c r="A59" s="62" t="s">
        <v>688</v>
      </c>
      <c r="B59" s="62" t="s">
        <v>94</v>
      </c>
      <c r="C59" s="9">
        <f>HathawayGLOtries</f>
        <v>4</v>
      </c>
      <c r="D59" s="261" t="s">
        <v>946</v>
      </c>
      <c r="E59" s="261" t="s">
        <v>104</v>
      </c>
      <c r="F59" s="18">
        <f>Isgroharpts</f>
        <v>25</v>
      </c>
      <c r="G59" s="30" t="s">
        <v>311</v>
      </c>
      <c r="H59" s="30" t="s">
        <v>620</v>
      </c>
      <c r="I59" s="194" t="str">
        <f>Kellyleicgls</f>
        <v>-</v>
      </c>
      <c r="J59" s="195" t="str">
        <f>kellyleicatt</f>
        <v>-</v>
      </c>
      <c r="K59" s="396" t="str">
        <f t="shared" si="2"/>
        <v>-</v>
      </c>
    </row>
    <row r="60" spans="1:11" ht="14.95" customHeight="1" thickBot="1" x14ac:dyDescent="0.3">
      <c r="A60" s="10" t="s">
        <v>172</v>
      </c>
      <c r="B60" s="10" t="s">
        <v>96</v>
      </c>
      <c r="C60" s="9">
        <f>Hillbthtries</f>
        <v>4</v>
      </c>
      <c r="D60" s="2" t="s">
        <v>934</v>
      </c>
      <c r="E60" s="2" t="s">
        <v>97</v>
      </c>
      <c r="F60" s="20">
        <f>Kemenynorpts</f>
        <v>25</v>
      </c>
      <c r="G60" s="30" t="s">
        <v>442</v>
      </c>
      <c r="H60" s="30" t="s">
        <v>108</v>
      </c>
      <c r="I60" s="194" t="str">
        <f>lanebrigls</f>
        <v>-</v>
      </c>
      <c r="J60" s="195" t="str">
        <f>lanebriatt</f>
        <v>-</v>
      </c>
      <c r="K60" s="396" t="str">
        <f t="shared" si="2"/>
        <v>-</v>
      </c>
    </row>
    <row r="61" spans="1:11" ht="14.95" customHeight="1" thickBot="1" x14ac:dyDescent="0.3">
      <c r="A61" s="62" t="s">
        <v>482</v>
      </c>
      <c r="B61" s="10" t="s">
        <v>620</v>
      </c>
      <c r="C61" s="9">
        <f>Ilioneleitries</f>
        <v>4</v>
      </c>
      <c r="D61" s="17" t="s">
        <v>618</v>
      </c>
      <c r="E61" s="17" t="s">
        <v>108</v>
      </c>
      <c r="F61" s="19">
        <f>Malinsbripts</f>
        <v>25</v>
      </c>
      <c r="G61" s="30" t="s">
        <v>217</v>
      </c>
      <c r="H61" s="30" t="s">
        <v>94</v>
      </c>
      <c r="I61" s="194" t="str">
        <f>Morrisjglogls</f>
        <v>-</v>
      </c>
      <c r="J61" s="195" t="str">
        <f>morrisjgloatt</f>
        <v>-</v>
      </c>
      <c r="K61" s="396" t="str">
        <f t="shared" si="2"/>
        <v>-</v>
      </c>
    </row>
    <row r="62" spans="1:11" ht="14.95" customHeight="1" thickBot="1" x14ac:dyDescent="0.3">
      <c r="A62" s="62" t="s">
        <v>145</v>
      </c>
      <c r="B62" s="62" t="s">
        <v>96</v>
      </c>
      <c r="C62" s="9">
        <f>Lawrencebthtries</f>
        <v>4</v>
      </c>
      <c r="D62" s="2" t="s">
        <v>1151</v>
      </c>
      <c r="E62" s="2" t="s">
        <v>97</v>
      </c>
      <c r="F62" s="19">
        <f>PearsonNOR_pts</f>
        <v>25</v>
      </c>
      <c r="G62" s="30" t="s">
        <v>156</v>
      </c>
      <c r="H62" s="30" t="s">
        <v>96</v>
      </c>
      <c r="I62" s="194" t="str">
        <f>repathbthgls</f>
        <v>-</v>
      </c>
      <c r="J62" s="195" t="str">
        <f>redpathbthatt</f>
        <v>-</v>
      </c>
      <c r="K62" s="396" t="str">
        <f t="shared" si="2"/>
        <v>-</v>
      </c>
    </row>
    <row r="63" spans="1:11" ht="14.95" customHeight="1" thickBot="1" x14ac:dyDescent="0.3">
      <c r="A63" s="62" t="s">
        <v>879</v>
      </c>
      <c r="B63" s="62" t="s">
        <v>95</v>
      </c>
      <c r="C63" s="9">
        <f>Jamessaltries</f>
        <v>4</v>
      </c>
      <c r="D63" s="17" t="s">
        <v>757</v>
      </c>
      <c r="E63" s="17" t="s">
        <v>105</v>
      </c>
      <c r="F63" s="20">
        <f>PostlethwaiteEXEpts</f>
        <v>25</v>
      </c>
      <c r="G63" s="30" t="s">
        <v>656</v>
      </c>
      <c r="H63" s="30" t="s">
        <v>97</v>
      </c>
      <c r="I63" s="194" t="str">
        <f>Savalanorgls</f>
        <v>-</v>
      </c>
      <c r="J63" s="195" t="str">
        <f>savalanoratt</f>
        <v>-</v>
      </c>
      <c r="K63" s="396" t="str">
        <f t="shared" si="2"/>
        <v>-</v>
      </c>
    </row>
    <row r="64" spans="1:11" ht="14.95" customHeight="1" thickBot="1" x14ac:dyDescent="0.3">
      <c r="A64" s="62" t="s">
        <v>566</v>
      </c>
      <c r="B64" s="62" t="s">
        <v>108</v>
      </c>
      <c r="C64" s="439">
        <f>MarmionBRItries</f>
        <v>4</v>
      </c>
      <c r="D64" s="2" t="s">
        <v>379</v>
      </c>
      <c r="E64" s="2" t="s">
        <v>366</v>
      </c>
      <c r="F64" s="19">
        <f>Segunsarptscorrect</f>
        <v>25</v>
      </c>
      <c r="G64" s="30" t="s">
        <v>492</v>
      </c>
      <c r="H64" s="30" t="s">
        <v>104</v>
      </c>
      <c r="I64" s="194" t="str">
        <f>SlevinHARgls</f>
        <v>-</v>
      </c>
      <c r="J64" s="195" t="str">
        <f>SlevinHARatt</f>
        <v>-</v>
      </c>
      <c r="K64" s="396" t="str">
        <f t="shared" si="2"/>
        <v>-</v>
      </c>
    </row>
    <row r="65" spans="1:11" ht="14.95" customHeight="1" thickBot="1" x14ac:dyDescent="0.3">
      <c r="A65" s="62" t="s">
        <v>238</v>
      </c>
      <c r="B65" s="62" t="s">
        <v>104</v>
      </c>
      <c r="C65" s="9">
        <f>Northmorehartries</f>
        <v>4</v>
      </c>
      <c r="D65" s="2" t="s">
        <v>190</v>
      </c>
      <c r="E65" s="2" t="s">
        <v>97</v>
      </c>
      <c r="F65" s="19">
        <f>Sleightholmenorpts</f>
        <v>25</v>
      </c>
      <c r="G65" s="30" t="s">
        <v>233</v>
      </c>
      <c r="H65" s="30" t="s">
        <v>620</v>
      </c>
      <c r="I65" s="194" t="str">
        <f>Stewardleicgls</f>
        <v>-</v>
      </c>
      <c r="J65" s="195" t="str">
        <f>stewardleicatt</f>
        <v>-</v>
      </c>
      <c r="K65" s="396" t="str">
        <f t="shared" si="2"/>
        <v>-</v>
      </c>
    </row>
    <row r="66" spans="1:11" ht="14.95" customHeight="1" thickBot="1" x14ac:dyDescent="0.3">
      <c r="A66" s="62" t="s">
        <v>153</v>
      </c>
      <c r="B66" s="62" t="s">
        <v>95</v>
      </c>
      <c r="C66" s="9">
        <f>Neildsaltries</f>
        <v>4</v>
      </c>
      <c r="D66" s="2" t="s">
        <v>300</v>
      </c>
      <c r="E66" s="2" t="s">
        <v>282</v>
      </c>
      <c r="F66" s="19">
        <f>Kruisgeorgepts</f>
        <v>25</v>
      </c>
      <c r="G66" s="30" t="s">
        <v>293</v>
      </c>
      <c r="H66" s="30" t="s">
        <v>282</v>
      </c>
      <c r="I66" s="194" t="str">
        <f>Vunipola_Msaratt</f>
        <v>-</v>
      </c>
      <c r="J66" s="195" t="str">
        <f>Vunipola_Msargls</f>
        <v>-</v>
      </c>
      <c r="K66" s="396" t="str">
        <f t="shared" si="2"/>
        <v>-</v>
      </c>
    </row>
    <row r="67" spans="1:11" ht="14.95" customHeight="1" thickBot="1" x14ac:dyDescent="0.3">
      <c r="A67" s="62" t="s">
        <v>522</v>
      </c>
      <c r="B67" s="62" t="s">
        <v>96</v>
      </c>
      <c r="C67" s="9">
        <f>Pepperbthtries</f>
        <v>4</v>
      </c>
      <c r="D67" s="261" t="s">
        <v>611</v>
      </c>
      <c r="E67" s="261" t="s">
        <v>366</v>
      </c>
      <c r="F67" s="18">
        <f>Wilsonsarpts</f>
        <v>25</v>
      </c>
      <c r="G67" s="30" t="s">
        <v>1080</v>
      </c>
      <c r="H67" s="30" t="s">
        <v>620</v>
      </c>
      <c r="I67" s="194" t="str">
        <f>threlfallleigls</f>
        <v>-</v>
      </c>
      <c r="J67" s="195" t="str">
        <f>threlfallleiatt</f>
        <v>-</v>
      </c>
      <c r="K67" s="396" t="str">
        <f t="shared" si="2"/>
        <v>-</v>
      </c>
    </row>
    <row r="68" spans="1:11" ht="14.95" customHeight="1" thickBot="1" x14ac:dyDescent="0.3">
      <c r="A68" s="62" t="s">
        <v>615</v>
      </c>
      <c r="B68" s="62" t="s">
        <v>104</v>
      </c>
      <c r="C68" s="9">
        <f>Porterhartries</f>
        <v>4</v>
      </c>
      <c r="D68" s="2" t="s">
        <v>775</v>
      </c>
      <c r="E68" s="2" t="s">
        <v>94</v>
      </c>
      <c r="F68" s="19">
        <f>Anscombeglopts</f>
        <v>23</v>
      </c>
      <c r="G68" s="30" t="s">
        <v>241</v>
      </c>
      <c r="H68" s="30" t="s">
        <v>94</v>
      </c>
      <c r="I68" s="194" t="str">
        <f>Varneyglogls</f>
        <v>-</v>
      </c>
      <c r="J68" s="195" t="str">
        <f>varneygloatt</f>
        <v>-</v>
      </c>
      <c r="K68" s="396" t="str">
        <f t="shared" si="2"/>
        <v>-</v>
      </c>
    </row>
    <row r="69" spans="1:11" ht="14.95" customHeight="1" thickBot="1" x14ac:dyDescent="0.3">
      <c r="A69" s="62" t="s">
        <v>324</v>
      </c>
      <c r="B69" s="62" t="s">
        <v>95</v>
      </c>
      <c r="C69" s="9">
        <f>Roddsaltries</f>
        <v>4</v>
      </c>
      <c r="D69" s="2" t="s">
        <v>939</v>
      </c>
      <c r="E69" s="2" t="s">
        <v>282</v>
      </c>
      <c r="F69" s="19">
        <f>Graysonnewpts</f>
        <v>23</v>
      </c>
      <c r="G69" s="30" t="s">
        <v>401</v>
      </c>
      <c r="H69" s="30" t="s">
        <v>95</v>
      </c>
      <c r="I69" s="194" t="str">
        <f>WarrSALgls</f>
        <v>-</v>
      </c>
      <c r="J69" s="195" t="str">
        <f>WarrSALatt</f>
        <v>-</v>
      </c>
      <c r="K69" s="396" t="str">
        <f t="shared" si="2"/>
        <v>-</v>
      </c>
    </row>
    <row r="70" spans="1:11" ht="14.95" customHeight="1" thickBot="1" x14ac:dyDescent="0.3">
      <c r="A70" s="10" t="s">
        <v>306</v>
      </c>
      <c r="B70" s="62" t="s">
        <v>94</v>
      </c>
      <c r="C70" s="9">
        <f>Terryglotries</f>
        <v>4</v>
      </c>
      <c r="D70" s="2" t="s">
        <v>595</v>
      </c>
      <c r="E70" s="2" t="s">
        <v>620</v>
      </c>
      <c r="F70" s="19">
        <f>ShillcockLEIpts</f>
        <v>23</v>
      </c>
      <c r="G70" s="30" t="s">
        <v>357</v>
      </c>
      <c r="H70" s="30" t="s">
        <v>620</v>
      </c>
      <c r="I70" s="194" t="str">
        <f>whiteleyleigls</f>
        <v>-</v>
      </c>
      <c r="J70" s="195" t="str">
        <f>whiteleyleiatt</f>
        <v>-</v>
      </c>
      <c r="K70" s="396" t="str">
        <f t="shared" si="2"/>
        <v>-</v>
      </c>
    </row>
    <row r="71" spans="1:11" ht="14.95" customHeight="1" thickBot="1" x14ac:dyDescent="0.3">
      <c r="A71" s="62" t="s">
        <v>169</v>
      </c>
      <c r="B71" s="62" t="s">
        <v>104</v>
      </c>
      <c r="C71" s="9">
        <f>Smithhartries</f>
        <v>4</v>
      </c>
      <c r="D71" s="2" t="s">
        <v>406</v>
      </c>
      <c r="E71" s="2" t="s">
        <v>104</v>
      </c>
      <c r="F71" s="19">
        <f>Bensonharpts</f>
        <v>21</v>
      </c>
      <c r="G71" s="30" t="s">
        <v>871</v>
      </c>
      <c r="H71" s="30" t="s">
        <v>620</v>
      </c>
      <c r="I71" s="194" t="str">
        <f>youngsbgoals</f>
        <v>-</v>
      </c>
      <c r="J71" s="195" t="str">
        <f>youngsbatt</f>
        <v>-</v>
      </c>
      <c r="K71" s="396" t="str">
        <f t="shared" ref="K71" si="3">chapmanglogls</f>
        <v>-</v>
      </c>
    </row>
    <row r="72" spans="1:11" ht="14.95" customHeight="1" thickBot="1" x14ac:dyDescent="0.3">
      <c r="A72" s="62" t="s">
        <v>119</v>
      </c>
      <c r="B72" s="62" t="s">
        <v>96</v>
      </c>
      <c r="C72" s="49">
        <f>Stuartbthtries</f>
        <v>4</v>
      </c>
      <c r="D72" s="2" t="s">
        <v>98</v>
      </c>
      <c r="E72" s="2" t="s">
        <v>96</v>
      </c>
      <c r="F72" s="18">
        <f>bathpentriesptsthisone</f>
        <v>21</v>
      </c>
      <c r="G72" s="106" t="s">
        <v>942</v>
      </c>
    </row>
    <row r="73" spans="1:11" ht="14.95" customHeight="1" thickBot="1" x14ac:dyDescent="0.3">
      <c r="A73" s="62" t="s">
        <v>163</v>
      </c>
      <c r="B73" s="62" t="s">
        <v>96</v>
      </c>
      <c r="C73" s="9">
        <f>Underhillbthtries</f>
        <v>4</v>
      </c>
      <c r="D73" s="17" t="s">
        <v>454</v>
      </c>
      <c r="E73" s="2" t="s">
        <v>95</v>
      </c>
      <c r="F73" s="19">
        <f>Carpentersalpts</f>
        <v>20</v>
      </c>
    </row>
    <row r="74" spans="1:11" ht="14.95" customHeight="1" thickBot="1" x14ac:dyDescent="0.3">
      <c r="A74" s="10" t="s">
        <v>321</v>
      </c>
      <c r="B74" s="10" t="s">
        <v>620</v>
      </c>
      <c r="C74" s="9">
        <f>van_Poortvlietleictries</f>
        <v>4</v>
      </c>
      <c r="D74" s="2" t="s">
        <v>243</v>
      </c>
      <c r="E74" s="2" t="s">
        <v>96</v>
      </c>
      <c r="F74" s="19">
        <f>Delmasbthpts</f>
        <v>20</v>
      </c>
    </row>
    <row r="75" spans="1:11" ht="14.95" customHeight="1" thickBot="1" x14ac:dyDescent="0.3">
      <c r="A75" s="12" t="s">
        <v>440</v>
      </c>
      <c r="B75" s="12" t="s">
        <v>104</v>
      </c>
      <c r="C75" s="6">
        <f>Walkerhartries</f>
        <v>4</v>
      </c>
      <c r="D75" s="2" t="s">
        <v>314</v>
      </c>
      <c r="E75" s="2" t="s">
        <v>104</v>
      </c>
      <c r="F75" s="19">
        <f>Evanswharpts</f>
        <v>20</v>
      </c>
    </row>
    <row r="76" spans="1:11" ht="14.95" customHeight="1" thickBot="1" x14ac:dyDescent="0.3">
      <c r="A76" s="62" t="s">
        <v>207</v>
      </c>
      <c r="B76" s="62" t="s">
        <v>105</v>
      </c>
      <c r="C76" s="9">
        <f>Wyattexetries</f>
        <v>4</v>
      </c>
      <c r="D76" s="2" t="s">
        <v>723</v>
      </c>
      <c r="E76" s="2" t="s">
        <v>108</v>
      </c>
      <c r="F76" s="19">
        <f>Grondona_Sbripts</f>
        <v>20</v>
      </c>
    </row>
    <row r="77" spans="1:11" ht="14.95" customHeight="1" thickBot="1" x14ac:dyDescent="0.3">
      <c r="A77" s="62" t="s">
        <v>775</v>
      </c>
      <c r="B77" s="62" t="s">
        <v>94</v>
      </c>
      <c r="C77" s="9">
        <f>Anscombeglotries</f>
        <v>3</v>
      </c>
      <c r="D77" s="2" t="s">
        <v>573</v>
      </c>
      <c r="E77" s="2" t="s">
        <v>94</v>
      </c>
      <c r="F77" s="19">
        <f>HathawayGLOpts</f>
        <v>20</v>
      </c>
    </row>
    <row r="78" spans="1:11" ht="14.95" customHeight="1" thickBot="1" x14ac:dyDescent="0.3">
      <c r="A78" s="62" t="s">
        <v>608</v>
      </c>
      <c r="B78" s="10" t="s">
        <v>620</v>
      </c>
      <c r="C78" s="9">
        <f>BassettLEItries</f>
        <v>3</v>
      </c>
      <c r="D78" s="2" t="s">
        <v>172</v>
      </c>
      <c r="E78" s="2" t="s">
        <v>96</v>
      </c>
      <c r="F78" s="19">
        <f>Hillbthpts</f>
        <v>20</v>
      </c>
    </row>
    <row r="79" spans="1:11" ht="14.95" customHeight="1" thickBot="1" x14ac:dyDescent="0.3">
      <c r="A79" s="10" t="s">
        <v>221</v>
      </c>
      <c r="B79" s="10" t="s">
        <v>108</v>
      </c>
      <c r="C79" s="9">
        <f>Batesbritries</f>
        <v>3</v>
      </c>
      <c r="D79" s="2" t="s">
        <v>482</v>
      </c>
      <c r="E79" s="2" t="s">
        <v>620</v>
      </c>
      <c r="F79" s="18">
        <f>Ilioneleipts</f>
        <v>20</v>
      </c>
    </row>
    <row r="80" spans="1:11" ht="14.95" customHeight="1" thickBot="1" x14ac:dyDescent="0.3">
      <c r="A80" s="62" t="s">
        <v>333</v>
      </c>
      <c r="B80" s="62" t="s">
        <v>108</v>
      </c>
      <c r="C80" s="9">
        <f>Batleybritriescorrect</f>
        <v>3</v>
      </c>
      <c r="D80" s="2" t="s">
        <v>145</v>
      </c>
      <c r="E80" s="2" t="s">
        <v>96</v>
      </c>
      <c r="F80" s="19">
        <f>Lawrencebthpts</f>
        <v>20</v>
      </c>
    </row>
    <row r="81" spans="1:6" ht="14.95" customHeight="1" thickBot="1" x14ac:dyDescent="0.3">
      <c r="A81" s="12" t="s">
        <v>529</v>
      </c>
      <c r="B81" s="12" t="s">
        <v>96</v>
      </c>
      <c r="C81" s="9">
        <f>Ciprianibthtries</f>
        <v>3</v>
      </c>
      <c r="D81" s="2" t="s">
        <v>879</v>
      </c>
      <c r="E81" s="2" t="s">
        <v>95</v>
      </c>
      <c r="F81" s="19">
        <f>Jamessalpts</f>
        <v>20</v>
      </c>
    </row>
    <row r="82" spans="1:6" ht="14.95" customHeight="1" thickBot="1" x14ac:dyDescent="0.3">
      <c r="A82" s="62" t="s">
        <v>288</v>
      </c>
      <c r="B82" s="62" t="s">
        <v>282</v>
      </c>
      <c r="C82" s="9">
        <f>Burgerjacquestries</f>
        <v>3</v>
      </c>
      <c r="D82" s="17" t="s">
        <v>565</v>
      </c>
      <c r="E82" s="17" t="s">
        <v>108</v>
      </c>
      <c r="F82" s="19">
        <f>MarmionBRIpts</f>
        <v>20</v>
      </c>
    </row>
    <row r="83" spans="1:6" ht="14.95" customHeight="1" thickBot="1" x14ac:dyDescent="0.3">
      <c r="A83" s="62" t="s">
        <v>426</v>
      </c>
      <c r="B83" s="10" t="s">
        <v>620</v>
      </c>
      <c r="C83" s="49">
        <f>Cracknellleitries</f>
        <v>3</v>
      </c>
      <c r="D83" s="2" t="s">
        <v>238</v>
      </c>
      <c r="E83" s="2" t="s">
        <v>104</v>
      </c>
      <c r="F83" s="19">
        <f>Northmoreharpts</f>
        <v>20</v>
      </c>
    </row>
    <row r="84" spans="1:6" ht="14.95" customHeight="1" thickBot="1" x14ac:dyDescent="0.3">
      <c r="A84" s="10" t="s">
        <v>844</v>
      </c>
      <c r="B84" s="62" t="s">
        <v>282</v>
      </c>
      <c r="C84" s="9">
        <f>Dohertynewtries</f>
        <v>3</v>
      </c>
      <c r="D84" s="2" t="s">
        <v>153</v>
      </c>
      <c r="E84" s="2" t="s">
        <v>95</v>
      </c>
      <c r="F84" s="19">
        <f>Neildsalpts</f>
        <v>20</v>
      </c>
    </row>
    <row r="85" spans="1:6" ht="14.95" customHeight="1" thickBot="1" x14ac:dyDescent="0.3">
      <c r="A85" s="62" t="s">
        <v>131</v>
      </c>
      <c r="B85" s="62" t="s">
        <v>104</v>
      </c>
      <c r="C85" s="9">
        <f>Dombrandthartries</f>
        <v>3</v>
      </c>
      <c r="D85" s="2" t="s">
        <v>522</v>
      </c>
      <c r="E85" s="2" t="s">
        <v>96</v>
      </c>
      <c r="F85" s="19">
        <f>Pepperbthpts</f>
        <v>20</v>
      </c>
    </row>
    <row r="86" spans="1:6" ht="14.95" customHeight="1" thickBot="1" x14ac:dyDescent="0.3">
      <c r="A86" s="62" t="s">
        <v>604</v>
      </c>
      <c r="B86" s="62" t="s">
        <v>105</v>
      </c>
      <c r="C86" s="49">
        <f>FisilauEXEtries</f>
        <v>3</v>
      </c>
      <c r="D86" s="2" t="s">
        <v>615</v>
      </c>
      <c r="E86" s="2" t="s">
        <v>104</v>
      </c>
      <c r="F86" s="19">
        <f>Porterharpts</f>
        <v>20</v>
      </c>
    </row>
    <row r="87" spans="1:6" ht="14.95" customHeight="1" thickBot="1" x14ac:dyDescent="0.3">
      <c r="A87" s="62" t="s">
        <v>856</v>
      </c>
      <c r="B87" s="62" t="s">
        <v>97</v>
      </c>
      <c r="C87" s="9">
        <f>Graysonnortries</f>
        <v>3</v>
      </c>
      <c r="D87" s="2" t="s">
        <v>324</v>
      </c>
      <c r="E87" s="2" t="s">
        <v>95</v>
      </c>
      <c r="F87" s="19">
        <f>Roddsalpts</f>
        <v>20</v>
      </c>
    </row>
    <row r="88" spans="1:6" ht="14.95" customHeight="1" thickBot="1" x14ac:dyDescent="0.3">
      <c r="A88" s="62" t="s">
        <v>412</v>
      </c>
      <c r="B88" s="62" t="s">
        <v>97</v>
      </c>
      <c r="C88" s="9">
        <f>Hendynortries</f>
        <v>3</v>
      </c>
      <c r="D88" s="2" t="s">
        <v>306</v>
      </c>
      <c r="E88" s="2" t="s">
        <v>94</v>
      </c>
      <c r="F88" s="19">
        <f>Terryglopts</f>
        <v>20</v>
      </c>
    </row>
    <row r="89" spans="1:6" ht="14.95" customHeight="1" thickBot="1" x14ac:dyDescent="0.3">
      <c r="A89" s="62" t="s">
        <v>103</v>
      </c>
      <c r="B89" s="62" t="s">
        <v>95</v>
      </c>
      <c r="C89" s="9">
        <f>Hill_Jsaltries</f>
        <v>3</v>
      </c>
      <c r="D89" s="2" t="s">
        <v>119</v>
      </c>
      <c r="E89" s="2" t="s">
        <v>96</v>
      </c>
      <c r="F89" s="19">
        <f>Stuartbthpts</f>
        <v>20</v>
      </c>
    </row>
    <row r="90" spans="1:6" ht="14.95" customHeight="1" thickBot="1" x14ac:dyDescent="0.3">
      <c r="A90" s="62" t="s">
        <v>682</v>
      </c>
      <c r="B90" s="62" t="s">
        <v>97</v>
      </c>
      <c r="C90" s="9">
        <f>Irvinenortries</f>
        <v>3</v>
      </c>
      <c r="D90" s="2" t="s">
        <v>163</v>
      </c>
      <c r="E90" s="2" t="s">
        <v>96</v>
      </c>
      <c r="F90" s="19">
        <f>Underhillbthpts</f>
        <v>20</v>
      </c>
    </row>
    <row r="91" spans="1:6" ht="14.95" customHeight="1" thickBot="1" x14ac:dyDescent="0.3">
      <c r="A91" s="62" t="s">
        <v>466</v>
      </c>
      <c r="B91" s="10" t="s">
        <v>620</v>
      </c>
      <c r="C91" s="9">
        <f>Jansenleitries</f>
        <v>3</v>
      </c>
      <c r="D91" s="2" t="s">
        <v>321</v>
      </c>
      <c r="E91" s="2" t="s">
        <v>620</v>
      </c>
      <c r="F91" s="19">
        <f>van_Poortvlietleicpts</f>
        <v>20</v>
      </c>
    </row>
    <row r="92" spans="1:6" ht="14.95" customHeight="1" thickBot="1" x14ac:dyDescent="0.3">
      <c r="A92" s="62" t="s">
        <v>442</v>
      </c>
      <c r="B92" s="62" t="s">
        <v>108</v>
      </c>
      <c r="C92" s="9">
        <f>Lanebritries</f>
        <v>3</v>
      </c>
      <c r="D92" s="2" t="s">
        <v>440</v>
      </c>
      <c r="E92" s="2" t="s">
        <v>104</v>
      </c>
      <c r="F92" s="19">
        <f>Walkerharpts</f>
        <v>20</v>
      </c>
    </row>
    <row r="93" spans="1:6" ht="14.95" customHeight="1" thickBot="1" x14ac:dyDescent="0.3">
      <c r="A93" s="62" t="s">
        <v>1312</v>
      </c>
      <c r="B93" s="62" t="s">
        <v>105</v>
      </c>
      <c r="C93" s="9">
        <f>Maloneyexetries</f>
        <v>3</v>
      </c>
      <c r="D93" s="2" t="s">
        <v>207</v>
      </c>
      <c r="E93" s="2" t="s">
        <v>105</v>
      </c>
      <c r="F93" s="19">
        <f>Wyattexepts</f>
        <v>20</v>
      </c>
    </row>
    <row r="94" spans="1:6" ht="14.95" customHeight="1" thickBot="1" x14ac:dyDescent="0.3">
      <c r="A94" s="62" t="s">
        <v>272</v>
      </c>
      <c r="B94" s="62" t="s">
        <v>108</v>
      </c>
      <c r="C94" s="9">
        <f>Muldowneybritries</f>
        <v>3</v>
      </c>
      <c r="D94" s="2" t="s">
        <v>601</v>
      </c>
      <c r="E94" s="2" t="s">
        <v>104</v>
      </c>
      <c r="F94" s="19">
        <f>Evans_Jharptscorrect</f>
        <v>17</v>
      </c>
    </row>
    <row r="95" spans="1:6" ht="14.95" customHeight="1" thickBot="1" x14ac:dyDescent="0.3">
      <c r="A95" s="10" t="s">
        <v>152</v>
      </c>
      <c r="B95" s="10" t="s">
        <v>96</v>
      </c>
      <c r="C95" s="6">
        <f>Obanobthtries</f>
        <v>3</v>
      </c>
      <c r="D95" s="2" t="s">
        <v>180</v>
      </c>
      <c r="E95" s="2" t="s">
        <v>105</v>
      </c>
      <c r="F95" s="19">
        <f>Skinner_Hexepts</f>
        <v>16</v>
      </c>
    </row>
    <row r="96" spans="1:6" ht="14.95" customHeight="1" thickBot="1" x14ac:dyDescent="0.3">
      <c r="A96" s="62" t="s">
        <v>98</v>
      </c>
      <c r="B96" s="62" t="s">
        <v>96</v>
      </c>
      <c r="C96" s="9">
        <f>bathpentriestriesthisone</f>
        <v>3</v>
      </c>
      <c r="D96" s="2" t="s">
        <v>608</v>
      </c>
      <c r="E96" s="2" t="s">
        <v>620</v>
      </c>
      <c r="F96" s="19">
        <f>BassettLEIpts</f>
        <v>15</v>
      </c>
    </row>
    <row r="97" spans="1:6" ht="14.95" customHeight="1" thickBot="1" x14ac:dyDescent="0.3">
      <c r="A97" s="10" t="s">
        <v>793</v>
      </c>
      <c r="B97" s="10" t="s">
        <v>620</v>
      </c>
      <c r="C97" s="9">
        <f>Parlingleitries</f>
        <v>3</v>
      </c>
      <c r="D97" s="17" t="s">
        <v>221</v>
      </c>
      <c r="E97" s="17" t="s">
        <v>108</v>
      </c>
      <c r="F97" s="18">
        <f>Batesbripts</f>
        <v>15</v>
      </c>
    </row>
    <row r="98" spans="1:6" ht="14.95" customHeight="1" thickBot="1" x14ac:dyDescent="0.3">
      <c r="A98" s="62" t="s">
        <v>496</v>
      </c>
      <c r="B98" s="62" t="s">
        <v>97</v>
      </c>
      <c r="C98" s="9">
        <f>Ratuniyarawanortries</f>
        <v>3</v>
      </c>
      <c r="D98" s="17" t="s">
        <v>333</v>
      </c>
      <c r="E98" s="17" t="s">
        <v>108</v>
      </c>
      <c r="F98" s="19">
        <f>Batleybriptscorrect</f>
        <v>15</v>
      </c>
    </row>
    <row r="99" spans="1:6" ht="14.95" customHeight="1" thickBot="1" x14ac:dyDescent="0.3">
      <c r="A99" s="62" t="s">
        <v>600</v>
      </c>
      <c r="B99" s="62" t="s">
        <v>96</v>
      </c>
      <c r="C99" s="49">
        <f>Russellbthtries</f>
        <v>3</v>
      </c>
      <c r="D99" s="203" t="s">
        <v>529</v>
      </c>
      <c r="E99" s="203" t="s">
        <v>96</v>
      </c>
      <c r="F99" s="19">
        <f>ciprianibthpts</f>
        <v>15</v>
      </c>
    </row>
    <row r="100" spans="1:6" ht="14.95" customHeight="1" thickBot="1" x14ac:dyDescent="0.3">
      <c r="A100" s="62" t="s">
        <v>458</v>
      </c>
      <c r="B100" s="62" t="s">
        <v>94</v>
      </c>
      <c r="C100" s="9">
        <f>Thomasglotries</f>
        <v>3</v>
      </c>
      <c r="D100" s="17" t="s">
        <v>288</v>
      </c>
      <c r="E100" s="17" t="s">
        <v>282</v>
      </c>
      <c r="F100" s="18">
        <f>Burgerjacquespts</f>
        <v>15</v>
      </c>
    </row>
    <row r="101" spans="1:6" ht="14.95" customHeight="1" thickBot="1" x14ac:dyDescent="0.3">
      <c r="A101" s="62" t="s">
        <v>164</v>
      </c>
      <c r="B101" s="62" t="s">
        <v>96</v>
      </c>
      <c r="C101" s="49">
        <f>van_Velzebthtries</f>
        <v>3</v>
      </c>
      <c r="D101" s="2" t="s">
        <v>426</v>
      </c>
      <c r="E101" s="2" t="s">
        <v>620</v>
      </c>
      <c r="F101" s="19">
        <f>Cracknellleipts</f>
        <v>15</v>
      </c>
    </row>
    <row r="102" spans="1:6" ht="14.95" customHeight="1" thickBot="1" x14ac:dyDescent="0.3">
      <c r="A102" s="62" t="s">
        <v>873</v>
      </c>
      <c r="B102" s="62" t="s">
        <v>95</v>
      </c>
      <c r="C102" s="9">
        <f>Addisonsal2ndspelltries</f>
        <v>2</v>
      </c>
      <c r="D102" s="17" t="s">
        <v>844</v>
      </c>
      <c r="E102" s="17" t="s">
        <v>282</v>
      </c>
      <c r="F102" s="19">
        <f>Dohertynewpts</f>
        <v>15</v>
      </c>
    </row>
    <row r="103" spans="1:6" ht="14.95" customHeight="1" thickBot="1" x14ac:dyDescent="0.3">
      <c r="A103" s="62" t="s">
        <v>122</v>
      </c>
      <c r="B103" s="62" t="s">
        <v>96</v>
      </c>
      <c r="C103" s="9">
        <f>Annettbthtries</f>
        <v>2</v>
      </c>
      <c r="D103" s="2" t="s">
        <v>131</v>
      </c>
      <c r="E103" s="2" t="s">
        <v>104</v>
      </c>
      <c r="F103" s="19">
        <f>Dombrandtharpts</f>
        <v>15</v>
      </c>
    </row>
    <row r="104" spans="1:6" ht="14.95" customHeight="1" thickBot="1" x14ac:dyDescent="0.3">
      <c r="A104" s="62" t="s">
        <v>422</v>
      </c>
      <c r="B104" s="62" t="s">
        <v>97</v>
      </c>
      <c r="C104" s="9">
        <f>Augustusnortries</f>
        <v>2</v>
      </c>
      <c r="D104" s="2" t="s">
        <v>604</v>
      </c>
      <c r="E104" s="2" t="s">
        <v>105</v>
      </c>
      <c r="F104" s="19">
        <f>FisilauEXEpts</f>
        <v>15</v>
      </c>
    </row>
    <row r="105" spans="1:6" ht="14.95" customHeight="1" thickBot="1" x14ac:dyDescent="0.3">
      <c r="A105" s="62" t="s">
        <v>520</v>
      </c>
      <c r="B105" s="62" t="s">
        <v>108</v>
      </c>
      <c r="C105" s="49">
        <f>Armstrongbritries</f>
        <v>2</v>
      </c>
      <c r="D105" s="2" t="s">
        <v>856</v>
      </c>
      <c r="E105" s="2" t="s">
        <v>97</v>
      </c>
      <c r="F105" s="19">
        <f>Graysonnorpts</f>
        <v>15</v>
      </c>
    </row>
    <row r="106" spans="1:6" ht="14.95" customHeight="1" thickBot="1" x14ac:dyDescent="0.3">
      <c r="A106" s="62" t="s">
        <v>205</v>
      </c>
      <c r="B106" s="62" t="s">
        <v>94</v>
      </c>
      <c r="C106" s="9">
        <f>Bartonglotries</f>
        <v>2</v>
      </c>
      <c r="D106" s="2" t="s">
        <v>412</v>
      </c>
      <c r="E106" s="2" t="s">
        <v>97</v>
      </c>
      <c r="F106" s="19">
        <f>Hendynorpts</f>
        <v>15</v>
      </c>
    </row>
    <row r="107" spans="1:6" ht="14.95" customHeight="1" thickBot="1" x14ac:dyDescent="0.3">
      <c r="A107" s="62" t="s">
        <v>557</v>
      </c>
      <c r="B107" s="62" t="s">
        <v>104</v>
      </c>
      <c r="C107" s="9">
        <f>Baxterhartries</f>
        <v>2</v>
      </c>
      <c r="D107" s="2" t="s">
        <v>103</v>
      </c>
      <c r="E107" s="2" t="s">
        <v>95</v>
      </c>
      <c r="F107" s="19">
        <f>Hill_Jsalpts</f>
        <v>15</v>
      </c>
    </row>
    <row r="108" spans="1:6" ht="14.95" customHeight="1" thickBot="1" x14ac:dyDescent="0.3">
      <c r="A108" s="62" t="s">
        <v>123</v>
      </c>
      <c r="B108" s="62" t="s">
        <v>96</v>
      </c>
      <c r="C108" s="9">
        <f>Baylissbthtries</f>
        <v>2</v>
      </c>
      <c r="D108" s="2" t="s">
        <v>682</v>
      </c>
      <c r="E108" s="2" t="s">
        <v>97</v>
      </c>
      <c r="F108" s="19">
        <f>Irvinenorpts</f>
        <v>15</v>
      </c>
    </row>
    <row r="109" spans="1:6" ht="14.95" customHeight="1" thickBot="1" x14ac:dyDescent="0.3">
      <c r="A109" s="10" t="s">
        <v>420</v>
      </c>
      <c r="B109" s="10" t="s">
        <v>104</v>
      </c>
      <c r="C109" s="9">
        <f>Beardhartries</f>
        <v>2</v>
      </c>
      <c r="D109" s="2" t="s">
        <v>466</v>
      </c>
      <c r="E109" s="2" t="s">
        <v>620</v>
      </c>
      <c r="F109" s="18">
        <f>Jansenleipts</f>
        <v>15</v>
      </c>
    </row>
    <row r="110" spans="1:6" ht="14.95" customHeight="1" thickBot="1" x14ac:dyDescent="0.3">
      <c r="A110" s="62" t="s">
        <v>354</v>
      </c>
      <c r="B110" s="62" t="s">
        <v>96</v>
      </c>
      <c r="C110" s="9">
        <f>Buttbthtries</f>
        <v>2</v>
      </c>
      <c r="D110" s="2" t="s">
        <v>442</v>
      </c>
      <c r="E110" s="2" t="s">
        <v>108</v>
      </c>
      <c r="F110" s="19">
        <f>Lanebripts</f>
        <v>15</v>
      </c>
    </row>
    <row r="111" spans="1:6" ht="14.95" customHeight="1" thickBot="1" x14ac:dyDescent="0.3">
      <c r="A111" s="62" t="s">
        <v>1216</v>
      </c>
      <c r="B111" s="62" t="s">
        <v>282</v>
      </c>
      <c r="C111" s="9">
        <f>Clarknewtries</f>
        <v>2</v>
      </c>
      <c r="D111" s="2" t="s">
        <v>1312</v>
      </c>
      <c r="E111" s="2" t="s">
        <v>105</v>
      </c>
      <c r="F111" s="19">
        <f>Maloneyexepts</f>
        <v>15</v>
      </c>
    </row>
    <row r="112" spans="1:6" ht="14.95" customHeight="1" thickBot="1" x14ac:dyDescent="0.3">
      <c r="A112" s="12" t="s">
        <v>457</v>
      </c>
      <c r="B112" s="12" t="s">
        <v>104</v>
      </c>
      <c r="C112" s="9">
        <f>Cleaveshartries</f>
        <v>2</v>
      </c>
      <c r="D112" s="2" t="s">
        <v>272</v>
      </c>
      <c r="E112" s="2" t="s">
        <v>108</v>
      </c>
      <c r="F112" s="19">
        <f>Muldowneybripts</f>
        <v>15</v>
      </c>
    </row>
    <row r="113" spans="1:6" ht="14.95" customHeight="1" thickBot="1" x14ac:dyDescent="0.3">
      <c r="A113" s="62" t="s">
        <v>626</v>
      </c>
      <c r="B113" s="62" t="s">
        <v>96</v>
      </c>
      <c r="C113" s="9">
        <f>Cookbthtries</f>
        <v>2</v>
      </c>
      <c r="D113" s="17" t="s">
        <v>152</v>
      </c>
      <c r="E113" s="17" t="s">
        <v>96</v>
      </c>
      <c r="F113" s="19">
        <f>Obanobthpts</f>
        <v>15</v>
      </c>
    </row>
    <row r="114" spans="1:6" ht="14.95" customHeight="1" thickBot="1" x14ac:dyDescent="0.3">
      <c r="A114" s="62" t="s">
        <v>195</v>
      </c>
      <c r="B114" s="62" t="s">
        <v>97</v>
      </c>
      <c r="C114" s="9">
        <f>Colesnortries</f>
        <v>2</v>
      </c>
      <c r="D114" s="17" t="s">
        <v>793</v>
      </c>
      <c r="E114" s="17" t="s">
        <v>620</v>
      </c>
      <c r="F114" s="19">
        <f>Parlingleipts</f>
        <v>15</v>
      </c>
    </row>
    <row r="115" spans="1:6" ht="14.95" customHeight="1" thickBot="1" x14ac:dyDescent="0.3">
      <c r="A115" s="12" t="s">
        <v>101</v>
      </c>
      <c r="B115" s="12" t="s">
        <v>95</v>
      </c>
      <c r="C115" s="6">
        <f>Curry_Bsaltries</f>
        <v>2</v>
      </c>
      <c r="D115" s="2" t="s">
        <v>496</v>
      </c>
      <c r="E115" s="2" t="s">
        <v>97</v>
      </c>
      <c r="F115" s="19">
        <f>Ratuniyarawanorpts</f>
        <v>15</v>
      </c>
    </row>
    <row r="116" spans="1:6" ht="14.95" customHeight="1" thickBot="1" x14ac:dyDescent="0.3">
      <c r="A116" s="62" t="s">
        <v>102</v>
      </c>
      <c r="B116" s="62" t="s">
        <v>95</v>
      </c>
      <c r="C116" s="9">
        <f>Curry_Tsaltries</f>
        <v>2</v>
      </c>
      <c r="D116" s="2" t="s">
        <v>458</v>
      </c>
      <c r="E116" s="2" t="s">
        <v>94</v>
      </c>
      <c r="F116" s="19">
        <f>Thomasglopts</f>
        <v>15</v>
      </c>
    </row>
    <row r="117" spans="1:6" ht="14.95" customHeight="1" thickBot="1" x14ac:dyDescent="0.3">
      <c r="A117" s="62" t="s">
        <v>402</v>
      </c>
      <c r="B117" s="62" t="s">
        <v>97</v>
      </c>
      <c r="C117" s="9">
        <f>DavidsonNORtries</f>
        <v>2</v>
      </c>
      <c r="D117" s="2" t="s">
        <v>164</v>
      </c>
      <c r="E117" s="2" t="s">
        <v>96</v>
      </c>
      <c r="F117" s="20">
        <f>van_Velzebthpts</f>
        <v>15</v>
      </c>
    </row>
    <row r="118" spans="1:6" ht="14.95" customHeight="1" thickBot="1" x14ac:dyDescent="0.3">
      <c r="A118" s="62" t="s">
        <v>820</v>
      </c>
      <c r="B118" s="62" t="s">
        <v>282</v>
      </c>
      <c r="C118" s="9">
        <f>Daltonnewtries</f>
        <v>2</v>
      </c>
      <c r="D118" s="2" t="s">
        <v>309</v>
      </c>
      <c r="E118" s="2" t="s">
        <v>97</v>
      </c>
      <c r="F118" s="19">
        <f>Jamesnorpts</f>
        <v>14</v>
      </c>
    </row>
    <row r="119" spans="1:6" ht="14.95" customHeight="1" thickBot="1" x14ac:dyDescent="0.3">
      <c r="A119" s="62" t="s">
        <v>189</v>
      </c>
      <c r="B119" s="62" t="s">
        <v>97</v>
      </c>
      <c r="C119" s="9">
        <f>Dingwallnortries</f>
        <v>2</v>
      </c>
      <c r="D119" s="2" t="s">
        <v>151</v>
      </c>
      <c r="E119" s="2" t="s">
        <v>97</v>
      </c>
      <c r="F119" s="19">
        <f>Mitchellnorpts</f>
        <v>14</v>
      </c>
    </row>
    <row r="120" spans="1:6" ht="14.95" customHeight="1" thickBot="1" x14ac:dyDescent="0.3">
      <c r="A120" s="62" t="s">
        <v>1245</v>
      </c>
      <c r="B120" s="10" t="s">
        <v>96</v>
      </c>
      <c r="C120" s="49">
        <f>Donoghuebthtries</f>
        <v>2</v>
      </c>
      <c r="D120" s="2" t="s">
        <v>98</v>
      </c>
      <c r="E120" s="2" t="s">
        <v>95</v>
      </c>
      <c r="F120" s="19">
        <f>Penalty_Triessalpts</f>
        <v>14</v>
      </c>
    </row>
    <row r="121" spans="1:6" ht="14.95" customHeight="1" thickBot="1" x14ac:dyDescent="0.3">
      <c r="A121" s="10" t="s">
        <v>211</v>
      </c>
      <c r="B121" s="62" t="s">
        <v>95</v>
      </c>
      <c r="C121" s="9">
        <f>du_Preez_Dsaltries</f>
        <v>2</v>
      </c>
      <c r="D121" s="2" t="s">
        <v>98</v>
      </c>
      <c r="E121" s="2" t="s">
        <v>97</v>
      </c>
      <c r="F121" s="19">
        <f>Penalty_Triessaintspts</f>
        <v>14</v>
      </c>
    </row>
    <row r="122" spans="1:6" ht="14.95" customHeight="1" thickBot="1" x14ac:dyDescent="0.3">
      <c r="A122" s="62" t="s">
        <v>992</v>
      </c>
      <c r="B122" s="62" t="s">
        <v>96</v>
      </c>
      <c r="C122" s="9">
        <f>Emensbthtries</f>
        <v>2</v>
      </c>
      <c r="D122" s="2" t="s">
        <v>948</v>
      </c>
      <c r="E122" s="2" t="s">
        <v>366</v>
      </c>
      <c r="F122" s="19">
        <f>Swielsarpts</f>
        <v>14</v>
      </c>
    </row>
    <row r="123" spans="1:6" ht="14.95" customHeight="1" thickBot="1" x14ac:dyDescent="0.3">
      <c r="A123" s="62" t="s">
        <v>135</v>
      </c>
      <c r="B123" s="62" t="s">
        <v>94</v>
      </c>
      <c r="C123" s="9">
        <f>Ford_Robinsonglotries</f>
        <v>2</v>
      </c>
      <c r="D123" s="2" t="s">
        <v>118</v>
      </c>
      <c r="E123" s="2" t="s">
        <v>96</v>
      </c>
      <c r="F123" s="19">
        <f>Spencer_Bbthpts</f>
        <v>13</v>
      </c>
    </row>
    <row r="124" spans="1:6" ht="14.95" customHeight="1" thickBot="1" x14ac:dyDescent="0.3">
      <c r="A124" s="62" t="s">
        <v>398</v>
      </c>
      <c r="B124" s="62" t="s">
        <v>105</v>
      </c>
      <c r="C124" s="9">
        <f>Frostexetries</f>
        <v>2</v>
      </c>
      <c r="D124" s="2" t="s">
        <v>863</v>
      </c>
      <c r="E124" s="2" t="s">
        <v>97</v>
      </c>
      <c r="F124" s="19">
        <f>Marshallnorpts</f>
        <v>12</v>
      </c>
    </row>
    <row r="125" spans="1:6" ht="14.95" customHeight="1" thickBot="1" x14ac:dyDescent="0.3">
      <c r="A125" s="62" t="s">
        <v>136</v>
      </c>
      <c r="B125" s="62" t="s">
        <v>97</v>
      </c>
      <c r="C125" s="9">
        <f>Furbanknortriescorrect</f>
        <v>2</v>
      </c>
      <c r="D125" s="2" t="s">
        <v>331</v>
      </c>
      <c r="E125" s="2" t="s">
        <v>96</v>
      </c>
      <c r="F125" s="19">
        <f>Baileybthpts</f>
        <v>11</v>
      </c>
    </row>
    <row r="126" spans="1:6" ht="14.95" customHeight="1" thickBot="1" x14ac:dyDescent="0.3">
      <c r="A126" s="62" t="s">
        <v>1093</v>
      </c>
      <c r="B126" s="62" t="s">
        <v>366</v>
      </c>
      <c r="C126" s="9">
        <f>Hallsartries</f>
        <v>2</v>
      </c>
      <c r="D126" s="2" t="s">
        <v>783</v>
      </c>
      <c r="E126" s="2" t="s">
        <v>104</v>
      </c>
      <c r="F126" s="19">
        <f>Halfpennyharpts</f>
        <v>11</v>
      </c>
    </row>
    <row r="127" spans="1:6" ht="14.95" customHeight="1" thickBot="1" x14ac:dyDescent="0.3">
      <c r="A127" s="62" t="s">
        <v>570</v>
      </c>
      <c r="B127" s="62" t="s">
        <v>105</v>
      </c>
      <c r="C127" s="9">
        <f>Haydon_WoodEXEtries</f>
        <v>2</v>
      </c>
      <c r="D127" s="2" t="s">
        <v>873</v>
      </c>
      <c r="E127" s="2" t="s">
        <v>95</v>
      </c>
      <c r="F127" s="19">
        <f>Addisonsal2ndspellpts</f>
        <v>10</v>
      </c>
    </row>
    <row r="128" spans="1:6" ht="14.95" customHeight="1" thickBot="1" x14ac:dyDescent="0.3">
      <c r="A128" s="62" t="s">
        <v>841</v>
      </c>
      <c r="B128" s="62" t="s">
        <v>282</v>
      </c>
      <c r="C128" s="9">
        <f>Hearlenewtries</f>
        <v>2</v>
      </c>
      <c r="D128" s="17" t="s">
        <v>122</v>
      </c>
      <c r="E128" s="17" t="s">
        <v>96</v>
      </c>
      <c r="F128" s="19">
        <f>Annettbthpts</f>
        <v>10</v>
      </c>
    </row>
    <row r="129" spans="1:6" ht="14.95" customHeight="1" thickBot="1" x14ac:dyDescent="0.3">
      <c r="A129" s="10" t="s">
        <v>246</v>
      </c>
      <c r="B129" s="10" t="s">
        <v>620</v>
      </c>
      <c r="C129" s="9">
        <f>Harrisonsamtries</f>
        <v>2</v>
      </c>
      <c r="D129" s="2" t="s">
        <v>422</v>
      </c>
      <c r="E129" s="2" t="s">
        <v>97</v>
      </c>
      <c r="F129" s="19">
        <f>Augustusnorpts</f>
        <v>10</v>
      </c>
    </row>
    <row r="130" spans="1:6" ht="14.95" customHeight="1" thickBot="1" x14ac:dyDescent="0.3">
      <c r="A130" s="62" t="s">
        <v>1105</v>
      </c>
      <c r="B130" s="62" t="s">
        <v>96</v>
      </c>
      <c r="C130" s="9">
        <f>HennesseyBTHtries</f>
        <v>2</v>
      </c>
      <c r="D130" s="2" t="s">
        <v>520</v>
      </c>
      <c r="E130" s="2" t="s">
        <v>108</v>
      </c>
      <c r="F130" s="19">
        <f>Armstrongbripts</f>
        <v>10</v>
      </c>
    </row>
    <row r="131" spans="1:6" ht="14.95" customHeight="1" thickBot="1" x14ac:dyDescent="0.3">
      <c r="A131" s="62" t="s">
        <v>549</v>
      </c>
      <c r="B131" s="62" t="s">
        <v>108</v>
      </c>
      <c r="C131" s="9">
        <f>Hewardbritries</f>
        <v>2</v>
      </c>
      <c r="D131" s="2" t="s">
        <v>557</v>
      </c>
      <c r="E131" s="2" t="s">
        <v>104</v>
      </c>
      <c r="F131" s="19">
        <f>Baxterharpts</f>
        <v>10</v>
      </c>
    </row>
    <row r="132" spans="1:6" ht="14.95" customHeight="1" thickBot="1" x14ac:dyDescent="0.3">
      <c r="A132" s="62" t="s">
        <v>140</v>
      </c>
      <c r="B132" s="62" t="s">
        <v>97</v>
      </c>
      <c r="C132" s="9">
        <f>Hutchinsonnortries</f>
        <v>2</v>
      </c>
      <c r="D132" s="2" t="s">
        <v>123</v>
      </c>
      <c r="E132" s="2" t="s">
        <v>96</v>
      </c>
      <c r="F132" s="19">
        <f>Baylissbthpts</f>
        <v>10</v>
      </c>
    </row>
    <row r="133" spans="1:6" ht="14.95" customHeight="1" thickBot="1" x14ac:dyDescent="0.3">
      <c r="A133" s="62" t="s">
        <v>309</v>
      </c>
      <c r="B133" s="62" t="s">
        <v>97</v>
      </c>
      <c r="C133" s="9">
        <f>Jamesnortries</f>
        <v>2</v>
      </c>
      <c r="D133" s="2" t="s">
        <v>420</v>
      </c>
      <c r="E133" s="2" t="s">
        <v>104</v>
      </c>
      <c r="F133" s="19">
        <f>Beardharpts</f>
        <v>10</v>
      </c>
    </row>
    <row r="134" spans="1:6" ht="14.95" customHeight="1" thickBot="1" x14ac:dyDescent="0.3">
      <c r="A134" s="62" t="s">
        <v>489</v>
      </c>
      <c r="B134" s="62" t="s">
        <v>104</v>
      </c>
      <c r="C134" s="9">
        <f>Jibuluhartries</f>
        <v>2</v>
      </c>
      <c r="D134" s="2" t="s">
        <v>354</v>
      </c>
      <c r="E134" s="2" t="s">
        <v>96</v>
      </c>
      <c r="F134" s="19">
        <f>Buttbthpts</f>
        <v>10</v>
      </c>
    </row>
    <row r="135" spans="1:6" ht="14.95" customHeight="1" thickBot="1" x14ac:dyDescent="0.3">
      <c r="A135" s="62" t="s">
        <v>559</v>
      </c>
      <c r="B135" s="62" t="s">
        <v>282</v>
      </c>
      <c r="C135" s="9">
        <f>Lindsay_Haguenewtries</f>
        <v>2</v>
      </c>
      <c r="D135" s="2" t="s">
        <v>1216</v>
      </c>
      <c r="E135" s="2" t="s">
        <v>282</v>
      </c>
      <c r="F135" s="19">
        <f>Clarknewpts</f>
        <v>10</v>
      </c>
    </row>
    <row r="136" spans="1:6" ht="14.95" customHeight="1" thickBot="1" x14ac:dyDescent="0.3">
      <c r="A136" s="62" t="s">
        <v>322</v>
      </c>
      <c r="B136" s="10" t="s">
        <v>620</v>
      </c>
      <c r="C136" s="9">
        <f>Martinleictries</f>
        <v>2</v>
      </c>
      <c r="D136" s="203" t="s">
        <v>457</v>
      </c>
      <c r="E136" s="203" t="s">
        <v>104</v>
      </c>
      <c r="F136" s="19">
        <f>Cleavesharpts</f>
        <v>10</v>
      </c>
    </row>
    <row r="137" spans="1:6" ht="14.95" customHeight="1" thickBot="1" x14ac:dyDescent="0.3">
      <c r="A137" s="62" t="s">
        <v>150</v>
      </c>
      <c r="B137" s="62" t="s">
        <v>96</v>
      </c>
      <c r="C137" s="9">
        <f>McConnochiebthtries</f>
        <v>2</v>
      </c>
      <c r="D137" s="2" t="s">
        <v>626</v>
      </c>
      <c r="E137" s="2" t="s">
        <v>96</v>
      </c>
      <c r="F137" s="19">
        <f>Cookbthpts</f>
        <v>10</v>
      </c>
    </row>
    <row r="138" spans="1:6" ht="14.95" customHeight="1" thickBot="1" x14ac:dyDescent="0.3">
      <c r="A138" s="62" t="s">
        <v>969</v>
      </c>
      <c r="B138" s="10" t="s">
        <v>95</v>
      </c>
      <c r="C138" s="49">
        <f>McElroysaltries</f>
        <v>2</v>
      </c>
      <c r="D138" s="2" t="s">
        <v>195</v>
      </c>
      <c r="E138" s="2" t="s">
        <v>97</v>
      </c>
      <c r="F138" s="19">
        <f>Colesnorpts</f>
        <v>10</v>
      </c>
    </row>
    <row r="139" spans="1:6" ht="14.95" customHeight="1" thickBot="1" x14ac:dyDescent="0.3">
      <c r="A139" s="62" t="s">
        <v>151</v>
      </c>
      <c r="B139" s="62" t="s">
        <v>97</v>
      </c>
      <c r="C139" s="9">
        <f>Mitchellnortries</f>
        <v>2</v>
      </c>
      <c r="D139" s="203" t="s">
        <v>101</v>
      </c>
      <c r="E139" s="203" t="s">
        <v>95</v>
      </c>
      <c r="F139" s="19">
        <f>Curry_Bsalpts</f>
        <v>10</v>
      </c>
    </row>
    <row r="140" spans="1:6" ht="14.95" customHeight="1" thickBot="1" x14ac:dyDescent="0.3">
      <c r="A140" s="62" t="s">
        <v>703</v>
      </c>
      <c r="B140" s="62" t="s">
        <v>96</v>
      </c>
      <c r="C140" s="9">
        <f>McNallybthtries</f>
        <v>2</v>
      </c>
      <c r="D140" s="2" t="s">
        <v>102</v>
      </c>
      <c r="E140" s="2" t="s">
        <v>95</v>
      </c>
      <c r="F140" s="19">
        <f>Curry_Tsalpts</f>
        <v>10</v>
      </c>
    </row>
    <row r="141" spans="1:6" ht="14.95" customHeight="1" thickBot="1" x14ac:dyDescent="0.3">
      <c r="A141" s="62" t="s">
        <v>850</v>
      </c>
      <c r="B141" s="62" t="s">
        <v>282</v>
      </c>
      <c r="C141" s="9">
        <f>Neildnewtries</f>
        <v>2</v>
      </c>
      <c r="D141" s="2" t="s">
        <v>402</v>
      </c>
      <c r="E141" s="2" t="s">
        <v>97</v>
      </c>
      <c r="F141" s="19">
        <f>DavidsonNORpts</f>
        <v>10</v>
      </c>
    </row>
    <row r="142" spans="1:6" ht="14.95" customHeight="1" thickBot="1" x14ac:dyDescent="0.3">
      <c r="A142" s="62" t="s">
        <v>937</v>
      </c>
      <c r="B142" s="62" t="s">
        <v>366</v>
      </c>
      <c r="C142" s="9">
        <f>Christiesartriescorrect</f>
        <v>2</v>
      </c>
      <c r="D142" s="17" t="s">
        <v>820</v>
      </c>
      <c r="E142" s="17" t="s">
        <v>282</v>
      </c>
      <c r="F142" s="19">
        <f>Daltonnewpts</f>
        <v>10</v>
      </c>
    </row>
    <row r="143" spans="1:6" ht="14.95" customHeight="1" thickBot="1" x14ac:dyDescent="0.3">
      <c r="A143" s="62" t="s">
        <v>883</v>
      </c>
      <c r="B143" s="62" t="s">
        <v>95</v>
      </c>
      <c r="C143" s="6">
        <f>Ostrikovandreitries</f>
        <v>2</v>
      </c>
      <c r="D143" s="2" t="s">
        <v>189</v>
      </c>
      <c r="E143" s="2" t="s">
        <v>97</v>
      </c>
      <c r="F143" s="19">
        <f>Dingwallnorpts</f>
        <v>10</v>
      </c>
    </row>
    <row r="144" spans="1:6" ht="14.95" customHeight="1" thickBot="1" x14ac:dyDescent="0.3">
      <c r="A144" s="62" t="s">
        <v>98</v>
      </c>
      <c r="B144" s="62" t="s">
        <v>95</v>
      </c>
      <c r="C144" s="9">
        <f>Penalty_Triessaltries</f>
        <v>2</v>
      </c>
      <c r="D144" s="17" t="s">
        <v>211</v>
      </c>
      <c r="E144" s="2" t="s">
        <v>95</v>
      </c>
      <c r="F144" s="19">
        <f>du_Preez_Dsalpts</f>
        <v>10</v>
      </c>
    </row>
    <row r="145" spans="1:6" ht="14.95" customHeight="1" thickBot="1" x14ac:dyDescent="0.3">
      <c r="A145" s="62" t="s">
        <v>98</v>
      </c>
      <c r="B145" s="62" t="s">
        <v>97</v>
      </c>
      <c r="C145" s="9">
        <f>Penalty_Triessaintstries</f>
        <v>2</v>
      </c>
      <c r="D145" s="21" t="s">
        <v>992</v>
      </c>
      <c r="E145" s="21" t="s">
        <v>96</v>
      </c>
      <c r="F145" s="19">
        <f>Emensbthpts</f>
        <v>10</v>
      </c>
    </row>
    <row r="146" spans="1:6" ht="14.95" customHeight="1" thickBot="1" x14ac:dyDescent="0.3">
      <c r="A146" s="8" t="s">
        <v>509</v>
      </c>
      <c r="B146" s="62" t="s">
        <v>97</v>
      </c>
      <c r="C146" s="9">
        <f>Pollocknortries</f>
        <v>2</v>
      </c>
      <c r="D146" s="21" t="s">
        <v>135</v>
      </c>
      <c r="E146" s="21" t="s">
        <v>94</v>
      </c>
      <c r="F146" s="19">
        <f>Ford_Robinsonglopts</f>
        <v>10</v>
      </c>
    </row>
    <row r="147" spans="1:6" ht="14.95" customHeight="1" thickBot="1" x14ac:dyDescent="0.3">
      <c r="A147" s="8" t="s">
        <v>338</v>
      </c>
      <c r="B147" s="62" t="s">
        <v>95</v>
      </c>
      <c r="C147" s="9">
        <f>Quirkesaltries</f>
        <v>2</v>
      </c>
      <c r="D147" s="19" t="s">
        <v>398</v>
      </c>
      <c r="E147" s="21" t="s">
        <v>105</v>
      </c>
      <c r="F147" s="19">
        <f>Frostexepts</f>
        <v>10</v>
      </c>
    </row>
    <row r="148" spans="1:6" ht="14.95" customHeight="1" thickBot="1" x14ac:dyDescent="0.3">
      <c r="A148" s="8" t="s">
        <v>156</v>
      </c>
      <c r="B148" s="62" t="s">
        <v>96</v>
      </c>
      <c r="C148" s="9">
        <f>Redpathbthtries</f>
        <v>2</v>
      </c>
      <c r="D148" s="21" t="s">
        <v>136</v>
      </c>
      <c r="E148" s="21" t="s">
        <v>97</v>
      </c>
      <c r="F148" s="18">
        <f>Furbanknorptscorrect</f>
        <v>10</v>
      </c>
    </row>
    <row r="149" spans="1:6" ht="14.95" customHeight="1" thickBot="1" x14ac:dyDescent="0.3">
      <c r="A149" s="8" t="s">
        <v>652</v>
      </c>
      <c r="B149" s="62" t="s">
        <v>282</v>
      </c>
      <c r="C149" s="9">
        <f>Kpokusartries</f>
        <v>2</v>
      </c>
      <c r="D149" s="21" t="s">
        <v>1093</v>
      </c>
      <c r="E149" s="21" t="s">
        <v>366</v>
      </c>
      <c r="F149" s="19">
        <f>Hallsarpts</f>
        <v>10</v>
      </c>
    </row>
    <row r="150" spans="1:6" ht="14.95" customHeight="1" thickBot="1" x14ac:dyDescent="0.3">
      <c r="A150" s="8" t="s">
        <v>264</v>
      </c>
      <c r="B150" s="62" t="s">
        <v>96</v>
      </c>
      <c r="C150" s="9">
        <f>Robertsbthtries</f>
        <v>2</v>
      </c>
      <c r="D150" s="21" t="s">
        <v>570</v>
      </c>
      <c r="E150" s="21" t="s">
        <v>105</v>
      </c>
      <c r="F150" s="19">
        <f>Haywood_WoodEXEpts</f>
        <v>10</v>
      </c>
    </row>
    <row r="151" spans="1:6" ht="14.95" customHeight="1" thickBot="1" x14ac:dyDescent="0.3">
      <c r="A151" s="8" t="s">
        <v>475</v>
      </c>
      <c r="B151" s="62" t="s">
        <v>104</v>
      </c>
      <c r="C151" s="9">
        <f>Scotland_W_sonhartries</f>
        <v>2</v>
      </c>
      <c r="D151" s="21" t="s">
        <v>841</v>
      </c>
      <c r="E151" s="21" t="s">
        <v>282</v>
      </c>
      <c r="F151" s="19">
        <f>Hearlenewpts</f>
        <v>10</v>
      </c>
    </row>
    <row r="152" spans="1:6" ht="14.95" customHeight="1" thickBot="1" x14ac:dyDescent="0.3">
      <c r="A152" s="8" t="s">
        <v>1145</v>
      </c>
      <c r="B152" s="62" t="s">
        <v>96</v>
      </c>
      <c r="C152" s="9">
        <f>Rouxbthpremtries</f>
        <v>2</v>
      </c>
      <c r="D152" s="19" t="s">
        <v>246</v>
      </c>
      <c r="E152" s="19" t="s">
        <v>620</v>
      </c>
      <c r="F152" s="19">
        <f>Harrisonsampts</f>
        <v>10</v>
      </c>
    </row>
    <row r="153" spans="1:6" ht="14.95" customHeight="1" thickBot="1" x14ac:dyDescent="0.3">
      <c r="A153" s="8" t="s">
        <v>180</v>
      </c>
      <c r="B153" s="62" t="s">
        <v>105</v>
      </c>
      <c r="C153" s="9">
        <f>Skinner_Hexetries</f>
        <v>2</v>
      </c>
      <c r="D153" s="21" t="s">
        <v>1105</v>
      </c>
      <c r="E153" s="21" t="s">
        <v>96</v>
      </c>
      <c r="F153" s="19">
        <f>HennesseyBTHpts</f>
        <v>10</v>
      </c>
    </row>
    <row r="154" spans="1:6" ht="14.95" customHeight="1" thickBot="1" x14ac:dyDescent="0.3">
      <c r="A154" s="8" t="s">
        <v>118</v>
      </c>
      <c r="B154" s="62" t="s">
        <v>96</v>
      </c>
      <c r="C154" s="9">
        <f>Spencer_Bbthtries</f>
        <v>2</v>
      </c>
      <c r="D154" s="21" t="s">
        <v>549</v>
      </c>
      <c r="E154" s="21" t="s">
        <v>108</v>
      </c>
      <c r="F154" s="19">
        <f>Hewardbripts</f>
        <v>10</v>
      </c>
    </row>
    <row r="155" spans="1:6" ht="14.95" customHeight="1" thickBot="1" x14ac:dyDescent="0.3">
      <c r="A155" s="9" t="s">
        <v>293</v>
      </c>
      <c r="B155" s="10" t="s">
        <v>282</v>
      </c>
      <c r="C155" s="9">
        <f>Lamositelesartries</f>
        <v>2</v>
      </c>
      <c r="D155" s="21" t="s">
        <v>489</v>
      </c>
      <c r="E155" s="21" t="s">
        <v>104</v>
      </c>
      <c r="F155" s="19">
        <f>Jibuluharpts</f>
        <v>10</v>
      </c>
    </row>
    <row r="156" spans="1:6" ht="14.95" customHeight="1" thickBot="1" x14ac:dyDescent="0.3">
      <c r="A156" s="8" t="s">
        <v>380</v>
      </c>
      <c r="B156" s="62" t="s">
        <v>366</v>
      </c>
      <c r="C156" s="9">
        <f>Tompkinssartriescorrect</f>
        <v>2</v>
      </c>
      <c r="D156" s="21" t="s">
        <v>559</v>
      </c>
      <c r="E156" s="21" t="s">
        <v>282</v>
      </c>
      <c r="F156" s="19">
        <f>Lindsay_Haguenewpts</f>
        <v>10</v>
      </c>
    </row>
    <row r="157" spans="1:6" ht="14.95" customHeight="1" thickBot="1" x14ac:dyDescent="0.3">
      <c r="A157" s="8" t="s">
        <v>381</v>
      </c>
      <c r="B157" s="62" t="s">
        <v>366</v>
      </c>
      <c r="C157" s="9">
        <f>van_Zylsartriescorrect</f>
        <v>2</v>
      </c>
      <c r="D157" s="21" t="s">
        <v>322</v>
      </c>
      <c r="E157" s="21" t="s">
        <v>620</v>
      </c>
      <c r="F157" s="19">
        <f>Martinleicpts</f>
        <v>10</v>
      </c>
    </row>
    <row r="158" spans="1:6" ht="14.95" customHeight="1" thickBot="1" x14ac:dyDescent="0.3">
      <c r="A158" s="8" t="s">
        <v>401</v>
      </c>
      <c r="B158" s="62" t="s">
        <v>95</v>
      </c>
      <c r="C158" s="9">
        <f>Warrsaltries</f>
        <v>2</v>
      </c>
      <c r="D158" s="21" t="s">
        <v>150</v>
      </c>
      <c r="E158" s="21" t="s">
        <v>96</v>
      </c>
      <c r="F158" s="19">
        <f>McConnochiebthpts</f>
        <v>10</v>
      </c>
    </row>
    <row r="159" spans="1:6" ht="14.95" customHeight="1" thickBot="1" x14ac:dyDescent="0.3">
      <c r="A159" s="8" t="s">
        <v>168</v>
      </c>
      <c r="B159" s="62" t="s">
        <v>105</v>
      </c>
      <c r="C159" s="9">
        <f>Yeandlejacktries</f>
        <v>2</v>
      </c>
      <c r="D159" s="21" t="s">
        <v>969</v>
      </c>
      <c r="E159" s="21" t="s">
        <v>95</v>
      </c>
      <c r="F159" s="19">
        <f>McElroysalpts</f>
        <v>10</v>
      </c>
    </row>
    <row r="160" spans="1:6" ht="14.95" customHeight="1" thickBot="1" x14ac:dyDescent="0.3">
      <c r="A160" s="8" t="s">
        <v>532</v>
      </c>
      <c r="B160" s="62" t="s">
        <v>104</v>
      </c>
      <c r="C160" s="9">
        <f>Andersonhartries</f>
        <v>1</v>
      </c>
      <c r="D160" s="21" t="s">
        <v>703</v>
      </c>
      <c r="E160" s="21" t="s">
        <v>96</v>
      </c>
      <c r="F160" s="19">
        <f>McNallybthpts</f>
        <v>10</v>
      </c>
    </row>
    <row r="161" spans="1:6" ht="14.95" customHeight="1" thickBot="1" x14ac:dyDescent="0.3">
      <c r="A161" s="8" t="s">
        <v>470</v>
      </c>
      <c r="B161" s="62" t="s">
        <v>104</v>
      </c>
      <c r="C161" s="9">
        <f>Anyanwuhartries</f>
        <v>1</v>
      </c>
      <c r="D161" s="21" t="s">
        <v>850</v>
      </c>
      <c r="E161" s="21" t="s">
        <v>282</v>
      </c>
      <c r="F161" s="19">
        <f>Neildnewpts</f>
        <v>10</v>
      </c>
    </row>
    <row r="162" spans="1:6" ht="14.95" customHeight="1" thickBot="1" x14ac:dyDescent="0.3">
      <c r="A162" s="8" t="s">
        <v>843</v>
      </c>
      <c r="B162" s="62" t="s">
        <v>282</v>
      </c>
      <c r="C162" s="9">
        <f>Arnoldnewtries</f>
        <v>1</v>
      </c>
      <c r="D162" s="21" t="s">
        <v>937</v>
      </c>
      <c r="E162" s="21" t="s">
        <v>366</v>
      </c>
      <c r="F162" s="19">
        <f>Christiesarptscorrect</f>
        <v>10</v>
      </c>
    </row>
    <row r="163" spans="1:6" ht="14.95" customHeight="1" thickBot="1" x14ac:dyDescent="0.3">
      <c r="A163" s="8" t="s">
        <v>307</v>
      </c>
      <c r="B163" s="62" t="s">
        <v>94</v>
      </c>
      <c r="C163" s="9">
        <f>Atkinson_Cglotries</f>
        <v>1</v>
      </c>
      <c r="D163" s="21" t="s">
        <v>883</v>
      </c>
      <c r="E163" s="21" t="s">
        <v>95</v>
      </c>
      <c r="F163" s="20">
        <f>OStrikovsalpts</f>
        <v>10</v>
      </c>
    </row>
    <row r="164" spans="1:6" ht="14.95" customHeight="1" thickBot="1" x14ac:dyDescent="0.3">
      <c r="A164" s="8" t="s">
        <v>331</v>
      </c>
      <c r="B164" s="62" t="s">
        <v>96</v>
      </c>
      <c r="C164" s="9">
        <f>Baileybthtries</f>
        <v>1</v>
      </c>
      <c r="D164" s="21" t="s">
        <v>509</v>
      </c>
      <c r="E164" s="21" t="s">
        <v>97</v>
      </c>
      <c r="F164" s="20">
        <f>Pollocknorpts</f>
        <v>10</v>
      </c>
    </row>
    <row r="165" spans="1:6" ht="14.95" customHeight="1" thickBot="1" x14ac:dyDescent="0.3">
      <c r="A165" s="8" t="s">
        <v>597</v>
      </c>
      <c r="B165" s="62" t="s">
        <v>96</v>
      </c>
      <c r="C165" s="9">
        <f>Barbearybthtries</f>
        <v>1</v>
      </c>
      <c r="D165" s="21" t="s">
        <v>338</v>
      </c>
      <c r="E165" s="21" t="s">
        <v>95</v>
      </c>
      <c r="F165" s="19">
        <f>Quirkesalpts</f>
        <v>10</v>
      </c>
    </row>
    <row r="166" spans="1:6" ht="14.95" customHeight="1" thickBot="1" x14ac:dyDescent="0.3">
      <c r="A166" s="8" t="s">
        <v>1322</v>
      </c>
      <c r="B166" s="62" t="s">
        <v>366</v>
      </c>
      <c r="C166" s="9">
        <f>Bracken_CSARTRIES</f>
        <v>1</v>
      </c>
      <c r="D166" s="21" t="s">
        <v>156</v>
      </c>
      <c r="E166" s="21" t="s">
        <v>96</v>
      </c>
      <c r="F166" s="19">
        <f>Redpathbthpts</f>
        <v>10</v>
      </c>
    </row>
    <row r="167" spans="1:6" ht="14.95" customHeight="1" thickBot="1" x14ac:dyDescent="0.3">
      <c r="A167" s="8" t="s">
        <v>126</v>
      </c>
      <c r="B167" s="10" t="s">
        <v>620</v>
      </c>
      <c r="C167" s="9">
        <f>brownleitries</f>
        <v>1</v>
      </c>
      <c r="D167" s="21" t="s">
        <v>652</v>
      </c>
      <c r="E167" s="21" t="s">
        <v>282</v>
      </c>
      <c r="F167" s="19">
        <f>Kpokusarpts</f>
        <v>10</v>
      </c>
    </row>
    <row r="168" spans="1:6" ht="14.95" customHeight="1" thickBot="1" x14ac:dyDescent="0.3">
      <c r="A168" s="8" t="s">
        <v>1157</v>
      </c>
      <c r="B168" s="8" t="s">
        <v>108</v>
      </c>
      <c r="C168" s="9">
        <f>Byrnehbritries</f>
        <v>1</v>
      </c>
      <c r="D168" s="21" t="s">
        <v>264</v>
      </c>
      <c r="E168" s="21" t="s">
        <v>96</v>
      </c>
      <c r="F168" s="19">
        <f>Robertsbthpts</f>
        <v>10</v>
      </c>
    </row>
    <row r="169" spans="1:6" ht="14.95" customHeight="1" thickBot="1" x14ac:dyDescent="0.3">
      <c r="A169" s="8" t="s">
        <v>555</v>
      </c>
      <c r="B169" s="8" t="s">
        <v>105</v>
      </c>
      <c r="C169" s="9">
        <f>Cairnsexetries</f>
        <v>1</v>
      </c>
      <c r="D169" s="21" t="s">
        <v>475</v>
      </c>
      <c r="E169" s="21" t="s">
        <v>104</v>
      </c>
      <c r="F169" s="19">
        <f>Scotland_W_sonharpts</f>
        <v>10</v>
      </c>
    </row>
    <row r="170" spans="1:6" ht="14.95" customHeight="1" thickBot="1" x14ac:dyDescent="0.3">
      <c r="A170" s="8" t="s">
        <v>223</v>
      </c>
      <c r="B170" s="8" t="s">
        <v>108</v>
      </c>
      <c r="C170" s="9">
        <f>Caponbritries</f>
        <v>1</v>
      </c>
      <c r="D170" s="21" t="s">
        <v>1145</v>
      </c>
      <c r="E170" s="21" t="s">
        <v>96</v>
      </c>
      <c r="F170" s="19">
        <f>Rouxbthprempts</f>
        <v>10</v>
      </c>
    </row>
    <row r="171" spans="1:6" ht="14.95" customHeight="1" thickBot="1" x14ac:dyDescent="0.3">
      <c r="A171" s="8" t="s">
        <v>185</v>
      </c>
      <c r="B171" s="8" t="s">
        <v>105</v>
      </c>
      <c r="C171" s="9">
        <f>Capstickexetries</f>
        <v>1</v>
      </c>
      <c r="D171" s="19" t="s">
        <v>293</v>
      </c>
      <c r="E171" s="19" t="s">
        <v>282</v>
      </c>
      <c r="F171" s="19">
        <f>Lamositelesarpts</f>
        <v>10</v>
      </c>
    </row>
    <row r="172" spans="1:6" ht="14.95" customHeight="1" thickBot="1" x14ac:dyDescent="0.3">
      <c r="A172" s="8" t="s">
        <v>910</v>
      </c>
      <c r="B172" s="8" t="s">
        <v>366</v>
      </c>
      <c r="C172" s="9">
        <f>Carresartries</f>
        <v>1</v>
      </c>
      <c r="D172" s="21" t="s">
        <v>380</v>
      </c>
      <c r="E172" s="21" t="s">
        <v>366</v>
      </c>
      <c r="F172" s="19">
        <f>Tompkinssarptscorrect2</f>
        <v>10</v>
      </c>
    </row>
    <row r="173" spans="1:6" ht="14.95" customHeight="1" thickBot="1" x14ac:dyDescent="0.3">
      <c r="A173" s="309" t="s">
        <v>328</v>
      </c>
      <c r="B173" s="9" t="s">
        <v>620</v>
      </c>
      <c r="C173" s="6">
        <f>Chessumleictries</f>
        <v>1</v>
      </c>
      <c r="D173" s="21" t="s">
        <v>381</v>
      </c>
      <c r="E173" s="21" t="s">
        <v>366</v>
      </c>
      <c r="F173" s="19">
        <f>van_Zylsarptscorrect</f>
        <v>10</v>
      </c>
    </row>
    <row r="174" spans="1:6" ht="14.95" customHeight="1" thickBot="1" x14ac:dyDescent="0.3">
      <c r="A174" s="8" t="s">
        <v>99</v>
      </c>
      <c r="B174" s="8" t="s">
        <v>104</v>
      </c>
      <c r="C174" s="49">
        <f>Chisholmjameshartries</f>
        <v>1</v>
      </c>
      <c r="D174" s="21" t="s">
        <v>401</v>
      </c>
      <c r="E174" s="21" t="s">
        <v>95</v>
      </c>
      <c r="F174" s="19">
        <f>Warrsalpts</f>
        <v>10</v>
      </c>
    </row>
    <row r="175" spans="1:6" ht="14.95" customHeight="1" thickBot="1" x14ac:dyDescent="0.3">
      <c r="A175" s="8" t="s">
        <v>631</v>
      </c>
      <c r="B175" s="8" t="s">
        <v>366</v>
      </c>
      <c r="C175" s="9">
        <f>Cintisartries</f>
        <v>1</v>
      </c>
      <c r="D175" s="21" t="s">
        <v>870</v>
      </c>
      <c r="E175" s="21" t="s">
        <v>108</v>
      </c>
      <c r="F175" s="19">
        <f>Worsleybripts</f>
        <v>10</v>
      </c>
    </row>
    <row r="176" spans="1:6" ht="14.95" customHeight="1" thickBot="1" x14ac:dyDescent="0.3">
      <c r="A176" s="8" t="s">
        <v>302</v>
      </c>
      <c r="B176" s="9" t="s">
        <v>620</v>
      </c>
      <c r="C176" s="9">
        <f>Blommetjiesleictries</f>
        <v>1</v>
      </c>
      <c r="D176" s="21" t="s">
        <v>168</v>
      </c>
      <c r="E176" s="21" t="s">
        <v>105</v>
      </c>
      <c r="F176" s="19">
        <f>Yeandlejackpts</f>
        <v>10</v>
      </c>
    </row>
    <row r="177" spans="1:6" ht="14.95" customHeight="1" thickBot="1" x14ac:dyDescent="0.3">
      <c r="A177" s="8" t="s">
        <v>128</v>
      </c>
      <c r="B177" s="8" t="s">
        <v>94</v>
      </c>
      <c r="C177" s="9">
        <f>Dawidiukglotries</f>
        <v>1</v>
      </c>
      <c r="D177" s="21" t="s">
        <v>307</v>
      </c>
      <c r="E177" s="21" t="s">
        <v>94</v>
      </c>
      <c r="F177" s="19">
        <f>Atkinson_Cglopts</f>
        <v>7</v>
      </c>
    </row>
    <row r="178" spans="1:6" ht="14.95" customHeight="1" thickBot="1" x14ac:dyDescent="0.3">
      <c r="A178" s="8" t="s">
        <v>130</v>
      </c>
      <c r="B178" s="9" t="s">
        <v>620</v>
      </c>
      <c r="C178" s="9">
        <f>Coleleitries</f>
        <v>1</v>
      </c>
      <c r="D178" s="21" t="s">
        <v>98</v>
      </c>
      <c r="E178" s="21" t="s">
        <v>620</v>
      </c>
      <c r="F178" s="18">
        <f>leicspentriespts</f>
        <v>7</v>
      </c>
    </row>
    <row r="179" spans="1:6" ht="14.95" customHeight="1" thickBot="1" x14ac:dyDescent="0.3">
      <c r="A179" s="8" t="s">
        <v>472</v>
      </c>
      <c r="B179" s="9" t="s">
        <v>620</v>
      </c>
      <c r="C179" s="49">
        <f>Croninleitrie</f>
        <v>1</v>
      </c>
      <c r="D179" s="21" t="s">
        <v>98</v>
      </c>
      <c r="E179" s="21" t="s">
        <v>94</v>
      </c>
      <c r="F179" s="19">
        <f>Penalty_Triesglopts</f>
        <v>7</v>
      </c>
    </row>
    <row r="180" spans="1:6" ht="14.95" customHeight="1" thickBot="1" x14ac:dyDescent="0.3">
      <c r="A180" s="9" t="s">
        <v>191</v>
      </c>
      <c r="B180" s="8" t="s">
        <v>95</v>
      </c>
      <c r="C180" s="9">
        <f>du_Preez_J_Lsaltries</f>
        <v>1</v>
      </c>
      <c r="D180" s="21" t="s">
        <v>902</v>
      </c>
      <c r="E180" s="21" t="s">
        <v>366</v>
      </c>
      <c r="F180" s="19">
        <f>Johnsonsarpts</f>
        <v>6</v>
      </c>
    </row>
    <row r="181" spans="1:6" ht="14.95" customHeight="1" thickBot="1" x14ac:dyDescent="0.3">
      <c r="A181" s="8" t="s">
        <v>628</v>
      </c>
      <c r="B181" s="8" t="s">
        <v>108</v>
      </c>
      <c r="C181" s="9">
        <f>Cranebritries</f>
        <v>1</v>
      </c>
      <c r="D181" s="21" t="s">
        <v>935</v>
      </c>
      <c r="E181" s="21" t="s">
        <v>620</v>
      </c>
      <c r="F181" s="19">
        <f>Volavolaleipts</f>
        <v>6</v>
      </c>
    </row>
    <row r="182" spans="1:6" ht="14.95" customHeight="1" thickBot="1" x14ac:dyDescent="0.3">
      <c r="A182" s="9" t="s">
        <v>132</v>
      </c>
      <c r="B182" s="9" t="s">
        <v>96</v>
      </c>
      <c r="C182" s="9">
        <f>Dunnbattries</f>
        <v>1</v>
      </c>
      <c r="D182" s="21" t="s">
        <v>532</v>
      </c>
      <c r="E182" s="21" t="s">
        <v>104</v>
      </c>
      <c r="F182" s="19">
        <f>Andersonharpts</f>
        <v>5</v>
      </c>
    </row>
    <row r="183" spans="1:6" ht="14.95" customHeight="1" thickBot="1" x14ac:dyDescent="0.3">
      <c r="A183" s="8" t="s">
        <v>678</v>
      </c>
      <c r="B183" s="8" t="s">
        <v>94</v>
      </c>
      <c r="C183" s="6">
        <f>Englefieldglotries</f>
        <v>1</v>
      </c>
      <c r="D183" s="19" t="s">
        <v>470</v>
      </c>
      <c r="E183" s="19" t="s">
        <v>104</v>
      </c>
      <c r="F183" s="19">
        <f>Anyanwuharpts</f>
        <v>5</v>
      </c>
    </row>
    <row r="184" spans="1:6" ht="14.95" customHeight="1" thickBot="1" x14ac:dyDescent="0.3">
      <c r="A184" s="8" t="s">
        <v>134</v>
      </c>
      <c r="B184" s="8" t="s">
        <v>96</v>
      </c>
      <c r="C184" s="9">
        <f>ewelsbthtries</f>
        <v>1</v>
      </c>
      <c r="D184" s="21" t="s">
        <v>843</v>
      </c>
      <c r="E184" s="21" t="s">
        <v>282</v>
      </c>
      <c r="F184" s="19">
        <f>Arnoldnewpts</f>
        <v>5</v>
      </c>
    </row>
    <row r="185" spans="1:6" ht="14.95" customHeight="1" thickBot="1" x14ac:dyDescent="0.3">
      <c r="A185" s="8" t="s">
        <v>552</v>
      </c>
      <c r="B185" s="8" t="s">
        <v>95</v>
      </c>
      <c r="C185" s="9">
        <f>Fordgeorgesaltries</f>
        <v>1</v>
      </c>
      <c r="D185" s="21" t="s">
        <v>597</v>
      </c>
      <c r="E185" s="21" t="s">
        <v>96</v>
      </c>
      <c r="F185" s="19">
        <f>Barbearybthpts</f>
        <v>5</v>
      </c>
    </row>
    <row r="186" spans="1:6" ht="14.95" customHeight="1" thickBot="1" x14ac:dyDescent="0.3">
      <c r="A186" s="8" t="s">
        <v>944</v>
      </c>
      <c r="B186" s="8" t="s">
        <v>108</v>
      </c>
      <c r="C186" s="9">
        <f>Edenbritries</f>
        <v>1</v>
      </c>
      <c r="D186" s="21" t="s">
        <v>1322</v>
      </c>
      <c r="E186" s="21" t="s">
        <v>366</v>
      </c>
      <c r="F186" s="19">
        <f>Bracken_CSARPTS</f>
        <v>5</v>
      </c>
    </row>
    <row r="187" spans="1:6" ht="14.95" customHeight="1" thickBot="1" x14ac:dyDescent="0.3">
      <c r="A187" s="8" t="s">
        <v>670</v>
      </c>
      <c r="B187" s="8" t="s">
        <v>97</v>
      </c>
      <c r="C187" s="9">
        <f>Garsidenortries</f>
        <v>1</v>
      </c>
      <c r="D187" s="21" t="s">
        <v>126</v>
      </c>
      <c r="E187" s="21" t="s">
        <v>620</v>
      </c>
      <c r="F187" s="19">
        <f>brownleipts</f>
        <v>5</v>
      </c>
    </row>
    <row r="188" spans="1:6" ht="14.95" customHeight="1" thickBot="1" x14ac:dyDescent="0.3">
      <c r="A188" s="8" t="s">
        <v>584</v>
      </c>
      <c r="B188" s="8" t="s">
        <v>97</v>
      </c>
      <c r="C188" s="9">
        <f>GlisterNORtries</f>
        <v>1</v>
      </c>
      <c r="D188" s="21" t="s">
        <v>555</v>
      </c>
      <c r="E188" s="21" t="s">
        <v>105</v>
      </c>
      <c r="F188" s="18">
        <f>Cairnsexepts</f>
        <v>5</v>
      </c>
    </row>
    <row r="189" spans="1:6" ht="14.95" customHeight="1" thickBot="1" x14ac:dyDescent="0.3">
      <c r="A189" s="8" t="s">
        <v>370</v>
      </c>
      <c r="B189" s="8" t="s">
        <v>366</v>
      </c>
      <c r="C189" s="9">
        <f>Goodesartriescorrect</f>
        <v>1</v>
      </c>
      <c r="D189" s="21" t="s">
        <v>223</v>
      </c>
      <c r="E189" s="21" t="s">
        <v>108</v>
      </c>
      <c r="F189" s="19">
        <f>Caponbripts</f>
        <v>5</v>
      </c>
    </row>
    <row r="190" spans="1:6" ht="14.95" customHeight="1" thickBot="1" x14ac:dyDescent="0.3">
      <c r="A190" s="8" t="s">
        <v>494</v>
      </c>
      <c r="B190" s="8" t="s">
        <v>97</v>
      </c>
      <c r="C190" s="9">
        <f>Gillespienortries</f>
        <v>1</v>
      </c>
      <c r="D190" s="2" t="s">
        <v>185</v>
      </c>
      <c r="E190" s="2" t="s">
        <v>105</v>
      </c>
      <c r="F190" s="18">
        <f>Capstickexepts</f>
        <v>5</v>
      </c>
    </row>
    <row r="191" spans="1:6" ht="14.95" customHeight="1" thickBot="1" x14ac:dyDescent="0.3">
      <c r="A191" s="8" t="s">
        <v>1066</v>
      </c>
      <c r="B191" s="8" t="s">
        <v>96</v>
      </c>
      <c r="C191" s="49">
        <f>Greenbthtriescorrect</f>
        <v>1</v>
      </c>
      <c r="D191" s="2" t="s">
        <v>910</v>
      </c>
      <c r="E191" s="2" t="s">
        <v>366</v>
      </c>
      <c r="F191" s="19">
        <f>Carresarpts</f>
        <v>5</v>
      </c>
    </row>
    <row r="192" spans="1:6" ht="14.95" customHeight="1" thickBot="1" x14ac:dyDescent="0.3">
      <c r="A192" s="62" t="s">
        <v>1318</v>
      </c>
      <c r="B192" s="62" t="s">
        <v>97</v>
      </c>
      <c r="C192" s="9">
        <f>Greennortries</f>
        <v>1</v>
      </c>
      <c r="D192" s="2" t="s">
        <v>328</v>
      </c>
      <c r="E192" s="2" t="s">
        <v>620</v>
      </c>
      <c r="F192" s="19">
        <f>Chessumleicpts</f>
        <v>5</v>
      </c>
    </row>
    <row r="193" spans="1:6" ht="14.95" customHeight="1" thickBot="1" x14ac:dyDescent="0.3">
      <c r="A193" s="12" t="s">
        <v>325</v>
      </c>
      <c r="B193" s="12" t="s">
        <v>104</v>
      </c>
      <c r="C193" s="6">
        <f>Greenhartries</f>
        <v>1</v>
      </c>
      <c r="D193" s="2" t="s">
        <v>99</v>
      </c>
      <c r="E193" s="2" t="s">
        <v>104</v>
      </c>
      <c r="F193" s="19">
        <f>Chisholmjamesharpts</f>
        <v>5</v>
      </c>
    </row>
    <row r="194" spans="1:6" ht="14.95" customHeight="1" thickBot="1" x14ac:dyDescent="0.3">
      <c r="A194" s="62" t="s">
        <v>662</v>
      </c>
      <c r="B194" s="62" t="s">
        <v>366</v>
      </c>
      <c r="C194" s="9">
        <f>Hadfieldsartries</f>
        <v>1</v>
      </c>
      <c r="D194" s="2" t="s">
        <v>631</v>
      </c>
      <c r="E194" s="2" t="s">
        <v>366</v>
      </c>
      <c r="F194" s="19">
        <f>Cintisarpts</f>
        <v>5</v>
      </c>
    </row>
    <row r="195" spans="1:6" ht="14.95" customHeight="1" thickBot="1" x14ac:dyDescent="0.3">
      <c r="A195" s="10" t="s">
        <v>783</v>
      </c>
      <c r="B195" s="10" t="s">
        <v>104</v>
      </c>
      <c r="C195" s="9">
        <f>Halfpennyhartries</f>
        <v>1</v>
      </c>
      <c r="D195" s="2" t="s">
        <v>302</v>
      </c>
      <c r="E195" s="2" t="s">
        <v>620</v>
      </c>
      <c r="F195" s="16">
        <f>Blommetjiesleicpts</f>
        <v>5</v>
      </c>
    </row>
    <row r="196" spans="1:6" ht="14.95" customHeight="1" thickBot="1" x14ac:dyDescent="0.3">
      <c r="A196" s="62" t="s">
        <v>569</v>
      </c>
      <c r="B196" s="62" t="s">
        <v>105</v>
      </c>
      <c r="C196" s="9">
        <f>HammersleyEXEtries</f>
        <v>1</v>
      </c>
      <c r="D196" s="2" t="s">
        <v>128</v>
      </c>
      <c r="E196" s="2" t="s">
        <v>94</v>
      </c>
      <c r="F196" s="16">
        <f>Dawidiukglopts</f>
        <v>5</v>
      </c>
    </row>
    <row r="197" spans="1:6" ht="14.95" customHeight="1" thickBot="1" x14ac:dyDescent="0.3">
      <c r="A197" s="10" t="s">
        <v>430</v>
      </c>
      <c r="B197" s="10" t="s">
        <v>104</v>
      </c>
      <c r="C197" s="9">
        <f>Herronhartries</f>
        <v>1</v>
      </c>
      <c r="D197" s="2" t="s">
        <v>130</v>
      </c>
      <c r="E197" s="2" t="s">
        <v>620</v>
      </c>
      <c r="F197" s="16">
        <f>Coleleipts</f>
        <v>5</v>
      </c>
    </row>
    <row r="198" spans="1:6" ht="14.95" customHeight="1" thickBot="1" x14ac:dyDescent="0.3">
      <c r="A198" s="62" t="s">
        <v>530</v>
      </c>
      <c r="B198" s="62" t="s">
        <v>96</v>
      </c>
      <c r="C198" s="9">
        <f>Harrisbthtries</f>
        <v>1</v>
      </c>
      <c r="D198" s="2" t="s">
        <v>472</v>
      </c>
      <c r="E198" s="2" t="s">
        <v>620</v>
      </c>
      <c r="F198" s="16">
        <f>Croninleipts</f>
        <v>5</v>
      </c>
    </row>
    <row r="199" spans="1:6" ht="14.95" customHeight="1" thickBot="1" x14ac:dyDescent="0.3">
      <c r="A199" s="10" t="s">
        <v>826</v>
      </c>
      <c r="B199" s="10" t="s">
        <v>282</v>
      </c>
      <c r="C199" s="9">
        <f>Haydon_Woodnewtries</f>
        <v>1</v>
      </c>
      <c r="D199" s="17" t="s">
        <v>191</v>
      </c>
      <c r="E199" s="2" t="s">
        <v>95</v>
      </c>
      <c r="F199" s="16">
        <f>du_Preez_J_Lsalpts</f>
        <v>5</v>
      </c>
    </row>
    <row r="200" spans="1:6" ht="14.95" customHeight="1" thickBot="1" x14ac:dyDescent="0.3">
      <c r="A200" s="62" t="s">
        <v>139</v>
      </c>
      <c r="B200" s="62" t="s">
        <v>108</v>
      </c>
      <c r="C200" s="9">
        <f>Fowlietomtries</f>
        <v>1</v>
      </c>
      <c r="D200" s="2" t="s">
        <v>628</v>
      </c>
      <c r="E200" s="2" t="s">
        <v>108</v>
      </c>
      <c r="F200" s="16">
        <f>cranebripts</f>
        <v>5</v>
      </c>
    </row>
    <row r="201" spans="1:6" ht="14.95" customHeight="1" thickBot="1" x14ac:dyDescent="0.3">
      <c r="A201" s="62" t="s">
        <v>281</v>
      </c>
      <c r="B201" s="10" t="s">
        <v>620</v>
      </c>
      <c r="C201" s="9">
        <f>Holmesleictries</f>
        <v>1</v>
      </c>
      <c r="D201" s="17" t="s">
        <v>132</v>
      </c>
      <c r="E201" s="17" t="s">
        <v>96</v>
      </c>
      <c r="F201" s="16">
        <f>Dunntompts</f>
        <v>5</v>
      </c>
    </row>
    <row r="202" spans="1:6" ht="14.95" customHeight="1" thickBot="1" x14ac:dyDescent="0.3">
      <c r="A202" s="62" t="s">
        <v>141</v>
      </c>
      <c r="B202" s="62" t="s">
        <v>105</v>
      </c>
      <c r="C202" s="9">
        <f>holmesexetries</f>
        <v>1</v>
      </c>
      <c r="D202" s="203" t="s">
        <v>678</v>
      </c>
      <c r="E202" s="203" t="s">
        <v>94</v>
      </c>
      <c r="F202" s="16">
        <f>Englefieldglopts</f>
        <v>5</v>
      </c>
    </row>
    <row r="203" spans="1:6" ht="14.95" customHeight="1" thickBot="1" x14ac:dyDescent="0.3">
      <c r="A203" s="62" t="s">
        <v>385</v>
      </c>
      <c r="B203" s="62" t="s">
        <v>105</v>
      </c>
      <c r="C203" s="9">
        <f>Iosefa_Scottexetries</f>
        <v>1</v>
      </c>
      <c r="D203" s="2" t="s">
        <v>134</v>
      </c>
      <c r="E203" s="2" t="s">
        <v>96</v>
      </c>
      <c r="F203" s="16">
        <f>Ewelsbthpts</f>
        <v>5</v>
      </c>
    </row>
    <row r="204" spans="1:6" ht="14.95" customHeight="1" thickBot="1" x14ac:dyDescent="0.3">
      <c r="A204" s="62" t="s">
        <v>372</v>
      </c>
      <c r="B204" s="62" t="s">
        <v>366</v>
      </c>
      <c r="C204" s="9">
        <f>Itojesartriescorrect</f>
        <v>1</v>
      </c>
      <c r="D204" s="2" t="s">
        <v>944</v>
      </c>
      <c r="E204" s="2" t="s">
        <v>108</v>
      </c>
      <c r="F204" s="16">
        <f>Edenbripts</f>
        <v>5</v>
      </c>
    </row>
    <row r="205" spans="1:6" ht="14.95" customHeight="1" thickBot="1" x14ac:dyDescent="0.3">
      <c r="A205" s="62" t="s">
        <v>84</v>
      </c>
      <c r="B205" s="62" t="s">
        <v>95</v>
      </c>
      <c r="C205" s="9">
        <f>James_Lsaltries</f>
        <v>1</v>
      </c>
      <c r="D205" s="2" t="s">
        <v>670</v>
      </c>
      <c r="E205" s="2" t="s">
        <v>97</v>
      </c>
      <c r="F205" s="16">
        <f>Garsidenorpts</f>
        <v>5</v>
      </c>
    </row>
    <row r="206" spans="1:6" ht="14.95" customHeight="1" thickBot="1" x14ac:dyDescent="0.3">
      <c r="A206" s="62" t="s">
        <v>527</v>
      </c>
      <c r="B206" s="62" t="s">
        <v>105</v>
      </c>
      <c r="C206" s="9">
        <f>Jenkins_Dexetries</f>
        <v>1</v>
      </c>
      <c r="D206" s="2" t="s">
        <v>584</v>
      </c>
      <c r="E206" s="2" t="s">
        <v>97</v>
      </c>
      <c r="F206" s="258">
        <f>GlisterNORpts</f>
        <v>5</v>
      </c>
    </row>
    <row r="207" spans="1:6" ht="14.95" customHeight="1" thickBot="1" x14ac:dyDescent="0.3">
      <c r="A207" s="62" t="s">
        <v>575</v>
      </c>
      <c r="B207" s="62" t="s">
        <v>104</v>
      </c>
      <c r="C207" s="9">
        <f>JosephHARtries</f>
        <v>1</v>
      </c>
      <c r="D207" s="2" t="s">
        <v>370</v>
      </c>
      <c r="E207" s="2" t="s">
        <v>366</v>
      </c>
      <c r="F207" s="16">
        <f>Goodesarptscorrect</f>
        <v>5</v>
      </c>
    </row>
    <row r="208" spans="1:6" ht="14.95" customHeight="1" thickBot="1" x14ac:dyDescent="0.3">
      <c r="A208" s="10" t="s">
        <v>311</v>
      </c>
      <c r="B208" s="10" t="s">
        <v>620</v>
      </c>
      <c r="C208" s="9">
        <f>Kerrleictries</f>
        <v>1</v>
      </c>
      <c r="D208" s="2" t="s">
        <v>494</v>
      </c>
      <c r="E208" s="2" t="s">
        <v>97</v>
      </c>
      <c r="F208" s="258">
        <f>Gillespienorpts</f>
        <v>5</v>
      </c>
    </row>
    <row r="209" spans="1:6" ht="14.95" customHeight="1" thickBot="1" x14ac:dyDescent="0.3">
      <c r="A209" s="62" t="s">
        <v>341</v>
      </c>
      <c r="B209" s="62" t="s">
        <v>104</v>
      </c>
      <c r="C209" s="9">
        <f>Kenninghamhartries</f>
        <v>1</v>
      </c>
      <c r="D209" s="2" t="s">
        <v>1066</v>
      </c>
      <c r="E209" s="2" t="s">
        <v>96</v>
      </c>
      <c r="F209" s="16">
        <f>Greenbthptscorrect</f>
        <v>5</v>
      </c>
    </row>
    <row r="210" spans="1:6" ht="14.95" customHeight="1" thickBot="1" x14ac:dyDescent="0.3">
      <c r="A210" s="62" t="s">
        <v>313</v>
      </c>
      <c r="B210" s="62" t="s">
        <v>108</v>
      </c>
      <c r="C210" s="9">
        <f>Laybritries</f>
        <v>1</v>
      </c>
      <c r="D210" s="2" t="s">
        <v>1318</v>
      </c>
      <c r="E210" s="2" t="s">
        <v>97</v>
      </c>
      <c r="F210" s="16">
        <f>Greennorpts</f>
        <v>5</v>
      </c>
    </row>
    <row r="211" spans="1:6" ht="14.95" customHeight="1" thickBot="1" x14ac:dyDescent="0.3">
      <c r="A211" s="62" t="s">
        <v>533</v>
      </c>
      <c r="B211" s="62" t="s">
        <v>366</v>
      </c>
      <c r="C211" s="9">
        <f>KnightSARtries</f>
        <v>1</v>
      </c>
      <c r="D211" s="2" t="s">
        <v>325</v>
      </c>
      <c r="E211" s="2" t="s">
        <v>104</v>
      </c>
      <c r="F211" s="16">
        <f>Greenharpts</f>
        <v>5</v>
      </c>
    </row>
    <row r="212" spans="1:6" ht="14.95" customHeight="1" thickBot="1" x14ac:dyDescent="0.3">
      <c r="A212" s="62" t="s">
        <v>270</v>
      </c>
      <c r="B212" s="62" t="s">
        <v>108</v>
      </c>
      <c r="C212" s="9">
        <f>Lloydlirtries</f>
        <v>1</v>
      </c>
      <c r="D212" s="17" t="s">
        <v>662</v>
      </c>
      <c r="E212" s="17" t="s">
        <v>366</v>
      </c>
      <c r="F212" s="16">
        <f>Hadfieldsarpts</f>
        <v>5</v>
      </c>
    </row>
    <row r="213" spans="1:6" ht="14.95" customHeight="1" thickBot="1" x14ac:dyDescent="0.3">
      <c r="A213" s="62" t="s">
        <v>785</v>
      </c>
      <c r="B213" s="62" t="s">
        <v>104</v>
      </c>
      <c r="C213" s="9">
        <f>Lamositelehartries</f>
        <v>1</v>
      </c>
      <c r="D213" s="2" t="s">
        <v>569</v>
      </c>
      <c r="E213" s="2" t="s">
        <v>105</v>
      </c>
      <c r="F213" s="16">
        <f>HammersleyEXEpts</f>
        <v>5</v>
      </c>
    </row>
    <row r="214" spans="1:6" ht="14.95" customHeight="1" thickBot="1" x14ac:dyDescent="0.3">
      <c r="A214" s="62" t="s">
        <v>683</v>
      </c>
      <c r="B214" s="62" t="s">
        <v>97</v>
      </c>
      <c r="C214" s="9">
        <f>LangdonNORtries</f>
        <v>1</v>
      </c>
      <c r="D214" s="17" t="s">
        <v>430</v>
      </c>
      <c r="E214" s="17" t="s">
        <v>104</v>
      </c>
      <c r="F214" s="16">
        <f>Herronharpts</f>
        <v>5</v>
      </c>
    </row>
    <row r="215" spans="1:6" ht="14.95" customHeight="1" thickBot="1" x14ac:dyDescent="0.3">
      <c r="A215" s="62" t="s">
        <v>144</v>
      </c>
      <c r="B215" s="62" t="s">
        <v>104</v>
      </c>
      <c r="C215" s="9">
        <f>Lewisdavehartries</f>
        <v>1</v>
      </c>
      <c r="D215" s="2" t="s">
        <v>530</v>
      </c>
      <c r="E215" s="2" t="s">
        <v>96</v>
      </c>
      <c r="F215" s="16">
        <f>Harrisbthpts</f>
        <v>5</v>
      </c>
    </row>
    <row r="216" spans="1:6" ht="14.95" customHeight="1" thickBot="1" x14ac:dyDescent="0.3">
      <c r="A216" s="62" t="s">
        <v>828</v>
      </c>
      <c r="B216" s="62" t="s">
        <v>282</v>
      </c>
      <c r="C216" s="9">
        <f>Georgesartries</f>
        <v>1</v>
      </c>
      <c r="D216" s="17" t="s">
        <v>826</v>
      </c>
      <c r="E216" s="17" t="s">
        <v>282</v>
      </c>
      <c r="F216" s="22">
        <f>Haydon_Woodnewpts</f>
        <v>5</v>
      </c>
    </row>
    <row r="217" spans="1:6" ht="14.95" customHeight="1" thickBot="1" x14ac:dyDescent="0.3">
      <c r="A217" s="62" t="s">
        <v>1324</v>
      </c>
      <c r="B217" s="10" t="s">
        <v>105</v>
      </c>
      <c r="C217" s="9">
        <f>Lilleyexetries</f>
        <v>1</v>
      </c>
      <c r="D217" s="2" t="s">
        <v>139</v>
      </c>
      <c r="E217" s="2" t="s">
        <v>108</v>
      </c>
      <c r="F217" s="22">
        <f>Fowlielipts</f>
        <v>5</v>
      </c>
    </row>
    <row r="218" spans="1:6" ht="14.95" customHeight="1" thickBot="1" x14ac:dyDescent="0.3">
      <c r="A218" s="62" t="s">
        <v>411</v>
      </c>
      <c r="B218" s="62" t="s">
        <v>97</v>
      </c>
      <c r="C218" s="9">
        <f>Litchfieldnortries</f>
        <v>1</v>
      </c>
      <c r="D218" s="2" t="s">
        <v>281</v>
      </c>
      <c r="E218" s="2" t="s">
        <v>620</v>
      </c>
      <c r="F218" s="444">
        <f>Holmesleicpts</f>
        <v>5</v>
      </c>
    </row>
    <row r="219" spans="1:6" ht="14.95" customHeight="1" thickBot="1" x14ac:dyDescent="0.3">
      <c r="A219" s="62" t="s">
        <v>515</v>
      </c>
      <c r="B219" s="62" t="s">
        <v>97</v>
      </c>
      <c r="C219" s="9">
        <f>Lockettnortries</f>
        <v>1</v>
      </c>
      <c r="D219" s="2" t="s">
        <v>141</v>
      </c>
      <c r="E219" s="2" t="s">
        <v>105</v>
      </c>
      <c r="F219" s="22">
        <f>Holmesexepts</f>
        <v>5</v>
      </c>
    </row>
    <row r="220" spans="1:6" ht="14.95" customHeight="1" thickBot="1" x14ac:dyDescent="0.3">
      <c r="A220" s="62" t="s">
        <v>146</v>
      </c>
      <c r="B220" s="62" t="s">
        <v>108</v>
      </c>
      <c r="C220" s="9">
        <f>Marshalllirtries</f>
        <v>1</v>
      </c>
      <c r="D220" s="2" t="s">
        <v>385</v>
      </c>
      <c r="E220" s="2" t="s">
        <v>105</v>
      </c>
      <c r="F220" s="22">
        <f>Iosefa_Scottexepts</f>
        <v>5</v>
      </c>
    </row>
    <row r="221" spans="1:6" ht="14.95" customHeight="1" thickBot="1" x14ac:dyDescent="0.3">
      <c r="A221" s="62" t="s">
        <v>147</v>
      </c>
      <c r="B221" s="62" t="s">
        <v>94</v>
      </c>
      <c r="C221" s="9">
        <f>Ludlowglotries</f>
        <v>1</v>
      </c>
      <c r="D221" s="2" t="s">
        <v>372</v>
      </c>
      <c r="E221" s="2" t="s">
        <v>366</v>
      </c>
      <c r="F221" s="22">
        <f>Itojesarptscorrect</f>
        <v>5</v>
      </c>
    </row>
    <row r="222" spans="1:6" ht="14.95" customHeight="1" thickBot="1" x14ac:dyDescent="0.3">
      <c r="A222" s="62" t="s">
        <v>374</v>
      </c>
      <c r="B222" s="62" t="s">
        <v>366</v>
      </c>
      <c r="C222" s="9">
        <f>Mawisartriescorrect</f>
        <v>1</v>
      </c>
      <c r="D222" s="2" t="s">
        <v>84</v>
      </c>
      <c r="E222" s="2" t="s">
        <v>95</v>
      </c>
      <c r="F222" s="22">
        <f>James_Lsalpts</f>
        <v>5</v>
      </c>
    </row>
    <row r="223" spans="1:6" ht="14.95" customHeight="1" thickBot="1" x14ac:dyDescent="0.3">
      <c r="A223" s="62" t="s">
        <v>375</v>
      </c>
      <c r="B223" s="62" t="s">
        <v>366</v>
      </c>
      <c r="C223" s="9">
        <f>McFarlandsartriescorrect</f>
        <v>1</v>
      </c>
      <c r="D223" s="2" t="s">
        <v>527</v>
      </c>
      <c r="E223" s="2" t="s">
        <v>105</v>
      </c>
      <c r="F223" s="448">
        <f>Jenkins_Dexepts</f>
        <v>5</v>
      </c>
    </row>
    <row r="224" spans="1:6" ht="14.95" customHeight="1" thickBot="1" x14ac:dyDescent="0.3">
      <c r="A224" s="62" t="s">
        <v>923</v>
      </c>
      <c r="B224" s="62" t="s">
        <v>97</v>
      </c>
      <c r="C224" s="9">
        <f>McParlandNORtries</f>
        <v>1</v>
      </c>
      <c r="D224" s="2" t="s">
        <v>575</v>
      </c>
      <c r="E224" s="2" t="s">
        <v>104</v>
      </c>
      <c r="F224" s="23">
        <f>JosephHARPTS</f>
        <v>5</v>
      </c>
    </row>
    <row r="225" spans="1:6" ht="14.95" customHeight="1" thickBot="1" x14ac:dyDescent="0.3">
      <c r="A225" s="62" t="s">
        <v>650</v>
      </c>
      <c r="B225" s="62" t="s">
        <v>94</v>
      </c>
      <c r="C225" s="9">
        <f>Meehanglotries</f>
        <v>1</v>
      </c>
      <c r="D225" s="2" t="s">
        <v>311</v>
      </c>
      <c r="E225" s="2" t="s">
        <v>620</v>
      </c>
      <c r="F225" s="23">
        <f>Kerrleicpts</f>
        <v>5</v>
      </c>
    </row>
    <row r="226" spans="1:6" ht="14.95" customHeight="1" thickBot="1" x14ac:dyDescent="0.3">
      <c r="A226" s="10" t="s">
        <v>316</v>
      </c>
      <c r="B226" s="10" t="s">
        <v>620</v>
      </c>
      <c r="C226" s="9">
        <f>Mayleictries</f>
        <v>1</v>
      </c>
      <c r="D226" s="2" t="s">
        <v>341</v>
      </c>
      <c r="E226" s="2" t="s">
        <v>104</v>
      </c>
      <c r="F226" s="23">
        <f>Kenninghamharpts</f>
        <v>5</v>
      </c>
    </row>
    <row r="227" spans="1:6" ht="14.95" customHeight="1" thickBot="1" x14ac:dyDescent="0.3">
      <c r="A227" s="62" t="s">
        <v>587</v>
      </c>
      <c r="B227" s="62" t="s">
        <v>97</v>
      </c>
      <c r="C227" s="9">
        <f>MungaNORtries</f>
        <v>1</v>
      </c>
      <c r="D227" s="2" t="s">
        <v>313</v>
      </c>
      <c r="E227" s="2" t="s">
        <v>108</v>
      </c>
      <c r="F227" s="23">
        <f>Laybripts</f>
        <v>5</v>
      </c>
    </row>
    <row r="228" spans="1:6" ht="14.95" customHeight="1" thickBot="1" x14ac:dyDescent="0.3">
      <c r="A228" s="62" t="s">
        <v>1068</v>
      </c>
      <c r="B228" s="62" t="s">
        <v>96</v>
      </c>
      <c r="C228" s="49">
        <f>Offiahbthtries</f>
        <v>1</v>
      </c>
      <c r="D228" s="2" t="s">
        <v>533</v>
      </c>
      <c r="E228" s="2" t="s">
        <v>366</v>
      </c>
      <c r="F228" s="23">
        <f>KnightSARpts</f>
        <v>5</v>
      </c>
    </row>
    <row r="229" spans="1:6" ht="14.95" customHeight="1" thickBot="1" x14ac:dyDescent="0.3">
      <c r="A229" s="12" t="s">
        <v>834</v>
      </c>
      <c r="B229" s="12" t="s">
        <v>282</v>
      </c>
      <c r="C229" s="6">
        <f>Palframannewtries</f>
        <v>1</v>
      </c>
      <c r="D229" s="2" t="s">
        <v>270</v>
      </c>
      <c r="E229" s="2" t="s">
        <v>108</v>
      </c>
      <c r="F229" s="449">
        <f>Lloydlirpts</f>
        <v>5</v>
      </c>
    </row>
    <row r="230" spans="1:6" ht="14.95" customHeight="1" thickBot="1" x14ac:dyDescent="0.3">
      <c r="A230" s="62" t="s">
        <v>98</v>
      </c>
      <c r="B230" s="10" t="s">
        <v>620</v>
      </c>
      <c r="C230" s="9">
        <f>leicspentriestries</f>
        <v>1</v>
      </c>
      <c r="D230" s="2" t="s">
        <v>785</v>
      </c>
      <c r="E230" s="2" t="s">
        <v>104</v>
      </c>
      <c r="F230" s="23">
        <f>+Lamositeleharpts</f>
        <v>5</v>
      </c>
    </row>
    <row r="231" spans="1:6" ht="14.95" customHeight="1" thickBot="1" x14ac:dyDescent="0.3">
      <c r="A231" s="62" t="s">
        <v>98</v>
      </c>
      <c r="B231" s="62" t="s">
        <v>94</v>
      </c>
      <c r="C231" s="9">
        <f>Penalty_Triesglotries</f>
        <v>1</v>
      </c>
      <c r="D231" s="2" t="s">
        <v>858</v>
      </c>
      <c r="E231" s="2" t="s">
        <v>97</v>
      </c>
      <c r="F231" s="23">
        <f>LangdonNORpts</f>
        <v>5</v>
      </c>
    </row>
    <row r="232" spans="1:6" ht="14.95" customHeight="1" thickBot="1" x14ac:dyDescent="0.3">
      <c r="A232" s="10" t="s">
        <v>583</v>
      </c>
      <c r="B232" s="62" t="s">
        <v>282</v>
      </c>
      <c r="C232" s="9">
        <f>Pepper_MNEWtries</f>
        <v>1</v>
      </c>
      <c r="D232" s="2" t="s">
        <v>144</v>
      </c>
      <c r="E232" s="2" t="s">
        <v>104</v>
      </c>
      <c r="F232" s="448">
        <f>Lewisdaveharpts</f>
        <v>5</v>
      </c>
    </row>
    <row r="233" spans="1:6" ht="14.95" customHeight="1" thickBot="1" x14ac:dyDescent="0.3">
      <c r="A233" s="62" t="s">
        <v>1284</v>
      </c>
      <c r="B233" s="10" t="s">
        <v>97</v>
      </c>
      <c r="C233" s="9">
        <f>Petelo_Mapunortries</f>
        <v>1</v>
      </c>
      <c r="D233" s="2" t="s">
        <v>828</v>
      </c>
      <c r="E233" s="2" t="s">
        <v>282</v>
      </c>
      <c r="F233" s="23">
        <f>Georgesarpts</f>
        <v>5</v>
      </c>
    </row>
    <row r="234" spans="1:6" ht="14.95" customHeight="1" thickBot="1" x14ac:dyDescent="0.3">
      <c r="A234" s="62" t="s">
        <v>377</v>
      </c>
      <c r="B234" s="62" t="s">
        <v>366</v>
      </c>
      <c r="C234" s="9">
        <f>Pifeletisartriescorrect</f>
        <v>1</v>
      </c>
      <c r="D234" s="2" t="s">
        <v>1324</v>
      </c>
      <c r="E234" s="2" t="s">
        <v>105</v>
      </c>
      <c r="F234" s="449">
        <f>Lilleyexepts</f>
        <v>5</v>
      </c>
    </row>
    <row r="235" spans="1:6" ht="14.95" customHeight="1" thickBot="1" x14ac:dyDescent="0.3">
      <c r="A235" s="62" t="s">
        <v>544</v>
      </c>
      <c r="B235" s="10" t="s">
        <v>620</v>
      </c>
      <c r="C235" s="9">
        <f>Olowofela_Jleictries</f>
        <v>1</v>
      </c>
      <c r="D235" s="2" t="s">
        <v>411</v>
      </c>
      <c r="E235" s="2" t="s">
        <v>97</v>
      </c>
      <c r="F235" s="23">
        <f>Litchfieldnorpts</f>
        <v>5</v>
      </c>
    </row>
    <row r="236" spans="1:6" ht="14.95" customHeight="1" thickBot="1" x14ac:dyDescent="0.3">
      <c r="A236" s="62" t="s">
        <v>182</v>
      </c>
      <c r="B236" s="10" t="s">
        <v>620</v>
      </c>
      <c r="C236" s="9">
        <f>Salvijuliantries</f>
        <v>1</v>
      </c>
      <c r="D236" s="2" t="s">
        <v>515</v>
      </c>
      <c r="E236" s="2" t="s">
        <v>97</v>
      </c>
      <c r="F236" s="448">
        <f>Lockettnorpts</f>
        <v>5</v>
      </c>
    </row>
    <row r="237" spans="1:6" ht="14.95" customHeight="1" thickBot="1" x14ac:dyDescent="0.3">
      <c r="A237" s="62" t="s">
        <v>435</v>
      </c>
      <c r="B237" s="62" t="s">
        <v>96</v>
      </c>
      <c r="C237" s="9">
        <f>Richardsbthtries</f>
        <v>1</v>
      </c>
      <c r="D237" s="2" t="s">
        <v>146</v>
      </c>
      <c r="E237" s="2" t="s">
        <v>108</v>
      </c>
      <c r="F237" s="23">
        <f>Marshalllirpts</f>
        <v>5</v>
      </c>
    </row>
    <row r="238" spans="1:6" ht="14.95" customHeight="1" thickBot="1" x14ac:dyDescent="0.3">
      <c r="A238" s="62" t="s">
        <v>579</v>
      </c>
      <c r="B238" s="10" t="s">
        <v>620</v>
      </c>
      <c r="C238" s="9">
        <f>RogersonLEItries</f>
        <v>1</v>
      </c>
      <c r="D238" s="2" t="s">
        <v>147</v>
      </c>
      <c r="E238" s="2" t="s">
        <v>94</v>
      </c>
      <c r="F238" s="23">
        <f>Ludlowglopts</f>
        <v>5</v>
      </c>
    </row>
    <row r="239" spans="1:6" ht="14.95" customHeight="1" thickBot="1" x14ac:dyDescent="0.3">
      <c r="A239" s="62" t="s">
        <v>613</v>
      </c>
      <c r="B239" s="62" t="s">
        <v>105</v>
      </c>
      <c r="C239" s="9">
        <f>Schickerlingexetries</f>
        <v>1</v>
      </c>
      <c r="D239" s="2" t="s">
        <v>374</v>
      </c>
      <c r="E239" s="2" t="s">
        <v>366</v>
      </c>
      <c r="F239" s="23">
        <f>Mawisarptscorrect</f>
        <v>5</v>
      </c>
    </row>
    <row r="240" spans="1:6" ht="14.95" customHeight="1" thickBot="1" x14ac:dyDescent="0.3">
      <c r="A240" s="62" t="s">
        <v>751</v>
      </c>
      <c r="B240" s="62" t="s">
        <v>105</v>
      </c>
      <c r="C240" s="9">
        <f>Reltonexetries</f>
        <v>1</v>
      </c>
      <c r="D240" s="2" t="s">
        <v>375</v>
      </c>
      <c r="E240" s="2" t="s">
        <v>366</v>
      </c>
      <c r="F240" s="19">
        <f>McFarlandsarptscorrect</f>
        <v>5</v>
      </c>
    </row>
    <row r="241" spans="1:6" ht="14.95" customHeight="1" thickBot="1" x14ac:dyDescent="0.3">
      <c r="A241" s="62" t="s">
        <v>158</v>
      </c>
      <c r="B241" s="62" t="s">
        <v>97</v>
      </c>
      <c r="C241" s="9">
        <f>SeabrookNORtries</f>
        <v>1</v>
      </c>
      <c r="D241" s="2" t="s">
        <v>923</v>
      </c>
      <c r="E241" s="2" t="s">
        <v>97</v>
      </c>
      <c r="F241" s="16">
        <f>McParlandNORpts</f>
        <v>5</v>
      </c>
    </row>
    <row r="242" spans="1:6" ht="14.95" customHeight="1" thickBot="1" x14ac:dyDescent="0.3">
      <c r="A242" s="62" t="s">
        <v>160</v>
      </c>
      <c r="B242" s="62" t="s">
        <v>105</v>
      </c>
      <c r="C242" s="9">
        <f>Sladeexetries</f>
        <v>1</v>
      </c>
      <c r="D242" s="2" t="s">
        <v>650</v>
      </c>
      <c r="E242" s="2" t="s">
        <v>94</v>
      </c>
      <c r="F242" s="19">
        <f>Meehanglopts</f>
        <v>5</v>
      </c>
    </row>
    <row r="243" spans="1:6" ht="14.95" customHeight="1" thickBot="1" x14ac:dyDescent="0.3">
      <c r="A243" s="62" t="s">
        <v>334</v>
      </c>
      <c r="B243" s="62" t="s">
        <v>97</v>
      </c>
      <c r="C243" s="9">
        <f>Tonksnortries</f>
        <v>1</v>
      </c>
      <c r="D243" s="2" t="s">
        <v>316</v>
      </c>
      <c r="E243" s="2" t="s">
        <v>620</v>
      </c>
      <c r="F243" s="19">
        <f>Mayleicpts</f>
        <v>5</v>
      </c>
    </row>
    <row r="244" spans="1:6" ht="14.95" customHeight="1" thickBot="1" x14ac:dyDescent="0.3">
      <c r="A244" s="62" t="s">
        <v>388</v>
      </c>
      <c r="B244" s="10" t="s">
        <v>620</v>
      </c>
      <c r="C244" s="9">
        <f>Smithleictries</f>
        <v>1</v>
      </c>
      <c r="D244" s="17" t="s">
        <v>924</v>
      </c>
      <c r="E244" s="2" t="s">
        <v>97</v>
      </c>
      <c r="F244" s="19">
        <f>MungaNORpts</f>
        <v>5</v>
      </c>
    </row>
    <row r="245" spans="1:6" ht="14.95" customHeight="1" thickBot="1" x14ac:dyDescent="0.3">
      <c r="A245" s="62" t="s">
        <v>948</v>
      </c>
      <c r="B245" s="62" t="s">
        <v>366</v>
      </c>
      <c r="C245" s="10">
        <f>Swielsartries</f>
        <v>1</v>
      </c>
      <c r="D245" s="2" t="s">
        <v>1068</v>
      </c>
      <c r="E245" s="2" t="s">
        <v>96</v>
      </c>
      <c r="F245" s="19">
        <f>Offiahbthpts</f>
        <v>5</v>
      </c>
    </row>
    <row r="246" spans="1:6" ht="14.95" customHeight="1" thickBot="1" x14ac:dyDescent="0.3">
      <c r="A246" s="62" t="s">
        <v>56</v>
      </c>
      <c r="B246" s="62" t="s">
        <v>108</v>
      </c>
      <c r="C246" s="10">
        <f>Poreckilirtries</f>
        <v>1</v>
      </c>
      <c r="D246" s="2" t="s">
        <v>834</v>
      </c>
      <c r="E246" s="2" t="s">
        <v>282</v>
      </c>
      <c r="F246" s="19">
        <f>Palframannewpts</f>
        <v>5</v>
      </c>
    </row>
    <row r="247" spans="1:6" ht="14.95" customHeight="1" thickBot="1" x14ac:dyDescent="0.3">
      <c r="A247" s="62" t="s">
        <v>161</v>
      </c>
      <c r="B247" s="62" t="s">
        <v>94</v>
      </c>
      <c r="C247" s="10">
        <f>Thorleyglotriescorrect</f>
        <v>1</v>
      </c>
      <c r="D247" s="19" t="s">
        <v>583</v>
      </c>
      <c r="E247" s="19" t="s">
        <v>282</v>
      </c>
      <c r="F247" s="19">
        <f>Pepper_MNEWpts</f>
        <v>5</v>
      </c>
    </row>
    <row r="248" spans="1:6" ht="14.95" customHeight="1" thickBot="1" x14ac:dyDescent="0.3">
      <c r="A248" s="12" t="s">
        <v>916</v>
      </c>
      <c r="B248" s="62" t="s">
        <v>366</v>
      </c>
      <c r="C248" s="150">
        <f>Tizardsartries</f>
        <v>1</v>
      </c>
      <c r="D248" s="21" t="s">
        <v>1284</v>
      </c>
      <c r="E248" s="21" t="s">
        <v>97</v>
      </c>
      <c r="F248" s="19">
        <f>Petelo_Mapunorpts</f>
        <v>5</v>
      </c>
    </row>
    <row r="249" spans="1:6" ht="14.95" customHeight="1" thickBot="1" x14ac:dyDescent="0.3">
      <c r="A249" s="8" t="s">
        <v>162</v>
      </c>
      <c r="B249" s="8" t="s">
        <v>105</v>
      </c>
      <c r="C249" s="10">
        <f>Townsendexetries</f>
        <v>1</v>
      </c>
      <c r="D249" s="21" t="s">
        <v>377</v>
      </c>
      <c r="E249" s="21" t="s">
        <v>366</v>
      </c>
      <c r="F249" s="19">
        <f>Pifeletisarptscorrect</f>
        <v>5</v>
      </c>
    </row>
    <row r="250" spans="1:6" ht="14.95" customHeight="1" thickBot="1" x14ac:dyDescent="0.3">
      <c r="A250" s="8" t="s">
        <v>1156</v>
      </c>
      <c r="B250" s="8" t="s">
        <v>105</v>
      </c>
      <c r="C250" s="9">
        <f>Tuaexetries</f>
        <v>1</v>
      </c>
      <c r="D250" s="21" t="s">
        <v>182</v>
      </c>
      <c r="E250" s="21" t="s">
        <v>620</v>
      </c>
      <c r="F250" s="19">
        <f>Salvijulianpts</f>
        <v>5</v>
      </c>
    </row>
    <row r="251" spans="1:6" ht="14.95" customHeight="1" thickBot="1" x14ac:dyDescent="0.3">
      <c r="A251" s="8" t="s">
        <v>395</v>
      </c>
      <c r="B251" s="8" t="s">
        <v>105</v>
      </c>
      <c r="C251" s="9">
        <f>Tuimaexetries</f>
        <v>1</v>
      </c>
      <c r="D251" s="21" t="s">
        <v>435</v>
      </c>
      <c r="E251" s="21" t="s">
        <v>96</v>
      </c>
      <c r="F251" s="19">
        <f>Richardsbthpts</f>
        <v>5</v>
      </c>
    </row>
    <row r="252" spans="1:6" ht="14.95" customHeight="1" thickBot="1" x14ac:dyDescent="0.3">
      <c r="A252" s="8" t="s">
        <v>705</v>
      </c>
      <c r="B252" s="8" t="s">
        <v>96</v>
      </c>
      <c r="C252" s="9">
        <f>Tuipulotubthtries</f>
        <v>1</v>
      </c>
      <c r="D252" s="21" t="s">
        <v>579</v>
      </c>
      <c r="E252" s="21" t="s">
        <v>620</v>
      </c>
      <c r="F252" s="19">
        <f>RogersonLEIpts</f>
        <v>5</v>
      </c>
    </row>
    <row r="253" spans="1:6" ht="14.95" customHeight="1" thickBot="1" x14ac:dyDescent="0.3">
      <c r="A253" s="8" t="s">
        <v>295</v>
      </c>
      <c r="B253" s="8" t="s">
        <v>282</v>
      </c>
      <c r="C253" s="9">
        <f>Malinssartries</f>
        <v>1</v>
      </c>
      <c r="D253" s="19" t="s">
        <v>613</v>
      </c>
      <c r="E253" s="19" t="s">
        <v>105</v>
      </c>
      <c r="F253" s="19">
        <f>Schickerlingexepts</f>
        <v>5</v>
      </c>
    </row>
    <row r="254" spans="1:6" ht="14.95" customHeight="1" thickBot="1" x14ac:dyDescent="0.3">
      <c r="A254" s="8" t="s">
        <v>209</v>
      </c>
      <c r="B254" s="8" t="s">
        <v>105</v>
      </c>
      <c r="C254" s="9">
        <f>van_der_Sluysexetries</f>
        <v>1</v>
      </c>
      <c r="D254" s="19" t="s">
        <v>751</v>
      </c>
      <c r="E254" s="19" t="s">
        <v>105</v>
      </c>
      <c r="F254" s="19">
        <f>Reltonexepts</f>
        <v>5</v>
      </c>
    </row>
    <row r="255" spans="1:6" ht="14.95" customHeight="1" thickBot="1" x14ac:dyDescent="0.3">
      <c r="A255" s="8" t="s">
        <v>614</v>
      </c>
      <c r="B255" s="8" t="s">
        <v>105</v>
      </c>
      <c r="C255" s="9">
        <f>Whittentries</f>
        <v>1</v>
      </c>
      <c r="D255" s="21" t="s">
        <v>158</v>
      </c>
      <c r="E255" s="21" t="s">
        <v>97</v>
      </c>
      <c r="F255" s="19">
        <f>SeabrookNORpts</f>
        <v>5</v>
      </c>
    </row>
    <row r="256" spans="1:6" ht="14.95" customHeight="1" thickBot="1" x14ac:dyDescent="0.3">
      <c r="A256" s="8" t="s">
        <v>1268</v>
      </c>
      <c r="B256" s="8" t="s">
        <v>104</v>
      </c>
      <c r="C256" s="9">
        <f>Waghornhartries</f>
        <v>1</v>
      </c>
      <c r="D256" s="21" t="s">
        <v>388</v>
      </c>
      <c r="E256" s="21" t="s">
        <v>620</v>
      </c>
      <c r="F256" s="19">
        <f>Smithleicpts</f>
        <v>5</v>
      </c>
    </row>
    <row r="257" spans="1:6" ht="14.95" customHeight="1" thickBot="1" x14ac:dyDescent="0.3">
      <c r="A257" s="8" t="s">
        <v>795</v>
      </c>
      <c r="B257" s="9" t="s">
        <v>620</v>
      </c>
      <c r="C257" s="439">
        <f>Walshleitries</f>
        <v>1</v>
      </c>
      <c r="D257" s="21" t="s">
        <v>56</v>
      </c>
      <c r="E257" s="21" t="s">
        <v>108</v>
      </c>
      <c r="F257" s="20">
        <f>Poreckilirpts</f>
        <v>5</v>
      </c>
    </row>
    <row r="258" spans="1:6" ht="14.95" customHeight="1" thickBot="1" x14ac:dyDescent="0.3">
      <c r="A258" s="8" t="s">
        <v>511</v>
      </c>
      <c r="B258" s="9" t="s">
        <v>620</v>
      </c>
      <c r="C258" s="9">
        <f>Watsonleictries</f>
        <v>1</v>
      </c>
      <c r="D258" s="21" t="s">
        <v>161</v>
      </c>
      <c r="E258" s="21" t="s">
        <v>94</v>
      </c>
      <c r="F258" s="19">
        <f>Thorleygloptscorrect</f>
        <v>5</v>
      </c>
    </row>
    <row r="259" spans="1:6" ht="14.95" customHeight="1" thickBot="1" x14ac:dyDescent="0.3">
      <c r="A259" s="447" t="s">
        <v>1328</v>
      </c>
      <c r="B259" s="447" t="s">
        <v>97</v>
      </c>
      <c r="C259" s="9">
        <f>Weimannnortries</f>
        <v>1</v>
      </c>
      <c r="D259" s="21" t="s">
        <v>916</v>
      </c>
      <c r="E259" s="21" t="s">
        <v>366</v>
      </c>
      <c r="F259" s="19">
        <f>Tizardsarpts</f>
        <v>5</v>
      </c>
    </row>
    <row r="260" spans="1:6" ht="14.95" customHeight="1" thickBot="1" x14ac:dyDescent="0.3">
      <c r="A260" s="8" t="s">
        <v>176</v>
      </c>
      <c r="B260" s="9" t="s">
        <v>620</v>
      </c>
      <c r="C260" s="9">
        <f>Wellsleictries</f>
        <v>1</v>
      </c>
      <c r="D260" s="21" t="s">
        <v>162</v>
      </c>
      <c r="E260" s="21" t="s">
        <v>105</v>
      </c>
      <c r="F260" s="19">
        <f>Townsendexepts</f>
        <v>5</v>
      </c>
    </row>
    <row r="261" spans="1:6" ht="14.95" customHeight="1" thickBot="1" x14ac:dyDescent="0.3">
      <c r="A261" s="8" t="s">
        <v>166</v>
      </c>
      <c r="B261" s="8" t="s">
        <v>105</v>
      </c>
      <c r="C261" s="9">
        <f>Woodburnexetries</f>
        <v>1</v>
      </c>
      <c r="D261" s="19" t="s">
        <v>1156</v>
      </c>
      <c r="E261" s="19" t="s">
        <v>105</v>
      </c>
      <c r="F261" s="19">
        <f>Tuaexepts</f>
        <v>5</v>
      </c>
    </row>
    <row r="262" spans="1:6" ht="14.95" customHeight="1" thickBot="1" x14ac:dyDescent="0.3">
      <c r="A262" s="8" t="s">
        <v>1327</v>
      </c>
      <c r="B262" s="9" t="s">
        <v>620</v>
      </c>
      <c r="C262" s="9">
        <f>WoodwardLEItries</f>
        <v>1</v>
      </c>
      <c r="D262" s="21" t="s">
        <v>395</v>
      </c>
      <c r="E262" s="21" t="s">
        <v>105</v>
      </c>
      <c r="F262" s="19">
        <f>Tuimaexepts</f>
        <v>5</v>
      </c>
    </row>
    <row r="263" spans="1:6" ht="14.95" customHeight="1" thickBot="1" x14ac:dyDescent="0.3">
      <c r="A263" s="8" t="s">
        <v>868</v>
      </c>
      <c r="B263" s="8" t="s">
        <v>97</v>
      </c>
      <c r="C263" s="9">
        <f>Wilkinsnortries</f>
        <v>1</v>
      </c>
      <c r="D263" s="21" t="s">
        <v>705</v>
      </c>
      <c r="E263" s="21" t="s">
        <v>96</v>
      </c>
      <c r="F263" s="19">
        <f>Tuipulotubthpts</f>
        <v>5</v>
      </c>
    </row>
    <row r="264" spans="1:6" ht="14.95" customHeight="1" thickBot="1" x14ac:dyDescent="0.3">
      <c r="A264" s="8" t="s">
        <v>100</v>
      </c>
      <c r="B264" s="9" t="s">
        <v>620</v>
      </c>
      <c r="C264" s="9">
        <f>youngsbentries</f>
        <v>1</v>
      </c>
      <c r="D264" s="21" t="s">
        <v>295</v>
      </c>
      <c r="E264" s="21" t="s">
        <v>282</v>
      </c>
      <c r="F264" s="19">
        <f>Malinssarpts</f>
        <v>5</v>
      </c>
    </row>
    <row r="265" spans="1:6" ht="14.95" customHeight="1" thickBot="1" x14ac:dyDescent="0.3">
      <c r="A265" s="8" t="s">
        <v>121</v>
      </c>
      <c r="B265" s="8" t="s">
        <v>94</v>
      </c>
      <c r="C265" s="9">
        <f>Ackermannglotries</f>
        <v>0</v>
      </c>
      <c r="D265" s="21" t="s">
        <v>209</v>
      </c>
      <c r="E265" s="21" t="s">
        <v>105</v>
      </c>
      <c r="F265" s="19">
        <f>van_der_Sluysexepts</f>
        <v>5</v>
      </c>
    </row>
    <row r="266" spans="1:6" ht="14.95" customHeight="1" thickBot="1" x14ac:dyDescent="0.3">
      <c r="A266" s="8" t="s">
        <v>1070</v>
      </c>
      <c r="B266" s="9" t="s">
        <v>94</v>
      </c>
      <c r="C266" s="6">
        <f>Adderly_Jonesglotries</f>
        <v>0</v>
      </c>
      <c r="D266" s="21" t="s">
        <v>614</v>
      </c>
      <c r="E266" s="21" t="s">
        <v>105</v>
      </c>
      <c r="F266" s="19">
        <f>Whittenpts</f>
        <v>5</v>
      </c>
    </row>
    <row r="267" spans="1:6" ht="14.95" customHeight="1" thickBot="1" x14ac:dyDescent="0.3">
      <c r="A267" s="8" t="s">
        <v>453</v>
      </c>
      <c r="B267" s="8" t="s">
        <v>366</v>
      </c>
      <c r="C267" s="9">
        <f>Adejimisartries</f>
        <v>0</v>
      </c>
      <c r="D267" s="21" t="s">
        <v>1268</v>
      </c>
      <c r="E267" s="21" t="s">
        <v>104</v>
      </c>
      <c r="F267" s="20">
        <f>Waghornharpts</f>
        <v>5</v>
      </c>
    </row>
    <row r="268" spans="1:6" ht="14.95" customHeight="1" thickBot="1" x14ac:dyDescent="0.3">
      <c r="A268" s="8" t="s">
        <v>258</v>
      </c>
      <c r="B268" s="8" t="s">
        <v>94</v>
      </c>
      <c r="C268" s="49">
        <f>Alemannoglotries</f>
        <v>0</v>
      </c>
      <c r="D268" s="21" t="s">
        <v>795</v>
      </c>
      <c r="E268" s="21" t="s">
        <v>620</v>
      </c>
      <c r="F268" s="18">
        <f>Walshleipts</f>
        <v>5</v>
      </c>
    </row>
    <row r="269" spans="1:6" ht="14.95" customHeight="1" thickBot="1" x14ac:dyDescent="0.3">
      <c r="A269" s="8" t="s">
        <v>802</v>
      </c>
      <c r="B269" s="9" t="s">
        <v>620</v>
      </c>
      <c r="C269" s="9">
        <f>Batemanleitries</f>
        <v>0</v>
      </c>
      <c r="D269" s="21" t="s">
        <v>511</v>
      </c>
      <c r="E269" s="21" t="s">
        <v>620</v>
      </c>
      <c r="F269" s="20">
        <f>Watsonleicpts</f>
        <v>5</v>
      </c>
    </row>
    <row r="270" spans="1:6" ht="14.95" customHeight="1" thickBot="1" x14ac:dyDescent="0.3">
      <c r="A270" s="8" t="s">
        <v>1254</v>
      </c>
      <c r="B270" s="9" t="s">
        <v>94</v>
      </c>
      <c r="C270" s="9">
        <f>Allportglotries</f>
        <v>0</v>
      </c>
      <c r="D270" s="21" t="s">
        <v>1328</v>
      </c>
      <c r="E270" s="21" t="s">
        <v>97</v>
      </c>
      <c r="F270" s="19">
        <f>Weimannnorpts</f>
        <v>5</v>
      </c>
    </row>
    <row r="271" spans="1:6" ht="14.95" customHeight="1" thickBot="1" x14ac:dyDescent="0.3">
      <c r="A271" s="9" t="s">
        <v>889</v>
      </c>
      <c r="B271" s="9" t="s">
        <v>95</v>
      </c>
      <c r="C271" s="9">
        <f>Andrewssaltries</f>
        <v>0</v>
      </c>
      <c r="D271" s="21" t="s">
        <v>176</v>
      </c>
      <c r="E271" s="21" t="s">
        <v>620</v>
      </c>
      <c r="F271" s="20">
        <f>Wellsleicpts</f>
        <v>5</v>
      </c>
    </row>
    <row r="272" spans="1:6" ht="14.95" customHeight="1" thickBot="1" x14ac:dyDescent="0.3">
      <c r="A272" s="8" t="s">
        <v>605</v>
      </c>
      <c r="B272" s="8" t="s">
        <v>105</v>
      </c>
      <c r="C272" s="9">
        <f>ArmstrongEXEtries</f>
        <v>0</v>
      </c>
      <c r="D272" s="21" t="s">
        <v>166</v>
      </c>
      <c r="E272" s="21" t="s">
        <v>105</v>
      </c>
      <c r="F272" s="19">
        <f>Woodburnexepts</f>
        <v>5</v>
      </c>
    </row>
    <row r="273" spans="1:6" ht="14.95" customHeight="1" thickBot="1" x14ac:dyDescent="0.3">
      <c r="A273" s="8" t="s">
        <v>787</v>
      </c>
      <c r="B273" s="8" t="s">
        <v>104</v>
      </c>
      <c r="C273" s="9">
        <f>Barneshartries</f>
        <v>0</v>
      </c>
      <c r="D273" s="21" t="s">
        <v>1327</v>
      </c>
      <c r="E273" s="21" t="s">
        <v>620</v>
      </c>
      <c r="F273" s="19">
        <f>WoodwardLEIpts</f>
        <v>5</v>
      </c>
    </row>
    <row r="274" spans="1:6" ht="14.95" customHeight="1" thickBot="1" x14ac:dyDescent="0.3">
      <c r="A274" s="8" t="s">
        <v>816</v>
      </c>
      <c r="B274" s="8" t="s">
        <v>282</v>
      </c>
      <c r="C274" s="9">
        <f>Barringtonrichardtries</f>
        <v>0</v>
      </c>
      <c r="D274" s="19" t="s">
        <v>868</v>
      </c>
      <c r="E274" s="19" t="s">
        <v>97</v>
      </c>
      <c r="F274" s="19">
        <f>Wilkinsnorpts</f>
        <v>5</v>
      </c>
    </row>
    <row r="275" spans="1:6" ht="14.95" customHeight="1" thickBot="1" x14ac:dyDescent="0.3">
      <c r="A275" s="8" t="s">
        <v>971</v>
      </c>
      <c r="B275" s="8" t="s">
        <v>97</v>
      </c>
      <c r="C275" s="9">
        <f>Braleynortriescorrect</f>
        <v>0</v>
      </c>
      <c r="D275" s="21" t="s">
        <v>100</v>
      </c>
      <c r="E275" s="21" t="s">
        <v>620</v>
      </c>
      <c r="F275" s="19">
        <f>Youngsbenptscorrect</f>
        <v>5</v>
      </c>
    </row>
    <row r="276" spans="1:6" ht="14.95" customHeight="1" thickBot="1" x14ac:dyDescent="0.3">
      <c r="A276" s="447" t="s">
        <v>746</v>
      </c>
      <c r="B276" s="447" t="s">
        <v>108</v>
      </c>
      <c r="C276" s="9">
        <f>Bakerbritries</f>
        <v>0</v>
      </c>
      <c r="D276" s="21" t="s">
        <v>215</v>
      </c>
      <c r="E276" s="21" t="s">
        <v>95</v>
      </c>
      <c r="F276" s="19">
        <f>Curtissalpts</f>
        <v>3</v>
      </c>
    </row>
    <row r="277" spans="1:6" ht="14.95" customHeight="1" thickBot="1" x14ac:dyDescent="0.3">
      <c r="A277" s="8" t="s">
        <v>906</v>
      </c>
      <c r="B277" s="8" t="s">
        <v>366</v>
      </c>
      <c r="C277" s="9">
        <f>Balmainsartries</f>
        <v>0</v>
      </c>
      <c r="D277" s="21" t="s">
        <v>121</v>
      </c>
      <c r="E277" s="21" t="s">
        <v>94</v>
      </c>
      <c r="F277" s="19">
        <f>Ackermannglopts</f>
        <v>0</v>
      </c>
    </row>
    <row r="278" spans="1:6" ht="14.95" customHeight="1" thickBot="1" x14ac:dyDescent="0.3">
      <c r="A278" s="8" t="s">
        <v>607</v>
      </c>
      <c r="B278" s="8" t="s">
        <v>95</v>
      </c>
      <c r="C278" s="9">
        <f>BamberSALtries</f>
        <v>0</v>
      </c>
      <c r="D278" s="21" t="s">
        <v>1070</v>
      </c>
      <c r="E278" s="21" t="s">
        <v>94</v>
      </c>
      <c r="F278" s="19">
        <f>Adderly_Jonesglopts</f>
        <v>0</v>
      </c>
    </row>
    <row r="279" spans="1:6" ht="14.95" customHeight="1" thickBot="1" x14ac:dyDescent="0.3">
      <c r="A279" s="8" t="s">
        <v>711</v>
      </c>
      <c r="B279" s="8" t="s">
        <v>108</v>
      </c>
      <c r="C279" s="9">
        <f>Barkerbritries</f>
        <v>0</v>
      </c>
      <c r="D279" s="21" t="s">
        <v>453</v>
      </c>
      <c r="E279" s="21" t="s">
        <v>366</v>
      </c>
      <c r="F279" s="19">
        <f>Adejimisarpts</f>
        <v>0</v>
      </c>
    </row>
    <row r="280" spans="1:6" ht="14.95" customHeight="1" thickBot="1" x14ac:dyDescent="0.3">
      <c r="A280" s="9" t="s">
        <v>1007</v>
      </c>
      <c r="B280" s="9" t="s">
        <v>108</v>
      </c>
      <c r="C280" s="9">
        <f>Bazalgettebritries</f>
        <v>0</v>
      </c>
      <c r="D280" s="21" t="s">
        <v>258</v>
      </c>
      <c r="E280" s="21" t="s">
        <v>94</v>
      </c>
      <c r="F280" s="19">
        <f>Alemannoglopts</f>
        <v>0</v>
      </c>
    </row>
    <row r="281" spans="1:6" ht="14.95" customHeight="1" thickBot="1" x14ac:dyDescent="0.3">
      <c r="A281" s="8" t="s">
        <v>124</v>
      </c>
      <c r="B281" s="8" t="s">
        <v>95</v>
      </c>
      <c r="C281" s="6">
        <f>Beaumontsaltries</f>
        <v>0</v>
      </c>
      <c r="D281" s="21" t="s">
        <v>802</v>
      </c>
      <c r="E281" s="21" t="s">
        <v>620</v>
      </c>
      <c r="F281" s="19">
        <f>Batemanleipts</f>
        <v>0</v>
      </c>
    </row>
    <row r="282" spans="1:6" ht="14.95" customHeight="1" thickBot="1" x14ac:dyDescent="0.3">
      <c r="A282" s="8" t="s">
        <v>503</v>
      </c>
      <c r="B282" s="8" t="s">
        <v>105</v>
      </c>
      <c r="C282" s="9">
        <f>Armanddontries</f>
        <v>0</v>
      </c>
      <c r="D282" s="21" t="s">
        <v>1254</v>
      </c>
      <c r="E282" s="21" t="s">
        <v>94</v>
      </c>
      <c r="F282" s="19">
        <f>Allportglopts</f>
        <v>0</v>
      </c>
    </row>
    <row r="283" spans="1:6" ht="14.95" customHeight="1" thickBot="1" x14ac:dyDescent="0.3">
      <c r="A283" s="8" t="s">
        <v>892</v>
      </c>
      <c r="B283" s="8" t="s">
        <v>95</v>
      </c>
      <c r="C283" s="9">
        <f>Bedlow_Jsaltries</f>
        <v>0</v>
      </c>
      <c r="D283" s="21" t="s">
        <v>889</v>
      </c>
      <c r="E283" s="21" t="s">
        <v>95</v>
      </c>
      <c r="F283" s="19">
        <f>Andrewssalpts</f>
        <v>0</v>
      </c>
    </row>
    <row r="284" spans="1:6" ht="14.95" customHeight="1" thickBot="1" x14ac:dyDescent="0.3">
      <c r="A284" s="8" t="s">
        <v>181</v>
      </c>
      <c r="B284" s="8" t="s">
        <v>95</v>
      </c>
      <c r="C284" s="6">
        <f>BedlowSAL_tries</f>
        <v>0</v>
      </c>
      <c r="D284" s="21" t="s">
        <v>605</v>
      </c>
      <c r="E284" s="21" t="s">
        <v>105</v>
      </c>
      <c r="F284" s="19">
        <f>ArmstrongEXEpts</f>
        <v>0</v>
      </c>
    </row>
    <row r="285" spans="1:6" ht="14.95" customHeight="1" thickBot="1" x14ac:dyDescent="0.3">
      <c r="A285" s="8" t="s">
        <v>797</v>
      </c>
      <c r="B285" s="9" t="s">
        <v>620</v>
      </c>
      <c r="C285" s="9">
        <f>Beetsleictries</f>
        <v>0</v>
      </c>
      <c r="D285" s="21" t="s">
        <v>787</v>
      </c>
      <c r="E285" s="21" t="s">
        <v>104</v>
      </c>
      <c r="F285" s="19">
        <f>Barnesharpts</f>
        <v>0</v>
      </c>
    </row>
    <row r="286" spans="1:6" ht="14.95" customHeight="1" thickBot="1" x14ac:dyDescent="0.3">
      <c r="A286" s="8" t="s">
        <v>753</v>
      </c>
      <c r="B286" s="8" t="s">
        <v>105</v>
      </c>
      <c r="C286" s="9">
        <f>BurrowsEXEtries</f>
        <v>0</v>
      </c>
      <c r="D286" s="21" t="s">
        <v>816</v>
      </c>
      <c r="E286" s="21" t="s">
        <v>282</v>
      </c>
      <c r="F286" s="19">
        <f>Barringtonrichardpts</f>
        <v>0</v>
      </c>
    </row>
    <row r="287" spans="1:6" ht="14.95" customHeight="1" thickBot="1" x14ac:dyDescent="0.3">
      <c r="A287" s="9" t="s">
        <v>646</v>
      </c>
      <c r="B287" s="9" t="s">
        <v>282</v>
      </c>
      <c r="C287" s="9">
        <f>Bellonewtries</f>
        <v>0</v>
      </c>
      <c r="D287" s="21" t="s">
        <v>971</v>
      </c>
      <c r="E287" s="21" t="s">
        <v>97</v>
      </c>
      <c r="F287" s="19">
        <f>Braleynorptscorrect</f>
        <v>0</v>
      </c>
    </row>
    <row r="288" spans="1:6" ht="14.95" customHeight="1" thickBot="1" x14ac:dyDescent="0.3">
      <c r="A288" s="8" t="s">
        <v>1282</v>
      </c>
      <c r="B288" s="9" t="s">
        <v>97</v>
      </c>
      <c r="C288" s="9">
        <f>Bensonnortries</f>
        <v>0</v>
      </c>
      <c r="D288" s="21" t="s">
        <v>746</v>
      </c>
      <c r="E288" s="21" t="s">
        <v>108</v>
      </c>
      <c r="F288" s="19">
        <f>Bakerbripts</f>
        <v>0</v>
      </c>
    </row>
    <row r="289" spans="1:6" ht="14.95" customHeight="1" thickBot="1" x14ac:dyDescent="0.3">
      <c r="A289" s="8" t="s">
        <v>406</v>
      </c>
      <c r="B289" s="8" t="s">
        <v>104</v>
      </c>
      <c r="C289" s="9">
        <f>Bensonhartries</f>
        <v>0</v>
      </c>
      <c r="D289" s="21" t="s">
        <v>906</v>
      </c>
      <c r="E289" s="21" t="s">
        <v>366</v>
      </c>
      <c r="F289" s="19">
        <f>Balmainsarpts</f>
        <v>0</v>
      </c>
    </row>
    <row r="290" spans="1:6" ht="14.95" customHeight="1" thickBot="1" x14ac:dyDescent="0.3">
      <c r="A290" s="12" t="s">
        <v>415</v>
      </c>
      <c r="B290" s="309" t="s">
        <v>95</v>
      </c>
      <c r="C290" s="6">
        <f>Birchsaltries</f>
        <v>0</v>
      </c>
      <c r="D290" s="21" t="s">
        <v>607</v>
      </c>
      <c r="E290" s="21" t="s">
        <v>95</v>
      </c>
      <c r="F290" s="20">
        <f>BamberSALpts</f>
        <v>0</v>
      </c>
    </row>
    <row r="291" spans="1:6" ht="14.95" customHeight="1" thickBot="1" x14ac:dyDescent="0.3">
      <c r="A291" s="62" t="s">
        <v>1150</v>
      </c>
      <c r="B291" s="8" t="s">
        <v>94</v>
      </c>
      <c r="C291" s="9">
        <f>Blackmoreglotries</f>
        <v>0</v>
      </c>
      <c r="D291" s="2" t="s">
        <v>711</v>
      </c>
      <c r="E291" s="21" t="s">
        <v>108</v>
      </c>
      <c r="F291" s="19">
        <f>Barkerbripts</f>
        <v>0</v>
      </c>
    </row>
    <row r="292" spans="1:6" ht="14.95" customHeight="1" thickBot="1" x14ac:dyDescent="0.3">
      <c r="A292" s="62" t="s">
        <v>730</v>
      </c>
      <c r="B292" s="8" t="s">
        <v>108</v>
      </c>
      <c r="C292" s="9">
        <f>bedlowbritries</f>
        <v>0</v>
      </c>
      <c r="D292" s="2" t="s">
        <v>1007</v>
      </c>
      <c r="E292" s="21" t="s">
        <v>108</v>
      </c>
      <c r="F292" s="19">
        <f>Bazalgettebripts</f>
        <v>0</v>
      </c>
    </row>
    <row r="293" spans="1:6" ht="14.95" customHeight="1" thickBot="1" x14ac:dyDescent="0.3">
      <c r="A293" s="8" t="s">
        <v>1304</v>
      </c>
      <c r="B293" s="8" t="s">
        <v>366</v>
      </c>
      <c r="C293" s="9">
        <f>Brackensartries</f>
        <v>0</v>
      </c>
      <c r="D293" s="21" t="s">
        <v>124</v>
      </c>
      <c r="E293" s="21" t="s">
        <v>95</v>
      </c>
      <c r="F293" s="19">
        <f>Beaumontsalpts</f>
        <v>0</v>
      </c>
    </row>
    <row r="294" spans="1:6" ht="14.95" customHeight="1" thickBot="1" x14ac:dyDescent="0.3">
      <c r="A294" s="8" t="s">
        <v>491</v>
      </c>
      <c r="B294" s="8" t="s">
        <v>104</v>
      </c>
      <c r="C294" s="9">
        <f>Bradleyhartries</f>
        <v>0</v>
      </c>
      <c r="D294" s="21" t="s">
        <v>503</v>
      </c>
      <c r="E294" s="21" t="s">
        <v>105</v>
      </c>
      <c r="F294" s="19">
        <f>Armanddonpts</f>
        <v>0</v>
      </c>
    </row>
    <row r="295" spans="1:6" ht="14.95" customHeight="1" thickBot="1" x14ac:dyDescent="0.3">
      <c r="A295" s="8" t="s">
        <v>904</v>
      </c>
      <c r="B295" s="8" t="s">
        <v>366</v>
      </c>
      <c r="C295" s="9">
        <f>Beatonsartries</f>
        <v>0</v>
      </c>
      <c r="D295" s="19" t="s">
        <v>892</v>
      </c>
      <c r="E295" s="21" t="s">
        <v>95</v>
      </c>
      <c r="F295" s="19">
        <f>Bedlow_Jsalpts</f>
        <v>0</v>
      </c>
    </row>
    <row r="296" spans="1:6" ht="14.95" customHeight="1" thickBot="1" x14ac:dyDescent="0.3">
      <c r="A296" s="8" t="s">
        <v>914</v>
      </c>
      <c r="B296" s="8" t="s">
        <v>366</v>
      </c>
      <c r="C296" s="9">
        <f>Brantinghamsartries</f>
        <v>0</v>
      </c>
      <c r="D296" s="21" t="s">
        <v>181</v>
      </c>
      <c r="E296" s="21" t="s">
        <v>95</v>
      </c>
      <c r="F296" s="19">
        <f>BedlowSAL_pts</f>
        <v>0</v>
      </c>
    </row>
    <row r="297" spans="1:6" ht="14.95" customHeight="1" thickBot="1" x14ac:dyDescent="0.3">
      <c r="A297" s="8" t="s">
        <v>286</v>
      </c>
      <c r="B297" s="8" t="s">
        <v>282</v>
      </c>
      <c r="C297" s="9">
        <f>Boschmarcelotries</f>
        <v>0</v>
      </c>
      <c r="D297" s="21" t="s">
        <v>797</v>
      </c>
      <c r="E297" s="21" t="s">
        <v>620</v>
      </c>
      <c r="F297" s="19">
        <f>Beetsleicpts</f>
        <v>0</v>
      </c>
    </row>
    <row r="298" spans="1:6" ht="14.95" customHeight="1" thickBot="1" x14ac:dyDescent="0.3">
      <c r="A298" s="8" t="s">
        <v>1087</v>
      </c>
      <c r="B298" s="8" t="s">
        <v>97</v>
      </c>
      <c r="C298" s="9">
        <f>brownnortries</f>
        <v>0</v>
      </c>
      <c r="D298" s="21" t="s">
        <v>753</v>
      </c>
      <c r="E298" s="21" t="s">
        <v>105</v>
      </c>
      <c r="F298" s="19">
        <f>BurrowsEXEpts</f>
        <v>0</v>
      </c>
    </row>
    <row r="299" spans="1:6" ht="14.95" customHeight="1" thickBot="1" x14ac:dyDescent="0.3">
      <c r="A299" s="8" t="s">
        <v>619</v>
      </c>
      <c r="B299" s="8" t="s">
        <v>282</v>
      </c>
      <c r="C299" s="9">
        <f>brownnewtries</f>
        <v>0</v>
      </c>
      <c r="D299" s="21" t="s">
        <v>646</v>
      </c>
      <c r="E299" s="21" t="s">
        <v>282</v>
      </c>
      <c r="F299" s="19">
        <f>Bellonewpts</f>
        <v>0</v>
      </c>
    </row>
    <row r="300" spans="1:6" ht="14.95" customHeight="1" thickBot="1" x14ac:dyDescent="0.3">
      <c r="A300" s="8" t="s">
        <v>609</v>
      </c>
      <c r="B300" s="8" t="s">
        <v>104</v>
      </c>
      <c r="C300" s="9">
        <f>BrowneHARtries</f>
        <v>0</v>
      </c>
      <c r="D300" s="21" t="s">
        <v>1282</v>
      </c>
      <c r="E300" s="21" t="s">
        <v>97</v>
      </c>
      <c r="F300" s="19">
        <f>Bensonnorpts</f>
        <v>0</v>
      </c>
    </row>
    <row r="301" spans="1:6" ht="14.95" customHeight="1" thickBot="1" x14ac:dyDescent="0.3">
      <c r="A301" s="8" t="s">
        <v>1110</v>
      </c>
      <c r="B301" s="8" t="s">
        <v>95</v>
      </c>
      <c r="C301" s="9">
        <f>Burrowsaltries</f>
        <v>0</v>
      </c>
      <c r="D301" s="374" t="s">
        <v>415</v>
      </c>
      <c r="E301" s="374" t="s">
        <v>95</v>
      </c>
      <c r="F301" s="19">
        <f>Birchsalpts</f>
        <v>0</v>
      </c>
    </row>
    <row r="302" spans="1:6" ht="14.95" customHeight="1" thickBot="1" x14ac:dyDescent="0.3">
      <c r="A302" s="8" t="s">
        <v>1220</v>
      </c>
      <c r="B302" s="8" t="s">
        <v>94</v>
      </c>
      <c r="C302" s="9">
        <f>Butlerglotries</f>
        <v>0</v>
      </c>
      <c r="D302" s="21" t="s">
        <v>1150</v>
      </c>
      <c r="E302" s="21" t="s">
        <v>94</v>
      </c>
      <c r="F302" s="19">
        <f>Blackmoreglopts</f>
        <v>0</v>
      </c>
    </row>
    <row r="303" spans="1:6" ht="14.95" customHeight="1" thickBot="1" x14ac:dyDescent="0.3">
      <c r="A303" s="8" t="s">
        <v>256</v>
      </c>
      <c r="B303" s="8" t="s">
        <v>282</v>
      </c>
      <c r="C303" s="9">
        <f>Burrellnewtries</f>
        <v>0</v>
      </c>
      <c r="D303" s="21" t="s">
        <v>730</v>
      </c>
      <c r="E303" s="21" t="s">
        <v>108</v>
      </c>
      <c r="F303" s="19">
        <f>Bedlowbripts</f>
        <v>0</v>
      </c>
    </row>
    <row r="304" spans="1:6" ht="14.95" customHeight="1" thickBot="1" x14ac:dyDescent="0.3">
      <c r="A304" s="8" t="s">
        <v>602</v>
      </c>
      <c r="B304" s="8" t="s">
        <v>95</v>
      </c>
      <c r="C304" s="49">
        <f>Cainesaltries</f>
        <v>0</v>
      </c>
      <c r="D304" s="21" t="s">
        <v>1304</v>
      </c>
      <c r="E304" s="21" t="s">
        <v>366</v>
      </c>
      <c r="F304" s="19">
        <f>Brackensarpts</f>
        <v>0</v>
      </c>
    </row>
    <row r="305" spans="1:6" ht="14.95" customHeight="1" thickBot="1" x14ac:dyDescent="0.3">
      <c r="A305" s="8" t="s">
        <v>674</v>
      </c>
      <c r="B305" s="8" t="s">
        <v>282</v>
      </c>
      <c r="C305" s="9">
        <f>Carrerasnewtries</f>
        <v>0</v>
      </c>
      <c r="D305" s="21" t="s">
        <v>491</v>
      </c>
      <c r="E305" s="21" t="s">
        <v>104</v>
      </c>
      <c r="F305" s="19">
        <f>Bradleyharpts</f>
        <v>0</v>
      </c>
    </row>
    <row r="306" spans="1:6" ht="14.95" customHeight="1" thickBot="1" x14ac:dyDescent="0.3">
      <c r="A306" s="8" t="s">
        <v>127</v>
      </c>
      <c r="B306" s="8" t="s">
        <v>104</v>
      </c>
      <c r="C306" s="6">
        <f>caretries</f>
        <v>0</v>
      </c>
      <c r="D306" s="21" t="s">
        <v>904</v>
      </c>
      <c r="E306" s="21" t="s">
        <v>366</v>
      </c>
      <c r="F306" s="19">
        <f>Beatonsarpts</f>
        <v>0</v>
      </c>
    </row>
    <row r="307" spans="1:6" ht="14.95" customHeight="1" thickBot="1" x14ac:dyDescent="0.3">
      <c r="A307" s="8" t="s">
        <v>1270</v>
      </c>
      <c r="B307" s="8" t="s">
        <v>620</v>
      </c>
      <c r="C307" s="9">
        <f>Carnduffleitries</f>
        <v>0</v>
      </c>
      <c r="D307" s="21" t="s">
        <v>914</v>
      </c>
      <c r="E307" s="21" t="s">
        <v>366</v>
      </c>
      <c r="F307" s="19">
        <f>Brantinghamsarpts</f>
        <v>0</v>
      </c>
    </row>
    <row r="308" spans="1:6" ht="14.95" customHeight="1" thickBot="1" x14ac:dyDescent="0.3">
      <c r="A308" s="8" t="s">
        <v>490</v>
      </c>
      <c r="B308" s="8" t="s">
        <v>104</v>
      </c>
      <c r="C308" s="9">
        <f>Carrhartries</f>
        <v>0</v>
      </c>
      <c r="D308" s="21" t="s">
        <v>286</v>
      </c>
      <c r="E308" s="21" t="s">
        <v>282</v>
      </c>
      <c r="F308" s="19">
        <f>Boschmarcelopts</f>
        <v>0</v>
      </c>
    </row>
    <row r="309" spans="1:6" ht="14.95" customHeight="1" thickBot="1" x14ac:dyDescent="0.3">
      <c r="A309" s="8" t="s">
        <v>564</v>
      </c>
      <c r="B309" s="8" t="s">
        <v>108</v>
      </c>
      <c r="C309" s="9">
        <f>CaulfieldBRItries</f>
        <v>0</v>
      </c>
      <c r="D309" s="21" t="s">
        <v>1087</v>
      </c>
      <c r="E309" s="21" t="s">
        <v>97</v>
      </c>
      <c r="F309" s="19">
        <f>brownnorpts</f>
        <v>0</v>
      </c>
    </row>
    <row r="310" spans="1:6" ht="14.95" customHeight="1" thickBot="1" x14ac:dyDescent="0.3">
      <c r="A310" s="8" t="s">
        <v>179</v>
      </c>
      <c r="B310" s="8" t="s">
        <v>94</v>
      </c>
      <c r="C310" s="9">
        <f>Chapmanglotries</f>
        <v>0</v>
      </c>
      <c r="D310" s="21" t="s">
        <v>619</v>
      </c>
      <c r="E310" s="21" t="s">
        <v>282</v>
      </c>
      <c r="F310" s="19">
        <f>brownnewpts</f>
        <v>0</v>
      </c>
    </row>
    <row r="311" spans="1:6" ht="14.95" customHeight="1" thickBot="1" x14ac:dyDescent="0.3">
      <c r="A311" s="8" t="s">
        <v>707</v>
      </c>
      <c r="B311" s="8" t="s">
        <v>108</v>
      </c>
      <c r="C311" s="9">
        <f>Challengerbritries</f>
        <v>0</v>
      </c>
      <c r="D311" s="21" t="s">
        <v>609</v>
      </c>
      <c r="E311" s="21" t="s">
        <v>104</v>
      </c>
      <c r="F311" s="19">
        <f>BrowneHARpts</f>
        <v>0</v>
      </c>
    </row>
    <row r="312" spans="1:6" ht="14.95" customHeight="1" thickBot="1" x14ac:dyDescent="0.3">
      <c r="A312" s="8" t="s">
        <v>480</v>
      </c>
      <c r="B312" s="9" t="s">
        <v>620</v>
      </c>
      <c r="C312" s="6">
        <f>Chessum_Lleitries</f>
        <v>0</v>
      </c>
      <c r="D312" s="19" t="s">
        <v>1110</v>
      </c>
      <c r="E312" s="19" t="s">
        <v>95</v>
      </c>
      <c r="F312" s="19">
        <f>Burrowsalpts</f>
        <v>0</v>
      </c>
    </row>
    <row r="313" spans="1:6" ht="14.95" customHeight="1" thickBot="1" x14ac:dyDescent="0.3">
      <c r="A313" s="8" t="s">
        <v>367</v>
      </c>
      <c r="B313" s="8" t="s">
        <v>366</v>
      </c>
      <c r="C313" s="9">
        <f>Clareysartriescorrect</f>
        <v>0</v>
      </c>
      <c r="D313" s="21" t="s">
        <v>1220</v>
      </c>
      <c r="E313" s="21" t="s">
        <v>94</v>
      </c>
      <c r="F313" s="19">
        <f>Butlerglopts</f>
        <v>0</v>
      </c>
    </row>
    <row r="314" spans="1:6" ht="14.95" customHeight="1" thickBot="1" x14ac:dyDescent="0.3">
      <c r="A314" s="8" t="s">
        <v>505</v>
      </c>
      <c r="B314" s="8" t="s">
        <v>94</v>
      </c>
      <c r="C314" s="9">
        <f>Clarkglotries</f>
        <v>0</v>
      </c>
      <c r="D314" s="21" t="s">
        <v>256</v>
      </c>
      <c r="E314" s="21" t="s">
        <v>282</v>
      </c>
      <c r="F314" s="19">
        <f>Burrellnewpts</f>
        <v>0</v>
      </c>
    </row>
    <row r="315" spans="1:6" ht="14.95" customHeight="1" thickBot="1" x14ac:dyDescent="0.3">
      <c r="A315" s="8" t="s">
        <v>803</v>
      </c>
      <c r="B315" s="9" t="s">
        <v>620</v>
      </c>
      <c r="C315" s="9">
        <f>CokanasigaLEItries</f>
        <v>0</v>
      </c>
      <c r="D315" s="21" t="s">
        <v>602</v>
      </c>
      <c r="E315" s="21" t="s">
        <v>95</v>
      </c>
      <c r="F315" s="19">
        <f>Cainesalpts</f>
        <v>0</v>
      </c>
    </row>
    <row r="316" spans="1:6" ht="14.95" customHeight="1" thickBot="1" x14ac:dyDescent="0.3">
      <c r="A316" s="9" t="s">
        <v>296</v>
      </c>
      <c r="B316" s="9" t="s">
        <v>282</v>
      </c>
      <c r="C316" s="9">
        <f>Connonnewtriescorrectthsione</f>
        <v>0</v>
      </c>
      <c r="D316" s="21" t="s">
        <v>674</v>
      </c>
      <c r="E316" s="21" t="s">
        <v>282</v>
      </c>
      <c r="F316" s="19">
        <f>Carrerasnewpts</f>
        <v>0</v>
      </c>
    </row>
    <row r="317" spans="1:6" ht="14.95" customHeight="1" thickBot="1" x14ac:dyDescent="0.3">
      <c r="A317" s="8" t="s">
        <v>819</v>
      </c>
      <c r="B317" s="8" t="s">
        <v>282</v>
      </c>
      <c r="C317" s="9">
        <f>Crossdalesartriescorrect</f>
        <v>0</v>
      </c>
      <c r="D317" s="21" t="s">
        <v>127</v>
      </c>
      <c r="E317" s="21" t="s">
        <v>104</v>
      </c>
      <c r="F317" s="19">
        <f>Carepts</f>
        <v>0</v>
      </c>
    </row>
    <row r="318" spans="1:6" ht="14.95" customHeight="1" thickBot="1" x14ac:dyDescent="0.3">
      <c r="A318" s="309" t="s">
        <v>1086</v>
      </c>
      <c r="B318" s="309" t="s">
        <v>97</v>
      </c>
      <c r="C318" s="6">
        <f>Cousinsnortries</f>
        <v>0</v>
      </c>
      <c r="D318" s="21" t="s">
        <v>1270</v>
      </c>
      <c r="E318" s="21" t="s">
        <v>620</v>
      </c>
      <c r="F318" s="18">
        <f>Carnduffleipts</f>
        <v>0</v>
      </c>
    </row>
    <row r="319" spans="1:6" ht="14.95" customHeight="1" thickBot="1" x14ac:dyDescent="0.3">
      <c r="A319" s="8" t="s">
        <v>1247</v>
      </c>
      <c r="B319" s="8" t="s">
        <v>96</v>
      </c>
      <c r="C319" s="9">
        <f>Cowanbthtries</f>
        <v>0</v>
      </c>
      <c r="D319" s="21" t="s">
        <v>490</v>
      </c>
      <c r="E319" s="21" t="s">
        <v>104</v>
      </c>
      <c r="F319" s="19">
        <f>Carrharpts</f>
        <v>0</v>
      </c>
    </row>
    <row r="320" spans="1:6" ht="14.95" customHeight="1" thickBot="1" x14ac:dyDescent="0.3">
      <c r="A320" s="8" t="s">
        <v>912</v>
      </c>
      <c r="B320" s="8" t="s">
        <v>366</v>
      </c>
      <c r="C320" s="9">
        <f>Creansartries</f>
        <v>0</v>
      </c>
      <c r="D320" s="21" t="s">
        <v>564</v>
      </c>
      <c r="E320" s="21" t="s">
        <v>108</v>
      </c>
      <c r="F320" s="19">
        <f>CaulfieldBRIpts</f>
        <v>0</v>
      </c>
    </row>
    <row r="321" spans="1:6" ht="14.95" customHeight="1" thickBot="1" x14ac:dyDescent="0.3">
      <c r="A321" s="9" t="s">
        <v>715</v>
      </c>
      <c r="B321" s="9" t="s">
        <v>108</v>
      </c>
      <c r="C321" s="9">
        <f>Crippsbritries</f>
        <v>0</v>
      </c>
      <c r="D321" s="21" t="s">
        <v>179</v>
      </c>
      <c r="E321" s="21" t="s">
        <v>94</v>
      </c>
      <c r="F321" s="19">
        <f>Chapmanglopts</f>
        <v>0</v>
      </c>
    </row>
    <row r="322" spans="1:6" ht="14.95" customHeight="1" thickBot="1" x14ac:dyDescent="0.3">
      <c r="A322" s="8" t="s">
        <v>685</v>
      </c>
      <c r="B322" s="8" t="s">
        <v>104</v>
      </c>
      <c r="C322" s="9">
        <f>Cunningham_Sthhartries</f>
        <v>0</v>
      </c>
      <c r="D322" s="21" t="s">
        <v>707</v>
      </c>
      <c r="E322" s="21" t="s">
        <v>108</v>
      </c>
      <c r="F322" s="19">
        <f>Challengerbripts</f>
        <v>0</v>
      </c>
    </row>
    <row r="323" spans="1:6" ht="14.95" customHeight="1" thickBot="1" x14ac:dyDescent="0.3">
      <c r="A323" s="8" t="s">
        <v>215</v>
      </c>
      <c r="B323" s="8" t="s">
        <v>95</v>
      </c>
      <c r="C323" s="9">
        <f>Curtissaltries</f>
        <v>0</v>
      </c>
      <c r="D323" s="21" t="s">
        <v>480</v>
      </c>
      <c r="E323" s="21" t="s">
        <v>620</v>
      </c>
      <c r="F323" s="19">
        <f>Chessum_Lleipts</f>
        <v>0</v>
      </c>
    </row>
    <row r="324" spans="1:6" ht="14.95" customHeight="1" thickBot="1" x14ac:dyDescent="0.3">
      <c r="A324" s="8" t="s">
        <v>738</v>
      </c>
      <c r="B324" s="8" t="s">
        <v>108</v>
      </c>
      <c r="C324" s="9">
        <f>Cusickbritries</f>
        <v>0</v>
      </c>
      <c r="D324" s="21" t="s">
        <v>367</v>
      </c>
      <c r="E324" s="21" t="s">
        <v>366</v>
      </c>
      <c r="F324" s="19">
        <f>Clareysarptscorrect</f>
        <v>0</v>
      </c>
    </row>
    <row r="325" spans="1:6" ht="14.95" customHeight="1" thickBot="1" x14ac:dyDescent="0.3">
      <c r="A325" s="8" t="s">
        <v>197</v>
      </c>
      <c r="B325" s="8" t="s">
        <v>104</v>
      </c>
      <c r="C325" s="9">
        <f>Davidhartries</f>
        <v>0</v>
      </c>
      <c r="D325" s="21" t="s">
        <v>505</v>
      </c>
      <c r="E325" s="21" t="s">
        <v>94</v>
      </c>
      <c r="F325" s="19">
        <f>Clarkglopts</f>
        <v>0</v>
      </c>
    </row>
    <row r="326" spans="1:6" ht="14.95" customHeight="1" thickBot="1" x14ac:dyDescent="0.3">
      <c r="A326" s="8" t="s">
        <v>804</v>
      </c>
      <c r="B326" s="9" t="s">
        <v>620</v>
      </c>
      <c r="C326" s="49">
        <f>Diaz_Bonilla_Jleictries</f>
        <v>0</v>
      </c>
      <c r="D326" s="21" t="s">
        <v>803</v>
      </c>
      <c r="E326" s="21" t="s">
        <v>620</v>
      </c>
      <c r="F326" s="19">
        <f>CokanasigaLEIpts</f>
        <v>0</v>
      </c>
    </row>
    <row r="327" spans="1:6" ht="14.95" customHeight="1" thickBot="1" x14ac:dyDescent="0.3">
      <c r="A327" s="8" t="s">
        <v>510</v>
      </c>
      <c r="B327" s="8" t="s">
        <v>95</v>
      </c>
      <c r="C327" s="9">
        <f>de_Jagersaltries</f>
        <v>0</v>
      </c>
      <c r="D327" s="19" t="s">
        <v>819</v>
      </c>
      <c r="E327" s="19" t="s">
        <v>282</v>
      </c>
      <c r="F327" s="19">
        <f>Crossdalesarptscorrect</f>
        <v>0</v>
      </c>
    </row>
    <row r="328" spans="1:6" ht="14.95" customHeight="1" thickBot="1" x14ac:dyDescent="0.3">
      <c r="A328" s="8" t="s">
        <v>510</v>
      </c>
      <c r="B328" s="8" t="s">
        <v>95</v>
      </c>
      <c r="C328" s="9">
        <f>de_Jagersaltries</f>
        <v>0</v>
      </c>
      <c r="D328" s="21" t="s">
        <v>1086</v>
      </c>
      <c r="E328" s="21" t="s">
        <v>97</v>
      </c>
      <c r="F328" s="20">
        <f>Cousinsnorpts</f>
        <v>0</v>
      </c>
    </row>
    <row r="329" spans="1:6" ht="14.95" customHeight="1" thickBot="1" x14ac:dyDescent="0.3">
      <c r="A329" s="8" t="s">
        <v>848</v>
      </c>
      <c r="B329" s="8" t="s">
        <v>282</v>
      </c>
      <c r="C329" s="9">
        <f>de_Bruinnewtries</f>
        <v>0</v>
      </c>
      <c r="D329" s="21" t="s">
        <v>1247</v>
      </c>
      <c r="E329" s="21" t="s">
        <v>96</v>
      </c>
      <c r="F329" s="19">
        <f>Cowanbthpts</f>
        <v>0</v>
      </c>
    </row>
    <row r="330" spans="1:6" ht="14.95" customHeight="1" thickBot="1" x14ac:dyDescent="0.3">
      <c r="A330" s="8" t="s">
        <v>610</v>
      </c>
      <c r="B330" s="8" t="s">
        <v>282</v>
      </c>
      <c r="C330" s="9">
        <f>de_ChavesNEWtries</f>
        <v>0</v>
      </c>
      <c r="D330" s="21" t="s">
        <v>912</v>
      </c>
      <c r="E330" s="21" t="s">
        <v>366</v>
      </c>
      <c r="F330" s="19">
        <f>Creansarpts</f>
        <v>0</v>
      </c>
    </row>
    <row r="331" spans="1:6" ht="14.95" customHeight="1" thickBot="1" x14ac:dyDescent="0.3">
      <c r="A331" s="8" t="s">
        <v>755</v>
      </c>
      <c r="B331" s="8" t="s">
        <v>105</v>
      </c>
      <c r="C331" s="9">
        <f>Davisexetrie</f>
        <v>0</v>
      </c>
      <c r="D331" s="21" t="s">
        <v>715</v>
      </c>
      <c r="E331" s="21" t="s">
        <v>108</v>
      </c>
      <c r="F331" s="19">
        <f>Crippsbripts</f>
        <v>0</v>
      </c>
    </row>
    <row r="332" spans="1:6" ht="14.95" customHeight="1" thickBot="1" x14ac:dyDescent="0.3">
      <c r="A332" s="8" t="s">
        <v>709</v>
      </c>
      <c r="B332" s="8" t="s">
        <v>108</v>
      </c>
      <c r="C332" s="49">
        <f>Daviesbritries</f>
        <v>0</v>
      </c>
      <c r="D332" s="21" t="s">
        <v>685</v>
      </c>
      <c r="E332" s="21" t="s">
        <v>104</v>
      </c>
      <c r="F332" s="19">
        <f>Cunningham_Sthharpts</f>
        <v>0</v>
      </c>
    </row>
    <row r="333" spans="1:6" ht="14.95" customHeight="1" thickBot="1" x14ac:dyDescent="0.3">
      <c r="A333" s="8" t="s">
        <v>789</v>
      </c>
      <c r="B333" s="8" t="s">
        <v>104</v>
      </c>
      <c r="C333" s="9">
        <f>Edwardshartries</f>
        <v>0</v>
      </c>
      <c r="D333" s="21" t="s">
        <v>738</v>
      </c>
      <c r="E333" s="21" t="s">
        <v>108</v>
      </c>
      <c r="F333" s="19">
        <f>Cusickbripts</f>
        <v>0</v>
      </c>
    </row>
    <row r="334" spans="1:6" ht="14.95" customHeight="1" thickBot="1" x14ac:dyDescent="0.3">
      <c r="A334" s="8" t="s">
        <v>408</v>
      </c>
      <c r="B334" s="8" t="s">
        <v>95</v>
      </c>
      <c r="C334" s="9">
        <f>Dugdalesaltries</f>
        <v>0</v>
      </c>
      <c r="D334" s="21" t="s">
        <v>197</v>
      </c>
      <c r="E334" s="21" t="s">
        <v>104</v>
      </c>
      <c r="F334" s="19">
        <f>Davidharpts</f>
        <v>0</v>
      </c>
    </row>
    <row r="335" spans="1:6" ht="14.95" customHeight="1" thickBot="1" x14ac:dyDescent="0.3">
      <c r="A335" s="8" t="s">
        <v>636</v>
      </c>
      <c r="B335" s="8" t="s">
        <v>105</v>
      </c>
      <c r="C335" s="9">
        <f>Dunneexetries</f>
        <v>0</v>
      </c>
      <c r="D335" s="21" t="s">
        <v>804</v>
      </c>
      <c r="E335" s="21" t="s">
        <v>620</v>
      </c>
      <c r="F335" s="19">
        <f>Diaz_Bonilla_Jleicpts</f>
        <v>0</v>
      </c>
    </row>
    <row r="336" spans="1:6" ht="14.95" customHeight="1" thickBot="1" x14ac:dyDescent="0.3">
      <c r="A336" s="8" t="s">
        <v>1097</v>
      </c>
      <c r="B336" s="8" t="s">
        <v>366</v>
      </c>
      <c r="C336" s="9">
        <f>Edensartries</f>
        <v>0</v>
      </c>
      <c r="D336" s="21" t="s">
        <v>510</v>
      </c>
      <c r="E336" s="21" t="s">
        <v>95</v>
      </c>
      <c r="F336" s="19">
        <f>de_Jagersalpts</f>
        <v>0</v>
      </c>
    </row>
    <row r="337" spans="1:6" ht="14.95" customHeight="1" thickBot="1" x14ac:dyDescent="0.3">
      <c r="A337" s="8" t="s">
        <v>765</v>
      </c>
      <c r="B337" s="8" t="s">
        <v>94</v>
      </c>
      <c r="C337" s="9">
        <f>Dentonglotries</f>
        <v>0</v>
      </c>
      <c r="D337" s="21" t="s">
        <v>510</v>
      </c>
      <c r="E337" s="21" t="s">
        <v>95</v>
      </c>
      <c r="F337" s="19">
        <f>de_Jagersalpts</f>
        <v>0</v>
      </c>
    </row>
    <row r="338" spans="1:6" ht="14.95" customHeight="1" thickBot="1" x14ac:dyDescent="0.3">
      <c r="A338" s="9" t="s">
        <v>926</v>
      </c>
      <c r="B338" s="9" t="s">
        <v>366</v>
      </c>
      <c r="C338" s="9">
        <f>Elliottsartries</f>
        <v>0</v>
      </c>
      <c r="D338" s="21" t="s">
        <v>848</v>
      </c>
      <c r="E338" s="21" t="s">
        <v>282</v>
      </c>
      <c r="F338" s="19">
        <f>de_Bruinnewpts</f>
        <v>0</v>
      </c>
    </row>
    <row r="339" spans="1:6" ht="14.95" customHeight="1" thickBot="1" x14ac:dyDescent="0.3">
      <c r="A339" s="9" t="s">
        <v>1010</v>
      </c>
      <c r="B339" s="9" t="s">
        <v>108</v>
      </c>
      <c r="C339" s="9">
        <f>Elizaldebritries</f>
        <v>0</v>
      </c>
      <c r="D339" s="21" t="s">
        <v>610</v>
      </c>
      <c r="E339" s="21" t="s">
        <v>282</v>
      </c>
      <c r="F339" s="19">
        <f>de_ChavesNEWpts</f>
        <v>0</v>
      </c>
    </row>
    <row r="340" spans="1:6" ht="14.95" customHeight="1" thickBot="1" x14ac:dyDescent="0.3">
      <c r="A340" s="8" t="s">
        <v>821</v>
      </c>
      <c r="B340" s="8" t="s">
        <v>282</v>
      </c>
      <c r="C340" s="9">
        <f>du_Plessissartries</f>
        <v>0</v>
      </c>
      <c r="D340" s="21" t="s">
        <v>755</v>
      </c>
      <c r="E340" s="21" t="s">
        <v>105</v>
      </c>
      <c r="F340" s="20">
        <f>Davisexepoints</f>
        <v>0</v>
      </c>
    </row>
    <row r="341" spans="1:6" ht="14.95" customHeight="1" thickBot="1" x14ac:dyDescent="0.3">
      <c r="A341" s="9" t="s">
        <v>277</v>
      </c>
      <c r="B341" s="9" t="s">
        <v>104</v>
      </c>
      <c r="C341" s="9">
        <f>Evans_Ohartries</f>
        <v>0</v>
      </c>
      <c r="D341" s="21" t="s">
        <v>709</v>
      </c>
      <c r="E341" s="21" t="s">
        <v>108</v>
      </c>
      <c r="F341" s="20">
        <f>Daviesbripts</f>
        <v>0</v>
      </c>
    </row>
    <row r="342" spans="1:6" ht="14.95" customHeight="1" thickBot="1" x14ac:dyDescent="0.3">
      <c r="A342" s="8" t="s">
        <v>590</v>
      </c>
      <c r="B342" s="8" t="s">
        <v>95</v>
      </c>
      <c r="C342" s="9">
        <f>EneSALtries</f>
        <v>0</v>
      </c>
      <c r="D342" s="21" t="s">
        <v>789</v>
      </c>
      <c r="E342" s="21" t="s">
        <v>104</v>
      </c>
      <c r="F342" s="19">
        <f>Edwardsharpts</f>
        <v>0</v>
      </c>
    </row>
    <row r="343" spans="1:6" ht="14.95" customHeight="1" thickBot="1" x14ac:dyDescent="0.3">
      <c r="A343" s="8" t="s">
        <v>601</v>
      </c>
      <c r="B343" s="8" t="s">
        <v>104</v>
      </c>
      <c r="C343" s="9">
        <f>Evans_Jhartriescorrect</f>
        <v>0</v>
      </c>
      <c r="D343" s="21" t="s">
        <v>408</v>
      </c>
      <c r="E343" s="21" t="s">
        <v>95</v>
      </c>
      <c r="F343" s="19">
        <f>Dugdalesalpts</f>
        <v>0</v>
      </c>
    </row>
    <row r="344" spans="1:6" ht="14.95" customHeight="1" thickBot="1" x14ac:dyDescent="0.3">
      <c r="A344" s="9" t="s">
        <v>766</v>
      </c>
      <c r="B344" s="8" t="s">
        <v>94</v>
      </c>
      <c r="C344" s="9">
        <f>Evans_Lglotries</f>
        <v>0</v>
      </c>
      <c r="D344" s="21" t="s">
        <v>636</v>
      </c>
      <c r="E344" s="21" t="s">
        <v>105</v>
      </c>
      <c r="F344" s="20">
        <f>Dunneexepts</f>
        <v>0</v>
      </c>
    </row>
    <row r="345" spans="1:6" ht="14.95" customHeight="1" thickBot="1" x14ac:dyDescent="0.3">
      <c r="A345" s="8" t="s">
        <v>539</v>
      </c>
      <c r="B345" s="8" t="s">
        <v>282</v>
      </c>
      <c r="C345" s="9">
        <f>Fusernewtries</f>
        <v>0</v>
      </c>
      <c r="D345" s="21" t="s">
        <v>1097</v>
      </c>
      <c r="E345" s="21" t="s">
        <v>366</v>
      </c>
      <c r="F345" s="19">
        <f>Edensarpts</f>
        <v>0</v>
      </c>
    </row>
    <row r="346" spans="1:6" ht="14.95" customHeight="1" thickBot="1" x14ac:dyDescent="0.3">
      <c r="A346" s="8" t="s">
        <v>263</v>
      </c>
      <c r="B346" s="8" t="s">
        <v>96</v>
      </c>
      <c r="C346" s="9">
        <f>Fotuali_ibthtries</f>
        <v>0</v>
      </c>
      <c r="D346" s="21" t="s">
        <v>765</v>
      </c>
      <c r="E346" s="21" t="s">
        <v>94</v>
      </c>
      <c r="F346" s="19">
        <f>Dentonglopts</f>
        <v>0</v>
      </c>
    </row>
    <row r="347" spans="1:6" ht="14.95" customHeight="1" thickBot="1" x14ac:dyDescent="0.3">
      <c r="A347" s="8" t="s">
        <v>137</v>
      </c>
      <c r="B347" s="8" t="s">
        <v>108</v>
      </c>
      <c r="C347" s="9">
        <f>Frischbritries</f>
        <v>0</v>
      </c>
      <c r="D347" s="21" t="s">
        <v>926</v>
      </c>
      <c r="E347" s="21" t="s">
        <v>366</v>
      </c>
      <c r="F347" s="19">
        <f>Elliottsarpts</f>
        <v>0</v>
      </c>
    </row>
    <row r="348" spans="1:6" ht="14.95" customHeight="1" thickBot="1" x14ac:dyDescent="0.3">
      <c r="A348" s="8" t="s">
        <v>444</v>
      </c>
      <c r="B348" s="8" t="s">
        <v>104</v>
      </c>
      <c r="C348" s="9">
        <f>Gjaltemahartries</f>
        <v>0</v>
      </c>
      <c r="D348" s="19" t="s">
        <v>1010</v>
      </c>
      <c r="E348" s="21" t="s">
        <v>108</v>
      </c>
      <c r="F348" s="19">
        <f>Elizaldebtipts</f>
        <v>0</v>
      </c>
    </row>
    <row r="349" spans="1:6" ht="14.95" customHeight="1" thickBot="1" x14ac:dyDescent="0.3">
      <c r="A349" s="8" t="s">
        <v>750</v>
      </c>
      <c r="B349" s="8" t="s">
        <v>105</v>
      </c>
      <c r="C349" s="9">
        <f>Grayexetries</f>
        <v>0</v>
      </c>
      <c r="D349" s="21" t="s">
        <v>821</v>
      </c>
      <c r="E349" s="21" t="s">
        <v>282</v>
      </c>
      <c r="F349" s="19">
        <f>du_Plessissarpts</f>
        <v>0</v>
      </c>
    </row>
    <row r="350" spans="1:6" ht="14.95" customHeight="1" thickBot="1" x14ac:dyDescent="0.3">
      <c r="A350" s="8" t="s">
        <v>852</v>
      </c>
      <c r="B350" s="8" t="s">
        <v>282</v>
      </c>
      <c r="C350" s="9">
        <f>Gordonnewtries</f>
        <v>0</v>
      </c>
      <c r="D350" s="19" t="s">
        <v>277</v>
      </c>
      <c r="E350" s="19" t="s">
        <v>104</v>
      </c>
      <c r="F350" s="19">
        <f>Evans_Oharpts</f>
        <v>0</v>
      </c>
    </row>
    <row r="351" spans="1:6" ht="14.95" customHeight="1" thickBot="1" x14ac:dyDescent="0.3">
      <c r="A351" s="8" t="s">
        <v>761</v>
      </c>
      <c r="B351" s="8" t="s">
        <v>94</v>
      </c>
      <c r="C351" s="9">
        <f>Halaifonuaglotries</f>
        <v>0</v>
      </c>
      <c r="D351" s="21" t="s">
        <v>590</v>
      </c>
      <c r="E351" s="21" t="s">
        <v>95</v>
      </c>
      <c r="F351" s="19">
        <f>EneSALpts</f>
        <v>0</v>
      </c>
    </row>
    <row r="352" spans="1:6" ht="14.95" customHeight="1" thickBot="1" x14ac:dyDescent="0.3">
      <c r="A352" s="8" t="s">
        <v>986</v>
      </c>
      <c r="B352" s="8" t="s">
        <v>96</v>
      </c>
      <c r="C352" s="9">
        <f>Garveymatttries</f>
        <v>0</v>
      </c>
      <c r="D352" s="19" t="s">
        <v>766</v>
      </c>
      <c r="E352" s="19" t="s">
        <v>94</v>
      </c>
      <c r="F352" s="19">
        <f>Evans_Lglopts</f>
        <v>0</v>
      </c>
    </row>
    <row r="353" spans="1:6" ht="14.95" customHeight="1" thickBot="1" x14ac:dyDescent="0.3">
      <c r="A353" s="8" t="s">
        <v>721</v>
      </c>
      <c r="B353" s="8" t="s">
        <v>108</v>
      </c>
      <c r="C353" s="9">
        <f>Grahamslawbritries</f>
        <v>0</v>
      </c>
      <c r="D353" s="21" t="s">
        <v>539</v>
      </c>
      <c r="E353" s="21" t="s">
        <v>282</v>
      </c>
      <c r="F353" s="19">
        <f>Fusernewpts</f>
        <v>0</v>
      </c>
    </row>
    <row r="354" spans="1:6" ht="14.95" customHeight="1" thickBot="1" x14ac:dyDescent="0.3">
      <c r="A354" s="8" t="s">
        <v>939</v>
      </c>
      <c r="B354" s="8" t="s">
        <v>282</v>
      </c>
      <c r="C354" s="9">
        <f>Graysonnewtries</f>
        <v>0</v>
      </c>
      <c r="D354" s="21" t="s">
        <v>263</v>
      </c>
      <c r="E354" s="21" t="s">
        <v>96</v>
      </c>
      <c r="F354" s="19">
        <f>Fotuali_ibthpts</f>
        <v>0</v>
      </c>
    </row>
    <row r="355" spans="1:6" ht="14.95" customHeight="1" thickBot="1" x14ac:dyDescent="0.3">
      <c r="A355" s="8" t="s">
        <v>473</v>
      </c>
      <c r="B355" s="8" t="s">
        <v>104</v>
      </c>
      <c r="C355" s="9">
        <f>Grayjoehartries</f>
        <v>0</v>
      </c>
      <c r="D355" s="21" t="s">
        <v>137</v>
      </c>
      <c r="E355" s="21" t="s">
        <v>108</v>
      </c>
      <c r="F355" s="19">
        <f>Frischbripts</f>
        <v>0</v>
      </c>
    </row>
    <row r="356" spans="1:6" ht="14.95" customHeight="1" thickBot="1" x14ac:dyDescent="0.3">
      <c r="A356" s="9" t="s">
        <v>825</v>
      </c>
      <c r="B356" s="9" t="s">
        <v>282</v>
      </c>
      <c r="C356" s="9">
        <f>Farrellowentries</f>
        <v>0</v>
      </c>
      <c r="D356" s="21" t="s">
        <v>444</v>
      </c>
      <c r="E356" s="21" t="s">
        <v>104</v>
      </c>
      <c r="F356" s="19">
        <f>Gjaltemaharpts</f>
        <v>0</v>
      </c>
    </row>
    <row r="357" spans="1:6" ht="14.95" customHeight="1" thickBot="1" x14ac:dyDescent="0.3">
      <c r="A357" s="9" t="s">
        <v>1317</v>
      </c>
      <c r="B357" s="9" t="s">
        <v>96</v>
      </c>
      <c r="C357" s="9">
        <f>Griffinbthtries</f>
        <v>0</v>
      </c>
      <c r="D357" s="21" t="s">
        <v>750</v>
      </c>
      <c r="E357" s="21" t="s">
        <v>105</v>
      </c>
      <c r="F357" s="19">
        <f>Grayexepts</f>
        <v>0</v>
      </c>
    </row>
    <row r="358" spans="1:6" ht="14.95" customHeight="1" thickBot="1" x14ac:dyDescent="0.3">
      <c r="A358" s="9" t="s">
        <v>722</v>
      </c>
      <c r="B358" s="9" t="s">
        <v>108</v>
      </c>
      <c r="C358" s="9">
        <f>Grondona_Bbritries</f>
        <v>0</v>
      </c>
      <c r="D358" s="21" t="s">
        <v>852</v>
      </c>
      <c r="E358" s="21" t="s">
        <v>282</v>
      </c>
      <c r="F358" s="19">
        <f>Gordonnewpts</f>
        <v>0</v>
      </c>
    </row>
    <row r="359" spans="1:6" ht="14.95" customHeight="1" thickBot="1" x14ac:dyDescent="0.3">
      <c r="A359" s="8" t="s">
        <v>891</v>
      </c>
      <c r="B359" s="8" t="s">
        <v>95</v>
      </c>
      <c r="C359" s="9">
        <f>Hammersleysaltries</f>
        <v>0</v>
      </c>
      <c r="D359" s="21" t="s">
        <v>761</v>
      </c>
      <c r="E359" s="21" t="s">
        <v>94</v>
      </c>
      <c r="F359" s="19">
        <f>Halaifonuaglopts</f>
        <v>0</v>
      </c>
    </row>
    <row r="360" spans="1:6" ht="14.95" customHeight="1" thickBot="1" x14ac:dyDescent="0.3">
      <c r="A360" s="8" t="s">
        <v>748</v>
      </c>
      <c r="B360" s="8" t="s">
        <v>108</v>
      </c>
      <c r="C360" s="49">
        <f>Gwilliambritries</f>
        <v>0</v>
      </c>
      <c r="D360" s="21" t="s">
        <v>986</v>
      </c>
      <c r="E360" s="21" t="s">
        <v>96</v>
      </c>
      <c r="F360" s="19">
        <f>Garveymattpts</f>
        <v>0</v>
      </c>
    </row>
    <row r="361" spans="1:6" ht="14.95" customHeight="1" thickBot="1" x14ac:dyDescent="0.3">
      <c r="A361" s="8" t="s">
        <v>138</v>
      </c>
      <c r="B361" s="8" t="s">
        <v>108</v>
      </c>
      <c r="C361" s="9">
        <f>Fenbylitries</f>
        <v>0</v>
      </c>
      <c r="D361" s="21" t="s">
        <v>721</v>
      </c>
      <c r="E361" s="21" t="s">
        <v>108</v>
      </c>
      <c r="F361" s="19">
        <f>Grahamslawbripts</f>
        <v>0</v>
      </c>
    </row>
    <row r="362" spans="1:6" ht="14.95" customHeight="1" thickBot="1" x14ac:dyDescent="0.3">
      <c r="A362" s="8" t="s">
        <v>477</v>
      </c>
      <c r="B362" s="8" t="s">
        <v>366</v>
      </c>
      <c r="C362" s="9">
        <f>Harrissartries</f>
        <v>0</v>
      </c>
      <c r="D362" s="21" t="s">
        <v>473</v>
      </c>
      <c r="E362" s="21" t="s">
        <v>104</v>
      </c>
      <c r="F362" s="19">
        <f>Grayjoeharpts</f>
        <v>0</v>
      </c>
    </row>
    <row r="363" spans="1:6" ht="14.95" customHeight="1" thickBot="1" x14ac:dyDescent="0.3">
      <c r="A363" s="8" t="s">
        <v>740</v>
      </c>
      <c r="B363" s="8" t="s">
        <v>108</v>
      </c>
      <c r="C363" s="9">
        <f>Halliwellbritries</f>
        <v>0</v>
      </c>
      <c r="D363" s="19" t="s">
        <v>825</v>
      </c>
      <c r="E363" s="19" t="s">
        <v>282</v>
      </c>
      <c r="F363" s="19">
        <f>Farrellsarpts</f>
        <v>0</v>
      </c>
    </row>
    <row r="364" spans="1:6" ht="14.95" customHeight="1" thickBot="1" x14ac:dyDescent="0.3">
      <c r="A364" s="8" t="s">
        <v>1095</v>
      </c>
      <c r="B364" s="8" t="s">
        <v>366</v>
      </c>
      <c r="C364" s="9">
        <f>Hammicksartries</f>
        <v>0</v>
      </c>
      <c r="D364" s="21" t="s">
        <v>1317</v>
      </c>
      <c r="E364" s="21" t="s">
        <v>96</v>
      </c>
      <c r="F364" s="19">
        <f>Griffinbthpts</f>
        <v>0</v>
      </c>
    </row>
    <row r="365" spans="1:6" ht="14.95" customHeight="1" thickBot="1" x14ac:dyDescent="0.3">
      <c r="A365" s="9" t="s">
        <v>455</v>
      </c>
      <c r="B365" s="9" t="s">
        <v>95</v>
      </c>
      <c r="C365" s="9">
        <f>Harpersaltries</f>
        <v>0</v>
      </c>
      <c r="D365" s="19" t="s">
        <v>722</v>
      </c>
      <c r="E365" s="19" t="s">
        <v>108</v>
      </c>
      <c r="F365" s="19">
        <f>Grondona_Bbripts</f>
        <v>0</v>
      </c>
    </row>
    <row r="366" spans="1:6" ht="14.95" customHeight="1" thickBot="1" x14ac:dyDescent="0.3">
      <c r="A366" s="8" t="s">
        <v>106</v>
      </c>
      <c r="B366" s="8" t="s">
        <v>95</v>
      </c>
      <c r="C366" s="9">
        <f>Harrisonsaltris</f>
        <v>0</v>
      </c>
      <c r="D366" s="21" t="s">
        <v>891</v>
      </c>
      <c r="E366" s="21" t="s">
        <v>95</v>
      </c>
      <c r="F366" s="19">
        <f>Hammersleysalpts</f>
        <v>0</v>
      </c>
    </row>
    <row r="367" spans="1:6" ht="14.95" customHeight="1" thickBot="1" x14ac:dyDescent="0.3">
      <c r="A367" s="8" t="s">
        <v>507</v>
      </c>
      <c r="B367" s="8" t="s">
        <v>366</v>
      </c>
      <c r="C367" s="9">
        <f>Hartleysartries</f>
        <v>0</v>
      </c>
      <c r="D367" s="21" t="s">
        <v>748</v>
      </c>
      <c r="E367" s="21" t="s">
        <v>108</v>
      </c>
      <c r="F367" s="19">
        <f>Gwilliambripts</f>
        <v>0</v>
      </c>
    </row>
    <row r="368" spans="1:6" ht="14.95" customHeight="1" thickBot="1" x14ac:dyDescent="0.3">
      <c r="A368" s="8" t="s">
        <v>732</v>
      </c>
      <c r="B368" s="8" t="s">
        <v>108</v>
      </c>
      <c r="C368" s="9">
        <f>Fenbylitries</f>
        <v>0</v>
      </c>
      <c r="D368" s="21" t="s">
        <v>138</v>
      </c>
      <c r="E368" s="21" t="s">
        <v>108</v>
      </c>
      <c r="F368" s="19">
        <f>Fenbylipts</f>
        <v>0</v>
      </c>
    </row>
    <row r="369" spans="1:6" ht="14.95" customHeight="1" thickBot="1" x14ac:dyDescent="0.3">
      <c r="A369" s="8" t="s">
        <v>1155</v>
      </c>
      <c r="B369" s="9" t="s">
        <v>620</v>
      </c>
      <c r="C369" s="9">
        <f>HatherellLEItries</f>
        <v>0</v>
      </c>
      <c r="D369" s="21" t="s">
        <v>477</v>
      </c>
      <c r="E369" s="21" t="s">
        <v>366</v>
      </c>
      <c r="F369" s="19">
        <f>Harrissarpts</f>
        <v>0</v>
      </c>
    </row>
    <row r="370" spans="1:6" ht="14.95" customHeight="1" thickBot="1" x14ac:dyDescent="0.3">
      <c r="A370" s="9" t="s">
        <v>468</v>
      </c>
      <c r="B370" s="9" t="s">
        <v>104</v>
      </c>
      <c r="C370" s="9">
        <f>JonesHhartries</f>
        <v>0</v>
      </c>
      <c r="D370" s="21" t="s">
        <v>740</v>
      </c>
      <c r="E370" s="21" t="s">
        <v>108</v>
      </c>
      <c r="F370" s="19">
        <f>Halliwellbripts</f>
        <v>0</v>
      </c>
    </row>
    <row r="371" spans="1:6" ht="14.95" customHeight="1" thickBot="1" x14ac:dyDescent="0.3">
      <c r="A371" s="8" t="s">
        <v>633</v>
      </c>
      <c r="B371" s="8" t="s">
        <v>104</v>
      </c>
      <c r="C371" s="9">
        <f>Herbsthartries</f>
        <v>0</v>
      </c>
      <c r="D371" s="21" t="s">
        <v>1095</v>
      </c>
      <c r="E371" s="21" t="s">
        <v>366</v>
      </c>
      <c r="F371" s="19">
        <f>Hammicksarpts</f>
        <v>0</v>
      </c>
    </row>
    <row r="372" spans="1:6" ht="14.95" customHeight="1" thickBot="1" x14ac:dyDescent="0.3">
      <c r="A372" s="8" t="s">
        <v>439</v>
      </c>
      <c r="B372" s="8" t="s">
        <v>94</v>
      </c>
      <c r="C372" s="9">
        <f>Hillman_Cooperglotries</f>
        <v>0</v>
      </c>
      <c r="D372" s="19" t="s">
        <v>455</v>
      </c>
      <c r="E372" s="21" t="s">
        <v>95</v>
      </c>
      <c r="F372" s="19">
        <f>Harpersalpts</f>
        <v>0</v>
      </c>
    </row>
    <row r="373" spans="1:6" ht="14.95" customHeight="1" thickBot="1" x14ac:dyDescent="0.3">
      <c r="A373" s="8" t="s">
        <v>1234</v>
      </c>
      <c r="B373" s="8" t="s">
        <v>104</v>
      </c>
      <c r="C373" s="9">
        <f>Hobsonhartries</f>
        <v>0</v>
      </c>
      <c r="D373" s="21" t="s">
        <v>106</v>
      </c>
      <c r="E373" s="21" t="s">
        <v>95</v>
      </c>
      <c r="F373" s="19">
        <f>Harrisonsalpts</f>
        <v>0</v>
      </c>
    </row>
    <row r="374" spans="1:6" ht="14.95" customHeight="1" thickBot="1" x14ac:dyDescent="0.3">
      <c r="A374" s="8" t="s">
        <v>908</v>
      </c>
      <c r="B374" s="8" t="s">
        <v>366</v>
      </c>
      <c r="C374" s="9">
        <f>Hunter_Hillsartriescorrect</f>
        <v>0</v>
      </c>
      <c r="D374" s="21" t="s">
        <v>507</v>
      </c>
      <c r="E374" s="21" t="s">
        <v>366</v>
      </c>
      <c r="F374" s="20">
        <f>Hartleysarpts</f>
        <v>0</v>
      </c>
    </row>
    <row r="375" spans="1:6" ht="14.95" customHeight="1" thickBot="1" x14ac:dyDescent="0.3">
      <c r="A375" s="8" t="s">
        <v>800</v>
      </c>
      <c r="B375" s="9" t="s">
        <v>620</v>
      </c>
      <c r="C375" s="6">
        <f>Hortonleitries</f>
        <v>0</v>
      </c>
      <c r="D375" s="21" t="s">
        <v>732</v>
      </c>
      <c r="E375" s="21" t="s">
        <v>108</v>
      </c>
      <c r="F375" s="19">
        <f>Fenbylipts</f>
        <v>0</v>
      </c>
    </row>
    <row r="376" spans="1:6" ht="14.95" customHeight="1" thickBot="1" x14ac:dyDescent="0.3">
      <c r="A376" s="9" t="s">
        <v>371</v>
      </c>
      <c r="B376" s="8" t="s">
        <v>97</v>
      </c>
      <c r="C376" s="9">
        <f>Hodgsonnortries</f>
        <v>0</v>
      </c>
      <c r="D376" s="21" t="s">
        <v>1155</v>
      </c>
      <c r="E376" s="21" t="s">
        <v>620</v>
      </c>
      <c r="F376" s="18">
        <f>HatherellLEIpts</f>
        <v>0</v>
      </c>
    </row>
    <row r="377" spans="1:6" ht="14.95" customHeight="1" thickBot="1" x14ac:dyDescent="0.3">
      <c r="A377" s="8" t="s">
        <v>387</v>
      </c>
      <c r="B377" s="9" t="s">
        <v>620</v>
      </c>
      <c r="C377" s="9">
        <f>Hurdleictries</f>
        <v>0</v>
      </c>
      <c r="D377" s="19" t="s">
        <v>468</v>
      </c>
      <c r="E377" s="19" t="s">
        <v>104</v>
      </c>
      <c r="F377" s="19">
        <f>JonesHharpts</f>
        <v>0</v>
      </c>
    </row>
    <row r="378" spans="1:6" ht="14.95" customHeight="1" thickBot="1" x14ac:dyDescent="0.3">
      <c r="A378" s="8" t="s">
        <v>1001</v>
      </c>
      <c r="B378" s="8" t="s">
        <v>104</v>
      </c>
      <c r="C378" s="9">
        <f>Hydehartries</f>
        <v>0</v>
      </c>
      <c r="D378" s="21" t="s">
        <v>633</v>
      </c>
      <c r="E378" s="21" t="s">
        <v>104</v>
      </c>
      <c r="F378" s="19">
        <f>Herbstharpts</f>
        <v>0</v>
      </c>
    </row>
    <row r="379" spans="1:6" ht="14.95" customHeight="1" thickBot="1" x14ac:dyDescent="0.3">
      <c r="A379" s="8" t="s">
        <v>305</v>
      </c>
      <c r="B379" s="8" t="s">
        <v>366</v>
      </c>
      <c r="C379" s="9">
        <f>Isiekwesartriescorrect</f>
        <v>0</v>
      </c>
      <c r="D379" s="21" t="s">
        <v>439</v>
      </c>
      <c r="E379" s="21" t="s">
        <v>94</v>
      </c>
      <c r="F379" s="19">
        <f>Hillman_Cooperglopts</f>
        <v>0</v>
      </c>
    </row>
    <row r="380" spans="1:6" ht="14.95" customHeight="1" thickBot="1" x14ac:dyDescent="0.3">
      <c r="A380" s="8" t="s">
        <v>449</v>
      </c>
      <c r="B380" s="8" t="s">
        <v>366</v>
      </c>
      <c r="C380" s="9">
        <f>Jacksonsartries</f>
        <v>0</v>
      </c>
      <c r="D380" s="21" t="s">
        <v>1234</v>
      </c>
      <c r="E380" s="21" t="s">
        <v>104</v>
      </c>
      <c r="F380" s="19">
        <f>Hobsonharpts</f>
        <v>0</v>
      </c>
    </row>
    <row r="381" spans="1:6" ht="14.95" customHeight="1" thickBot="1" x14ac:dyDescent="0.3">
      <c r="A381" s="8" t="s">
        <v>526</v>
      </c>
      <c r="B381" s="8" t="s">
        <v>105</v>
      </c>
      <c r="C381" s="9">
        <f>Jenkins_Iexetries</f>
        <v>0</v>
      </c>
      <c r="D381" s="21" t="s">
        <v>908</v>
      </c>
      <c r="E381" s="21" t="s">
        <v>366</v>
      </c>
      <c r="F381" s="19">
        <f>Hunter_Hillsarptscorrect</f>
        <v>0</v>
      </c>
    </row>
    <row r="382" spans="1:6" ht="14.95" customHeight="1" thickBot="1" x14ac:dyDescent="0.3">
      <c r="A382" s="8" t="s">
        <v>540</v>
      </c>
      <c r="B382" s="8" t="s">
        <v>108</v>
      </c>
      <c r="C382" s="9">
        <f>Jenkinsbritries</f>
        <v>0</v>
      </c>
      <c r="D382" s="21" t="s">
        <v>800</v>
      </c>
      <c r="E382" s="21" t="s">
        <v>620</v>
      </c>
      <c r="F382" s="19">
        <f>Hortonleipts</f>
        <v>0</v>
      </c>
    </row>
    <row r="383" spans="1:6" ht="14.95" customHeight="1" thickBot="1" x14ac:dyDescent="0.3">
      <c r="A383" s="8" t="s">
        <v>735</v>
      </c>
      <c r="B383" s="8" t="s">
        <v>108</v>
      </c>
      <c r="C383" s="9">
        <f>Hearnlirtries</f>
        <v>0</v>
      </c>
      <c r="D383" s="19" t="s">
        <v>371</v>
      </c>
      <c r="E383" s="21" t="s">
        <v>97</v>
      </c>
      <c r="F383" s="19">
        <f>Hodgsonnorpts</f>
        <v>0</v>
      </c>
    </row>
    <row r="384" spans="1:6" ht="14.95" customHeight="1" thickBot="1" x14ac:dyDescent="0.3">
      <c r="A384" s="8" t="s">
        <v>676</v>
      </c>
      <c r="B384" s="8" t="s">
        <v>105</v>
      </c>
      <c r="C384" s="9">
        <f>Johnexetries</f>
        <v>0</v>
      </c>
      <c r="D384" s="21" t="s">
        <v>387</v>
      </c>
      <c r="E384" s="21" t="s">
        <v>620</v>
      </c>
      <c r="F384" s="19">
        <f>Hurdleicpts</f>
        <v>0</v>
      </c>
    </row>
    <row r="385" spans="1:6" ht="14.95" customHeight="1" thickBot="1" x14ac:dyDescent="0.3">
      <c r="A385" s="8" t="s">
        <v>902</v>
      </c>
      <c r="B385" s="8" t="s">
        <v>366</v>
      </c>
      <c r="C385" s="9">
        <f>Johnsonsartries</f>
        <v>0</v>
      </c>
      <c r="D385" s="21" t="s">
        <v>1001</v>
      </c>
      <c r="E385" s="21" t="s">
        <v>104</v>
      </c>
      <c r="F385" s="19">
        <f>Hydeharpts</f>
        <v>0</v>
      </c>
    </row>
    <row r="386" spans="1:6" ht="14.95" customHeight="1" thickBot="1" x14ac:dyDescent="0.3">
      <c r="A386" s="8" t="s">
        <v>768</v>
      </c>
      <c r="B386" s="8" t="s">
        <v>94</v>
      </c>
      <c r="C386" s="9">
        <f>Jones_MGLOtries</f>
        <v>0</v>
      </c>
      <c r="D386" s="21" t="s">
        <v>305</v>
      </c>
      <c r="E386" s="21" t="s">
        <v>366</v>
      </c>
      <c r="F386" s="19">
        <f>Isiekwesarptscorrect</f>
        <v>0</v>
      </c>
    </row>
    <row r="387" spans="1:6" ht="14.95" customHeight="1" thickBot="1" x14ac:dyDescent="0.3">
      <c r="A387" s="8" t="s">
        <v>784</v>
      </c>
      <c r="B387" s="8" t="s">
        <v>104</v>
      </c>
      <c r="C387" s="9">
        <f>Joneswynhartries</f>
        <v>0</v>
      </c>
      <c r="D387" s="21" t="s">
        <v>449</v>
      </c>
      <c r="E387" s="21" t="s">
        <v>366</v>
      </c>
      <c r="F387" s="20">
        <f>Jacksonsarpts</f>
        <v>0</v>
      </c>
    </row>
    <row r="388" spans="1:6" ht="14.95" customHeight="1" thickBot="1" x14ac:dyDescent="0.3">
      <c r="A388" s="8" t="s">
        <v>424</v>
      </c>
      <c r="B388" s="8" t="s">
        <v>94</v>
      </c>
      <c r="C388" s="9">
        <f>Krielglotries</f>
        <v>0</v>
      </c>
      <c r="D388" s="21" t="s">
        <v>526</v>
      </c>
      <c r="E388" s="21" t="s">
        <v>105</v>
      </c>
      <c r="F388" s="20">
        <f>Jenkins_Iexepts</f>
        <v>0</v>
      </c>
    </row>
    <row r="389" spans="1:6" ht="14.95" customHeight="1" thickBot="1" x14ac:dyDescent="0.3">
      <c r="A389" s="8" t="s">
        <v>1147</v>
      </c>
      <c r="B389" s="8" t="s">
        <v>620</v>
      </c>
      <c r="C389" s="9">
        <f>Joussainleitries</f>
        <v>0</v>
      </c>
      <c r="D389" s="21" t="s">
        <v>540</v>
      </c>
      <c r="E389" s="21" t="s">
        <v>108</v>
      </c>
      <c r="F389" s="19">
        <f>Jenkinsbripts</f>
        <v>0</v>
      </c>
    </row>
    <row r="390" spans="1:6" ht="14.95" customHeight="1" thickBot="1" x14ac:dyDescent="0.3">
      <c r="A390" s="9" t="s">
        <v>404</v>
      </c>
      <c r="B390" s="9" t="s">
        <v>104</v>
      </c>
      <c r="C390" s="9">
        <f>Jureviciushartries</f>
        <v>0</v>
      </c>
      <c r="D390" s="21" t="s">
        <v>735</v>
      </c>
      <c r="E390" s="21" t="s">
        <v>108</v>
      </c>
      <c r="F390" s="19">
        <f>Hearnlirpts</f>
        <v>0</v>
      </c>
    </row>
    <row r="391" spans="1:6" ht="14.95" customHeight="1" thickBot="1" x14ac:dyDescent="0.3">
      <c r="A391" s="8" t="s">
        <v>187</v>
      </c>
      <c r="B391" s="8" t="s">
        <v>105</v>
      </c>
      <c r="C391" s="9">
        <f>Keastexetries</f>
        <v>0</v>
      </c>
      <c r="D391" s="19" t="s">
        <v>676</v>
      </c>
      <c r="E391" s="19" t="s">
        <v>105</v>
      </c>
      <c r="F391" s="19">
        <f>Johnexepts</f>
        <v>0</v>
      </c>
    </row>
    <row r="392" spans="1:6" ht="14.95" customHeight="1" thickBot="1" x14ac:dyDescent="0.3">
      <c r="A392" s="9" t="s">
        <v>827</v>
      </c>
      <c r="B392" s="9" t="s">
        <v>282</v>
      </c>
      <c r="C392" s="9">
        <f>Hodgsonnewtriescorrect</f>
        <v>0</v>
      </c>
      <c r="D392" s="21" t="s">
        <v>768</v>
      </c>
      <c r="E392" s="21" t="s">
        <v>94</v>
      </c>
      <c r="F392" s="19">
        <f>Jones_MGLOpts</f>
        <v>0</v>
      </c>
    </row>
    <row r="393" spans="1:6" ht="14.95" customHeight="1" thickBot="1" x14ac:dyDescent="0.3">
      <c r="A393" s="9" t="s">
        <v>1224</v>
      </c>
      <c r="B393" s="9" t="s">
        <v>95</v>
      </c>
      <c r="C393" s="9">
        <f>Kellysaltries</f>
        <v>0</v>
      </c>
      <c r="D393" s="21" t="s">
        <v>784</v>
      </c>
      <c r="E393" s="21" t="s">
        <v>104</v>
      </c>
      <c r="F393" s="19">
        <f>Joneswynhartries</f>
        <v>0</v>
      </c>
    </row>
    <row r="394" spans="1:6" ht="14.95" customHeight="1" thickBot="1" x14ac:dyDescent="0.3">
      <c r="A394" s="8" t="s">
        <v>142</v>
      </c>
      <c r="B394" s="8" t="s">
        <v>104</v>
      </c>
      <c r="C394" s="9">
        <f>Ibitoyehartries</f>
        <v>0</v>
      </c>
      <c r="D394" s="21" t="s">
        <v>424</v>
      </c>
      <c r="E394" s="21" t="s">
        <v>94</v>
      </c>
      <c r="F394" s="19">
        <f>Krielglopts</f>
        <v>0</v>
      </c>
    </row>
    <row r="395" spans="1:6" ht="14.95" customHeight="1" thickBot="1" x14ac:dyDescent="0.3">
      <c r="A395" s="8" t="s">
        <v>806</v>
      </c>
      <c r="B395" s="9" t="s">
        <v>620</v>
      </c>
      <c r="C395" s="9">
        <f>Kitchenergrahamtriescorrect</f>
        <v>0</v>
      </c>
      <c r="D395" s="21" t="s">
        <v>1147</v>
      </c>
      <c r="E395" s="21" t="s">
        <v>620</v>
      </c>
      <c r="F395" s="19">
        <f>Joussainleipts</f>
        <v>0</v>
      </c>
    </row>
    <row r="396" spans="1:6" ht="14.95" customHeight="1" thickBot="1" x14ac:dyDescent="0.3">
      <c r="A396" s="9" t="s">
        <v>1262</v>
      </c>
      <c r="B396" s="9" t="s">
        <v>96</v>
      </c>
      <c r="C396" s="9">
        <f>Kirkbthtries</f>
        <v>0</v>
      </c>
      <c r="D396" s="19" t="s">
        <v>404</v>
      </c>
      <c r="E396" s="19" t="s">
        <v>104</v>
      </c>
      <c r="F396" s="19">
        <f>Jureviciusharpts</f>
        <v>0</v>
      </c>
    </row>
    <row r="397" spans="1:6" ht="14.95" customHeight="1" thickBot="1" x14ac:dyDescent="0.3">
      <c r="A397" s="8" t="s">
        <v>1076</v>
      </c>
      <c r="B397" s="9" t="s">
        <v>94</v>
      </c>
      <c r="C397" s="9">
        <f>Knightciaranglotries</f>
        <v>0</v>
      </c>
      <c r="D397" s="21" t="s">
        <v>187</v>
      </c>
      <c r="E397" s="21" t="s">
        <v>105</v>
      </c>
      <c r="F397" s="19">
        <f>Keastexepts</f>
        <v>0</v>
      </c>
    </row>
    <row r="398" spans="1:6" ht="14.95" customHeight="1" thickBot="1" x14ac:dyDescent="0.3">
      <c r="A398" s="8" t="s">
        <v>143</v>
      </c>
      <c r="B398" s="8" t="s">
        <v>104</v>
      </c>
      <c r="C398" s="9">
        <f>Jonesadamhartries</f>
        <v>0</v>
      </c>
      <c r="D398" s="21" t="s">
        <v>827</v>
      </c>
      <c r="E398" s="21" t="s">
        <v>282</v>
      </c>
      <c r="F398" s="19">
        <f>Hodgsonnewptscorrect</f>
        <v>0</v>
      </c>
    </row>
    <row r="399" spans="1:6" ht="14.95" customHeight="1" thickBot="1" x14ac:dyDescent="0.3">
      <c r="A399" s="9" t="s">
        <v>858</v>
      </c>
      <c r="B399" s="8" t="s">
        <v>97</v>
      </c>
      <c r="C399" s="9">
        <f>Lawesnortries</f>
        <v>0</v>
      </c>
      <c r="D399" s="19" t="s">
        <v>1224</v>
      </c>
      <c r="E399" s="19" t="s">
        <v>95</v>
      </c>
      <c r="F399" s="19">
        <f>Kellysalpts</f>
        <v>0</v>
      </c>
    </row>
    <row r="400" spans="1:6" ht="14.95" customHeight="1" thickBot="1" x14ac:dyDescent="0.3">
      <c r="A400" s="8" t="s">
        <v>1249</v>
      </c>
      <c r="B400" s="8" t="s">
        <v>96</v>
      </c>
      <c r="C400" s="9">
        <f>le_Rouxbthtries</f>
        <v>0</v>
      </c>
      <c r="D400" s="21" t="s">
        <v>142</v>
      </c>
      <c r="E400" s="21" t="s">
        <v>104</v>
      </c>
      <c r="F400" s="19">
        <f>Ibitoyeharpts</f>
        <v>0</v>
      </c>
    </row>
    <row r="401" spans="1:6" ht="14.95" customHeight="1" thickBot="1" x14ac:dyDescent="0.3">
      <c r="A401" s="8" t="s">
        <v>1108</v>
      </c>
      <c r="B401" s="8" t="s">
        <v>108</v>
      </c>
      <c r="C401" s="9">
        <f>Lennonbritries</f>
        <v>0</v>
      </c>
      <c r="D401" s="21" t="s">
        <v>806</v>
      </c>
      <c r="E401" s="21" t="s">
        <v>620</v>
      </c>
      <c r="F401" s="19">
        <f>Kitchenergrahamptscorrect</f>
        <v>0</v>
      </c>
    </row>
    <row r="402" spans="1:6" ht="14.95" customHeight="1" thickBot="1" x14ac:dyDescent="0.3">
      <c r="A402" s="8" t="s">
        <v>236</v>
      </c>
      <c r="B402" s="8" t="s">
        <v>104</v>
      </c>
      <c r="C402" s="9">
        <f>Marfohartries</f>
        <v>0</v>
      </c>
      <c r="D402" s="21" t="s">
        <v>1262</v>
      </c>
      <c r="E402" s="21" t="s">
        <v>96</v>
      </c>
      <c r="F402" s="19">
        <f>Kirkbthpts</f>
        <v>0</v>
      </c>
    </row>
    <row r="403" spans="1:6" ht="14.95" customHeight="1" thickBot="1" x14ac:dyDescent="0.3">
      <c r="A403" s="8" t="s">
        <v>643</v>
      </c>
      <c r="B403" s="8" t="s">
        <v>104</v>
      </c>
      <c r="C403" s="9">
        <f>Lewishartries</f>
        <v>0</v>
      </c>
      <c r="D403" s="21" t="s">
        <v>1076</v>
      </c>
      <c r="E403" s="21" t="s">
        <v>94</v>
      </c>
      <c r="F403" s="19">
        <f>Knightciaranglopts</f>
        <v>0</v>
      </c>
    </row>
    <row r="404" spans="1:6" ht="14.95" customHeight="1" thickBot="1" x14ac:dyDescent="0.3">
      <c r="A404" s="8" t="s">
        <v>862</v>
      </c>
      <c r="B404" s="8" t="s">
        <v>97</v>
      </c>
      <c r="C404" s="9">
        <f>Ludlamnortries</f>
        <v>0</v>
      </c>
      <c r="D404" s="21" t="s">
        <v>143</v>
      </c>
      <c r="E404" s="21" t="s">
        <v>104</v>
      </c>
      <c r="F404" s="19">
        <f>Jonesadamharpts</f>
        <v>0</v>
      </c>
    </row>
    <row r="405" spans="1:6" ht="14.95" customHeight="1" thickBot="1" x14ac:dyDescent="0.3">
      <c r="A405" s="8" t="s">
        <v>373</v>
      </c>
      <c r="B405" s="8" t="s">
        <v>366</v>
      </c>
      <c r="C405" s="9">
        <f>Lozowskisartriescorrect</f>
        <v>0</v>
      </c>
      <c r="D405" s="19" t="s">
        <v>858</v>
      </c>
      <c r="E405" s="21" t="s">
        <v>97</v>
      </c>
      <c r="F405" s="19">
        <f>Lawesnorpts</f>
        <v>0</v>
      </c>
    </row>
    <row r="406" spans="1:6" ht="14.95" customHeight="1" thickBot="1" x14ac:dyDescent="0.3">
      <c r="A406" s="8" t="s">
        <v>863</v>
      </c>
      <c r="B406" s="8" t="s">
        <v>97</v>
      </c>
      <c r="C406" s="9">
        <f>Marshallnortries</f>
        <v>0</v>
      </c>
      <c r="D406" s="21" t="s">
        <v>1249</v>
      </c>
      <c r="E406" s="21" t="s">
        <v>96</v>
      </c>
      <c r="F406" s="19">
        <f>le_Rouxbthpts</f>
        <v>0</v>
      </c>
    </row>
    <row r="407" spans="1:6" ht="14.95" customHeight="1" thickBot="1" x14ac:dyDescent="0.3">
      <c r="A407" s="8" t="s">
        <v>519</v>
      </c>
      <c r="B407" s="9" t="s">
        <v>620</v>
      </c>
      <c r="C407" s="9">
        <f>Manzleictries</f>
        <v>0</v>
      </c>
      <c r="D407" s="21" t="s">
        <v>1108</v>
      </c>
      <c r="E407" s="21" t="s">
        <v>108</v>
      </c>
      <c r="F407" s="19">
        <f>Lennonbripts</f>
        <v>0</v>
      </c>
    </row>
    <row r="408" spans="1:6" ht="14.95" customHeight="1" thickBot="1" x14ac:dyDescent="0.3">
      <c r="A408" s="8" t="s">
        <v>461</v>
      </c>
      <c r="B408" s="8" t="s">
        <v>105</v>
      </c>
      <c r="C408" s="9">
        <f>Maunder_Sexetries</f>
        <v>0</v>
      </c>
      <c r="D408" s="21" t="s">
        <v>236</v>
      </c>
      <c r="E408" s="21" t="s">
        <v>104</v>
      </c>
      <c r="F408" s="19">
        <f>Marfoharpts</f>
        <v>0</v>
      </c>
    </row>
    <row r="409" spans="1:6" ht="14.95" customHeight="1" thickBot="1" x14ac:dyDescent="0.3">
      <c r="A409" s="62" t="s">
        <v>864</v>
      </c>
      <c r="B409" s="8" t="s">
        <v>97</v>
      </c>
      <c r="C409" s="9">
        <f>Matthewsnortries</f>
        <v>0</v>
      </c>
      <c r="D409" s="21" t="s">
        <v>643</v>
      </c>
      <c r="E409" s="21" t="s">
        <v>104</v>
      </c>
      <c r="F409" s="19">
        <f>Lewisharpts</f>
        <v>0</v>
      </c>
    </row>
    <row r="410" spans="1:6" ht="14.95" customHeight="1" thickBot="1" x14ac:dyDescent="0.3">
      <c r="A410" s="62" t="s">
        <v>770</v>
      </c>
      <c r="B410" s="8" t="s">
        <v>94</v>
      </c>
      <c r="C410" s="9">
        <f>Maraisglotries</f>
        <v>0</v>
      </c>
      <c r="D410" s="21" t="s">
        <v>862</v>
      </c>
      <c r="E410" s="21" t="s">
        <v>97</v>
      </c>
      <c r="F410" s="19">
        <f>Ludlamnorpts</f>
        <v>0</v>
      </c>
    </row>
    <row r="411" spans="1:6" ht="14.95" customHeight="1" thickBot="1" x14ac:dyDescent="0.3">
      <c r="A411" s="62" t="s">
        <v>648</v>
      </c>
      <c r="B411" s="8" t="s">
        <v>282</v>
      </c>
      <c r="C411" s="6">
        <f>McCallumnewtries</f>
        <v>0</v>
      </c>
      <c r="D411" s="21" t="s">
        <v>519</v>
      </c>
      <c r="E411" s="21" t="s">
        <v>620</v>
      </c>
      <c r="F411" s="19">
        <f>Manzleicpts</f>
        <v>0</v>
      </c>
    </row>
    <row r="412" spans="1:6" ht="14.95" customHeight="1" thickBot="1" x14ac:dyDescent="0.3">
      <c r="A412" s="10" t="s">
        <v>582</v>
      </c>
      <c r="B412" s="9" t="s">
        <v>282</v>
      </c>
      <c r="C412" s="9">
        <f>McDonaldNEWtries</f>
        <v>0</v>
      </c>
      <c r="D412" s="21" t="s">
        <v>461</v>
      </c>
      <c r="E412" s="21" t="s">
        <v>105</v>
      </c>
      <c r="F412" s="19">
        <f>Maunder_Sexepts</f>
        <v>0</v>
      </c>
    </row>
    <row r="413" spans="1:6" ht="14.95" customHeight="1" thickBot="1" x14ac:dyDescent="0.3">
      <c r="A413" s="62" t="s">
        <v>469</v>
      </c>
      <c r="B413" s="8" t="s">
        <v>108</v>
      </c>
      <c r="C413" s="9">
        <f>MacGintybritries</f>
        <v>0</v>
      </c>
      <c r="D413" s="21" t="s">
        <v>864</v>
      </c>
      <c r="E413" s="21" t="s">
        <v>97</v>
      </c>
      <c r="F413" s="19">
        <f>Matthewsnorpts</f>
        <v>0</v>
      </c>
    </row>
    <row r="414" spans="1:6" ht="14.95" customHeight="1" thickBot="1" x14ac:dyDescent="0.3">
      <c r="A414" s="62" t="s">
        <v>290</v>
      </c>
      <c r="B414" s="8" t="s">
        <v>94</v>
      </c>
      <c r="C414" s="6">
        <f>McGuiganglotries</f>
        <v>0</v>
      </c>
      <c r="D414" s="21" t="s">
        <v>770</v>
      </c>
      <c r="E414" s="21" t="s">
        <v>94</v>
      </c>
      <c r="F414" s="19">
        <f>Maraisglopts</f>
        <v>0</v>
      </c>
    </row>
    <row r="415" spans="1:6" ht="14.95" customHeight="1" thickBot="1" x14ac:dyDescent="0.3">
      <c r="A415" s="62" t="s">
        <v>542</v>
      </c>
      <c r="B415" s="8" t="s">
        <v>95</v>
      </c>
      <c r="C415" s="9">
        <f>McIntyresaltries</f>
        <v>0</v>
      </c>
      <c r="D415" s="2" t="s">
        <v>648</v>
      </c>
      <c r="E415" s="21" t="s">
        <v>282</v>
      </c>
      <c r="F415" s="19">
        <f>McCallumnewpts</f>
        <v>0</v>
      </c>
    </row>
    <row r="416" spans="1:6" ht="14.95" customHeight="1" thickBot="1" x14ac:dyDescent="0.3">
      <c r="A416" s="62" t="s">
        <v>809</v>
      </c>
      <c r="B416" s="9" t="s">
        <v>620</v>
      </c>
      <c r="C416" s="9">
        <f>Meredithleitries</f>
        <v>0</v>
      </c>
      <c r="D416" s="2" t="s">
        <v>582</v>
      </c>
      <c r="E416" s="21" t="s">
        <v>282</v>
      </c>
      <c r="F416" s="19">
        <f>McDonaldNEWpts</f>
        <v>0</v>
      </c>
    </row>
    <row r="417" spans="1:6" ht="14.95" customHeight="1" thickBot="1" x14ac:dyDescent="0.3">
      <c r="A417" s="62" t="s">
        <v>921</v>
      </c>
      <c r="B417" s="8" t="s">
        <v>366</v>
      </c>
      <c r="C417" s="6">
        <f>Mooresartries</f>
        <v>0</v>
      </c>
      <c r="D417" s="2" t="s">
        <v>290</v>
      </c>
      <c r="E417" s="21" t="s">
        <v>94</v>
      </c>
      <c r="F417" s="19">
        <f>McGuiganglopts</f>
        <v>0</v>
      </c>
    </row>
    <row r="418" spans="1:6" ht="14.95" customHeight="1" thickBot="1" x14ac:dyDescent="0.3">
      <c r="A418" s="62" t="s">
        <v>846</v>
      </c>
      <c r="B418" s="8" t="s">
        <v>282</v>
      </c>
      <c r="C418" s="9">
        <f>Metcalfnewtries</f>
        <v>0</v>
      </c>
      <c r="D418" s="2" t="s">
        <v>542</v>
      </c>
      <c r="E418" s="21" t="s">
        <v>95</v>
      </c>
      <c r="F418" s="19">
        <f>McIntyresalpts</f>
        <v>0</v>
      </c>
    </row>
    <row r="419" spans="1:6" ht="14.95" customHeight="1" thickBot="1" x14ac:dyDescent="0.3">
      <c r="A419" s="62" t="s">
        <v>922</v>
      </c>
      <c r="B419" s="8" t="s">
        <v>366</v>
      </c>
      <c r="C419" s="9">
        <f>Morrissartriescorrect</f>
        <v>0</v>
      </c>
      <c r="D419" s="2" t="s">
        <v>809</v>
      </c>
      <c r="E419" s="21" t="s">
        <v>620</v>
      </c>
      <c r="F419" s="18">
        <f>Meredithleipts</f>
        <v>0</v>
      </c>
    </row>
    <row r="420" spans="1:6" ht="14.95" customHeight="1" thickBot="1" x14ac:dyDescent="0.3">
      <c r="A420" s="62" t="s">
        <v>1091</v>
      </c>
      <c r="B420" s="8" t="s">
        <v>366</v>
      </c>
      <c r="C420" s="9">
        <f>Moore_Aionosartries</f>
        <v>0</v>
      </c>
      <c r="D420" s="261" t="s">
        <v>921</v>
      </c>
      <c r="E420" s="352" t="s">
        <v>366</v>
      </c>
      <c r="F420" s="18">
        <f>Mooresarpts</f>
        <v>0</v>
      </c>
    </row>
    <row r="421" spans="1:6" ht="14.95" customHeight="1" thickBot="1" x14ac:dyDescent="0.3">
      <c r="A421" s="62" t="s">
        <v>217</v>
      </c>
      <c r="B421" s="8" t="s">
        <v>94</v>
      </c>
      <c r="C421" s="9">
        <f>Morrisjglotries</f>
        <v>0</v>
      </c>
      <c r="D421" s="2" t="s">
        <v>846</v>
      </c>
      <c r="E421" s="21" t="s">
        <v>282</v>
      </c>
      <c r="F421" s="19">
        <f>Metcalfnewpts</f>
        <v>0</v>
      </c>
    </row>
    <row r="422" spans="1:6" ht="14.95" customHeight="1" thickBot="1" x14ac:dyDescent="0.3">
      <c r="A422" s="62" t="s">
        <v>493</v>
      </c>
      <c r="B422" s="8" t="s">
        <v>104</v>
      </c>
      <c r="C422" s="9">
        <f>Murrayhartries</f>
        <v>0</v>
      </c>
      <c r="D422" s="2" t="s">
        <v>922</v>
      </c>
      <c r="E422" s="21" t="s">
        <v>366</v>
      </c>
      <c r="F422" s="19">
        <f>Morrissarptscorrect</f>
        <v>0</v>
      </c>
    </row>
    <row r="423" spans="1:6" ht="14.95" customHeight="1" thickBot="1" x14ac:dyDescent="0.3">
      <c r="A423" s="62" t="s">
        <v>504</v>
      </c>
      <c r="B423" s="8" t="s">
        <v>104</v>
      </c>
      <c r="C423" s="9">
        <f>Muskhartries</f>
        <v>0</v>
      </c>
      <c r="D423" s="2" t="s">
        <v>1091</v>
      </c>
      <c r="E423" s="21" t="s">
        <v>366</v>
      </c>
      <c r="F423" s="19">
        <f>Moore_Aionosarpts</f>
        <v>0</v>
      </c>
    </row>
    <row r="424" spans="1:6" ht="14.95" customHeight="1" thickBot="1" x14ac:dyDescent="0.3">
      <c r="A424" s="62" t="s">
        <v>877</v>
      </c>
      <c r="B424" s="8" t="s">
        <v>95</v>
      </c>
      <c r="C424" s="9">
        <f>Mooresaltries</f>
        <v>0</v>
      </c>
      <c r="D424" s="2" t="s">
        <v>217</v>
      </c>
      <c r="E424" s="21" t="s">
        <v>94</v>
      </c>
      <c r="F424" s="19">
        <f>Morrisjglopts</f>
        <v>0</v>
      </c>
    </row>
    <row r="425" spans="1:6" ht="14.95" customHeight="1" thickBot="1" x14ac:dyDescent="0.3">
      <c r="A425" s="62" t="s">
        <v>1072</v>
      </c>
      <c r="B425" s="9" t="s">
        <v>94</v>
      </c>
      <c r="C425" s="9">
        <f>Nelsonglotries</f>
        <v>0</v>
      </c>
      <c r="D425" s="2" t="s">
        <v>493</v>
      </c>
      <c r="E425" s="21" t="s">
        <v>104</v>
      </c>
      <c r="F425" s="19">
        <f>Murrayharpts</f>
        <v>0</v>
      </c>
    </row>
    <row r="426" spans="1:6" ht="14.95" customHeight="1" thickBot="1" x14ac:dyDescent="0.3">
      <c r="A426" s="62" t="s">
        <v>830</v>
      </c>
      <c r="B426" s="8" t="s">
        <v>282</v>
      </c>
      <c r="C426" s="6">
        <f>Merricknewtries</f>
        <v>0</v>
      </c>
      <c r="D426" s="2" t="s">
        <v>504</v>
      </c>
      <c r="E426" s="21" t="s">
        <v>104</v>
      </c>
      <c r="F426" s="19">
        <f>Muskharpts</f>
        <v>0</v>
      </c>
    </row>
    <row r="427" spans="1:6" ht="14.95" customHeight="1" thickBot="1" x14ac:dyDescent="0.3">
      <c r="A427" s="62" t="s">
        <v>437</v>
      </c>
      <c r="B427" s="8" t="s">
        <v>105</v>
      </c>
      <c r="C427" s="9">
        <f>Noreyexetries</f>
        <v>0</v>
      </c>
      <c r="D427" s="2" t="s">
        <v>877</v>
      </c>
      <c r="E427" s="21" t="s">
        <v>95</v>
      </c>
      <c r="F427" s="19">
        <f>Mooresalpts</f>
        <v>0</v>
      </c>
    </row>
    <row r="428" spans="1:6" ht="14.95" customHeight="1" thickBot="1" x14ac:dyDescent="0.3">
      <c r="A428" s="62" t="s">
        <v>376</v>
      </c>
      <c r="B428" s="9" t="s">
        <v>282</v>
      </c>
      <c r="C428" s="6">
        <f>Obatoyinbonewtries</f>
        <v>0</v>
      </c>
      <c r="D428" s="2" t="s">
        <v>1072</v>
      </c>
      <c r="E428" s="21" t="s">
        <v>94</v>
      </c>
      <c r="F428" s="19">
        <f>Nelsonglopts</f>
        <v>0</v>
      </c>
    </row>
    <row r="429" spans="1:6" ht="14.95" customHeight="1" thickBot="1" x14ac:dyDescent="0.3">
      <c r="A429" s="62" t="s">
        <v>734</v>
      </c>
      <c r="B429" s="8" t="s">
        <v>108</v>
      </c>
      <c r="C429" s="9">
        <f>MulchronelirtriesCORRECT</f>
        <v>0</v>
      </c>
      <c r="D429" s="2" t="s">
        <v>830</v>
      </c>
      <c r="E429" s="21" t="s">
        <v>282</v>
      </c>
      <c r="F429" s="19">
        <f>Merricknewpts</f>
        <v>0</v>
      </c>
    </row>
    <row r="430" spans="1:6" ht="14.95" customHeight="1" thickBot="1" x14ac:dyDescent="0.3">
      <c r="A430" s="12" t="s">
        <v>687</v>
      </c>
      <c r="B430" s="309" t="s">
        <v>97</v>
      </c>
      <c r="C430" s="9">
        <f>Odendaalnortries</f>
        <v>0</v>
      </c>
      <c r="D430" s="2" t="s">
        <v>437</v>
      </c>
      <c r="E430" s="21" t="s">
        <v>105</v>
      </c>
      <c r="F430" s="19">
        <f>Noreyexepts</f>
        <v>0</v>
      </c>
    </row>
    <row r="431" spans="1:6" ht="14.95" customHeight="1" thickBot="1" x14ac:dyDescent="0.3">
      <c r="A431" s="62" t="s">
        <v>832</v>
      </c>
      <c r="B431" s="8" t="s">
        <v>282</v>
      </c>
      <c r="C431" s="9">
        <f>Itojesartries</f>
        <v>0</v>
      </c>
      <c r="D431" s="2" t="s">
        <v>376</v>
      </c>
      <c r="E431" s="21" t="s">
        <v>282</v>
      </c>
      <c r="F431" s="19">
        <f>Obatoyinbonewpts</f>
        <v>0</v>
      </c>
    </row>
    <row r="432" spans="1:6" ht="14.95" customHeight="1" thickBot="1" x14ac:dyDescent="0.3">
      <c r="A432" s="62" t="s">
        <v>488</v>
      </c>
      <c r="B432" s="8" t="s">
        <v>104</v>
      </c>
      <c r="C432" s="9">
        <f>Osbornehartries</f>
        <v>0</v>
      </c>
      <c r="D432" s="2" t="s">
        <v>734</v>
      </c>
      <c r="E432" s="21" t="s">
        <v>108</v>
      </c>
      <c r="F432" s="19">
        <f>Geraghtypts</f>
        <v>0</v>
      </c>
    </row>
    <row r="433" spans="1:6" ht="14.95" customHeight="1" thickBot="1" x14ac:dyDescent="0.3">
      <c r="A433" s="10" t="s">
        <v>654</v>
      </c>
      <c r="B433" s="9" t="s">
        <v>282</v>
      </c>
      <c r="C433" s="9">
        <f>Owennewtriescorrect</f>
        <v>0</v>
      </c>
      <c r="D433" s="2" t="s">
        <v>687</v>
      </c>
      <c r="E433" s="21" t="s">
        <v>97</v>
      </c>
      <c r="F433" s="19">
        <f>Odendaalnorpts</f>
        <v>0</v>
      </c>
    </row>
    <row r="434" spans="1:6" ht="14.95" customHeight="1" thickBot="1" x14ac:dyDescent="0.3">
      <c r="A434" s="62" t="s">
        <v>567</v>
      </c>
      <c r="B434" s="8" t="s">
        <v>108</v>
      </c>
      <c r="C434" s="9">
        <f>OwenBRItries</f>
        <v>0</v>
      </c>
      <c r="D434" s="2" t="s">
        <v>832</v>
      </c>
      <c r="E434" s="21" t="s">
        <v>282</v>
      </c>
      <c r="F434" s="19">
        <f>Itojesarpts</f>
        <v>0</v>
      </c>
    </row>
    <row r="435" spans="1:6" ht="14.95" customHeight="1" thickBot="1" x14ac:dyDescent="0.3">
      <c r="A435" s="62" t="s">
        <v>174</v>
      </c>
      <c r="B435" s="8" t="s">
        <v>105</v>
      </c>
      <c r="C435" s="9">
        <f>Painterexetries</f>
        <v>0</v>
      </c>
      <c r="D435" s="2" t="s">
        <v>488</v>
      </c>
      <c r="E435" s="21" t="s">
        <v>104</v>
      </c>
      <c r="F435" s="19">
        <f>Osborneharpts</f>
        <v>0</v>
      </c>
    </row>
    <row r="436" spans="1:6" ht="14.95" customHeight="1" thickBot="1" x14ac:dyDescent="0.3">
      <c r="A436" s="62" t="s">
        <v>988</v>
      </c>
      <c r="B436" s="8" t="s">
        <v>96</v>
      </c>
      <c r="C436" s="9">
        <f>Parrybthtries</f>
        <v>0</v>
      </c>
      <c r="D436" s="2" t="s">
        <v>654</v>
      </c>
      <c r="E436" s="21" t="s">
        <v>282</v>
      </c>
      <c r="F436" s="19">
        <f>Owennewptscorrect</f>
        <v>0</v>
      </c>
    </row>
    <row r="437" spans="1:6" ht="14.95" customHeight="1" thickBot="1" x14ac:dyDescent="0.3">
      <c r="A437" s="62" t="s">
        <v>1275</v>
      </c>
      <c r="B437" s="8" t="s">
        <v>282</v>
      </c>
      <c r="C437" s="9">
        <f>Parsonsnewtries</f>
        <v>0</v>
      </c>
      <c r="D437" s="2" t="s">
        <v>567</v>
      </c>
      <c r="E437" s="21" t="s">
        <v>108</v>
      </c>
      <c r="F437" s="19">
        <f>OwenBRIpts</f>
        <v>0</v>
      </c>
    </row>
    <row r="438" spans="1:6" ht="14.95" customHeight="1" thickBot="1" x14ac:dyDescent="0.3">
      <c r="A438" s="62" t="s">
        <v>672</v>
      </c>
      <c r="B438" s="8" t="s">
        <v>366</v>
      </c>
      <c r="C438" s="9">
        <f>PartonSARtries</f>
        <v>0</v>
      </c>
      <c r="D438" s="2" t="s">
        <v>174</v>
      </c>
      <c r="E438" s="21" t="s">
        <v>105</v>
      </c>
      <c r="F438" s="19">
        <f>Painterexepts</f>
        <v>0</v>
      </c>
    </row>
    <row r="439" spans="1:6" ht="14.95" customHeight="1" thickBot="1" x14ac:dyDescent="0.3">
      <c r="A439" s="62" t="s">
        <v>1265</v>
      </c>
      <c r="B439" s="8" t="s">
        <v>97</v>
      </c>
      <c r="C439" s="9">
        <f>Pasconortries</f>
        <v>0</v>
      </c>
      <c r="D439" s="2" t="s">
        <v>988</v>
      </c>
      <c r="E439" s="21" t="s">
        <v>96</v>
      </c>
      <c r="F439" s="19">
        <f>+Parrybthpts</f>
        <v>0</v>
      </c>
    </row>
    <row r="440" spans="1:6" ht="14.95" customHeight="1" thickBot="1" x14ac:dyDescent="0.3">
      <c r="A440" s="62" t="s">
        <v>744</v>
      </c>
      <c r="B440" s="8" t="s">
        <v>108</v>
      </c>
      <c r="C440" s="9">
        <f>Pearcebritries</f>
        <v>0</v>
      </c>
      <c r="D440" s="2" t="s">
        <v>1275</v>
      </c>
      <c r="E440" s="21" t="s">
        <v>282</v>
      </c>
      <c r="F440" s="19">
        <f>Parsonsnewpts</f>
        <v>0</v>
      </c>
    </row>
    <row r="441" spans="1:6" ht="14.95" customHeight="1" thickBot="1" x14ac:dyDescent="0.3">
      <c r="A441" s="62" t="s">
        <v>798</v>
      </c>
      <c r="B441" s="9" t="s">
        <v>620</v>
      </c>
      <c r="C441" s="49">
        <f>Montoyaleictries</f>
        <v>0</v>
      </c>
      <c r="D441" s="2" t="s">
        <v>672</v>
      </c>
      <c r="E441" s="21" t="s">
        <v>366</v>
      </c>
      <c r="F441" s="19">
        <f>PartonSARpts</f>
        <v>0</v>
      </c>
    </row>
    <row r="442" spans="1:6" ht="14.95" customHeight="1" thickBot="1" x14ac:dyDescent="0.3">
      <c r="A442" s="62" t="s">
        <v>432</v>
      </c>
      <c r="B442" s="8" t="s">
        <v>105</v>
      </c>
      <c r="C442" s="9">
        <f>Pearsonexetries</f>
        <v>0</v>
      </c>
      <c r="D442" s="2" t="s">
        <v>1265</v>
      </c>
      <c r="E442" s="21" t="s">
        <v>97</v>
      </c>
      <c r="F442" s="19">
        <f>Pasconorpts</f>
        <v>0</v>
      </c>
    </row>
    <row r="443" spans="1:6" ht="14.95" customHeight="1" thickBot="1" x14ac:dyDescent="0.3">
      <c r="A443" s="62" t="s">
        <v>4</v>
      </c>
      <c r="B443" s="8" t="s">
        <v>366</v>
      </c>
      <c r="C443" s="9">
        <f>Penalty_Triessartriescorrect</f>
        <v>0</v>
      </c>
      <c r="D443" s="2" t="s">
        <v>744</v>
      </c>
      <c r="E443" s="21" t="s">
        <v>108</v>
      </c>
      <c r="F443" s="19">
        <f>Pearcebripts</f>
        <v>0</v>
      </c>
    </row>
    <row r="444" spans="1:6" ht="14.95" customHeight="1" thickBot="1" x14ac:dyDescent="0.3">
      <c r="A444" s="62" t="s">
        <v>98</v>
      </c>
      <c r="B444" s="8" t="s">
        <v>108</v>
      </c>
      <c r="C444" s="9">
        <f>Penalty_Triesbritries</f>
        <v>0</v>
      </c>
      <c r="D444" s="2" t="s">
        <v>798</v>
      </c>
      <c r="E444" s="21" t="s">
        <v>620</v>
      </c>
      <c r="F444" s="19">
        <f>Montoyaleicpts</f>
        <v>0</v>
      </c>
    </row>
    <row r="445" spans="1:6" ht="14.95" customHeight="1" thickBot="1" x14ac:dyDescent="0.3">
      <c r="A445" s="10" t="s">
        <v>98</v>
      </c>
      <c r="B445" s="9" t="s">
        <v>105</v>
      </c>
      <c r="C445" s="9">
        <f>Penalty_Triesexetries</f>
        <v>0</v>
      </c>
      <c r="D445" s="17" t="s">
        <v>432</v>
      </c>
      <c r="E445" s="19" t="s">
        <v>105</v>
      </c>
      <c r="F445" s="20">
        <f>Pearsonexepts</f>
        <v>0</v>
      </c>
    </row>
    <row r="446" spans="1:6" ht="14.95" customHeight="1" thickBot="1" x14ac:dyDescent="0.3">
      <c r="A446" s="62" t="s">
        <v>98</v>
      </c>
      <c r="B446" s="8" t="s">
        <v>104</v>
      </c>
      <c r="C446" s="9">
        <f>Penalty_Trieshartries</f>
        <v>0</v>
      </c>
      <c r="D446" s="2" t="s">
        <v>4</v>
      </c>
      <c r="E446" s="21" t="s">
        <v>366</v>
      </c>
      <c r="F446" s="19">
        <f>Penalty_Triessarptscorrect</f>
        <v>0</v>
      </c>
    </row>
    <row r="447" spans="1:6" ht="14.95" customHeight="1" thickBot="1" x14ac:dyDescent="0.3">
      <c r="A447" s="10" t="s">
        <v>98</v>
      </c>
      <c r="B447" s="9" t="s">
        <v>282</v>
      </c>
      <c r="C447" s="9">
        <f>Penalty_Triesnewtriescorrect</f>
        <v>0</v>
      </c>
      <c r="D447" s="2" t="s">
        <v>98</v>
      </c>
      <c r="E447" s="21" t="s">
        <v>108</v>
      </c>
      <c r="F447" s="19">
        <f>Penalty_Triesbripts</f>
        <v>0</v>
      </c>
    </row>
    <row r="448" spans="1:6" ht="14.95" customHeight="1" thickBot="1" x14ac:dyDescent="0.3">
      <c r="A448" s="62" t="s">
        <v>778</v>
      </c>
      <c r="B448" s="8" t="s">
        <v>94</v>
      </c>
      <c r="C448" s="9">
        <f>Petchglotries</f>
        <v>0</v>
      </c>
      <c r="D448" s="17" t="s">
        <v>98</v>
      </c>
      <c r="E448" s="19" t="s">
        <v>105</v>
      </c>
      <c r="F448" s="19">
        <f>Penalty_Triesexepts</f>
        <v>0</v>
      </c>
    </row>
    <row r="449" spans="1:6" ht="14.95" customHeight="1" thickBot="1" x14ac:dyDescent="0.3">
      <c r="A449" s="62" t="s">
        <v>155</v>
      </c>
      <c r="B449" s="8" t="s">
        <v>94</v>
      </c>
      <c r="C449" s="9">
        <f>Rapava_Ruskinglotries</f>
        <v>0</v>
      </c>
      <c r="D449" s="2" t="s">
        <v>98</v>
      </c>
      <c r="E449" s="21" t="s">
        <v>104</v>
      </c>
      <c r="F449" s="19">
        <f>Penalty_Triesharpts</f>
        <v>0</v>
      </c>
    </row>
    <row r="450" spans="1:6" ht="14.95" customHeight="1" thickBot="1" x14ac:dyDescent="0.3">
      <c r="A450" s="62" t="s">
        <v>418</v>
      </c>
      <c r="B450" s="8" t="s">
        <v>94</v>
      </c>
      <c r="C450" s="9">
        <f>Reevesglotries</f>
        <v>0</v>
      </c>
      <c r="D450" s="2" t="s">
        <v>98</v>
      </c>
      <c r="E450" s="21" t="s">
        <v>282</v>
      </c>
      <c r="F450" s="19">
        <f>Penalty_Triesnewptscorrect</f>
        <v>0</v>
      </c>
    </row>
    <row r="451" spans="1:6" ht="14.95" customHeight="1" thickBot="1" x14ac:dyDescent="0.3">
      <c r="A451" s="62" t="s">
        <v>378</v>
      </c>
      <c r="B451" s="8" t="s">
        <v>366</v>
      </c>
      <c r="C451" s="9">
        <f>Riccionisartriescorrect</f>
        <v>0</v>
      </c>
      <c r="D451" s="17" t="s">
        <v>778</v>
      </c>
      <c r="E451" s="21" t="s">
        <v>94</v>
      </c>
      <c r="F451" s="19">
        <f>Petchglopts</f>
        <v>0</v>
      </c>
    </row>
    <row r="452" spans="1:6" ht="14.95" customHeight="1" thickBot="1" x14ac:dyDescent="0.3">
      <c r="A452" s="62" t="s">
        <v>970</v>
      </c>
      <c r="B452" s="9" t="s">
        <v>95</v>
      </c>
      <c r="C452" s="49">
        <f>Rileysaltries</f>
        <v>0</v>
      </c>
      <c r="D452" s="2" t="s">
        <v>155</v>
      </c>
      <c r="E452" s="21" t="s">
        <v>94</v>
      </c>
      <c r="F452" s="19">
        <f>Rapava_Ruskinglopts</f>
        <v>0</v>
      </c>
    </row>
    <row r="453" spans="1:6" ht="14.95" customHeight="1" thickBot="1" x14ac:dyDescent="0.3">
      <c r="A453" s="62" t="s">
        <v>875</v>
      </c>
      <c r="B453" s="8" t="s">
        <v>95</v>
      </c>
      <c r="C453" s="6">
        <f>Roetssaltries</f>
        <v>0</v>
      </c>
      <c r="D453" s="2" t="s">
        <v>418</v>
      </c>
      <c r="E453" s="21" t="s">
        <v>94</v>
      </c>
      <c r="F453" s="19">
        <f>Reevesglopts</f>
        <v>0</v>
      </c>
    </row>
    <row r="454" spans="1:6" ht="14.95" customHeight="1" thickBot="1" x14ac:dyDescent="0.3">
      <c r="A454" s="62" t="s">
        <v>500</v>
      </c>
      <c r="B454" s="8" t="s">
        <v>108</v>
      </c>
      <c r="C454" s="9">
        <f>Salomonbritries</f>
        <v>0</v>
      </c>
      <c r="D454" s="2" t="s">
        <v>378</v>
      </c>
      <c r="E454" s="21" t="s">
        <v>366</v>
      </c>
      <c r="F454" s="19">
        <f>Riccionisarptscorrect</f>
        <v>0</v>
      </c>
    </row>
    <row r="455" spans="1:6" ht="14.95" customHeight="1" thickBot="1" x14ac:dyDescent="0.3">
      <c r="A455" s="62" t="s">
        <v>561</v>
      </c>
      <c r="B455" s="8" t="s">
        <v>282</v>
      </c>
      <c r="C455" s="9">
        <f>Rubiolonewtries</f>
        <v>0</v>
      </c>
      <c r="D455" s="2" t="s">
        <v>970</v>
      </c>
      <c r="E455" s="21" t="s">
        <v>95</v>
      </c>
      <c r="F455" s="19">
        <f>Rileysalpts</f>
        <v>0</v>
      </c>
    </row>
    <row r="456" spans="1:6" ht="14.95" customHeight="1" thickBot="1" x14ac:dyDescent="0.3">
      <c r="A456" s="62" t="s">
        <v>811</v>
      </c>
      <c r="B456" s="9" t="s">
        <v>620</v>
      </c>
      <c r="C456" s="9">
        <f>Saumakileictries</f>
        <v>0</v>
      </c>
      <c r="D456" s="2" t="s">
        <v>875</v>
      </c>
      <c r="E456" s="21" t="s">
        <v>95</v>
      </c>
      <c r="F456" s="19">
        <f>Roetssalpts</f>
        <v>0</v>
      </c>
    </row>
    <row r="457" spans="1:6" ht="14.95" customHeight="1" thickBot="1" x14ac:dyDescent="0.3">
      <c r="A457" s="62" t="s">
        <v>656</v>
      </c>
      <c r="B457" s="8" t="s">
        <v>97</v>
      </c>
      <c r="C457" s="9">
        <f>Savalanortries</f>
        <v>0</v>
      </c>
      <c r="D457" s="2" t="s">
        <v>500</v>
      </c>
      <c r="E457" s="21" t="s">
        <v>108</v>
      </c>
      <c r="F457" s="19">
        <f>Salomonbripts</f>
        <v>0</v>
      </c>
    </row>
    <row r="458" spans="1:6" ht="14.95" customHeight="1" thickBot="1" x14ac:dyDescent="0.3">
      <c r="A458" s="62" t="s">
        <v>1003</v>
      </c>
      <c r="B458" s="8" t="s">
        <v>104</v>
      </c>
      <c r="C458" s="49">
        <f>Schmidhartries</f>
        <v>0</v>
      </c>
      <c r="D458" s="2" t="s">
        <v>561</v>
      </c>
      <c r="E458" s="21" t="s">
        <v>282</v>
      </c>
      <c r="F458" s="19">
        <f>Rubiolonewpts</f>
        <v>0</v>
      </c>
    </row>
    <row r="459" spans="1:6" ht="14.95" customHeight="1" thickBot="1" x14ac:dyDescent="0.3">
      <c r="A459" s="62" t="s">
        <v>881</v>
      </c>
      <c r="B459" s="8" t="s">
        <v>95</v>
      </c>
      <c r="C459" s="9">
        <f>Schonertsaltries</f>
        <v>0</v>
      </c>
      <c r="D459" s="2" t="s">
        <v>811</v>
      </c>
      <c r="E459" s="21" t="s">
        <v>620</v>
      </c>
      <c r="F459" s="19">
        <f>Saumakileicpts</f>
        <v>0</v>
      </c>
    </row>
    <row r="460" spans="1:6" ht="14.95" customHeight="1" thickBot="1" x14ac:dyDescent="0.3">
      <c r="A460" s="62" t="s">
        <v>639</v>
      </c>
      <c r="B460" s="8" t="s">
        <v>96</v>
      </c>
      <c r="C460" s="9">
        <f>Schreuderbthtries</f>
        <v>0</v>
      </c>
      <c r="D460" s="17" t="s">
        <v>656</v>
      </c>
      <c r="E460" s="21" t="s">
        <v>97</v>
      </c>
      <c r="F460" s="19">
        <f>Savalanorpts</f>
        <v>0</v>
      </c>
    </row>
    <row r="461" spans="1:6" ht="14.95" customHeight="1" thickBot="1" x14ac:dyDescent="0.3">
      <c r="A461" s="10" t="s">
        <v>835</v>
      </c>
      <c r="B461" s="8" t="s">
        <v>282</v>
      </c>
      <c r="C461" s="9">
        <f>Kpoku__Jonathansartries</f>
        <v>0</v>
      </c>
      <c r="D461" s="2" t="s">
        <v>1003</v>
      </c>
      <c r="E461" s="21" t="s">
        <v>104</v>
      </c>
      <c r="F461" s="19">
        <f>Schmidharpts</f>
        <v>0</v>
      </c>
    </row>
    <row r="462" spans="1:6" ht="14.95" customHeight="1" thickBot="1" x14ac:dyDescent="0.3">
      <c r="A462" s="62" t="s">
        <v>736</v>
      </c>
      <c r="B462" s="8" t="s">
        <v>108</v>
      </c>
      <c r="C462" s="9">
        <f>paulolirtries</f>
        <v>0</v>
      </c>
      <c r="D462" s="2" t="s">
        <v>881</v>
      </c>
      <c r="E462" s="21" t="s">
        <v>95</v>
      </c>
      <c r="F462" s="19">
        <f>Schonertsalpts</f>
        <v>0</v>
      </c>
    </row>
    <row r="463" spans="1:6" ht="14.95" customHeight="1" thickBot="1" x14ac:dyDescent="0.3">
      <c r="A463" s="62" t="s">
        <v>517</v>
      </c>
      <c r="B463" s="8" t="s">
        <v>97</v>
      </c>
      <c r="C463" s="9">
        <f>Scott_Youngnortries</f>
        <v>0</v>
      </c>
      <c r="D463" s="2" t="s">
        <v>639</v>
      </c>
      <c r="E463" s="21" t="s">
        <v>96</v>
      </c>
      <c r="F463" s="19">
        <f>Schreuderbthpts</f>
        <v>0</v>
      </c>
    </row>
    <row r="464" spans="1:6" ht="14.95" customHeight="1" thickBot="1" x14ac:dyDescent="0.3">
      <c r="A464" s="62" t="s">
        <v>580</v>
      </c>
      <c r="B464" s="9" t="s">
        <v>620</v>
      </c>
      <c r="C464" s="9">
        <f>ShillcockLEItries</f>
        <v>0</v>
      </c>
      <c r="D464" s="2" t="s">
        <v>835</v>
      </c>
      <c r="E464" s="21" t="s">
        <v>282</v>
      </c>
      <c r="F464" s="19">
        <f>Kpoku__Jonathansarpts</f>
        <v>0</v>
      </c>
    </row>
    <row r="465" spans="1:6" ht="14.95" customHeight="1" thickBot="1" x14ac:dyDescent="0.3">
      <c r="A465" s="62" t="s">
        <v>159</v>
      </c>
      <c r="B465" s="9" t="s">
        <v>620</v>
      </c>
      <c r="C465" s="9">
        <f>Simmonsleictries</f>
        <v>0</v>
      </c>
      <c r="D465" s="2" t="s">
        <v>736</v>
      </c>
      <c r="E465" s="21" t="s">
        <v>108</v>
      </c>
      <c r="F465" s="19">
        <f>Paulolirpts</f>
        <v>0</v>
      </c>
    </row>
    <row r="466" spans="1:6" ht="14.95" customHeight="1" thickBot="1" x14ac:dyDescent="0.3">
      <c r="A466" s="62" t="s">
        <v>230</v>
      </c>
      <c r="B466" s="8" t="s">
        <v>366</v>
      </c>
      <c r="C466" s="9">
        <f>Simpson_Gsartries</f>
        <v>0</v>
      </c>
      <c r="D466" s="2" t="s">
        <v>517</v>
      </c>
      <c r="E466" s="21" t="s">
        <v>97</v>
      </c>
      <c r="F466" s="19">
        <f>Scott_Youngnorpts</f>
        <v>0</v>
      </c>
    </row>
    <row r="467" spans="1:6" ht="14.95" customHeight="1" thickBot="1" x14ac:dyDescent="0.3">
      <c r="A467" s="62" t="s">
        <v>524</v>
      </c>
      <c r="B467" s="8" t="s">
        <v>105</v>
      </c>
      <c r="C467" s="9">
        <f>Sioexetries</f>
        <v>0</v>
      </c>
      <c r="D467" s="2" t="s">
        <v>159</v>
      </c>
      <c r="E467" s="21" t="s">
        <v>620</v>
      </c>
      <c r="F467" s="19">
        <f>Simmonsleicpts</f>
        <v>0</v>
      </c>
    </row>
    <row r="468" spans="1:6" ht="14.95" customHeight="1" thickBot="1" x14ac:dyDescent="0.3">
      <c r="A468" s="62" t="s">
        <v>492</v>
      </c>
      <c r="B468" s="8" t="s">
        <v>104</v>
      </c>
      <c r="C468" s="9">
        <f>Slevinhartries</f>
        <v>0</v>
      </c>
      <c r="D468" s="2" t="s">
        <v>230</v>
      </c>
      <c r="E468" s="21" t="s">
        <v>366</v>
      </c>
      <c r="F468" s="19">
        <f>Simpson_Gsarpts</f>
        <v>0</v>
      </c>
    </row>
    <row r="469" spans="1:6" ht="14.95" customHeight="1" thickBot="1" x14ac:dyDescent="0.3">
      <c r="A469" s="62" t="s">
        <v>445</v>
      </c>
      <c r="B469" s="8" t="s">
        <v>282</v>
      </c>
      <c r="C469" s="9">
        <f>Smithrobbienewtries</f>
        <v>0</v>
      </c>
      <c r="D469" s="2" t="s">
        <v>524</v>
      </c>
      <c r="E469" s="21" t="s">
        <v>105</v>
      </c>
      <c r="F469" s="19">
        <f>Sioexepts</f>
        <v>0</v>
      </c>
    </row>
    <row r="470" spans="1:6" ht="14.95" customHeight="1" thickBot="1" x14ac:dyDescent="0.3">
      <c r="A470" s="62" t="s">
        <v>445</v>
      </c>
      <c r="B470" s="8" t="s">
        <v>97</v>
      </c>
      <c r="C470" s="9">
        <f>Smith_Rnortries</f>
        <v>0</v>
      </c>
      <c r="D470" s="2" t="s">
        <v>492</v>
      </c>
      <c r="E470" s="21" t="s">
        <v>104</v>
      </c>
      <c r="F470" s="19">
        <f>Slevinharpts</f>
        <v>0</v>
      </c>
    </row>
    <row r="471" spans="1:6" ht="14.95" customHeight="1" thickBot="1" x14ac:dyDescent="0.3">
      <c r="A471" s="62" t="s">
        <v>990</v>
      </c>
      <c r="B471" s="9" t="s">
        <v>96</v>
      </c>
      <c r="C471" s="9">
        <f>Spandlertbhtries</f>
        <v>0</v>
      </c>
      <c r="D471" s="2" t="s">
        <v>445</v>
      </c>
      <c r="E471" s="21" t="s">
        <v>282</v>
      </c>
      <c r="F471" s="19">
        <f>Smithrobbienewpts</f>
        <v>0</v>
      </c>
    </row>
    <row r="472" spans="1:6" ht="14.95" customHeight="1" thickBot="1" x14ac:dyDescent="0.3">
      <c r="A472" s="62" t="s">
        <v>836</v>
      </c>
      <c r="B472" s="8" t="s">
        <v>282</v>
      </c>
      <c r="C472" s="9">
        <f>Smithrnewtries</f>
        <v>0</v>
      </c>
      <c r="D472" s="2" t="s">
        <v>445</v>
      </c>
      <c r="E472" s="21" t="s">
        <v>97</v>
      </c>
      <c r="F472" s="19">
        <f>Smith_Rnorpts</f>
        <v>0</v>
      </c>
    </row>
    <row r="473" spans="1:6" ht="14.95" customHeight="1" thickBot="1" x14ac:dyDescent="0.3">
      <c r="A473" s="62" t="s">
        <v>898</v>
      </c>
      <c r="B473" s="8" t="s">
        <v>366</v>
      </c>
      <c r="C473" s="9">
        <f>Swinsonsartriescorrect</f>
        <v>0</v>
      </c>
      <c r="D473" s="2" t="s">
        <v>990</v>
      </c>
      <c r="E473" s="21" t="s">
        <v>96</v>
      </c>
      <c r="F473" s="19">
        <f>Spandlerbthpts</f>
        <v>0</v>
      </c>
    </row>
    <row r="474" spans="1:6" ht="14.95" customHeight="1" thickBot="1" x14ac:dyDescent="0.3">
      <c r="A474" s="62" t="s">
        <v>985</v>
      </c>
      <c r="B474" s="8" t="s">
        <v>96</v>
      </c>
      <c r="C474" s="9">
        <f>Stewartbthtries</f>
        <v>0</v>
      </c>
      <c r="D474" s="2" t="s">
        <v>836</v>
      </c>
      <c r="E474" s="21" t="s">
        <v>282</v>
      </c>
      <c r="F474" s="19">
        <f>Smithrnewpts</f>
        <v>0</v>
      </c>
    </row>
    <row r="475" spans="1:6" ht="14.95" customHeight="1" thickBot="1" x14ac:dyDescent="0.3">
      <c r="A475" s="62" t="s">
        <v>250</v>
      </c>
      <c r="B475" s="8" t="s">
        <v>94</v>
      </c>
      <c r="C475" s="9">
        <f>Stanleyglotries</f>
        <v>0</v>
      </c>
      <c r="D475" s="2" t="s">
        <v>898</v>
      </c>
      <c r="E475" s="21" t="s">
        <v>366</v>
      </c>
      <c r="F475" s="19">
        <f>Swinsonsarptscorrect</f>
        <v>0</v>
      </c>
    </row>
    <row r="476" spans="1:6" ht="14.95" customHeight="1" thickBot="1" x14ac:dyDescent="0.3">
      <c r="A476" s="62" t="s">
        <v>219</v>
      </c>
      <c r="B476" s="8" t="s">
        <v>105</v>
      </c>
      <c r="C476" s="9">
        <f>Streetexetries</f>
        <v>0</v>
      </c>
      <c r="D476" s="2" t="s">
        <v>985</v>
      </c>
      <c r="E476" s="21" t="s">
        <v>96</v>
      </c>
      <c r="F476" s="20">
        <f>Stewartbthpts</f>
        <v>0</v>
      </c>
    </row>
    <row r="477" spans="1:6" ht="14.95" customHeight="1" thickBot="1" x14ac:dyDescent="0.3">
      <c r="A477" s="62" t="s">
        <v>1141</v>
      </c>
      <c r="B477" s="8" t="s">
        <v>366</v>
      </c>
      <c r="C477" s="9">
        <f>Sylvestersartries</f>
        <v>0</v>
      </c>
      <c r="D477" s="2" t="s">
        <v>250</v>
      </c>
      <c r="E477" s="21" t="s">
        <v>94</v>
      </c>
      <c r="F477" s="19">
        <f>Stanleyglopts</f>
        <v>0</v>
      </c>
    </row>
    <row r="478" spans="1:6" ht="14.95" customHeight="1" thickBot="1" x14ac:dyDescent="0.3">
      <c r="A478" s="62" t="s">
        <v>726</v>
      </c>
      <c r="B478" s="8" t="s">
        <v>108</v>
      </c>
      <c r="C478" s="9">
        <f>Strangbritries</f>
        <v>0</v>
      </c>
      <c r="D478" s="2" t="s">
        <v>219</v>
      </c>
      <c r="E478" s="21" t="s">
        <v>105</v>
      </c>
      <c r="F478" s="19">
        <f>Streetexepts</f>
        <v>0</v>
      </c>
    </row>
    <row r="479" spans="1:6" ht="14.95" customHeight="1" thickBot="1" x14ac:dyDescent="0.3">
      <c r="A479" s="62" t="s">
        <v>416</v>
      </c>
      <c r="B479" s="8" t="s">
        <v>94</v>
      </c>
      <c r="C479" s="9">
        <f>Taylorglotries</f>
        <v>0</v>
      </c>
      <c r="D479" s="2" t="s">
        <v>1141</v>
      </c>
      <c r="E479" s="21" t="s">
        <v>366</v>
      </c>
      <c r="F479" s="19">
        <f>Sylvestersarpts</f>
        <v>0</v>
      </c>
    </row>
    <row r="480" spans="1:6" ht="14.95" customHeight="1" thickBot="1" x14ac:dyDescent="0.3">
      <c r="A480" s="62" t="s">
        <v>771</v>
      </c>
      <c r="B480" s="8" t="s">
        <v>94</v>
      </c>
      <c r="C480" s="9">
        <f>Taylor_Rglotries</f>
        <v>0</v>
      </c>
      <c r="D480" s="2" t="s">
        <v>726</v>
      </c>
      <c r="E480" s="21" t="s">
        <v>108</v>
      </c>
      <c r="F480" s="19">
        <f>Strangbripts</f>
        <v>0</v>
      </c>
    </row>
    <row r="481" spans="1:6" ht="14.95" customHeight="1" thickBot="1" x14ac:dyDescent="0.3">
      <c r="A481" s="62" t="s">
        <v>120</v>
      </c>
      <c r="B481" s="8" t="s">
        <v>95</v>
      </c>
      <c r="C481" s="9">
        <f>Taylortsaltries</f>
        <v>0</v>
      </c>
      <c r="D481" s="2" t="s">
        <v>416</v>
      </c>
      <c r="E481" s="21" t="s">
        <v>94</v>
      </c>
      <c r="F481" s="19">
        <f>Taylorglopts</f>
        <v>0</v>
      </c>
    </row>
    <row r="482" spans="1:6" ht="14.95" customHeight="1" thickBot="1" x14ac:dyDescent="0.3">
      <c r="A482" s="62" t="s">
        <v>588</v>
      </c>
      <c r="B482" s="8" t="s">
        <v>97</v>
      </c>
      <c r="C482" s="6">
        <f>ThameNORtries</f>
        <v>0</v>
      </c>
      <c r="D482" s="2" t="s">
        <v>771</v>
      </c>
      <c r="E482" s="21" t="s">
        <v>94</v>
      </c>
      <c r="F482" s="19">
        <f>Taylor_Rglopts</f>
        <v>0</v>
      </c>
    </row>
    <row r="483" spans="1:6" ht="14.95" customHeight="1" thickBot="1" x14ac:dyDescent="0.3">
      <c r="A483" s="10" t="s">
        <v>668</v>
      </c>
      <c r="B483" s="9" t="s">
        <v>620</v>
      </c>
      <c r="C483" s="9">
        <f>Theobold_Thomasleitries</f>
        <v>0</v>
      </c>
      <c r="D483" s="2" t="s">
        <v>120</v>
      </c>
      <c r="E483" s="21" t="s">
        <v>95</v>
      </c>
      <c r="F483" s="19">
        <f>Taylortsalpts</f>
        <v>0</v>
      </c>
    </row>
    <row r="484" spans="1:6" ht="14.95" customHeight="1" thickBot="1" x14ac:dyDescent="0.3">
      <c r="A484" s="62" t="s">
        <v>113</v>
      </c>
      <c r="B484" s="8" t="s">
        <v>108</v>
      </c>
      <c r="C484" s="9">
        <f>Saulolirtries</f>
        <v>0</v>
      </c>
      <c r="D484" s="2" t="s">
        <v>588</v>
      </c>
      <c r="E484" s="21" t="s">
        <v>97</v>
      </c>
      <c r="F484" s="18">
        <f>ThameNORpts</f>
        <v>0</v>
      </c>
    </row>
    <row r="485" spans="1:6" ht="14.95" customHeight="1" thickBot="1" x14ac:dyDescent="0.3">
      <c r="A485" s="62" t="s">
        <v>1080</v>
      </c>
      <c r="B485" s="8" t="s">
        <v>620</v>
      </c>
      <c r="C485" s="9">
        <f>Threlfallleitries</f>
        <v>0</v>
      </c>
      <c r="D485" s="17" t="s">
        <v>668</v>
      </c>
      <c r="E485" s="19" t="s">
        <v>620</v>
      </c>
      <c r="F485" s="19">
        <f>Theobald_Thomasleipts</f>
        <v>0</v>
      </c>
    </row>
    <row r="486" spans="1:6" ht="14.95" customHeight="1" thickBot="1" x14ac:dyDescent="0.3">
      <c r="A486" s="62" t="s">
        <v>460</v>
      </c>
      <c r="B486" s="62" t="s">
        <v>282</v>
      </c>
      <c r="C486" s="9">
        <f>Tiffennewtries</f>
        <v>0</v>
      </c>
      <c r="D486" s="2" t="s">
        <v>113</v>
      </c>
      <c r="E486" s="21" t="s">
        <v>108</v>
      </c>
      <c r="F486" s="19">
        <f>Saulolirpts</f>
        <v>0</v>
      </c>
    </row>
    <row r="487" spans="1:6" ht="14.95" customHeight="1" thickBot="1" x14ac:dyDescent="0.3">
      <c r="A487" s="10" t="s">
        <v>741</v>
      </c>
      <c r="B487" s="10" t="s">
        <v>108</v>
      </c>
      <c r="C487" s="9">
        <f>Trevettbritries</f>
        <v>0</v>
      </c>
      <c r="D487" s="2" t="s">
        <v>1080</v>
      </c>
      <c r="E487" s="2" t="s">
        <v>620</v>
      </c>
      <c r="F487" s="19">
        <f>Threlfallleipts</f>
        <v>0</v>
      </c>
    </row>
    <row r="488" spans="1:6" ht="14.95" customHeight="1" thickBot="1" x14ac:dyDescent="0.3">
      <c r="A488" s="62" t="s">
        <v>479</v>
      </c>
      <c r="B488" s="62" t="s">
        <v>105</v>
      </c>
      <c r="C488" s="9">
        <f>Tshiunzaexetries</f>
        <v>0</v>
      </c>
      <c r="D488" s="2" t="s">
        <v>460</v>
      </c>
      <c r="E488" s="2" t="s">
        <v>282</v>
      </c>
      <c r="F488" s="19">
        <f>Tiffennewpts</f>
        <v>0</v>
      </c>
    </row>
    <row r="489" spans="1:6" ht="14.95" customHeight="1" thickBot="1" x14ac:dyDescent="0.3">
      <c r="A489" s="62" t="s">
        <v>1241</v>
      </c>
      <c r="B489" s="62" t="s">
        <v>366</v>
      </c>
      <c r="C489" s="9">
        <f>Tuipulotusartries</f>
        <v>0</v>
      </c>
      <c r="D489" s="2" t="s">
        <v>741</v>
      </c>
      <c r="E489" s="2" t="s">
        <v>108</v>
      </c>
      <c r="F489" s="19">
        <f>Trevettbripts</f>
        <v>0</v>
      </c>
    </row>
    <row r="490" spans="1:6" ht="14.95" customHeight="1" thickBot="1" x14ac:dyDescent="0.3">
      <c r="A490" s="62" t="s">
        <v>239</v>
      </c>
      <c r="B490" s="62" t="s">
        <v>94</v>
      </c>
      <c r="C490" s="9">
        <f>Cowanjimmytries</f>
        <v>0</v>
      </c>
      <c r="D490" s="2" t="s">
        <v>479</v>
      </c>
      <c r="E490" s="2" t="s">
        <v>105</v>
      </c>
      <c r="F490" s="19">
        <f>Tshiunzaexepts</f>
        <v>0</v>
      </c>
    </row>
    <row r="491" spans="1:6" ht="14.95" customHeight="1" thickBot="1" x14ac:dyDescent="0.3">
      <c r="A491" s="62" t="s">
        <v>727</v>
      </c>
      <c r="B491" s="62" t="s">
        <v>108</v>
      </c>
      <c r="C491" s="9">
        <f>UrenBRITRIES</f>
        <v>0</v>
      </c>
      <c r="D491" s="2" t="s">
        <v>1241</v>
      </c>
      <c r="E491" s="2" t="s">
        <v>366</v>
      </c>
      <c r="F491" s="19">
        <f>Tuipulotusarpts</f>
        <v>0</v>
      </c>
    </row>
    <row r="492" spans="1:6" ht="14.95" customHeight="1" thickBot="1" x14ac:dyDescent="0.3">
      <c r="A492" s="62" t="s">
        <v>838</v>
      </c>
      <c r="B492" s="62" t="s">
        <v>282</v>
      </c>
      <c r="C492" s="9">
        <f>van_VuurenNEWtries</f>
        <v>0</v>
      </c>
      <c r="D492" s="2" t="s">
        <v>239</v>
      </c>
      <c r="E492" s="2" t="s">
        <v>94</v>
      </c>
      <c r="F492" s="19">
        <f>Cowanjimmypts</f>
        <v>0</v>
      </c>
    </row>
    <row r="493" spans="1:6" ht="14.95" customHeight="1" thickBot="1" x14ac:dyDescent="0.3">
      <c r="A493" s="10" t="s">
        <v>728</v>
      </c>
      <c r="B493" s="10" t="s">
        <v>108</v>
      </c>
      <c r="C493" s="9">
        <f>Vuibritries</f>
        <v>0</v>
      </c>
      <c r="D493" s="2" t="s">
        <v>727</v>
      </c>
      <c r="E493" s="2" t="s">
        <v>108</v>
      </c>
      <c r="F493" s="19">
        <f>Sinclairjebbpts</f>
        <v>0</v>
      </c>
    </row>
    <row r="494" spans="1:6" ht="14.95" customHeight="1" thickBot="1" x14ac:dyDescent="0.3">
      <c r="A494" s="62" t="s">
        <v>1078</v>
      </c>
      <c r="B494" s="62" t="s">
        <v>620</v>
      </c>
      <c r="C494" s="9">
        <f>van_der_Flierleitries</f>
        <v>0</v>
      </c>
      <c r="D494" s="2" t="s">
        <v>838</v>
      </c>
      <c r="E494" s="2" t="s">
        <v>282</v>
      </c>
      <c r="F494" s="19">
        <f>van_VuurenNEWpts</f>
        <v>0</v>
      </c>
    </row>
    <row r="495" spans="1:6" ht="14.95" customHeight="1" thickBot="1" x14ac:dyDescent="0.3">
      <c r="A495" s="62" t="s">
        <v>887</v>
      </c>
      <c r="B495" s="62" t="s">
        <v>95</v>
      </c>
      <c r="C495" s="9">
        <f>Tuitupousamtries</f>
        <v>0</v>
      </c>
      <c r="D495" s="17" t="s">
        <v>728</v>
      </c>
      <c r="E495" s="17" t="s">
        <v>108</v>
      </c>
      <c r="F495" s="19">
        <f>Vuibripts</f>
        <v>0</v>
      </c>
    </row>
    <row r="496" spans="1:6" ht="14.95" customHeight="1" thickBot="1" x14ac:dyDescent="0.3">
      <c r="A496" s="62" t="s">
        <v>447</v>
      </c>
      <c r="B496" s="10" t="s">
        <v>620</v>
      </c>
      <c r="C496" s="9">
        <f>Vanesleictries</f>
        <v>0</v>
      </c>
      <c r="D496" s="2" t="s">
        <v>1078</v>
      </c>
      <c r="E496" s="2" t="s">
        <v>620</v>
      </c>
      <c r="F496" s="19">
        <f>van_der_Flierleipts</f>
        <v>0</v>
      </c>
    </row>
    <row r="497" spans="1:6" ht="14.95" customHeight="1" thickBot="1" x14ac:dyDescent="0.3">
      <c r="A497" s="62" t="s">
        <v>165</v>
      </c>
      <c r="B497" s="62" t="s">
        <v>96</v>
      </c>
      <c r="C497" s="9">
        <f>van_Vuurenbthtries</f>
        <v>0</v>
      </c>
      <c r="D497" s="2" t="s">
        <v>887</v>
      </c>
      <c r="E497" s="2" t="s">
        <v>95</v>
      </c>
      <c r="F497" s="19">
        <f>Tuitupousampts</f>
        <v>0</v>
      </c>
    </row>
    <row r="498" spans="1:6" ht="14.95" customHeight="1" thickBot="1" x14ac:dyDescent="0.3">
      <c r="A498" s="62" t="s">
        <v>763</v>
      </c>
      <c r="B498" s="62" t="s">
        <v>94</v>
      </c>
      <c r="C498" s="9">
        <f>Visagieglotries</f>
        <v>0</v>
      </c>
      <c r="D498" s="2" t="s">
        <v>447</v>
      </c>
      <c r="E498" s="2" t="s">
        <v>620</v>
      </c>
      <c r="F498" s="19">
        <f>Vanesleicpts</f>
        <v>0</v>
      </c>
    </row>
    <row r="499" spans="1:6" ht="14.95" customHeight="1" thickBot="1" x14ac:dyDescent="0.3">
      <c r="A499" s="62" t="s">
        <v>935</v>
      </c>
      <c r="B499" s="10" t="s">
        <v>620</v>
      </c>
      <c r="C499" s="9">
        <f>Volavolaleitries</f>
        <v>0</v>
      </c>
      <c r="D499" s="2" t="s">
        <v>165</v>
      </c>
      <c r="E499" s="2" t="s">
        <v>96</v>
      </c>
      <c r="F499" s="19">
        <f>van_Vuurenbthpts</f>
        <v>0</v>
      </c>
    </row>
    <row r="500" spans="1:6" ht="14.95" customHeight="1" thickBot="1" x14ac:dyDescent="0.3">
      <c r="A500" s="62" t="s">
        <v>1160</v>
      </c>
      <c r="B500" s="10" t="s">
        <v>97</v>
      </c>
      <c r="C500" s="9">
        <f>Walkernortries</f>
        <v>0</v>
      </c>
      <c r="D500" s="2" t="s">
        <v>763</v>
      </c>
      <c r="E500" s="2" t="s">
        <v>94</v>
      </c>
      <c r="F500" s="19">
        <f>Visagieglopts</f>
        <v>0</v>
      </c>
    </row>
    <row r="501" spans="1:6" ht="14.95" customHeight="1" thickBot="1" x14ac:dyDescent="0.3">
      <c r="A501" s="62" t="s">
        <v>1305</v>
      </c>
      <c r="B501" s="62" t="s">
        <v>94</v>
      </c>
      <c r="C501" s="9">
        <f>Wardglotries</f>
        <v>0</v>
      </c>
      <c r="D501" s="2" t="s">
        <v>1160</v>
      </c>
      <c r="E501" s="2" t="s">
        <v>97</v>
      </c>
      <c r="F501" s="19">
        <f>Walkernorpts</f>
        <v>0</v>
      </c>
    </row>
    <row r="502" spans="1:6" ht="14.95" customHeight="1" thickBot="1" x14ac:dyDescent="0.3">
      <c r="A502" s="62" t="s">
        <v>885</v>
      </c>
      <c r="B502" s="62" t="s">
        <v>95</v>
      </c>
      <c r="C502" s="9">
        <f>Veainusaltries</f>
        <v>0</v>
      </c>
      <c r="D502" s="2" t="s">
        <v>1305</v>
      </c>
      <c r="E502" s="2" t="s">
        <v>94</v>
      </c>
      <c r="F502" s="19">
        <f>Wardglopts</f>
        <v>0</v>
      </c>
    </row>
    <row r="503" spans="1:6" ht="14.95" customHeight="1" thickBot="1" x14ac:dyDescent="0.3">
      <c r="A503" s="62" t="s">
        <v>867</v>
      </c>
      <c r="B503" s="62" t="s">
        <v>97</v>
      </c>
      <c r="C503" s="9">
        <f>A_Wallertries</f>
        <v>0</v>
      </c>
      <c r="D503" s="2" t="s">
        <v>885</v>
      </c>
      <c r="E503" s="2" t="s">
        <v>95</v>
      </c>
      <c r="F503" s="19">
        <f>Veainusalpts</f>
        <v>0</v>
      </c>
    </row>
    <row r="504" spans="1:6" ht="14.95" customHeight="1" thickBot="1" x14ac:dyDescent="0.3">
      <c r="A504" s="62" t="s">
        <v>390</v>
      </c>
      <c r="B504" s="10" t="s">
        <v>620</v>
      </c>
      <c r="C504" s="9">
        <f>Whiteleictries</f>
        <v>0</v>
      </c>
      <c r="D504" s="2" t="s">
        <v>867</v>
      </c>
      <c r="E504" s="2" t="s">
        <v>97</v>
      </c>
      <c r="F504" s="18">
        <f>A_Wallerpts</f>
        <v>0</v>
      </c>
    </row>
    <row r="505" spans="1:6" ht="14.95" customHeight="1" thickBot="1" x14ac:dyDescent="0.3">
      <c r="A505" s="62" t="s">
        <v>279</v>
      </c>
      <c r="B505" s="62" t="s">
        <v>104</v>
      </c>
      <c r="C505" s="9">
        <f>Watershartries</f>
        <v>0</v>
      </c>
      <c r="D505" s="2" t="s">
        <v>390</v>
      </c>
      <c r="E505" s="2" t="s">
        <v>620</v>
      </c>
      <c r="F505" s="19">
        <f>Whiteleicpts</f>
        <v>0</v>
      </c>
    </row>
    <row r="506" spans="1:6" ht="14.95" customHeight="1" thickBot="1" x14ac:dyDescent="0.3">
      <c r="A506" s="62" t="s">
        <v>357</v>
      </c>
      <c r="B506" s="10" t="s">
        <v>620</v>
      </c>
      <c r="C506" s="9">
        <f>WhiteleyLEItries</f>
        <v>0</v>
      </c>
      <c r="D506" s="2" t="s">
        <v>279</v>
      </c>
      <c r="E506" s="2" t="s">
        <v>104</v>
      </c>
      <c r="F506" s="19">
        <f>Watersharpts</f>
        <v>0</v>
      </c>
    </row>
    <row r="507" spans="1:6" ht="14.95" customHeight="1" thickBot="1" x14ac:dyDescent="0.3">
      <c r="A507" s="62" t="s">
        <v>839</v>
      </c>
      <c r="B507" s="62" t="s">
        <v>282</v>
      </c>
      <c r="C507" s="9">
        <f>Wacokecokenewtries</f>
        <v>0</v>
      </c>
      <c r="D507" s="2" t="s">
        <v>357</v>
      </c>
      <c r="E507" s="2" t="s">
        <v>620</v>
      </c>
      <c r="F507" s="20">
        <f>WhiteleyLEIpts</f>
        <v>0</v>
      </c>
    </row>
    <row r="508" spans="1:6" ht="14.95" customHeight="1" thickBot="1" x14ac:dyDescent="0.3">
      <c r="A508" s="62" t="s">
        <v>1148</v>
      </c>
      <c r="B508" s="62" t="s">
        <v>366</v>
      </c>
      <c r="C508" s="9">
        <f>Williamsliamsartries</f>
        <v>0</v>
      </c>
      <c r="D508" s="2" t="s">
        <v>839</v>
      </c>
      <c r="E508" s="2" t="s">
        <v>282</v>
      </c>
      <c r="F508" s="19">
        <f>Wacokecokenewpts</f>
        <v>0</v>
      </c>
    </row>
    <row r="509" spans="1:6" ht="14.95" customHeight="1" thickBot="1" x14ac:dyDescent="0.3">
      <c r="A509" s="62" t="s">
        <v>812</v>
      </c>
      <c r="B509" s="10" t="s">
        <v>620</v>
      </c>
      <c r="C509" s="6">
        <f>Wieseleictries</f>
        <v>0</v>
      </c>
      <c r="D509" s="2" t="s">
        <v>1148</v>
      </c>
      <c r="E509" s="2" t="s">
        <v>366</v>
      </c>
      <c r="F509" s="19">
        <f>Williamsliamsarpts</f>
        <v>0</v>
      </c>
    </row>
    <row r="510" spans="1:6" ht="14.95" customHeight="1" thickBot="1" x14ac:dyDescent="0.3">
      <c r="A510" s="62" t="s">
        <v>895</v>
      </c>
      <c r="B510" s="62" t="s">
        <v>95</v>
      </c>
      <c r="C510" s="9">
        <f>Webbersaltries</f>
        <v>0</v>
      </c>
      <c r="D510" s="2" t="s">
        <v>812</v>
      </c>
      <c r="E510" s="2" t="s">
        <v>620</v>
      </c>
      <c r="F510" s="19">
        <f>Wieseleicpts</f>
        <v>0</v>
      </c>
    </row>
    <row r="511" spans="1:6" ht="14.95" customHeight="1" thickBot="1" x14ac:dyDescent="0.3">
      <c r="A511" s="62" t="s">
        <v>918</v>
      </c>
      <c r="B511" s="62" t="s">
        <v>366</v>
      </c>
      <c r="C511" s="9">
        <f>Woolstencroftsartriescorrect</f>
        <v>0</v>
      </c>
      <c r="D511" s="2" t="s">
        <v>895</v>
      </c>
      <c r="E511" s="2" t="s">
        <v>95</v>
      </c>
      <c r="F511" s="19">
        <f>Webbersalpts</f>
        <v>0</v>
      </c>
    </row>
    <row r="512" spans="1:6" ht="14.95" customHeight="1" thickBot="1" x14ac:dyDescent="0.3">
      <c r="A512" s="62" t="s">
        <v>1260</v>
      </c>
      <c r="B512" s="62" t="s">
        <v>366</v>
      </c>
      <c r="C512" s="9">
        <f>Wilson_Osartries</f>
        <v>0</v>
      </c>
      <c r="D512" s="2" t="s">
        <v>918</v>
      </c>
      <c r="E512" s="2" t="s">
        <v>366</v>
      </c>
      <c r="F512" s="19">
        <f>Woolstencroftsarptscorrect</f>
        <v>0</v>
      </c>
    </row>
    <row r="513" spans="1:6" ht="14.95" customHeight="1" thickBot="1" x14ac:dyDescent="0.3">
      <c r="A513" s="10" t="s">
        <v>641</v>
      </c>
      <c r="B513" s="10" t="s">
        <v>105</v>
      </c>
      <c r="C513" s="9">
        <f>Williamsexetries</f>
        <v>0</v>
      </c>
      <c r="D513" s="2" t="s">
        <v>1260</v>
      </c>
      <c r="E513" s="2" t="s">
        <v>366</v>
      </c>
      <c r="F513" s="19">
        <f>Wilson_Osarpts</f>
        <v>0</v>
      </c>
    </row>
    <row r="514" spans="1:6" ht="14.95" customHeight="1" thickBot="1" x14ac:dyDescent="0.3">
      <c r="A514" s="62" t="s">
        <v>1281</v>
      </c>
      <c r="B514" s="62" t="s">
        <v>97</v>
      </c>
      <c r="C514" s="9">
        <f>Witheatnortries</f>
        <v>0</v>
      </c>
      <c r="D514" s="17" t="s">
        <v>641</v>
      </c>
      <c r="E514" s="17" t="s">
        <v>105</v>
      </c>
      <c r="F514" s="20">
        <f>Williamsexepts</f>
        <v>0</v>
      </c>
    </row>
    <row r="515" spans="1:6" ht="14.95" customHeight="1" thickBot="1" x14ac:dyDescent="0.3">
      <c r="A515" s="12" t="s">
        <v>719</v>
      </c>
      <c r="B515" s="12" t="s">
        <v>108</v>
      </c>
      <c r="C515" s="9">
        <f>Wolstenholmebritries</f>
        <v>0</v>
      </c>
      <c r="D515" s="17" t="s">
        <v>1281</v>
      </c>
      <c r="E515" s="2" t="s">
        <v>97</v>
      </c>
      <c r="F515" s="19">
        <f>Witheatnorpts</f>
        <v>0</v>
      </c>
    </row>
    <row r="516" spans="1:6" ht="14.95" customHeight="1" thickBot="1" x14ac:dyDescent="0.3">
      <c r="A516" s="62" t="s">
        <v>896</v>
      </c>
      <c r="B516" s="62" t="s">
        <v>95</v>
      </c>
      <c r="C516" s="9">
        <f>Williamssaltries</f>
        <v>0</v>
      </c>
      <c r="D516" s="203" t="s">
        <v>719</v>
      </c>
      <c r="E516" s="203" t="s">
        <v>108</v>
      </c>
      <c r="F516" s="19">
        <f>Wolstenholmebripts</f>
        <v>0</v>
      </c>
    </row>
    <row r="517" spans="1:6" ht="14.95" customHeight="1" thickBot="1" x14ac:dyDescent="0.3">
      <c r="A517" s="62" t="s">
        <v>167</v>
      </c>
      <c r="B517" s="62" t="s">
        <v>108</v>
      </c>
      <c r="C517" s="9">
        <f>Steelelitries</f>
        <v>0</v>
      </c>
      <c r="D517" s="2" t="s">
        <v>896</v>
      </c>
      <c r="E517" s="2" t="s">
        <v>95</v>
      </c>
      <c r="F517" s="18">
        <f>Williamssalpts</f>
        <v>0</v>
      </c>
    </row>
    <row r="518" spans="1:6" ht="14.95" customHeight="1" thickBot="1" x14ac:dyDescent="0.3">
      <c r="A518" s="62" t="s">
        <v>870</v>
      </c>
      <c r="B518" s="62" t="s">
        <v>108</v>
      </c>
      <c r="C518" s="9">
        <f>Worsleybritries</f>
        <v>0</v>
      </c>
      <c r="D518" s="2" t="s">
        <v>167</v>
      </c>
      <c r="E518" s="2" t="s">
        <v>108</v>
      </c>
      <c r="F518" s="19">
        <f>Steelelipts</f>
        <v>0</v>
      </c>
    </row>
    <row r="519" spans="1:6" ht="14.95" customHeight="1" thickBot="1" x14ac:dyDescent="0.3">
      <c r="A519" s="9" t="s">
        <v>15</v>
      </c>
      <c r="B519" s="9"/>
      <c r="C519" s="9">
        <f>SUM(C4:C518)</f>
        <v>731</v>
      </c>
      <c r="D519" s="19" t="s">
        <v>15</v>
      </c>
      <c r="E519" s="19"/>
      <c r="F519" s="19">
        <f>SUM(F4:F518)</f>
        <v>5202</v>
      </c>
    </row>
    <row r="520" spans="1:6" ht="14.95" customHeight="1" x14ac:dyDescent="0.25">
      <c r="A520" s="48" t="s">
        <v>42</v>
      </c>
    </row>
    <row r="521" spans="1:6" ht="14.95" customHeight="1" x14ac:dyDescent="0.25"/>
    <row r="522" spans="1:6" ht="14.95" customHeight="1" x14ac:dyDescent="0.25">
      <c r="A522" s="37"/>
      <c r="B522" s="45"/>
      <c r="C522" s="37"/>
      <c r="D522" s="37"/>
      <c r="E522" s="45"/>
      <c r="F522" s="37"/>
    </row>
    <row r="523" spans="1:6" ht="14.95" customHeight="1" x14ac:dyDescent="0.25">
      <c r="A523" s="37"/>
      <c r="B523" s="45"/>
      <c r="C523" s="37"/>
      <c r="D523" s="37"/>
      <c r="E523" s="45"/>
      <c r="F523" s="37"/>
    </row>
    <row r="524" spans="1:6" ht="14.95" customHeight="1" x14ac:dyDescent="0.25">
      <c r="A524" s="37"/>
      <c r="B524" s="45"/>
      <c r="C524" s="37"/>
      <c r="D524" s="37"/>
      <c r="E524" s="45"/>
      <c r="F524" s="37"/>
    </row>
    <row r="525" spans="1:6" ht="14.95" customHeight="1" x14ac:dyDescent="0.25">
      <c r="A525" s="37"/>
      <c r="B525" s="45"/>
      <c r="C525" s="37"/>
      <c r="D525" s="37"/>
      <c r="E525" s="45"/>
      <c r="F525" s="37"/>
    </row>
    <row r="526" spans="1:6" ht="14.95" customHeight="1" x14ac:dyDescent="0.25">
      <c r="A526" s="37"/>
      <c r="B526" s="45"/>
      <c r="C526" s="37"/>
      <c r="D526" s="37"/>
      <c r="E526" s="45"/>
      <c r="F526" s="37"/>
    </row>
    <row r="527" spans="1:6" ht="14.95" customHeight="1" x14ac:dyDescent="0.25">
      <c r="A527" s="37"/>
      <c r="B527" s="45"/>
      <c r="C527" s="37"/>
      <c r="D527" s="37"/>
      <c r="E527" s="45"/>
      <c r="F527" s="37"/>
    </row>
    <row r="528" spans="1:6" ht="14.95" customHeight="1" x14ac:dyDescent="0.25">
      <c r="A528" s="37"/>
      <c r="B528" s="45"/>
      <c r="C528" s="37"/>
      <c r="D528" s="37"/>
      <c r="E528" s="45"/>
      <c r="F528" s="37"/>
    </row>
    <row r="529" spans="1:6" ht="14.95" customHeight="1" x14ac:dyDescent="0.25">
      <c r="A529" s="37"/>
      <c r="B529" s="45"/>
      <c r="C529" s="37"/>
      <c r="D529" s="37"/>
      <c r="E529" s="45"/>
      <c r="F529" s="37"/>
    </row>
    <row r="530" spans="1:6" ht="14.95" customHeight="1" x14ac:dyDescent="0.25">
      <c r="A530" s="37"/>
      <c r="B530" s="45"/>
      <c r="C530" s="37"/>
      <c r="D530" s="37"/>
      <c r="E530" s="45"/>
      <c r="F530" s="37"/>
    </row>
    <row r="531" spans="1:6" ht="14.95" customHeight="1" x14ac:dyDescent="0.25">
      <c r="A531" s="37"/>
      <c r="B531" s="45"/>
      <c r="C531" s="37"/>
      <c r="D531" s="37"/>
      <c r="E531" s="45"/>
      <c r="F531" s="37"/>
    </row>
    <row r="532" spans="1:6" ht="14.95" customHeight="1" x14ac:dyDescent="0.25">
      <c r="A532" s="37"/>
      <c r="B532" s="45"/>
      <c r="C532" s="37"/>
      <c r="D532" s="37"/>
      <c r="E532" s="45"/>
      <c r="F532" s="37"/>
    </row>
    <row r="533" spans="1:6" ht="14.95" customHeight="1" x14ac:dyDescent="0.25">
      <c r="A533" s="37"/>
      <c r="B533" s="45"/>
      <c r="C533" s="37"/>
      <c r="D533" s="37"/>
      <c r="E533" s="45"/>
      <c r="F533" s="37"/>
    </row>
    <row r="534" spans="1:6" ht="14.95" customHeight="1" x14ac:dyDescent="0.25">
      <c r="A534" s="37"/>
      <c r="B534" s="45"/>
      <c r="C534" s="37"/>
      <c r="D534" s="37"/>
      <c r="E534" s="45"/>
      <c r="F534" s="37"/>
    </row>
    <row r="535" spans="1:6" ht="14.95" customHeight="1" x14ac:dyDescent="0.25">
      <c r="A535" s="37"/>
      <c r="B535" s="37"/>
      <c r="C535" s="37"/>
      <c r="D535" s="37"/>
      <c r="E535" s="37"/>
      <c r="F535" s="37"/>
    </row>
    <row r="536" spans="1:6" ht="14.95" customHeight="1" x14ac:dyDescent="0.25"/>
    <row r="537" spans="1:6" ht="14.95" customHeight="1" x14ac:dyDescent="0.25"/>
    <row r="538" spans="1:6" ht="14.95" customHeight="1" x14ac:dyDescent="0.25"/>
    <row r="539" spans="1:6" ht="14.95" customHeight="1" x14ac:dyDescent="0.25"/>
    <row r="540" spans="1:6" ht="14.95" customHeight="1" x14ac:dyDescent="0.25"/>
    <row r="541" spans="1:6" ht="14.95" customHeight="1" x14ac:dyDescent="0.25"/>
    <row r="542" spans="1:6" ht="14.95" customHeight="1" x14ac:dyDescent="0.25"/>
    <row r="543" spans="1:6" ht="14.95" customHeight="1" x14ac:dyDescent="0.25"/>
    <row r="544" spans="1:6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ht="14.95" customHeight="1" x14ac:dyDescent="0.25"/>
    <row r="578" ht="14.95" customHeight="1" x14ac:dyDescent="0.25"/>
    <row r="579" ht="14.95" customHeight="1" x14ac:dyDescent="0.25"/>
    <row r="580" ht="14.95" customHeight="1" x14ac:dyDescent="0.25"/>
    <row r="581" ht="14.95" customHeight="1" x14ac:dyDescent="0.25"/>
    <row r="582" ht="14.95" customHeight="1" x14ac:dyDescent="0.25"/>
    <row r="583" ht="14.95" customHeight="1" x14ac:dyDescent="0.25"/>
    <row r="584" ht="14.95" customHeight="1" x14ac:dyDescent="0.25"/>
    <row r="585" ht="14.95" customHeight="1" x14ac:dyDescent="0.25"/>
    <row r="586" ht="14.95" customHeight="1" x14ac:dyDescent="0.25"/>
    <row r="587" ht="14.95" customHeight="1" x14ac:dyDescent="0.25"/>
    <row r="605" spans="7:7" x14ac:dyDescent="0.25">
      <c r="G605" s="314"/>
    </row>
    <row r="620" ht="14.8" customHeight="1" x14ac:dyDescent="0.25"/>
    <row r="622" ht="14.95" customHeight="1" x14ac:dyDescent="0.25"/>
    <row r="623" ht="14.95" customHeight="1" x14ac:dyDescent="0.25"/>
    <row r="628" spans="7:7" x14ac:dyDescent="0.25">
      <c r="G628" s="37"/>
    </row>
    <row r="629" spans="7:7" x14ac:dyDescent="0.25">
      <c r="G629" s="37"/>
    </row>
    <row r="630" spans="7:7" ht="14.8" customHeight="1" x14ac:dyDescent="0.25">
      <c r="G630" s="37"/>
    </row>
    <row r="631" spans="7:7" x14ac:dyDescent="0.25">
      <c r="G631" s="37"/>
    </row>
    <row r="632" spans="7:7" ht="15.8" customHeight="1" x14ac:dyDescent="0.25">
      <c r="G632" s="37"/>
    </row>
    <row r="633" spans="7:7" x14ac:dyDescent="0.25">
      <c r="G633" s="37"/>
    </row>
    <row r="634" spans="7:7" ht="15.8" customHeight="1" x14ac:dyDescent="0.25">
      <c r="G634" s="37"/>
    </row>
    <row r="635" spans="7:7" ht="14.95" customHeight="1" x14ac:dyDescent="0.25">
      <c r="G635" s="37"/>
    </row>
    <row r="636" spans="7:7" ht="15.65" customHeight="1" x14ac:dyDescent="0.25">
      <c r="G636" s="37"/>
    </row>
    <row r="637" spans="7:7" x14ac:dyDescent="0.25">
      <c r="G637" s="37"/>
    </row>
    <row r="638" spans="7:7" x14ac:dyDescent="0.25">
      <c r="G638" s="37"/>
    </row>
    <row r="639" spans="7:7" ht="14.3" customHeight="1" x14ac:dyDescent="0.25">
      <c r="G639" s="37"/>
    </row>
    <row r="640" spans="7:7" ht="14.8" customHeight="1" x14ac:dyDescent="0.25">
      <c r="G640" s="37"/>
    </row>
    <row r="641" spans="7:7" x14ac:dyDescent="0.25">
      <c r="G641" s="37"/>
    </row>
  </sheetData>
  <sortState xmlns:xlrd2="http://schemas.microsoft.com/office/spreadsheetml/2017/richdata2" ref="G4:K14">
    <sortCondition descending="1" ref="K4:K14"/>
    <sortCondition descending="1" ref="J4:J14"/>
    <sortCondition ref="G4:G14"/>
  </sortState>
  <mergeCells count="5">
    <mergeCell ref="O3:Q3"/>
    <mergeCell ref="L3:N3"/>
    <mergeCell ref="O14:Q14"/>
    <mergeCell ref="L24:N24"/>
    <mergeCell ref="G3:H3"/>
  </mergeCells>
  <pageMargins left="0.7" right="0.7" top="0.75" bottom="0.75" header="0.3" footer="0.3"/>
  <pageSetup paperSize="9" orientation="portrait" r:id="rId1"/>
  <ignoredErrors>
    <ignoredError sqref="J5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840-AC33-47E5-93F0-762FA9549DDE}">
  <dimension ref="A1:K632"/>
  <sheetViews>
    <sheetView workbookViewId="0">
      <selection activeCell="N14" sqref="N14"/>
    </sheetView>
  </sheetViews>
  <sheetFormatPr defaultRowHeight="14.3" x14ac:dyDescent="0.25"/>
  <cols>
    <col min="1" max="1" width="20.625" customWidth="1"/>
    <col min="2" max="2" width="6.875" bestFit="1" customWidth="1"/>
    <col min="3" max="3" width="5.625" customWidth="1"/>
    <col min="4" max="4" width="20.625" customWidth="1"/>
    <col min="5" max="5" width="6.875" bestFit="1" customWidth="1"/>
    <col min="6" max="6" width="5.625" customWidth="1"/>
    <col min="7" max="7" width="20.625" customWidth="1"/>
    <col min="8" max="8" width="6.375" bestFit="1" customWidth="1"/>
    <col min="9" max="11" width="5.625" customWidth="1"/>
  </cols>
  <sheetData>
    <row r="1" spans="1:11" ht="14.95" thickBot="1" x14ac:dyDescent="0.3">
      <c r="A1" s="563" t="s">
        <v>950</v>
      </c>
      <c r="B1" s="564"/>
      <c r="C1" s="564"/>
    </row>
    <row r="2" spans="1:11" ht="14.95" thickBot="1" x14ac:dyDescent="0.3">
      <c r="A2" s="418" t="s">
        <v>1310</v>
      </c>
      <c r="B2" s="101"/>
      <c r="C2" s="101"/>
    </row>
    <row r="3" spans="1:11" ht="14.95" customHeight="1" thickBot="1" x14ac:dyDescent="0.3">
      <c r="A3" s="32" t="s">
        <v>31</v>
      </c>
      <c r="B3" s="118"/>
      <c r="C3" s="11"/>
      <c r="D3" s="27" t="s">
        <v>10</v>
      </c>
      <c r="E3" s="27"/>
      <c r="F3" s="24"/>
      <c r="G3" s="562" t="s">
        <v>43</v>
      </c>
      <c r="H3" s="560"/>
      <c r="I3" s="28" t="s">
        <v>55</v>
      </c>
      <c r="J3" s="28" t="s">
        <v>11</v>
      </c>
      <c r="K3" s="29" t="s">
        <v>12</v>
      </c>
    </row>
    <row r="4" spans="1:11" ht="14.95" customHeight="1" thickBot="1" x14ac:dyDescent="0.3">
      <c r="A4" s="62" t="s">
        <v>941</v>
      </c>
      <c r="B4" s="408" t="s">
        <v>105</v>
      </c>
      <c r="C4" s="9">
        <v>11</v>
      </c>
      <c r="D4" s="409" t="s">
        <v>253</v>
      </c>
      <c r="E4" s="409" t="s">
        <v>105</v>
      </c>
      <c r="F4" s="19">
        <v>103</v>
      </c>
      <c r="G4" s="30" t="s">
        <v>962</v>
      </c>
      <c r="H4" s="30" t="s">
        <v>961</v>
      </c>
      <c r="I4" s="194">
        <v>13</v>
      </c>
      <c r="J4" s="196">
        <v>14</v>
      </c>
      <c r="K4" s="31">
        <f t="shared" ref="K4:K35" si="0">SUM(I4/J4)*100</f>
        <v>92.857142857142861</v>
      </c>
    </row>
    <row r="5" spans="1:11" ht="14.95" customHeight="1" thickBot="1" x14ac:dyDescent="0.3">
      <c r="A5" s="62" t="s">
        <v>253</v>
      </c>
      <c r="B5" s="408" t="s">
        <v>105</v>
      </c>
      <c r="C5" s="9">
        <v>8</v>
      </c>
      <c r="D5" s="409" t="s">
        <v>296</v>
      </c>
      <c r="E5" s="409" t="s">
        <v>282</v>
      </c>
      <c r="F5" s="18">
        <v>75</v>
      </c>
      <c r="G5" s="30" t="s">
        <v>595</v>
      </c>
      <c r="H5" s="30" t="s">
        <v>620</v>
      </c>
      <c r="I5" s="194">
        <v>24</v>
      </c>
      <c r="J5" s="196">
        <v>26</v>
      </c>
      <c r="K5" s="31">
        <f t="shared" si="0"/>
        <v>92.307692307692307</v>
      </c>
    </row>
    <row r="6" spans="1:11" ht="14.95" customHeight="1" thickBot="1" x14ac:dyDescent="0.3">
      <c r="A6" s="62" t="s">
        <v>449</v>
      </c>
      <c r="B6" s="408" t="s">
        <v>366</v>
      </c>
      <c r="C6" s="9">
        <v>7</v>
      </c>
      <c r="D6" s="409" t="s">
        <v>941</v>
      </c>
      <c r="E6" s="409" t="s">
        <v>105</v>
      </c>
      <c r="F6" s="19">
        <v>55</v>
      </c>
      <c r="G6" s="30" t="s">
        <v>1007</v>
      </c>
      <c r="H6" s="30" t="s">
        <v>1259</v>
      </c>
      <c r="I6" s="194">
        <v>12</v>
      </c>
      <c r="J6" s="196">
        <v>13</v>
      </c>
      <c r="K6" s="396">
        <f t="shared" si="0"/>
        <v>92.307692307692307</v>
      </c>
    </row>
    <row r="7" spans="1:11" ht="14.95" customHeight="1" thickBot="1" x14ac:dyDescent="0.3">
      <c r="A7" s="62" t="s">
        <v>1016</v>
      </c>
      <c r="B7" s="408" t="s">
        <v>957</v>
      </c>
      <c r="C7" s="9">
        <v>6</v>
      </c>
      <c r="D7" s="409" t="s">
        <v>863</v>
      </c>
      <c r="E7" s="409" t="s">
        <v>97</v>
      </c>
      <c r="F7" s="19">
        <v>55</v>
      </c>
      <c r="G7" s="30" t="s">
        <v>948</v>
      </c>
      <c r="H7" s="30" t="s">
        <v>366</v>
      </c>
      <c r="I7" s="194">
        <v>11</v>
      </c>
      <c r="J7" s="196">
        <v>12</v>
      </c>
      <c r="K7" s="396">
        <f t="shared" si="0"/>
        <v>91.666666666666657</v>
      </c>
    </row>
    <row r="8" spans="1:11" ht="14.95" customHeight="1" thickBot="1" x14ac:dyDescent="0.3">
      <c r="A8" s="12" t="s">
        <v>284</v>
      </c>
      <c r="B8" s="416" t="s">
        <v>282</v>
      </c>
      <c r="C8" s="6">
        <v>6</v>
      </c>
      <c r="D8" s="16" t="s">
        <v>1250</v>
      </c>
      <c r="E8" s="16" t="s">
        <v>96</v>
      </c>
      <c r="F8" s="19">
        <v>54</v>
      </c>
      <c r="G8" s="30" t="s">
        <v>406</v>
      </c>
      <c r="H8" s="30" t="s">
        <v>104</v>
      </c>
      <c r="I8" s="194">
        <v>19</v>
      </c>
      <c r="J8" s="196">
        <v>21</v>
      </c>
      <c r="K8" s="396">
        <f t="shared" si="0"/>
        <v>90.476190476190482</v>
      </c>
    </row>
    <row r="9" spans="1:11" ht="14.95" customHeight="1" thickBot="1" x14ac:dyDescent="0.3">
      <c r="A9" s="62" t="s">
        <v>1104</v>
      </c>
      <c r="B9" s="408" t="s">
        <v>95</v>
      </c>
      <c r="C9" s="9">
        <v>6</v>
      </c>
      <c r="D9" s="409" t="s">
        <v>595</v>
      </c>
      <c r="E9" s="409" t="s">
        <v>620</v>
      </c>
      <c r="F9" s="19">
        <v>53</v>
      </c>
      <c r="G9" s="33" t="s">
        <v>601</v>
      </c>
      <c r="H9" s="50" t="s">
        <v>104</v>
      </c>
      <c r="I9" s="196">
        <v>9</v>
      </c>
      <c r="J9" s="196">
        <v>10</v>
      </c>
      <c r="K9" s="396">
        <f t="shared" si="0"/>
        <v>90</v>
      </c>
    </row>
    <row r="10" spans="1:11" ht="14.95" customHeight="1" thickBot="1" x14ac:dyDescent="0.3">
      <c r="A10" s="62" t="s">
        <v>662</v>
      </c>
      <c r="B10" s="408" t="s">
        <v>366</v>
      </c>
      <c r="C10" s="9">
        <v>6</v>
      </c>
      <c r="D10" s="409" t="s">
        <v>331</v>
      </c>
      <c r="E10" s="409" t="s">
        <v>96</v>
      </c>
      <c r="F10" s="19">
        <v>50</v>
      </c>
      <c r="G10" s="30" t="s">
        <v>253</v>
      </c>
      <c r="H10" s="30" t="s">
        <v>105</v>
      </c>
      <c r="I10" s="194">
        <v>31</v>
      </c>
      <c r="J10" s="196">
        <v>36</v>
      </c>
      <c r="K10" s="31">
        <f t="shared" si="0"/>
        <v>86.111111111111114</v>
      </c>
    </row>
    <row r="11" spans="1:11" ht="14.95" customHeight="1" thickBot="1" x14ac:dyDescent="0.3">
      <c r="A11" s="62" t="s">
        <v>559</v>
      </c>
      <c r="B11" s="408" t="s">
        <v>282</v>
      </c>
      <c r="C11" s="9">
        <v>6</v>
      </c>
      <c r="D11" s="409" t="s">
        <v>1018</v>
      </c>
      <c r="E11" s="409" t="s">
        <v>957</v>
      </c>
      <c r="F11" s="19">
        <v>50</v>
      </c>
      <c r="G11" s="406" t="s">
        <v>1012</v>
      </c>
      <c r="H11" s="50" t="s">
        <v>958</v>
      </c>
      <c r="I11" s="196">
        <v>15</v>
      </c>
      <c r="J11" s="196">
        <v>18</v>
      </c>
      <c r="K11" s="396">
        <f t="shared" si="0"/>
        <v>83.333333333333343</v>
      </c>
    </row>
    <row r="12" spans="1:11" ht="14.95" customHeight="1" thickBot="1" x14ac:dyDescent="0.3">
      <c r="A12" s="62" t="s">
        <v>150</v>
      </c>
      <c r="B12" s="408" t="s">
        <v>96</v>
      </c>
      <c r="C12" s="9">
        <v>6</v>
      </c>
      <c r="D12" s="409" t="s">
        <v>215</v>
      </c>
      <c r="E12" s="409" t="s">
        <v>95</v>
      </c>
      <c r="F12" s="19">
        <v>48</v>
      </c>
      <c r="G12" s="406" t="s">
        <v>967</v>
      </c>
      <c r="H12" s="30" t="s">
        <v>952</v>
      </c>
      <c r="I12" s="196">
        <v>9</v>
      </c>
      <c r="J12" s="196">
        <v>11</v>
      </c>
      <c r="K12" s="396">
        <f t="shared" si="0"/>
        <v>81.818181818181827</v>
      </c>
    </row>
    <row r="13" spans="1:11" ht="14.95" customHeight="1" thickBot="1" x14ac:dyDescent="0.3">
      <c r="A13" s="62" t="s">
        <v>795</v>
      </c>
      <c r="B13" s="410" t="s">
        <v>620</v>
      </c>
      <c r="C13" s="9">
        <v>6</v>
      </c>
      <c r="D13" s="409" t="s">
        <v>1012</v>
      </c>
      <c r="E13" s="409" t="s">
        <v>958</v>
      </c>
      <c r="F13" s="19">
        <v>47</v>
      </c>
      <c r="G13" s="406" t="s">
        <v>296</v>
      </c>
      <c r="H13" s="30" t="s">
        <v>282</v>
      </c>
      <c r="I13" s="196">
        <v>32</v>
      </c>
      <c r="J13" s="196">
        <v>41</v>
      </c>
      <c r="K13" s="31">
        <f t="shared" si="0"/>
        <v>78.048780487804876</v>
      </c>
    </row>
    <row r="14" spans="1:11" ht="14.95" customHeight="1" thickBot="1" x14ac:dyDescent="0.3">
      <c r="A14" s="62" t="s">
        <v>969</v>
      </c>
      <c r="B14" s="408" t="s">
        <v>95</v>
      </c>
      <c r="C14" s="9">
        <v>5</v>
      </c>
      <c r="D14" s="409" t="s">
        <v>406</v>
      </c>
      <c r="E14" s="409" t="s">
        <v>104</v>
      </c>
      <c r="F14" s="19">
        <v>46</v>
      </c>
      <c r="G14" s="218" t="s">
        <v>1127</v>
      </c>
      <c r="H14" s="30" t="s">
        <v>952</v>
      </c>
      <c r="I14" s="194">
        <v>16</v>
      </c>
      <c r="J14" s="196">
        <v>21</v>
      </c>
      <c r="K14" s="396">
        <f t="shared" si="0"/>
        <v>76.19047619047619</v>
      </c>
    </row>
    <row r="15" spans="1:11" ht="14.95" customHeight="1" thickBot="1" x14ac:dyDescent="0.3">
      <c r="A15" s="62" t="s">
        <v>985</v>
      </c>
      <c r="B15" s="408" t="s">
        <v>96</v>
      </c>
      <c r="C15" s="9">
        <v>5</v>
      </c>
      <c r="D15" s="409" t="s">
        <v>1084</v>
      </c>
      <c r="E15" s="409" t="s">
        <v>954</v>
      </c>
      <c r="F15" s="19">
        <v>39</v>
      </c>
      <c r="G15" s="218" t="s">
        <v>1018</v>
      </c>
      <c r="H15" s="30" t="s">
        <v>957</v>
      </c>
      <c r="I15" s="194">
        <v>22</v>
      </c>
      <c r="J15" s="196">
        <v>29</v>
      </c>
      <c r="K15" s="396">
        <f t="shared" si="0"/>
        <v>75.862068965517238</v>
      </c>
    </row>
    <row r="16" spans="1:11" ht="14.95" customHeight="1" thickBot="1" x14ac:dyDescent="0.3">
      <c r="A16" s="62" t="s">
        <v>300</v>
      </c>
      <c r="B16" s="408" t="s">
        <v>282</v>
      </c>
      <c r="C16" s="9">
        <v>5</v>
      </c>
      <c r="D16" s="409" t="s">
        <v>1127</v>
      </c>
      <c r="E16" s="409" t="s">
        <v>952</v>
      </c>
      <c r="F16" s="19">
        <v>37</v>
      </c>
      <c r="G16" s="406" t="s">
        <v>331</v>
      </c>
      <c r="H16" s="30" t="s">
        <v>96</v>
      </c>
      <c r="I16" s="194">
        <v>25</v>
      </c>
      <c r="J16" s="196">
        <v>33</v>
      </c>
      <c r="K16" s="396">
        <f t="shared" si="0"/>
        <v>75.757575757575751</v>
      </c>
    </row>
    <row r="17" spans="1:11" ht="14.95" customHeight="1" thickBot="1" x14ac:dyDescent="0.3">
      <c r="A17" s="62" t="s">
        <v>705</v>
      </c>
      <c r="B17" s="408" t="s">
        <v>96</v>
      </c>
      <c r="C17" s="9">
        <v>5</v>
      </c>
      <c r="D17" s="409" t="s">
        <v>449</v>
      </c>
      <c r="E17" s="409" t="s">
        <v>366</v>
      </c>
      <c r="F17" s="20">
        <v>35</v>
      </c>
      <c r="G17" s="30" t="s">
        <v>863</v>
      </c>
      <c r="H17" s="397" t="s">
        <v>97</v>
      </c>
      <c r="I17" s="194">
        <v>27</v>
      </c>
      <c r="J17" s="196">
        <v>36</v>
      </c>
      <c r="K17" s="31">
        <f t="shared" si="0"/>
        <v>75</v>
      </c>
    </row>
    <row r="18" spans="1:11" ht="14.95" customHeight="1" thickBot="1" x14ac:dyDescent="0.3">
      <c r="A18" s="12" t="s">
        <v>529</v>
      </c>
      <c r="B18" s="416" t="s">
        <v>96</v>
      </c>
      <c r="C18" s="9">
        <v>5</v>
      </c>
      <c r="D18" s="409" t="s">
        <v>962</v>
      </c>
      <c r="E18" s="409" t="s">
        <v>961</v>
      </c>
      <c r="F18" s="19">
        <v>32</v>
      </c>
      <c r="G18" s="30" t="s">
        <v>1084</v>
      </c>
      <c r="H18" s="30" t="s">
        <v>954</v>
      </c>
      <c r="I18" s="194">
        <v>18</v>
      </c>
      <c r="J18" s="196">
        <v>24</v>
      </c>
      <c r="K18" s="396">
        <f t="shared" si="0"/>
        <v>75</v>
      </c>
    </row>
    <row r="19" spans="1:11" ht="14.95" customHeight="1" thickBot="1" x14ac:dyDescent="0.3">
      <c r="A19" s="62" t="s">
        <v>520</v>
      </c>
      <c r="B19" s="408" t="s">
        <v>108</v>
      </c>
      <c r="C19" s="49">
        <v>4</v>
      </c>
      <c r="D19" s="409" t="s">
        <v>1016</v>
      </c>
      <c r="E19" s="409" t="s">
        <v>957</v>
      </c>
      <c r="F19" s="19">
        <v>30</v>
      </c>
      <c r="G19" s="30" t="s">
        <v>215</v>
      </c>
      <c r="H19" s="30" t="s">
        <v>95</v>
      </c>
      <c r="I19" s="194">
        <v>23</v>
      </c>
      <c r="J19" s="196">
        <v>31</v>
      </c>
      <c r="K19" s="396">
        <f t="shared" si="0"/>
        <v>74.193548387096769</v>
      </c>
    </row>
    <row r="20" spans="1:11" ht="14.95" customHeight="1" thickBot="1" x14ac:dyDescent="0.3">
      <c r="A20" s="62" t="s">
        <v>1270</v>
      </c>
      <c r="B20" s="410" t="s">
        <v>620</v>
      </c>
      <c r="C20" s="9">
        <v>4</v>
      </c>
      <c r="D20" s="417" t="s">
        <v>284</v>
      </c>
      <c r="E20" s="417" t="s">
        <v>282</v>
      </c>
      <c r="F20" s="19">
        <v>30</v>
      </c>
      <c r="G20" s="30" t="s">
        <v>1060</v>
      </c>
      <c r="H20" s="30" t="s">
        <v>957</v>
      </c>
      <c r="I20" s="194">
        <v>8</v>
      </c>
      <c r="J20" s="196">
        <v>11</v>
      </c>
      <c r="K20" s="396">
        <f t="shared" si="0"/>
        <v>72.727272727272734</v>
      </c>
    </row>
    <row r="21" spans="1:11" ht="14.95" customHeight="1" thickBot="1" x14ac:dyDescent="0.3">
      <c r="A21" s="62" t="s">
        <v>1062</v>
      </c>
      <c r="B21" s="408" t="s">
        <v>957</v>
      </c>
      <c r="C21" s="9">
        <v>4</v>
      </c>
      <c r="D21" s="409" t="s">
        <v>1104</v>
      </c>
      <c r="E21" s="409" t="s">
        <v>95</v>
      </c>
      <c r="F21" s="19">
        <v>30</v>
      </c>
      <c r="G21" s="30" t="s">
        <v>999</v>
      </c>
      <c r="H21" s="30" t="s">
        <v>956</v>
      </c>
      <c r="I21" s="194">
        <v>7</v>
      </c>
      <c r="J21" s="196">
        <v>10</v>
      </c>
      <c r="K21" s="31">
        <f t="shared" si="0"/>
        <v>70</v>
      </c>
    </row>
    <row r="22" spans="1:11" ht="14.95" customHeight="1" thickBot="1" x14ac:dyDescent="0.3">
      <c r="A22" s="62" t="s">
        <v>604</v>
      </c>
      <c r="B22" s="408" t="s">
        <v>105</v>
      </c>
      <c r="C22" s="49">
        <v>4</v>
      </c>
      <c r="D22" s="16" t="s">
        <v>662</v>
      </c>
      <c r="E22" s="16" t="s">
        <v>366</v>
      </c>
      <c r="F22" s="19">
        <v>30</v>
      </c>
      <c r="G22" s="33" t="s">
        <v>771</v>
      </c>
      <c r="H22" s="50" t="s">
        <v>94</v>
      </c>
      <c r="I22" s="196">
        <v>9</v>
      </c>
      <c r="J22" s="196">
        <v>13</v>
      </c>
      <c r="K22" s="396">
        <f t="shared" si="0"/>
        <v>69.230769230769226</v>
      </c>
    </row>
    <row r="23" spans="1:11" ht="14.95" customHeight="1" thickBot="1" x14ac:dyDescent="0.3">
      <c r="A23" s="62" t="s">
        <v>1066</v>
      </c>
      <c r="B23" s="408" t="s">
        <v>96</v>
      </c>
      <c r="C23" s="9">
        <v>4</v>
      </c>
      <c r="D23" s="409" t="s">
        <v>559</v>
      </c>
      <c r="E23" s="409" t="s">
        <v>282</v>
      </c>
      <c r="F23" s="19">
        <v>30</v>
      </c>
      <c r="G23" s="441" t="s">
        <v>1250</v>
      </c>
      <c r="H23" s="30" t="s">
        <v>96</v>
      </c>
      <c r="I23" s="194">
        <v>23</v>
      </c>
      <c r="J23" s="196">
        <v>34</v>
      </c>
      <c r="K23" s="396">
        <f t="shared" si="0"/>
        <v>67.64705882352942</v>
      </c>
    </row>
    <row r="24" spans="1:11" ht="14.95" customHeight="1" thickBot="1" x14ac:dyDescent="0.3">
      <c r="A24" s="62" t="s">
        <v>412</v>
      </c>
      <c r="B24" s="408" t="s">
        <v>97</v>
      </c>
      <c r="C24" s="9">
        <v>4</v>
      </c>
      <c r="D24" s="409" t="s">
        <v>150</v>
      </c>
      <c r="E24" s="409" t="s">
        <v>96</v>
      </c>
      <c r="F24" s="19">
        <v>30</v>
      </c>
      <c r="G24" s="30" t="s">
        <v>1097</v>
      </c>
      <c r="H24" s="30" t="s">
        <v>366</v>
      </c>
      <c r="I24" s="194">
        <v>8</v>
      </c>
      <c r="J24" s="196">
        <v>12</v>
      </c>
      <c r="K24" s="396">
        <f t="shared" si="0"/>
        <v>66.666666666666657</v>
      </c>
    </row>
    <row r="25" spans="1:11" ht="14.95" customHeight="1" thickBot="1" x14ac:dyDescent="0.3">
      <c r="A25" s="62" t="s">
        <v>1105</v>
      </c>
      <c r="B25" s="408" t="s">
        <v>96</v>
      </c>
      <c r="C25" s="9">
        <v>4</v>
      </c>
      <c r="D25" s="409" t="s">
        <v>795</v>
      </c>
      <c r="E25" s="409" t="s">
        <v>620</v>
      </c>
      <c r="F25" s="19">
        <v>30</v>
      </c>
      <c r="G25" s="30" t="s">
        <v>870</v>
      </c>
      <c r="H25" s="30" t="s">
        <v>108</v>
      </c>
      <c r="I25" s="194">
        <v>9</v>
      </c>
      <c r="J25" s="196">
        <v>14</v>
      </c>
      <c r="K25" s="396">
        <f t="shared" si="0"/>
        <v>64.285714285714292</v>
      </c>
    </row>
    <row r="26" spans="1:11" ht="14.95" customHeight="1" thickBot="1" x14ac:dyDescent="0.3">
      <c r="A26" s="62" t="s">
        <v>1011</v>
      </c>
      <c r="B26" s="408" t="s">
        <v>958</v>
      </c>
      <c r="C26" s="9">
        <v>4</v>
      </c>
      <c r="D26" s="409" t="s">
        <v>1007</v>
      </c>
      <c r="E26" s="409" t="s">
        <v>1259</v>
      </c>
      <c r="F26" s="19">
        <v>27</v>
      </c>
      <c r="G26" s="30" t="s">
        <v>936</v>
      </c>
      <c r="H26" s="30" t="s">
        <v>620</v>
      </c>
      <c r="I26" s="194">
        <v>7</v>
      </c>
      <c r="J26" s="196">
        <v>11</v>
      </c>
      <c r="K26" s="31">
        <f t="shared" si="0"/>
        <v>63.636363636363633</v>
      </c>
    </row>
    <row r="27" spans="1:11" ht="14.95" customHeight="1" thickBot="1" x14ac:dyDescent="0.3">
      <c r="A27" s="62" t="s">
        <v>1082</v>
      </c>
      <c r="B27" s="408" t="s">
        <v>954</v>
      </c>
      <c r="C27" s="9">
        <v>4</v>
      </c>
      <c r="D27" s="409" t="s">
        <v>969</v>
      </c>
      <c r="E27" s="409" t="s">
        <v>95</v>
      </c>
      <c r="F27" s="19">
        <v>25</v>
      </c>
      <c r="G27" s="30" t="s">
        <v>902</v>
      </c>
      <c r="H27" s="30" t="s">
        <v>366</v>
      </c>
      <c r="I27" s="194">
        <v>8</v>
      </c>
      <c r="J27" s="196">
        <v>15</v>
      </c>
      <c r="K27" s="396">
        <f t="shared" si="0"/>
        <v>53.333333333333336</v>
      </c>
    </row>
    <row r="28" spans="1:11" ht="14.95" customHeight="1" thickBot="1" x14ac:dyDescent="0.3">
      <c r="A28" s="62" t="s">
        <v>309</v>
      </c>
      <c r="B28" s="408" t="s">
        <v>97</v>
      </c>
      <c r="C28" s="9">
        <v>4</v>
      </c>
      <c r="D28" s="409" t="s">
        <v>985</v>
      </c>
      <c r="E28" s="409" t="s">
        <v>96</v>
      </c>
      <c r="F28" s="19">
        <v>25</v>
      </c>
      <c r="G28" s="33" t="s">
        <v>839</v>
      </c>
      <c r="H28" s="30" t="s">
        <v>282</v>
      </c>
      <c r="I28" s="196">
        <v>5</v>
      </c>
      <c r="J28" s="440">
        <v>5</v>
      </c>
      <c r="K28" s="31">
        <f t="shared" si="0"/>
        <v>100</v>
      </c>
    </row>
    <row r="29" spans="1:11" ht="14.95" customHeight="1" thickBot="1" x14ac:dyDescent="0.3">
      <c r="A29" s="62" t="s">
        <v>1228</v>
      </c>
      <c r="B29" s="408" t="s">
        <v>954</v>
      </c>
      <c r="C29" s="9">
        <v>4</v>
      </c>
      <c r="D29" s="409" t="s">
        <v>300</v>
      </c>
      <c r="E29" s="409" t="s">
        <v>282</v>
      </c>
      <c r="F29" s="19">
        <v>25</v>
      </c>
      <c r="G29" s="30" t="s">
        <v>1238</v>
      </c>
      <c r="H29" s="30" t="s">
        <v>960</v>
      </c>
      <c r="I29" s="194">
        <v>4</v>
      </c>
      <c r="J29" s="195">
        <v>4</v>
      </c>
      <c r="K29" s="396">
        <f t="shared" si="0"/>
        <v>100</v>
      </c>
    </row>
    <row r="30" spans="1:11" ht="14.95" customHeight="1" thickBot="1" x14ac:dyDescent="0.3">
      <c r="A30" s="62" t="s">
        <v>1075</v>
      </c>
      <c r="B30" s="408" t="s">
        <v>961</v>
      </c>
      <c r="C30" s="9">
        <v>4</v>
      </c>
      <c r="D30" s="409" t="s">
        <v>705</v>
      </c>
      <c r="E30" s="409" t="s">
        <v>96</v>
      </c>
      <c r="F30" s="19">
        <v>25</v>
      </c>
      <c r="G30" s="33" t="s">
        <v>1225</v>
      </c>
      <c r="H30" s="30" t="s">
        <v>953</v>
      </c>
      <c r="I30" s="194">
        <v>2</v>
      </c>
      <c r="J30" s="195">
        <v>2</v>
      </c>
      <c r="K30" s="396">
        <f t="shared" si="0"/>
        <v>100</v>
      </c>
    </row>
    <row r="31" spans="1:11" ht="14.95" customHeight="1" thickBot="1" x14ac:dyDescent="0.3">
      <c r="A31" s="62" t="s">
        <v>496</v>
      </c>
      <c r="B31" s="408" t="s">
        <v>97</v>
      </c>
      <c r="C31" s="9">
        <v>4</v>
      </c>
      <c r="D31" s="417" t="s">
        <v>529</v>
      </c>
      <c r="E31" s="417" t="s">
        <v>96</v>
      </c>
      <c r="F31" s="19">
        <v>25</v>
      </c>
      <c r="G31" s="33" t="s">
        <v>783</v>
      </c>
      <c r="H31" s="50" t="s">
        <v>104</v>
      </c>
      <c r="I31" s="196">
        <v>2</v>
      </c>
      <c r="J31" s="195">
        <v>2</v>
      </c>
      <c r="K31" s="396">
        <f t="shared" si="0"/>
        <v>100</v>
      </c>
    </row>
    <row r="32" spans="1:11" ht="14.95" customHeight="1" thickBot="1" x14ac:dyDescent="0.3">
      <c r="A32" s="62" t="s">
        <v>757</v>
      </c>
      <c r="B32" s="408" t="s">
        <v>105</v>
      </c>
      <c r="C32" s="9">
        <v>4</v>
      </c>
      <c r="D32" s="409" t="s">
        <v>1097</v>
      </c>
      <c r="E32" s="409" t="s">
        <v>366</v>
      </c>
      <c r="F32" s="19">
        <v>24</v>
      </c>
      <c r="G32" s="30" t="s">
        <v>357</v>
      </c>
      <c r="H32" s="30" t="s">
        <v>620</v>
      </c>
      <c r="I32" s="194">
        <v>2</v>
      </c>
      <c r="J32" s="195">
        <v>2</v>
      </c>
      <c r="K32" s="31">
        <f t="shared" si="0"/>
        <v>100</v>
      </c>
    </row>
    <row r="33" spans="1:11" ht="14.95" customHeight="1" thickBot="1" x14ac:dyDescent="0.3">
      <c r="A33" s="62" t="s">
        <v>1125</v>
      </c>
      <c r="B33" s="408" t="s">
        <v>952</v>
      </c>
      <c r="C33" s="9">
        <v>4</v>
      </c>
      <c r="D33" s="409" t="s">
        <v>948</v>
      </c>
      <c r="E33" s="409" t="s">
        <v>366</v>
      </c>
      <c r="F33" s="19">
        <v>22</v>
      </c>
      <c r="G33" s="30" t="s">
        <v>1278</v>
      </c>
      <c r="H33" s="30" t="s">
        <v>953</v>
      </c>
      <c r="I33" s="194">
        <v>1</v>
      </c>
      <c r="J33" s="195">
        <v>1</v>
      </c>
      <c r="K33" s="31">
        <f t="shared" si="0"/>
        <v>100</v>
      </c>
    </row>
    <row r="34" spans="1:11" ht="14.95" customHeight="1" thickBot="1" x14ac:dyDescent="0.3">
      <c r="A34" s="62" t="s">
        <v>990</v>
      </c>
      <c r="B34" s="408" t="s">
        <v>96</v>
      </c>
      <c r="C34" s="9">
        <v>4</v>
      </c>
      <c r="D34" s="409" t="s">
        <v>1010</v>
      </c>
      <c r="E34" s="409" t="s">
        <v>108</v>
      </c>
      <c r="F34" s="19">
        <v>21</v>
      </c>
      <c r="G34" s="30" t="s">
        <v>1122</v>
      </c>
      <c r="H34" s="30" t="s">
        <v>953</v>
      </c>
      <c r="I34" s="194">
        <v>1</v>
      </c>
      <c r="J34" s="195">
        <v>1</v>
      </c>
      <c r="K34" s="396">
        <f t="shared" si="0"/>
        <v>100</v>
      </c>
    </row>
    <row r="35" spans="1:11" ht="14.95" customHeight="1" thickBot="1" x14ac:dyDescent="0.3">
      <c r="A35" s="62" t="s">
        <v>966</v>
      </c>
      <c r="B35" s="408" t="s">
        <v>952</v>
      </c>
      <c r="C35" s="9">
        <v>4</v>
      </c>
      <c r="D35" s="409" t="s">
        <v>974</v>
      </c>
      <c r="E35" s="409" t="s">
        <v>955</v>
      </c>
      <c r="F35" s="19">
        <v>20</v>
      </c>
      <c r="G35" s="30" t="s">
        <v>1288</v>
      </c>
      <c r="H35" s="30" t="s">
        <v>961</v>
      </c>
      <c r="I35" s="194">
        <v>1</v>
      </c>
      <c r="J35" s="195">
        <v>1</v>
      </c>
      <c r="K35" s="31">
        <f t="shared" si="0"/>
        <v>100</v>
      </c>
    </row>
    <row r="36" spans="1:11" ht="14.95" customHeight="1" thickBot="1" x14ac:dyDescent="0.3">
      <c r="A36" s="62" t="s">
        <v>207</v>
      </c>
      <c r="B36" s="408" t="s">
        <v>105</v>
      </c>
      <c r="C36" s="9">
        <v>4</v>
      </c>
      <c r="D36" s="409" t="s">
        <v>520</v>
      </c>
      <c r="E36" s="409" t="s">
        <v>108</v>
      </c>
      <c r="F36" s="19">
        <v>20</v>
      </c>
      <c r="G36" s="33" t="s">
        <v>1061</v>
      </c>
      <c r="H36" s="50" t="s">
        <v>957</v>
      </c>
      <c r="I36" s="196">
        <v>1</v>
      </c>
      <c r="J36" s="195">
        <v>1</v>
      </c>
      <c r="K36" s="396">
        <f t="shared" ref="K36:K62" si="1">SUM(I36/J36)*100</f>
        <v>100</v>
      </c>
    </row>
    <row r="37" spans="1:11" ht="14.95" customHeight="1" thickBot="1" x14ac:dyDescent="0.3">
      <c r="A37" s="62" t="s">
        <v>1006</v>
      </c>
      <c r="B37" s="408" t="s">
        <v>960</v>
      </c>
      <c r="C37" s="9">
        <v>3</v>
      </c>
      <c r="D37" s="409" t="s">
        <v>967</v>
      </c>
      <c r="E37" s="409" t="s">
        <v>952</v>
      </c>
      <c r="F37" s="19">
        <v>20</v>
      </c>
      <c r="G37" s="33" t="s">
        <v>983</v>
      </c>
      <c r="H37" s="50" t="s">
        <v>959</v>
      </c>
      <c r="I37" s="196">
        <v>8</v>
      </c>
      <c r="J37" s="195">
        <v>9</v>
      </c>
      <c r="K37" s="396">
        <f t="shared" si="1"/>
        <v>88.888888888888886</v>
      </c>
    </row>
    <row r="38" spans="1:11" ht="14.95" customHeight="1" thickBot="1" x14ac:dyDescent="0.3">
      <c r="A38" s="62" t="s">
        <v>597</v>
      </c>
      <c r="B38" s="408" t="s">
        <v>96</v>
      </c>
      <c r="C38" s="9">
        <v>3</v>
      </c>
      <c r="D38" s="409" t="s">
        <v>1270</v>
      </c>
      <c r="E38" s="409" t="s">
        <v>620</v>
      </c>
      <c r="F38" s="20">
        <v>20</v>
      </c>
      <c r="G38" s="30" t="s">
        <v>307</v>
      </c>
      <c r="H38" s="30" t="s">
        <v>94</v>
      </c>
      <c r="I38" s="194">
        <v>5</v>
      </c>
      <c r="J38" s="195">
        <v>6</v>
      </c>
      <c r="K38" s="31">
        <f t="shared" si="1"/>
        <v>83.333333333333343</v>
      </c>
    </row>
    <row r="39" spans="1:11" ht="14.95" customHeight="1" thickBot="1" x14ac:dyDescent="0.3">
      <c r="A39" s="62" t="s">
        <v>983</v>
      </c>
      <c r="B39" s="408" t="s">
        <v>954</v>
      </c>
      <c r="C39" s="9">
        <v>3</v>
      </c>
      <c r="D39" s="409" t="s">
        <v>1062</v>
      </c>
      <c r="E39" s="409" t="s">
        <v>957</v>
      </c>
      <c r="F39" s="18">
        <v>20</v>
      </c>
      <c r="G39" s="30" t="s">
        <v>1232</v>
      </c>
      <c r="H39" s="30" t="s">
        <v>955</v>
      </c>
      <c r="I39" s="194">
        <v>5</v>
      </c>
      <c r="J39" s="195">
        <v>6</v>
      </c>
      <c r="K39" s="396">
        <f t="shared" si="1"/>
        <v>83.333333333333343</v>
      </c>
    </row>
    <row r="40" spans="1:11" ht="14.95" customHeight="1" thickBot="1" x14ac:dyDescent="0.3">
      <c r="A40" s="62" t="s">
        <v>223</v>
      </c>
      <c r="B40" s="408" t="s">
        <v>108</v>
      </c>
      <c r="C40" s="9">
        <v>3</v>
      </c>
      <c r="D40" s="409" t="s">
        <v>604</v>
      </c>
      <c r="E40" s="409" t="s">
        <v>105</v>
      </c>
      <c r="F40" s="19">
        <v>20</v>
      </c>
      <c r="G40" s="30" t="s">
        <v>1157</v>
      </c>
      <c r="H40" s="30" t="s">
        <v>108</v>
      </c>
      <c r="I40" s="194">
        <v>4</v>
      </c>
      <c r="J40" s="195">
        <v>5</v>
      </c>
      <c r="K40" s="396">
        <f t="shared" si="1"/>
        <v>80</v>
      </c>
    </row>
    <row r="41" spans="1:11" ht="14.95" customHeight="1" thickBot="1" x14ac:dyDescent="0.3">
      <c r="A41" s="62" t="s">
        <v>1063</v>
      </c>
      <c r="B41" s="408" t="s">
        <v>957</v>
      </c>
      <c r="C41" s="9">
        <v>3</v>
      </c>
      <c r="D41" s="409" t="s">
        <v>1066</v>
      </c>
      <c r="E41" s="409" t="s">
        <v>96</v>
      </c>
      <c r="F41" s="19">
        <v>20</v>
      </c>
      <c r="G41" s="33" t="s">
        <v>974</v>
      </c>
      <c r="H41" s="50" t="s">
        <v>955</v>
      </c>
      <c r="I41" s="196">
        <v>7</v>
      </c>
      <c r="J41" s="195">
        <v>9</v>
      </c>
      <c r="K41" s="396">
        <f t="shared" si="1"/>
        <v>77.777777777777786</v>
      </c>
    </row>
    <row r="42" spans="1:11" ht="14.95" customHeight="1" thickBot="1" x14ac:dyDescent="0.3">
      <c r="A42" s="62" t="s">
        <v>965</v>
      </c>
      <c r="B42" s="408" t="s">
        <v>952</v>
      </c>
      <c r="C42" s="9">
        <v>3</v>
      </c>
      <c r="D42" s="409" t="s">
        <v>412</v>
      </c>
      <c r="E42" s="409" t="s">
        <v>97</v>
      </c>
      <c r="F42" s="19">
        <v>20</v>
      </c>
      <c r="G42" s="30" t="s">
        <v>659</v>
      </c>
      <c r="H42" s="30" t="s">
        <v>108</v>
      </c>
      <c r="I42" s="194">
        <v>6</v>
      </c>
      <c r="J42" s="195">
        <v>8</v>
      </c>
      <c r="K42" s="396">
        <f t="shared" si="1"/>
        <v>75</v>
      </c>
    </row>
    <row r="43" spans="1:11" ht="14.95" customHeight="1" thickBot="1" x14ac:dyDescent="0.3">
      <c r="A43" s="62" t="s">
        <v>1088</v>
      </c>
      <c r="B43" s="408" t="s">
        <v>955</v>
      </c>
      <c r="C43" s="9">
        <v>3</v>
      </c>
      <c r="D43" s="409" t="s">
        <v>1105</v>
      </c>
      <c r="E43" s="409" t="s">
        <v>96</v>
      </c>
      <c r="F43" s="19">
        <v>20</v>
      </c>
      <c r="G43" s="33" t="s">
        <v>140</v>
      </c>
      <c r="H43" s="50" t="s">
        <v>97</v>
      </c>
      <c r="I43" s="196">
        <v>3</v>
      </c>
      <c r="J43" s="195">
        <v>4</v>
      </c>
      <c r="K43" s="396">
        <f t="shared" si="1"/>
        <v>75</v>
      </c>
    </row>
    <row r="44" spans="1:11" ht="14.95" customHeight="1" thickBot="1" x14ac:dyDescent="0.3">
      <c r="A44" s="62" t="s">
        <v>1010</v>
      </c>
      <c r="B44" s="408" t="s">
        <v>108</v>
      </c>
      <c r="C44" s="9">
        <v>3</v>
      </c>
      <c r="D44" s="409" t="s">
        <v>1011</v>
      </c>
      <c r="E44" s="409" t="s">
        <v>958</v>
      </c>
      <c r="F44" s="19">
        <v>20</v>
      </c>
      <c r="G44" s="30" t="s">
        <v>1161</v>
      </c>
      <c r="H44" s="30" t="s">
        <v>105</v>
      </c>
      <c r="I44" s="194">
        <v>6</v>
      </c>
      <c r="J44" s="195">
        <v>9</v>
      </c>
      <c r="K44" s="31">
        <f t="shared" si="1"/>
        <v>66.666666666666657</v>
      </c>
    </row>
    <row r="45" spans="1:11" ht="14.95" customHeight="1" thickBot="1" x14ac:dyDescent="0.3">
      <c r="A45" s="62" t="s">
        <v>992</v>
      </c>
      <c r="B45" s="408" t="s">
        <v>96</v>
      </c>
      <c r="C45" s="9">
        <v>3</v>
      </c>
      <c r="D45" s="409" t="s">
        <v>1082</v>
      </c>
      <c r="E45" s="409" t="s">
        <v>954</v>
      </c>
      <c r="F45" s="19">
        <v>20</v>
      </c>
      <c r="G45" s="33" t="s">
        <v>205</v>
      </c>
      <c r="H45" s="50" t="s">
        <v>94</v>
      </c>
      <c r="I45" s="196">
        <v>4</v>
      </c>
      <c r="J45" s="195">
        <v>6</v>
      </c>
      <c r="K45" s="396">
        <f t="shared" si="1"/>
        <v>66.666666666666657</v>
      </c>
    </row>
    <row r="46" spans="1:11" ht="14.95" customHeight="1" thickBot="1" x14ac:dyDescent="0.3">
      <c r="A46" s="62" t="s">
        <v>398</v>
      </c>
      <c r="B46" s="408" t="s">
        <v>105</v>
      </c>
      <c r="C46" s="9">
        <v>3</v>
      </c>
      <c r="D46" s="409" t="s">
        <v>309</v>
      </c>
      <c r="E46" s="409" t="s">
        <v>97</v>
      </c>
      <c r="F46" s="19">
        <v>20</v>
      </c>
      <c r="G46" s="30" t="s">
        <v>442</v>
      </c>
      <c r="H46" s="30" t="s">
        <v>108</v>
      </c>
      <c r="I46" s="194">
        <v>2</v>
      </c>
      <c r="J46" s="195">
        <v>3</v>
      </c>
      <c r="K46" s="396">
        <f t="shared" si="1"/>
        <v>66.666666666666657</v>
      </c>
    </row>
    <row r="47" spans="1:11" ht="14.95" customHeight="1" thickBot="1" x14ac:dyDescent="0.3">
      <c r="A47" s="62" t="s">
        <v>1119</v>
      </c>
      <c r="B47" s="408" t="s">
        <v>953</v>
      </c>
      <c r="C47" s="9">
        <v>3</v>
      </c>
      <c r="D47" s="409" t="s">
        <v>1228</v>
      </c>
      <c r="E47" s="409" t="s">
        <v>954</v>
      </c>
      <c r="F47" s="19">
        <v>20</v>
      </c>
      <c r="G47" s="30" t="s">
        <v>1297</v>
      </c>
      <c r="H47" s="30" t="s">
        <v>954</v>
      </c>
      <c r="I47" s="194">
        <v>2</v>
      </c>
      <c r="J47" s="195">
        <v>3</v>
      </c>
      <c r="K47" s="396">
        <f t="shared" si="1"/>
        <v>66.666666666666657</v>
      </c>
    </row>
    <row r="48" spans="1:11" ht="14.95" customHeight="1" thickBot="1" x14ac:dyDescent="0.3">
      <c r="A48" s="12" t="s">
        <v>325</v>
      </c>
      <c r="B48" s="416" t="s">
        <v>104</v>
      </c>
      <c r="C48" s="6">
        <v>3</v>
      </c>
      <c r="D48" s="409" t="s">
        <v>1075</v>
      </c>
      <c r="E48" s="409" t="s">
        <v>961</v>
      </c>
      <c r="F48" s="19">
        <v>20</v>
      </c>
      <c r="G48" s="30" t="s">
        <v>1080</v>
      </c>
      <c r="H48" s="30" t="s">
        <v>620</v>
      </c>
      <c r="I48" s="194">
        <v>2</v>
      </c>
      <c r="J48" s="195">
        <v>3</v>
      </c>
      <c r="K48" s="31">
        <f t="shared" si="1"/>
        <v>66.666666666666657</v>
      </c>
    </row>
    <row r="49" spans="1:11" ht="14.95" customHeight="1" thickBot="1" x14ac:dyDescent="0.3">
      <c r="A49" s="10" t="s">
        <v>825</v>
      </c>
      <c r="B49" s="410" t="s">
        <v>282</v>
      </c>
      <c r="C49" s="9">
        <v>3</v>
      </c>
      <c r="D49" s="409" t="s">
        <v>496</v>
      </c>
      <c r="E49" s="409" t="s">
        <v>97</v>
      </c>
      <c r="F49" s="19">
        <v>20</v>
      </c>
      <c r="G49" s="30" t="s">
        <v>1136</v>
      </c>
      <c r="H49" s="30" t="s">
        <v>957</v>
      </c>
      <c r="I49" s="194">
        <v>2</v>
      </c>
      <c r="J49" s="195">
        <v>3</v>
      </c>
      <c r="K49" s="396">
        <f t="shared" si="1"/>
        <v>66.666666666666657</v>
      </c>
    </row>
    <row r="50" spans="1:11" ht="14.95" customHeight="1" thickBot="1" x14ac:dyDescent="0.3">
      <c r="A50" s="10" t="s">
        <v>430</v>
      </c>
      <c r="B50" s="410" t="s">
        <v>104</v>
      </c>
      <c r="C50" s="9">
        <v>3</v>
      </c>
      <c r="D50" s="16" t="s">
        <v>757</v>
      </c>
      <c r="E50" s="16" t="s">
        <v>105</v>
      </c>
      <c r="F50" s="19">
        <v>20</v>
      </c>
      <c r="G50" s="30" t="s">
        <v>526</v>
      </c>
      <c r="H50" s="30" t="s">
        <v>961</v>
      </c>
      <c r="I50" s="194">
        <v>3</v>
      </c>
      <c r="J50" s="195">
        <v>5</v>
      </c>
      <c r="K50" s="31">
        <f t="shared" si="1"/>
        <v>60</v>
      </c>
    </row>
    <row r="51" spans="1:11" ht="14.95" customHeight="1" thickBot="1" x14ac:dyDescent="0.3">
      <c r="A51" s="62" t="s">
        <v>1064</v>
      </c>
      <c r="B51" s="408" t="s">
        <v>957</v>
      </c>
      <c r="C51" s="9">
        <v>3</v>
      </c>
      <c r="D51" s="409" t="s">
        <v>1125</v>
      </c>
      <c r="E51" s="409" t="s">
        <v>952</v>
      </c>
      <c r="F51" s="19">
        <v>20</v>
      </c>
      <c r="G51" s="30" t="s">
        <v>180</v>
      </c>
      <c r="H51" s="30" t="s">
        <v>105</v>
      </c>
      <c r="I51" s="194">
        <v>3</v>
      </c>
      <c r="J51" s="195">
        <v>6</v>
      </c>
      <c r="K51" s="31">
        <f t="shared" si="1"/>
        <v>50</v>
      </c>
    </row>
    <row r="52" spans="1:11" ht="14.95" customHeight="1" thickBot="1" x14ac:dyDescent="0.3">
      <c r="A52" s="62" t="s">
        <v>482</v>
      </c>
      <c r="B52" s="410" t="s">
        <v>620</v>
      </c>
      <c r="C52" s="9">
        <v>3</v>
      </c>
      <c r="D52" s="409" t="s">
        <v>990</v>
      </c>
      <c r="E52" s="409" t="s">
        <v>96</v>
      </c>
      <c r="F52" s="19">
        <v>20</v>
      </c>
      <c r="G52" s="30" t="s">
        <v>982</v>
      </c>
      <c r="H52" s="30" t="s">
        <v>954</v>
      </c>
      <c r="I52" s="194">
        <v>2</v>
      </c>
      <c r="J52" s="195">
        <v>4</v>
      </c>
      <c r="K52" s="396">
        <f t="shared" si="1"/>
        <v>50</v>
      </c>
    </row>
    <row r="53" spans="1:11" ht="14.95" customHeight="1" thickBot="1" x14ac:dyDescent="0.3">
      <c r="A53" s="62" t="s">
        <v>540</v>
      </c>
      <c r="B53" s="408" t="s">
        <v>108</v>
      </c>
      <c r="C53" s="9">
        <v>3</v>
      </c>
      <c r="D53" s="409" t="s">
        <v>966</v>
      </c>
      <c r="E53" s="409" t="s">
        <v>952</v>
      </c>
      <c r="F53" s="19">
        <v>20</v>
      </c>
      <c r="G53" s="30" t="s">
        <v>1121</v>
      </c>
      <c r="H53" s="30" t="s">
        <v>953</v>
      </c>
      <c r="I53" s="194">
        <v>1</v>
      </c>
      <c r="J53" s="195">
        <v>2</v>
      </c>
      <c r="K53" s="396">
        <f t="shared" si="1"/>
        <v>50</v>
      </c>
    </row>
    <row r="54" spans="1:11" ht="14.95" customHeight="1" thickBot="1" x14ac:dyDescent="0.3">
      <c r="A54" s="62" t="s">
        <v>466</v>
      </c>
      <c r="B54" s="410" t="s">
        <v>620</v>
      </c>
      <c r="C54" s="9">
        <v>3</v>
      </c>
      <c r="D54" s="409" t="s">
        <v>999</v>
      </c>
      <c r="E54" s="409" t="s">
        <v>956</v>
      </c>
      <c r="F54" s="20">
        <v>20</v>
      </c>
      <c r="G54" s="30" t="s">
        <v>993</v>
      </c>
      <c r="H54" s="30" t="s">
        <v>953</v>
      </c>
      <c r="I54" s="194">
        <v>1</v>
      </c>
      <c r="J54" s="195">
        <v>2</v>
      </c>
      <c r="K54" s="31">
        <f t="shared" si="1"/>
        <v>50</v>
      </c>
    </row>
    <row r="55" spans="1:11" ht="14.95" customHeight="1" thickBot="1" x14ac:dyDescent="0.3">
      <c r="A55" s="62" t="s">
        <v>1012</v>
      </c>
      <c r="B55" s="408" t="s">
        <v>958</v>
      </c>
      <c r="C55" s="9">
        <v>3</v>
      </c>
      <c r="D55" s="409" t="s">
        <v>207</v>
      </c>
      <c r="E55" s="409" t="s">
        <v>105</v>
      </c>
      <c r="F55" s="19">
        <v>20</v>
      </c>
      <c r="G55" s="30" t="s">
        <v>1010</v>
      </c>
      <c r="H55" s="30" t="s">
        <v>108</v>
      </c>
      <c r="I55" s="194">
        <v>3</v>
      </c>
      <c r="J55" s="195">
        <v>7</v>
      </c>
      <c r="K55" s="396">
        <f t="shared" si="1"/>
        <v>42.857142857142854</v>
      </c>
    </row>
    <row r="56" spans="1:11" ht="14.95" customHeight="1" thickBot="1" x14ac:dyDescent="0.3">
      <c r="A56" s="62" t="s">
        <v>504</v>
      </c>
      <c r="B56" s="408" t="s">
        <v>104</v>
      </c>
      <c r="C56" s="9">
        <v>3</v>
      </c>
      <c r="D56" s="409" t="s">
        <v>983</v>
      </c>
      <c r="E56" s="409" t="s">
        <v>959</v>
      </c>
      <c r="F56" s="19">
        <v>19</v>
      </c>
      <c r="G56" s="30" t="s">
        <v>1126</v>
      </c>
      <c r="H56" s="30" t="s">
        <v>952</v>
      </c>
      <c r="I56" s="194">
        <v>1</v>
      </c>
      <c r="J56" s="195">
        <v>4</v>
      </c>
      <c r="K56" s="396">
        <f t="shared" si="1"/>
        <v>25</v>
      </c>
    </row>
    <row r="57" spans="1:11" ht="14.95" customHeight="1" thickBot="1" x14ac:dyDescent="0.3">
      <c r="A57" s="62" t="s">
        <v>963</v>
      </c>
      <c r="B57" s="408" t="s">
        <v>952</v>
      </c>
      <c r="C57" s="9">
        <v>3</v>
      </c>
      <c r="D57" s="409" t="s">
        <v>601</v>
      </c>
      <c r="E57" s="409" t="s">
        <v>104</v>
      </c>
      <c r="F57" s="19">
        <v>19</v>
      </c>
      <c r="G57" s="30" t="s">
        <v>975</v>
      </c>
      <c r="H57" s="30" t="s">
        <v>955</v>
      </c>
      <c r="I57" s="194">
        <v>1</v>
      </c>
      <c r="J57" s="195">
        <v>4</v>
      </c>
      <c r="K57" s="31">
        <f t="shared" si="1"/>
        <v>25</v>
      </c>
    </row>
    <row r="58" spans="1:11" ht="14.95" customHeight="1" thickBot="1" x14ac:dyDescent="0.3">
      <c r="A58" s="62" t="s">
        <v>980</v>
      </c>
      <c r="B58" s="408" t="s">
        <v>954</v>
      </c>
      <c r="C58" s="9">
        <v>3</v>
      </c>
      <c r="D58" s="409" t="s">
        <v>902</v>
      </c>
      <c r="E58" s="409" t="s">
        <v>366</v>
      </c>
      <c r="F58" s="18">
        <v>19</v>
      </c>
      <c r="G58" s="30" t="s">
        <v>1101</v>
      </c>
      <c r="H58" s="30" t="s">
        <v>956</v>
      </c>
      <c r="I58" s="194">
        <v>1</v>
      </c>
      <c r="J58" s="195">
        <v>4</v>
      </c>
      <c r="K58" s="396">
        <f t="shared" si="1"/>
        <v>25</v>
      </c>
    </row>
    <row r="59" spans="1:11" ht="14.95" customHeight="1" thickBot="1" x14ac:dyDescent="0.3">
      <c r="A59" s="62" t="s">
        <v>988</v>
      </c>
      <c r="B59" s="408" t="s">
        <v>96</v>
      </c>
      <c r="C59" s="9">
        <v>3</v>
      </c>
      <c r="D59" s="409" t="s">
        <v>771</v>
      </c>
      <c r="E59" s="409" t="s">
        <v>94</v>
      </c>
      <c r="F59" s="19">
        <v>19</v>
      </c>
      <c r="G59" s="30" t="s">
        <v>983</v>
      </c>
      <c r="H59" s="30" t="s">
        <v>954</v>
      </c>
      <c r="I59" s="194">
        <v>0</v>
      </c>
      <c r="J59" s="195">
        <v>1</v>
      </c>
      <c r="K59" s="396">
        <f t="shared" si="1"/>
        <v>0</v>
      </c>
    </row>
    <row r="60" spans="1:11" ht="14.95" customHeight="1" thickBot="1" x14ac:dyDescent="0.3">
      <c r="A60" s="10" t="s">
        <v>717</v>
      </c>
      <c r="B60" s="410" t="s">
        <v>108</v>
      </c>
      <c r="C60" s="9">
        <v>3</v>
      </c>
      <c r="D60" s="409" t="s">
        <v>936</v>
      </c>
      <c r="E60" s="409" t="s">
        <v>620</v>
      </c>
      <c r="F60" s="19">
        <v>19</v>
      </c>
      <c r="G60" s="30" t="s">
        <v>976</v>
      </c>
      <c r="H60" s="30" t="s">
        <v>954</v>
      </c>
      <c r="I60" s="194">
        <v>0</v>
      </c>
      <c r="J60" s="195">
        <v>1</v>
      </c>
      <c r="K60" s="396">
        <f t="shared" si="1"/>
        <v>0</v>
      </c>
    </row>
    <row r="61" spans="1:11" ht="14.95" customHeight="1" thickBot="1" x14ac:dyDescent="0.3">
      <c r="A61" s="62" t="s">
        <v>613</v>
      </c>
      <c r="B61" s="408" t="s">
        <v>105</v>
      </c>
      <c r="C61" s="9">
        <v>3</v>
      </c>
      <c r="D61" s="409" t="s">
        <v>870</v>
      </c>
      <c r="E61" s="409" t="s">
        <v>108</v>
      </c>
      <c r="F61" s="19">
        <v>18</v>
      </c>
      <c r="G61" s="30" t="s">
        <v>1279</v>
      </c>
      <c r="H61" s="30" t="s">
        <v>953</v>
      </c>
      <c r="I61" s="194">
        <v>0</v>
      </c>
      <c r="J61" s="195">
        <v>1</v>
      </c>
      <c r="K61" s="31">
        <f t="shared" si="1"/>
        <v>0</v>
      </c>
    </row>
    <row r="62" spans="1:11" ht="14.95" customHeight="1" thickBot="1" x14ac:dyDescent="0.3">
      <c r="A62" s="62" t="s">
        <v>656</v>
      </c>
      <c r="B62" s="408" t="s">
        <v>97</v>
      </c>
      <c r="C62" s="9">
        <v>3</v>
      </c>
      <c r="D62" s="409" t="s">
        <v>1061</v>
      </c>
      <c r="E62" s="409" t="s">
        <v>957</v>
      </c>
      <c r="F62" s="19">
        <v>17</v>
      </c>
      <c r="G62" s="30" t="s">
        <v>1014</v>
      </c>
      <c r="H62" s="30" t="s">
        <v>958</v>
      </c>
      <c r="I62" s="194">
        <v>0</v>
      </c>
      <c r="J62" s="195">
        <v>1</v>
      </c>
      <c r="K62" s="396">
        <f t="shared" si="1"/>
        <v>0</v>
      </c>
    </row>
    <row r="63" spans="1:11" ht="14.95" customHeight="1" thickBot="1" x14ac:dyDescent="0.3">
      <c r="A63" s="62" t="s">
        <v>895</v>
      </c>
      <c r="B63" s="408" t="s">
        <v>95</v>
      </c>
      <c r="C63" s="9">
        <v>3</v>
      </c>
      <c r="D63" s="409" t="s">
        <v>180</v>
      </c>
      <c r="E63" s="409" t="s">
        <v>105</v>
      </c>
      <c r="F63" s="19">
        <v>16</v>
      </c>
      <c r="G63" s="106" t="s">
        <v>942</v>
      </c>
    </row>
    <row r="64" spans="1:11" ht="14.95" customHeight="1" thickBot="1" x14ac:dyDescent="0.3">
      <c r="A64" s="62" t="s">
        <v>1061</v>
      </c>
      <c r="B64" s="408" t="s">
        <v>957</v>
      </c>
      <c r="C64" s="9">
        <v>3</v>
      </c>
      <c r="D64" s="409" t="s">
        <v>1060</v>
      </c>
      <c r="E64" s="409" t="s">
        <v>957</v>
      </c>
      <c r="F64" s="19">
        <v>16</v>
      </c>
    </row>
    <row r="65" spans="1:6" ht="14.95" customHeight="1" thickBot="1" x14ac:dyDescent="0.3">
      <c r="A65" s="10" t="s">
        <v>132</v>
      </c>
      <c r="B65" s="410" t="s">
        <v>96</v>
      </c>
      <c r="C65" s="9">
        <v>3</v>
      </c>
      <c r="D65" s="409" t="s">
        <v>1006</v>
      </c>
      <c r="E65" s="409" t="s">
        <v>960</v>
      </c>
      <c r="F65" s="19">
        <v>15</v>
      </c>
    </row>
    <row r="66" spans="1:6" ht="14.95" customHeight="1" thickBot="1" x14ac:dyDescent="0.3">
      <c r="A66" s="62" t="s">
        <v>1106</v>
      </c>
      <c r="B66" s="408" t="s">
        <v>958</v>
      </c>
      <c r="C66" s="9">
        <v>2</v>
      </c>
      <c r="D66" s="409" t="s">
        <v>597</v>
      </c>
      <c r="E66" s="409" t="s">
        <v>96</v>
      </c>
      <c r="F66" s="19">
        <v>15</v>
      </c>
    </row>
    <row r="67" spans="1:6" ht="14.95" customHeight="1" thickBot="1" x14ac:dyDescent="0.3">
      <c r="A67" s="62" t="s">
        <v>532</v>
      </c>
      <c r="B67" s="408" t="s">
        <v>104</v>
      </c>
      <c r="C67" s="9">
        <v>2</v>
      </c>
      <c r="D67" s="409" t="s">
        <v>983</v>
      </c>
      <c r="E67" s="409" t="s">
        <v>954</v>
      </c>
      <c r="F67" s="19">
        <v>15</v>
      </c>
    </row>
    <row r="68" spans="1:6" ht="14.95" customHeight="1" thickBot="1" x14ac:dyDescent="0.3">
      <c r="A68" s="62" t="s">
        <v>608</v>
      </c>
      <c r="B68" s="410" t="s">
        <v>620</v>
      </c>
      <c r="C68" s="9">
        <v>2</v>
      </c>
      <c r="D68" s="409" t="s">
        <v>223</v>
      </c>
      <c r="E68" s="409" t="s">
        <v>108</v>
      </c>
      <c r="F68" s="19">
        <v>15</v>
      </c>
    </row>
    <row r="69" spans="1:6" ht="14.95" customHeight="1" thickBot="1" x14ac:dyDescent="0.3">
      <c r="A69" s="62" t="s">
        <v>1128</v>
      </c>
      <c r="B69" s="408" t="s">
        <v>960</v>
      </c>
      <c r="C69" s="9">
        <v>2</v>
      </c>
      <c r="D69" s="409" t="s">
        <v>1063</v>
      </c>
      <c r="E69" s="409" t="s">
        <v>957</v>
      </c>
      <c r="F69" s="19">
        <v>15</v>
      </c>
    </row>
    <row r="70" spans="1:6" ht="14.95" customHeight="1" thickBot="1" x14ac:dyDescent="0.3">
      <c r="A70" s="62" t="s">
        <v>1229</v>
      </c>
      <c r="B70" s="408" t="s">
        <v>954</v>
      </c>
      <c r="C70" s="9">
        <v>2</v>
      </c>
      <c r="D70" s="409" t="s">
        <v>965</v>
      </c>
      <c r="E70" s="409" t="s">
        <v>952</v>
      </c>
      <c r="F70" s="19">
        <v>15</v>
      </c>
    </row>
    <row r="71" spans="1:6" ht="14.95" customHeight="1" thickBot="1" x14ac:dyDescent="0.3">
      <c r="A71" s="62" t="s">
        <v>730</v>
      </c>
      <c r="B71" s="408" t="s">
        <v>108</v>
      </c>
      <c r="C71" s="9">
        <v>2</v>
      </c>
      <c r="D71" s="409" t="s">
        <v>1088</v>
      </c>
      <c r="E71" s="409" t="s">
        <v>955</v>
      </c>
      <c r="F71" s="19">
        <v>15</v>
      </c>
    </row>
    <row r="72" spans="1:6" ht="14.95" customHeight="1" thickBot="1" x14ac:dyDescent="0.3">
      <c r="A72" s="62" t="s">
        <v>1304</v>
      </c>
      <c r="B72" s="408" t="s">
        <v>366</v>
      </c>
      <c r="C72" s="9">
        <v>2</v>
      </c>
      <c r="D72" s="409" t="s">
        <v>992</v>
      </c>
      <c r="E72" s="409" t="s">
        <v>96</v>
      </c>
      <c r="F72" s="19">
        <v>15</v>
      </c>
    </row>
    <row r="73" spans="1:6" ht="14.95" customHeight="1" thickBot="1" x14ac:dyDescent="0.3">
      <c r="A73" s="62" t="s">
        <v>1087</v>
      </c>
      <c r="B73" s="408" t="s">
        <v>97</v>
      </c>
      <c r="C73" s="9">
        <v>2</v>
      </c>
      <c r="D73" s="16" t="s">
        <v>398</v>
      </c>
      <c r="E73" s="409" t="s">
        <v>105</v>
      </c>
      <c r="F73" s="19">
        <v>15</v>
      </c>
    </row>
    <row r="74" spans="1:6" ht="14.95" customHeight="1" thickBot="1" x14ac:dyDescent="0.3">
      <c r="A74" s="62" t="s">
        <v>1126</v>
      </c>
      <c r="B74" s="408" t="s">
        <v>952</v>
      </c>
      <c r="C74" s="9">
        <v>2</v>
      </c>
      <c r="D74" s="409" t="s">
        <v>1119</v>
      </c>
      <c r="E74" s="409" t="s">
        <v>953</v>
      </c>
      <c r="F74" s="19">
        <v>15</v>
      </c>
    </row>
    <row r="75" spans="1:6" ht="14.95" customHeight="1" thickBot="1" x14ac:dyDescent="0.3">
      <c r="A75" s="62" t="s">
        <v>354</v>
      </c>
      <c r="B75" s="408" t="s">
        <v>96</v>
      </c>
      <c r="C75" s="9">
        <v>2</v>
      </c>
      <c r="D75" s="409" t="s">
        <v>325</v>
      </c>
      <c r="E75" s="409" t="s">
        <v>104</v>
      </c>
      <c r="F75" s="19">
        <v>15</v>
      </c>
    </row>
    <row r="76" spans="1:6" ht="14.95" customHeight="1" thickBot="1" x14ac:dyDescent="0.3">
      <c r="A76" s="62" t="s">
        <v>1303</v>
      </c>
      <c r="B76" s="408" t="s">
        <v>957</v>
      </c>
      <c r="C76" s="9">
        <v>2</v>
      </c>
      <c r="D76" s="16" t="s">
        <v>825</v>
      </c>
      <c r="E76" s="16" t="s">
        <v>282</v>
      </c>
      <c r="F76" s="19">
        <v>15</v>
      </c>
    </row>
    <row r="77" spans="1:6" ht="14.95" customHeight="1" thickBot="1" x14ac:dyDescent="0.3">
      <c r="A77" s="62" t="s">
        <v>820</v>
      </c>
      <c r="B77" s="408" t="s">
        <v>282</v>
      </c>
      <c r="C77" s="9">
        <v>2</v>
      </c>
      <c r="D77" s="16" t="s">
        <v>430</v>
      </c>
      <c r="E77" s="16" t="s">
        <v>104</v>
      </c>
      <c r="F77" s="19">
        <v>15</v>
      </c>
    </row>
    <row r="78" spans="1:6" ht="14.95" customHeight="1" thickBot="1" x14ac:dyDescent="0.3">
      <c r="A78" s="62" t="s">
        <v>973</v>
      </c>
      <c r="B78" s="408" t="s">
        <v>955</v>
      </c>
      <c r="C78" s="9">
        <v>2</v>
      </c>
      <c r="D78" s="409" t="s">
        <v>1064</v>
      </c>
      <c r="E78" s="409" t="s">
        <v>957</v>
      </c>
      <c r="F78" s="18">
        <v>15</v>
      </c>
    </row>
    <row r="79" spans="1:6" ht="14.95" customHeight="1" thickBot="1" x14ac:dyDescent="0.3">
      <c r="A79" s="62" t="s">
        <v>765</v>
      </c>
      <c r="B79" s="408" t="s">
        <v>94</v>
      </c>
      <c r="C79" s="9">
        <v>2</v>
      </c>
      <c r="D79" s="409" t="s">
        <v>482</v>
      </c>
      <c r="E79" s="409" t="s">
        <v>620</v>
      </c>
      <c r="F79" s="19">
        <v>15</v>
      </c>
    </row>
    <row r="80" spans="1:6" ht="14.95" customHeight="1" thickBot="1" x14ac:dyDescent="0.3">
      <c r="A80" s="10" t="s">
        <v>926</v>
      </c>
      <c r="B80" s="410" t="s">
        <v>366</v>
      </c>
      <c r="C80" s="9">
        <v>2</v>
      </c>
      <c r="D80" s="409" t="s">
        <v>540</v>
      </c>
      <c r="E80" s="409" t="s">
        <v>108</v>
      </c>
      <c r="F80" s="19">
        <v>15</v>
      </c>
    </row>
    <row r="81" spans="1:6" ht="14.95" customHeight="1" thickBot="1" x14ac:dyDescent="0.3">
      <c r="A81" s="62" t="s">
        <v>513</v>
      </c>
      <c r="B81" s="408" t="s">
        <v>366</v>
      </c>
      <c r="C81" s="9">
        <v>2</v>
      </c>
      <c r="D81" s="409" t="s">
        <v>466</v>
      </c>
      <c r="E81" s="409" t="s">
        <v>620</v>
      </c>
      <c r="F81" s="19">
        <v>15</v>
      </c>
    </row>
    <row r="82" spans="1:6" ht="14.95" customHeight="1" thickBot="1" x14ac:dyDescent="0.3">
      <c r="A82" s="62" t="s">
        <v>1015</v>
      </c>
      <c r="B82" s="408" t="s">
        <v>957</v>
      </c>
      <c r="C82" s="9">
        <v>2</v>
      </c>
      <c r="D82" s="409" t="s">
        <v>504</v>
      </c>
      <c r="E82" s="409" t="s">
        <v>104</v>
      </c>
      <c r="F82" s="19">
        <v>15</v>
      </c>
    </row>
    <row r="83" spans="1:6" ht="14.95" customHeight="1" thickBot="1" x14ac:dyDescent="0.3">
      <c r="A83" s="62" t="s">
        <v>1089</v>
      </c>
      <c r="B83" s="408" t="s">
        <v>955</v>
      </c>
      <c r="C83" s="9">
        <v>2</v>
      </c>
      <c r="D83" s="409" t="s">
        <v>963</v>
      </c>
      <c r="E83" s="409" t="s">
        <v>952</v>
      </c>
      <c r="F83" s="19">
        <v>15</v>
      </c>
    </row>
    <row r="84" spans="1:6" ht="14.95" customHeight="1" thickBot="1" x14ac:dyDescent="0.3">
      <c r="A84" s="62" t="s">
        <v>1239</v>
      </c>
      <c r="B84" s="408" t="s">
        <v>97</v>
      </c>
      <c r="C84" s="9">
        <v>2</v>
      </c>
      <c r="D84" s="409" t="s">
        <v>980</v>
      </c>
      <c r="E84" s="409" t="s">
        <v>954</v>
      </c>
      <c r="F84" s="19">
        <v>15</v>
      </c>
    </row>
    <row r="85" spans="1:6" ht="14.95" customHeight="1" thickBot="1" x14ac:dyDescent="0.3">
      <c r="A85" s="62" t="s">
        <v>1117</v>
      </c>
      <c r="B85" s="408" t="s">
        <v>955</v>
      </c>
      <c r="C85" s="9">
        <v>2</v>
      </c>
      <c r="D85" s="409" t="s">
        <v>988</v>
      </c>
      <c r="E85" s="409" t="s">
        <v>96</v>
      </c>
      <c r="F85" s="19">
        <v>15</v>
      </c>
    </row>
    <row r="86" spans="1:6" ht="14.95" customHeight="1" thickBot="1" x14ac:dyDescent="0.3">
      <c r="A86" s="62" t="s">
        <v>1116</v>
      </c>
      <c r="B86" s="408" t="s">
        <v>955</v>
      </c>
      <c r="C86" s="9">
        <v>2</v>
      </c>
      <c r="D86" s="16" t="s">
        <v>717</v>
      </c>
      <c r="E86" s="16" t="s">
        <v>108</v>
      </c>
      <c r="F86" s="19">
        <v>15</v>
      </c>
    </row>
    <row r="87" spans="1:6" ht="14.95" customHeight="1" thickBot="1" x14ac:dyDescent="0.3">
      <c r="A87" s="62" t="s">
        <v>1093</v>
      </c>
      <c r="B87" s="408" t="s">
        <v>366</v>
      </c>
      <c r="C87" s="9">
        <v>2</v>
      </c>
      <c r="D87" s="16" t="s">
        <v>613</v>
      </c>
      <c r="E87" s="16" t="s">
        <v>105</v>
      </c>
      <c r="F87" s="19">
        <v>15</v>
      </c>
    </row>
    <row r="88" spans="1:6" ht="14.95" customHeight="1" thickBot="1" x14ac:dyDescent="0.3">
      <c r="A88" s="62" t="s">
        <v>1302</v>
      </c>
      <c r="B88" s="408" t="s">
        <v>957</v>
      </c>
      <c r="C88" s="9">
        <v>2</v>
      </c>
      <c r="D88" s="16" t="s">
        <v>656</v>
      </c>
      <c r="E88" s="409" t="s">
        <v>97</v>
      </c>
      <c r="F88" s="19">
        <v>15</v>
      </c>
    </row>
    <row r="89" spans="1:6" ht="14.95" customHeight="1" thickBot="1" x14ac:dyDescent="0.3">
      <c r="A89" s="62" t="s">
        <v>606</v>
      </c>
      <c r="B89" s="410" t="s">
        <v>620</v>
      </c>
      <c r="C89" s="9">
        <v>2</v>
      </c>
      <c r="D89" s="409" t="s">
        <v>895</v>
      </c>
      <c r="E89" s="409" t="s">
        <v>95</v>
      </c>
      <c r="F89" s="19">
        <v>15</v>
      </c>
    </row>
    <row r="90" spans="1:6" ht="14.95" customHeight="1" thickBot="1" x14ac:dyDescent="0.3">
      <c r="A90" s="62" t="s">
        <v>578</v>
      </c>
      <c r="B90" s="410" t="s">
        <v>620</v>
      </c>
      <c r="C90" s="9">
        <v>2</v>
      </c>
      <c r="D90" s="16" t="s">
        <v>132</v>
      </c>
      <c r="E90" s="16" t="s">
        <v>96</v>
      </c>
      <c r="F90" s="19">
        <v>15</v>
      </c>
    </row>
    <row r="91" spans="1:6" ht="14.95" customHeight="1" thickBot="1" x14ac:dyDescent="0.3">
      <c r="A91" s="62" t="s">
        <v>841</v>
      </c>
      <c r="B91" s="408" t="s">
        <v>282</v>
      </c>
      <c r="C91" s="9">
        <v>2</v>
      </c>
      <c r="D91" s="409" t="s">
        <v>357</v>
      </c>
      <c r="E91" s="409" t="s">
        <v>620</v>
      </c>
      <c r="F91" s="19">
        <v>14</v>
      </c>
    </row>
    <row r="92" spans="1:6" ht="14.95" customHeight="1" thickBot="1" x14ac:dyDescent="0.3">
      <c r="A92" s="62" t="s">
        <v>439</v>
      </c>
      <c r="B92" s="408" t="s">
        <v>94</v>
      </c>
      <c r="C92" s="9">
        <v>2</v>
      </c>
      <c r="D92" s="409" t="s">
        <v>206</v>
      </c>
      <c r="E92" s="409" t="s">
        <v>94</v>
      </c>
      <c r="F92" s="19">
        <v>13</v>
      </c>
    </row>
    <row r="93" spans="1:6" ht="14.95" customHeight="1" thickBot="1" x14ac:dyDescent="0.3">
      <c r="A93" s="62" t="s">
        <v>1081</v>
      </c>
      <c r="B93" s="408" t="s">
        <v>954</v>
      </c>
      <c r="C93" s="9">
        <v>2</v>
      </c>
      <c r="D93" s="409" t="s">
        <v>1157</v>
      </c>
      <c r="E93" s="409" t="s">
        <v>108</v>
      </c>
      <c r="F93" s="19">
        <v>13</v>
      </c>
    </row>
    <row r="94" spans="1:6" ht="14.95" customHeight="1" thickBot="1" x14ac:dyDescent="0.3">
      <c r="A94" s="62" t="s">
        <v>1291</v>
      </c>
      <c r="B94" s="408" t="s">
        <v>952</v>
      </c>
      <c r="C94" s="9">
        <v>2</v>
      </c>
      <c r="D94" s="409" t="s">
        <v>307</v>
      </c>
      <c r="E94" s="409" t="s">
        <v>94</v>
      </c>
      <c r="F94" s="19">
        <v>12</v>
      </c>
    </row>
    <row r="95" spans="1:6" ht="14.95" customHeight="1" thickBot="1" x14ac:dyDescent="0.3">
      <c r="A95" s="62" t="s">
        <v>978</v>
      </c>
      <c r="B95" s="408" t="s">
        <v>954</v>
      </c>
      <c r="C95" s="9">
        <v>2</v>
      </c>
      <c r="D95" s="409" t="s">
        <v>1126</v>
      </c>
      <c r="E95" s="409" t="s">
        <v>952</v>
      </c>
      <c r="F95" s="19">
        <v>12</v>
      </c>
    </row>
    <row r="96" spans="1:6" ht="14.95" customHeight="1" thickBot="1" x14ac:dyDescent="0.3">
      <c r="A96" s="62" t="s">
        <v>1001</v>
      </c>
      <c r="B96" s="408" t="s">
        <v>104</v>
      </c>
      <c r="C96" s="9">
        <v>2</v>
      </c>
      <c r="D96" s="409" t="s">
        <v>570</v>
      </c>
      <c r="E96" s="409" t="s">
        <v>105</v>
      </c>
      <c r="F96" s="19">
        <v>12</v>
      </c>
    </row>
    <row r="97" spans="1:6" ht="14.95" customHeight="1" thickBot="1" x14ac:dyDescent="0.3">
      <c r="A97" s="62" t="s">
        <v>1131</v>
      </c>
      <c r="B97" s="408" t="s">
        <v>961</v>
      </c>
      <c r="C97" s="9">
        <v>2</v>
      </c>
      <c r="D97" s="409" t="s">
        <v>659</v>
      </c>
      <c r="E97" s="409" t="s">
        <v>108</v>
      </c>
      <c r="F97" s="19">
        <v>12</v>
      </c>
    </row>
    <row r="98" spans="1:6" ht="14.95" customHeight="1" thickBot="1" x14ac:dyDescent="0.3">
      <c r="A98" s="62" t="s">
        <v>575</v>
      </c>
      <c r="B98" s="408" t="s">
        <v>104</v>
      </c>
      <c r="C98" s="9">
        <v>2</v>
      </c>
      <c r="D98" s="409" t="s">
        <v>1106</v>
      </c>
      <c r="E98" s="409" t="s">
        <v>958</v>
      </c>
      <c r="F98" s="19">
        <v>10</v>
      </c>
    </row>
    <row r="99" spans="1:6" ht="14.95" customHeight="1" thickBot="1" x14ac:dyDescent="0.3">
      <c r="A99" s="62" t="s">
        <v>1017</v>
      </c>
      <c r="B99" s="408" t="s">
        <v>957</v>
      </c>
      <c r="C99" s="9">
        <v>2</v>
      </c>
      <c r="D99" s="409" t="s">
        <v>532</v>
      </c>
      <c r="E99" s="409" t="s">
        <v>104</v>
      </c>
      <c r="F99" s="19">
        <v>10</v>
      </c>
    </row>
    <row r="100" spans="1:6" ht="14.95" customHeight="1" thickBot="1" x14ac:dyDescent="0.3">
      <c r="A100" s="62" t="s">
        <v>411</v>
      </c>
      <c r="B100" s="408" t="s">
        <v>97</v>
      </c>
      <c r="C100" s="9">
        <v>2</v>
      </c>
      <c r="D100" s="409" t="s">
        <v>608</v>
      </c>
      <c r="E100" s="409" t="s">
        <v>620</v>
      </c>
      <c r="F100" s="19">
        <v>10</v>
      </c>
    </row>
    <row r="101" spans="1:6" ht="14.95" customHeight="1" thickBot="1" x14ac:dyDescent="0.3">
      <c r="A101" s="62" t="s">
        <v>1008</v>
      </c>
      <c r="B101" s="408" t="s">
        <v>108</v>
      </c>
      <c r="C101" s="9">
        <v>2</v>
      </c>
      <c r="D101" s="409" t="s">
        <v>1128</v>
      </c>
      <c r="E101" s="409" t="s">
        <v>960</v>
      </c>
      <c r="F101" s="19">
        <v>10</v>
      </c>
    </row>
    <row r="102" spans="1:6" ht="14.95" customHeight="1" thickBot="1" x14ac:dyDescent="0.3">
      <c r="A102" s="62" t="s">
        <v>1301</v>
      </c>
      <c r="B102" s="408" t="s">
        <v>957</v>
      </c>
      <c r="C102" s="9">
        <v>2</v>
      </c>
      <c r="D102" s="409" t="s">
        <v>1229</v>
      </c>
      <c r="E102" s="409" t="s">
        <v>954</v>
      </c>
      <c r="F102" s="19">
        <v>10</v>
      </c>
    </row>
    <row r="103" spans="1:6" ht="14.95" customHeight="1" thickBot="1" x14ac:dyDescent="0.3">
      <c r="A103" s="10" t="s">
        <v>1068</v>
      </c>
      <c r="B103" s="410" t="s">
        <v>96</v>
      </c>
      <c r="C103" s="6">
        <v>2</v>
      </c>
      <c r="D103" s="409" t="s">
        <v>730</v>
      </c>
      <c r="E103" s="409" t="s">
        <v>108</v>
      </c>
      <c r="F103" s="19">
        <v>10</v>
      </c>
    </row>
    <row r="104" spans="1:6" ht="14.95" customHeight="1" thickBot="1" x14ac:dyDescent="0.3">
      <c r="A104" s="62" t="s">
        <v>798</v>
      </c>
      <c r="B104" s="410" t="s">
        <v>620</v>
      </c>
      <c r="C104" s="49">
        <v>2</v>
      </c>
      <c r="D104" s="409" t="s">
        <v>1304</v>
      </c>
      <c r="E104" s="409" t="s">
        <v>366</v>
      </c>
      <c r="F104" s="19">
        <v>10</v>
      </c>
    </row>
    <row r="105" spans="1:6" ht="14.95" customHeight="1" thickBot="1" x14ac:dyDescent="0.3">
      <c r="A105" s="10" t="s">
        <v>583</v>
      </c>
      <c r="B105" s="408" t="s">
        <v>282</v>
      </c>
      <c r="C105" s="9">
        <v>2</v>
      </c>
      <c r="D105" s="409" t="s">
        <v>1087</v>
      </c>
      <c r="E105" s="409" t="s">
        <v>97</v>
      </c>
      <c r="F105" s="19">
        <v>10</v>
      </c>
    </row>
    <row r="106" spans="1:6" ht="14.95" customHeight="1" thickBot="1" x14ac:dyDescent="0.3">
      <c r="A106" s="415" t="s">
        <v>979</v>
      </c>
      <c r="B106" s="408" t="s">
        <v>954</v>
      </c>
      <c r="C106" s="9">
        <v>2</v>
      </c>
      <c r="D106" s="409" t="s">
        <v>354</v>
      </c>
      <c r="E106" s="409" t="s">
        <v>96</v>
      </c>
      <c r="F106" s="19">
        <v>10</v>
      </c>
    </row>
    <row r="107" spans="1:6" ht="14.95" customHeight="1" thickBot="1" x14ac:dyDescent="0.3">
      <c r="A107" s="10" t="s">
        <v>297</v>
      </c>
      <c r="B107" s="410" t="s">
        <v>1215</v>
      </c>
      <c r="C107" s="9">
        <v>2</v>
      </c>
      <c r="D107" s="409" t="s">
        <v>1303</v>
      </c>
      <c r="E107" s="409" t="s">
        <v>957</v>
      </c>
      <c r="F107" s="19">
        <v>10</v>
      </c>
    </row>
    <row r="108" spans="1:6" ht="14.95" customHeight="1" thickBot="1" x14ac:dyDescent="0.3">
      <c r="A108" s="62" t="s">
        <v>1242</v>
      </c>
      <c r="B108" s="408" t="s">
        <v>957</v>
      </c>
      <c r="C108" s="9">
        <v>2</v>
      </c>
      <c r="D108" s="16" t="s">
        <v>820</v>
      </c>
      <c r="E108" s="16" t="s">
        <v>282</v>
      </c>
      <c r="F108" s="18">
        <v>10</v>
      </c>
    </row>
    <row r="109" spans="1:6" ht="14.95" customHeight="1" thickBot="1" x14ac:dyDescent="0.3">
      <c r="A109" s="62" t="s">
        <v>1118</v>
      </c>
      <c r="B109" s="408" t="s">
        <v>953</v>
      </c>
      <c r="C109" s="9">
        <v>2</v>
      </c>
      <c r="D109" s="409" t="s">
        <v>973</v>
      </c>
      <c r="E109" s="409" t="s">
        <v>955</v>
      </c>
      <c r="F109" s="19">
        <v>10</v>
      </c>
    </row>
    <row r="110" spans="1:6" ht="14.95" customHeight="1" thickBot="1" x14ac:dyDescent="0.3">
      <c r="A110" s="62" t="s">
        <v>500</v>
      </c>
      <c r="B110" s="408" t="s">
        <v>108</v>
      </c>
      <c r="C110" s="9">
        <v>2</v>
      </c>
      <c r="D110" s="409" t="s">
        <v>765</v>
      </c>
      <c r="E110" s="409" t="s">
        <v>94</v>
      </c>
      <c r="F110" s="19">
        <v>10</v>
      </c>
    </row>
    <row r="111" spans="1:6" ht="14.95" customHeight="1" thickBot="1" x14ac:dyDescent="0.3">
      <c r="A111" s="62" t="s">
        <v>995</v>
      </c>
      <c r="B111" s="408" t="s">
        <v>956</v>
      </c>
      <c r="C111" s="9">
        <v>2</v>
      </c>
      <c r="D111" s="409" t="s">
        <v>926</v>
      </c>
      <c r="E111" s="409" t="s">
        <v>366</v>
      </c>
      <c r="F111" s="19">
        <v>10</v>
      </c>
    </row>
    <row r="112" spans="1:6" ht="14.95" customHeight="1" thickBot="1" x14ac:dyDescent="0.3">
      <c r="A112" s="62" t="s">
        <v>517</v>
      </c>
      <c r="B112" s="408" t="s">
        <v>97</v>
      </c>
      <c r="C112" s="9">
        <v>2</v>
      </c>
      <c r="D112" s="409" t="s">
        <v>513</v>
      </c>
      <c r="E112" s="409" t="s">
        <v>366</v>
      </c>
      <c r="F112" s="19">
        <v>10</v>
      </c>
    </row>
    <row r="113" spans="1:6" ht="14.95" customHeight="1" thickBot="1" x14ac:dyDescent="0.3">
      <c r="A113" s="62" t="s">
        <v>158</v>
      </c>
      <c r="B113" s="408" t="s">
        <v>97</v>
      </c>
      <c r="C113" s="9">
        <v>2</v>
      </c>
      <c r="D113" s="409" t="s">
        <v>1015</v>
      </c>
      <c r="E113" s="409" t="s">
        <v>957</v>
      </c>
      <c r="F113" s="19">
        <v>10</v>
      </c>
    </row>
    <row r="114" spans="1:6" ht="14.95" customHeight="1" thickBot="1" x14ac:dyDescent="0.3">
      <c r="A114" s="62" t="s">
        <v>180</v>
      </c>
      <c r="B114" s="408" t="s">
        <v>105</v>
      </c>
      <c r="C114" s="9">
        <v>2</v>
      </c>
      <c r="D114" s="409" t="s">
        <v>1089</v>
      </c>
      <c r="E114" s="409" t="s">
        <v>955</v>
      </c>
      <c r="F114" s="19">
        <v>10</v>
      </c>
    </row>
    <row r="115" spans="1:6" ht="14.95" customHeight="1" thickBot="1" x14ac:dyDescent="0.3">
      <c r="A115" s="62" t="s">
        <v>56</v>
      </c>
      <c r="B115" s="408" t="s">
        <v>108</v>
      </c>
      <c r="C115" s="9">
        <v>2</v>
      </c>
      <c r="D115" s="409" t="s">
        <v>1239</v>
      </c>
      <c r="E115" s="409" t="s">
        <v>97</v>
      </c>
      <c r="F115" s="19">
        <v>10</v>
      </c>
    </row>
    <row r="116" spans="1:6" ht="14.95" customHeight="1" thickBot="1" x14ac:dyDescent="0.3">
      <c r="A116" s="10" t="s">
        <v>668</v>
      </c>
      <c r="B116" s="410" t="s">
        <v>620</v>
      </c>
      <c r="C116" s="9">
        <v>2</v>
      </c>
      <c r="D116" s="409" t="s">
        <v>1117</v>
      </c>
      <c r="E116" s="409" t="s">
        <v>955</v>
      </c>
      <c r="F116" s="19">
        <v>10</v>
      </c>
    </row>
    <row r="117" spans="1:6" ht="14.95" customHeight="1" thickBot="1" x14ac:dyDescent="0.3">
      <c r="A117" s="62" t="s">
        <v>113</v>
      </c>
      <c r="B117" s="408" t="s">
        <v>108</v>
      </c>
      <c r="C117" s="9">
        <v>2</v>
      </c>
      <c r="D117" s="409" t="s">
        <v>1116</v>
      </c>
      <c r="E117" s="409" t="s">
        <v>955</v>
      </c>
      <c r="F117" s="19">
        <v>10</v>
      </c>
    </row>
    <row r="118" spans="1:6" ht="14.95" customHeight="1" thickBot="1" x14ac:dyDescent="0.3">
      <c r="A118" s="62" t="s">
        <v>162</v>
      </c>
      <c r="B118" s="408" t="s">
        <v>105</v>
      </c>
      <c r="C118" s="9">
        <v>2</v>
      </c>
      <c r="D118" s="409" t="s">
        <v>1093</v>
      </c>
      <c r="E118" s="409" t="s">
        <v>366</v>
      </c>
      <c r="F118" s="19">
        <v>10</v>
      </c>
    </row>
    <row r="119" spans="1:6" ht="14.95" customHeight="1" thickBot="1" x14ac:dyDescent="0.3">
      <c r="A119" s="62" t="s">
        <v>1132</v>
      </c>
      <c r="B119" s="408" t="s">
        <v>961</v>
      </c>
      <c r="C119" s="9">
        <v>2</v>
      </c>
      <c r="D119" s="409" t="s">
        <v>1302</v>
      </c>
      <c r="E119" s="409" t="s">
        <v>957</v>
      </c>
      <c r="F119" s="19">
        <v>10</v>
      </c>
    </row>
    <row r="120" spans="1:6" ht="14.95" customHeight="1" thickBot="1" x14ac:dyDescent="0.3">
      <c r="A120" s="62" t="s">
        <v>1257</v>
      </c>
      <c r="B120" s="408" t="s">
        <v>958</v>
      </c>
      <c r="C120" s="9">
        <v>2</v>
      </c>
      <c r="D120" s="409" t="s">
        <v>606</v>
      </c>
      <c r="E120" s="409" t="s">
        <v>620</v>
      </c>
      <c r="F120" s="19">
        <v>10</v>
      </c>
    </row>
    <row r="121" spans="1:6" ht="14.95" customHeight="1" thickBot="1" x14ac:dyDescent="0.3">
      <c r="A121" s="62" t="s">
        <v>239</v>
      </c>
      <c r="B121" s="408" t="s">
        <v>94</v>
      </c>
      <c r="C121" s="9">
        <v>2</v>
      </c>
      <c r="D121" s="409" t="s">
        <v>578</v>
      </c>
      <c r="E121" s="409" t="s">
        <v>620</v>
      </c>
      <c r="F121" s="19">
        <v>10</v>
      </c>
    </row>
    <row r="122" spans="1:6" ht="14.95" customHeight="1" thickBot="1" x14ac:dyDescent="0.3">
      <c r="A122" s="62" t="s">
        <v>1268</v>
      </c>
      <c r="B122" s="62" t="s">
        <v>104</v>
      </c>
      <c r="C122" s="9">
        <v>2</v>
      </c>
      <c r="D122" s="2" t="s">
        <v>841</v>
      </c>
      <c r="E122" s="2" t="s">
        <v>282</v>
      </c>
      <c r="F122" s="19">
        <v>10</v>
      </c>
    </row>
    <row r="123" spans="1:6" ht="14.95" customHeight="1" thickBot="1" x14ac:dyDescent="0.3">
      <c r="A123" s="62" t="s">
        <v>357</v>
      </c>
      <c r="B123" s="10" t="s">
        <v>620</v>
      </c>
      <c r="C123" s="9">
        <v>2</v>
      </c>
      <c r="D123" s="2" t="s">
        <v>439</v>
      </c>
      <c r="E123" s="2" t="s">
        <v>94</v>
      </c>
      <c r="F123" s="20">
        <v>10</v>
      </c>
    </row>
    <row r="124" spans="1:6" ht="14.95" customHeight="1" thickBot="1" x14ac:dyDescent="0.3">
      <c r="A124" s="62" t="s">
        <v>1260</v>
      </c>
      <c r="B124" s="62" t="s">
        <v>366</v>
      </c>
      <c r="C124" s="6">
        <v>2</v>
      </c>
      <c r="D124" s="2" t="s">
        <v>1081</v>
      </c>
      <c r="E124" s="2" t="s">
        <v>954</v>
      </c>
      <c r="F124" s="19">
        <v>10</v>
      </c>
    </row>
    <row r="125" spans="1:6" ht="14.95" customHeight="1" thickBot="1" x14ac:dyDescent="0.3">
      <c r="A125" s="12" t="s">
        <v>719</v>
      </c>
      <c r="B125" s="12" t="s">
        <v>108</v>
      </c>
      <c r="C125" s="9">
        <v>2</v>
      </c>
      <c r="D125" s="2" t="s">
        <v>1291</v>
      </c>
      <c r="E125" s="2" t="s">
        <v>952</v>
      </c>
      <c r="F125" s="19">
        <v>10</v>
      </c>
    </row>
    <row r="126" spans="1:6" ht="14.95" customHeight="1" thickBot="1" x14ac:dyDescent="0.3">
      <c r="A126" s="62" t="s">
        <v>1014</v>
      </c>
      <c r="B126" s="62" t="s">
        <v>958</v>
      </c>
      <c r="C126" s="9">
        <v>2</v>
      </c>
      <c r="D126" s="2" t="s">
        <v>978</v>
      </c>
      <c r="E126" s="2" t="s">
        <v>954</v>
      </c>
      <c r="F126" s="19">
        <v>10</v>
      </c>
    </row>
    <row r="127" spans="1:6" ht="14.95" customHeight="1" thickBot="1" x14ac:dyDescent="0.3">
      <c r="A127" s="62" t="s">
        <v>435</v>
      </c>
      <c r="B127" s="62" t="s">
        <v>96</v>
      </c>
      <c r="C127" s="9">
        <v>2</v>
      </c>
      <c r="D127" s="2" t="s">
        <v>1001</v>
      </c>
      <c r="E127" s="2" t="s">
        <v>104</v>
      </c>
      <c r="F127" s="19">
        <v>10</v>
      </c>
    </row>
    <row r="128" spans="1:6" ht="14.95" customHeight="1" thickBot="1" x14ac:dyDescent="0.3">
      <c r="A128" s="62" t="s">
        <v>1070</v>
      </c>
      <c r="B128" s="62" t="s">
        <v>94</v>
      </c>
      <c r="C128" s="9">
        <v>1</v>
      </c>
      <c r="D128" s="2" t="s">
        <v>1131</v>
      </c>
      <c r="E128" s="2" t="s">
        <v>961</v>
      </c>
      <c r="F128" s="19">
        <v>10</v>
      </c>
    </row>
    <row r="129" spans="1:6" ht="14.95" customHeight="1" thickBot="1" x14ac:dyDescent="0.3">
      <c r="A129" s="62" t="s">
        <v>1219</v>
      </c>
      <c r="B129" s="62" t="s">
        <v>961</v>
      </c>
      <c r="C129" s="9">
        <v>1</v>
      </c>
      <c r="D129" s="2" t="s">
        <v>575</v>
      </c>
      <c r="E129" s="2" t="s">
        <v>104</v>
      </c>
      <c r="F129" s="19">
        <v>10</v>
      </c>
    </row>
    <row r="130" spans="1:6" ht="14.95" customHeight="1" thickBot="1" x14ac:dyDescent="0.3">
      <c r="A130" s="62" t="s">
        <v>802</v>
      </c>
      <c r="B130" s="10" t="s">
        <v>620</v>
      </c>
      <c r="C130" s="9">
        <v>1</v>
      </c>
      <c r="D130" s="2" t="s">
        <v>1017</v>
      </c>
      <c r="E130" s="2" t="s">
        <v>957</v>
      </c>
      <c r="F130" s="19">
        <v>10</v>
      </c>
    </row>
    <row r="131" spans="1:6" ht="14.95" customHeight="1" thickBot="1" x14ac:dyDescent="0.3">
      <c r="A131" s="62" t="s">
        <v>1254</v>
      </c>
      <c r="B131" s="62" t="s">
        <v>94</v>
      </c>
      <c r="C131" s="9">
        <v>1</v>
      </c>
      <c r="D131" s="2" t="s">
        <v>411</v>
      </c>
      <c r="E131" s="2" t="s">
        <v>97</v>
      </c>
      <c r="F131" s="19">
        <v>10</v>
      </c>
    </row>
    <row r="132" spans="1:6" ht="14.95" customHeight="1" thickBot="1" x14ac:dyDescent="0.3">
      <c r="A132" s="62" t="s">
        <v>470</v>
      </c>
      <c r="B132" s="62" t="s">
        <v>104</v>
      </c>
      <c r="C132" s="9">
        <v>1</v>
      </c>
      <c r="D132" s="17" t="s">
        <v>1008</v>
      </c>
      <c r="E132" s="17" t="s">
        <v>108</v>
      </c>
      <c r="F132" s="19">
        <v>10</v>
      </c>
    </row>
    <row r="133" spans="1:6" ht="14.95" customHeight="1" thickBot="1" x14ac:dyDescent="0.3">
      <c r="A133" s="62" t="s">
        <v>971</v>
      </c>
      <c r="B133" s="62" t="s">
        <v>97</v>
      </c>
      <c r="C133" s="9">
        <v>1</v>
      </c>
      <c r="D133" s="2" t="s">
        <v>1301</v>
      </c>
      <c r="E133" s="2" t="s">
        <v>957</v>
      </c>
      <c r="F133" s="19">
        <v>10</v>
      </c>
    </row>
    <row r="134" spans="1:6" ht="14.95" customHeight="1" thickBot="1" x14ac:dyDescent="0.3">
      <c r="A134" s="62" t="s">
        <v>607</v>
      </c>
      <c r="B134" s="62" t="s">
        <v>95</v>
      </c>
      <c r="C134" s="9">
        <v>1</v>
      </c>
      <c r="D134" s="17" t="s">
        <v>1068</v>
      </c>
      <c r="E134" s="17" t="s">
        <v>96</v>
      </c>
      <c r="F134" s="19">
        <v>10</v>
      </c>
    </row>
    <row r="135" spans="1:6" ht="14.95" customHeight="1" thickBot="1" x14ac:dyDescent="0.3">
      <c r="A135" s="62" t="s">
        <v>205</v>
      </c>
      <c r="B135" s="62" t="s">
        <v>94</v>
      </c>
      <c r="C135" s="9">
        <v>1</v>
      </c>
      <c r="D135" s="2" t="s">
        <v>1232</v>
      </c>
      <c r="E135" s="2" t="s">
        <v>955</v>
      </c>
      <c r="F135" s="19">
        <v>10</v>
      </c>
    </row>
    <row r="136" spans="1:6" ht="14.95" customHeight="1" thickBot="1" x14ac:dyDescent="0.3">
      <c r="A136" s="10" t="s">
        <v>221</v>
      </c>
      <c r="B136" s="10" t="s">
        <v>108</v>
      </c>
      <c r="C136" s="9">
        <v>1</v>
      </c>
      <c r="D136" s="2" t="s">
        <v>798</v>
      </c>
      <c r="E136" s="2" t="s">
        <v>620</v>
      </c>
      <c r="F136" s="19">
        <v>10</v>
      </c>
    </row>
    <row r="137" spans="1:6" ht="14.95" customHeight="1" thickBot="1" x14ac:dyDescent="0.3">
      <c r="A137" s="62" t="s">
        <v>181</v>
      </c>
      <c r="B137" s="62" t="s">
        <v>95</v>
      </c>
      <c r="C137" s="6">
        <v>1</v>
      </c>
      <c r="D137" s="17" t="s">
        <v>583</v>
      </c>
      <c r="E137" s="17" t="s">
        <v>282</v>
      </c>
      <c r="F137" s="19">
        <v>10</v>
      </c>
    </row>
    <row r="138" spans="1:6" ht="14.95" customHeight="1" thickBot="1" x14ac:dyDescent="0.3">
      <c r="A138" s="62" t="s">
        <v>1099</v>
      </c>
      <c r="B138" s="62" t="s">
        <v>956</v>
      </c>
      <c r="C138" s="9">
        <v>1</v>
      </c>
      <c r="D138" s="2" t="s">
        <v>979</v>
      </c>
      <c r="E138" s="2" t="s">
        <v>954</v>
      </c>
      <c r="F138" s="19">
        <v>10</v>
      </c>
    </row>
    <row r="139" spans="1:6" ht="14.95" customHeight="1" thickBot="1" x14ac:dyDescent="0.3">
      <c r="A139" s="62" t="s">
        <v>1282</v>
      </c>
      <c r="B139" s="62" t="s">
        <v>97</v>
      </c>
      <c r="C139" s="6">
        <v>1</v>
      </c>
      <c r="D139" s="2" t="s">
        <v>297</v>
      </c>
      <c r="E139" s="2" t="s">
        <v>1215</v>
      </c>
      <c r="F139" s="19">
        <v>10</v>
      </c>
    </row>
    <row r="140" spans="1:6" ht="14.95" customHeight="1" thickBot="1" x14ac:dyDescent="0.3">
      <c r="A140" s="62" t="s">
        <v>406</v>
      </c>
      <c r="B140" s="62" t="s">
        <v>104</v>
      </c>
      <c r="C140" s="9">
        <v>1</v>
      </c>
      <c r="D140" s="2" t="s">
        <v>1242</v>
      </c>
      <c r="E140" s="2" t="s">
        <v>957</v>
      </c>
      <c r="F140" s="19">
        <v>10</v>
      </c>
    </row>
    <row r="141" spans="1:6" ht="14.95" customHeight="1" thickBot="1" x14ac:dyDescent="0.3">
      <c r="A141" s="62" t="s">
        <v>1134</v>
      </c>
      <c r="B141" s="62" t="s">
        <v>961</v>
      </c>
      <c r="C141" s="9">
        <v>1</v>
      </c>
      <c r="D141" s="2" t="s">
        <v>1118</v>
      </c>
      <c r="E141" s="2" t="s">
        <v>953</v>
      </c>
      <c r="F141" s="19">
        <v>10</v>
      </c>
    </row>
    <row r="142" spans="1:6" ht="14.95" customHeight="1" thickBot="1" x14ac:dyDescent="0.3">
      <c r="A142" s="62" t="s">
        <v>904</v>
      </c>
      <c r="B142" s="62" t="s">
        <v>366</v>
      </c>
      <c r="C142" s="9">
        <v>1</v>
      </c>
      <c r="D142" s="2" t="s">
        <v>500</v>
      </c>
      <c r="E142" s="2" t="s">
        <v>108</v>
      </c>
      <c r="F142" s="19">
        <v>10</v>
      </c>
    </row>
    <row r="143" spans="1:6" ht="14.95" customHeight="1" thickBot="1" x14ac:dyDescent="0.3">
      <c r="A143" s="62" t="s">
        <v>286</v>
      </c>
      <c r="B143" s="62" t="s">
        <v>282</v>
      </c>
      <c r="C143" s="9">
        <v>1</v>
      </c>
      <c r="D143" s="2" t="s">
        <v>995</v>
      </c>
      <c r="E143" s="2" t="s">
        <v>956</v>
      </c>
      <c r="F143" s="19">
        <v>10</v>
      </c>
    </row>
    <row r="144" spans="1:6" ht="14.95" customHeight="1" thickBot="1" x14ac:dyDescent="0.3">
      <c r="A144" s="8" t="s">
        <v>619</v>
      </c>
      <c r="B144" s="62" t="s">
        <v>282</v>
      </c>
      <c r="C144" s="9">
        <v>1</v>
      </c>
      <c r="D144" s="2" t="s">
        <v>517</v>
      </c>
      <c r="E144" s="2" t="s">
        <v>97</v>
      </c>
      <c r="F144" s="20">
        <v>10</v>
      </c>
    </row>
    <row r="145" spans="1:6" ht="14.95" customHeight="1" thickBot="1" x14ac:dyDescent="0.3">
      <c r="A145" s="62" t="s">
        <v>998</v>
      </c>
      <c r="B145" s="62" t="s">
        <v>956</v>
      </c>
      <c r="C145" s="9">
        <v>1</v>
      </c>
      <c r="D145" s="2" t="s">
        <v>158</v>
      </c>
      <c r="E145" s="2" t="s">
        <v>97</v>
      </c>
      <c r="F145" s="19">
        <v>10</v>
      </c>
    </row>
    <row r="146" spans="1:6" ht="14.95" customHeight="1" thickBot="1" x14ac:dyDescent="0.3">
      <c r="A146" s="62" t="s">
        <v>1110</v>
      </c>
      <c r="B146" s="62" t="s">
        <v>95</v>
      </c>
      <c r="C146" s="9">
        <v>1</v>
      </c>
      <c r="D146" s="2" t="s">
        <v>56</v>
      </c>
      <c r="E146" s="2" t="s">
        <v>108</v>
      </c>
      <c r="F146" s="19">
        <v>10</v>
      </c>
    </row>
    <row r="147" spans="1:6" ht="14.95" customHeight="1" thickBot="1" x14ac:dyDescent="0.3">
      <c r="A147" s="62" t="s">
        <v>1220</v>
      </c>
      <c r="B147" s="62" t="s">
        <v>94</v>
      </c>
      <c r="C147" s="9">
        <v>1</v>
      </c>
      <c r="D147" s="17" t="s">
        <v>668</v>
      </c>
      <c r="E147" s="17" t="s">
        <v>620</v>
      </c>
      <c r="F147" s="19">
        <v>10</v>
      </c>
    </row>
    <row r="148" spans="1:6" ht="14.95" customHeight="1" thickBot="1" x14ac:dyDescent="0.3">
      <c r="A148" s="357" t="s">
        <v>1157</v>
      </c>
      <c r="B148" s="357" t="s">
        <v>108</v>
      </c>
      <c r="C148" s="9">
        <v>1</v>
      </c>
      <c r="D148" s="2" t="s">
        <v>113</v>
      </c>
      <c r="E148" s="2" t="s">
        <v>108</v>
      </c>
      <c r="F148" s="19">
        <v>10</v>
      </c>
    </row>
    <row r="149" spans="1:6" ht="14.95" customHeight="1" thickBot="1" x14ac:dyDescent="0.3">
      <c r="A149" s="8" t="s">
        <v>555</v>
      </c>
      <c r="B149" s="62" t="s">
        <v>105</v>
      </c>
      <c r="C149" s="9">
        <v>1</v>
      </c>
      <c r="D149" s="2" t="s">
        <v>162</v>
      </c>
      <c r="E149" s="2" t="s">
        <v>105</v>
      </c>
      <c r="F149" s="19">
        <v>10</v>
      </c>
    </row>
    <row r="150" spans="1:6" ht="14.95" customHeight="1" thickBot="1" x14ac:dyDescent="0.3">
      <c r="A150" s="62" t="s">
        <v>1217</v>
      </c>
      <c r="B150" s="62" t="s">
        <v>961</v>
      </c>
      <c r="C150" s="9">
        <v>1</v>
      </c>
      <c r="D150" s="2" t="s">
        <v>1132</v>
      </c>
      <c r="E150" s="2" t="s">
        <v>961</v>
      </c>
      <c r="F150" s="19">
        <v>10</v>
      </c>
    </row>
    <row r="151" spans="1:6" ht="14.95" customHeight="1" thickBot="1" x14ac:dyDescent="0.3">
      <c r="A151" s="62" t="s">
        <v>185</v>
      </c>
      <c r="B151" s="62" t="s">
        <v>105</v>
      </c>
      <c r="C151" s="9">
        <v>1</v>
      </c>
      <c r="D151" s="2" t="s">
        <v>1257</v>
      </c>
      <c r="E151" s="2" t="s">
        <v>958</v>
      </c>
      <c r="F151" s="19">
        <v>10</v>
      </c>
    </row>
    <row r="152" spans="1:6" ht="14.95" customHeight="1" thickBot="1" x14ac:dyDescent="0.3">
      <c r="A152" s="62" t="s">
        <v>490</v>
      </c>
      <c r="B152" s="62" t="s">
        <v>956</v>
      </c>
      <c r="C152" s="9">
        <v>1</v>
      </c>
      <c r="D152" s="2" t="s">
        <v>239</v>
      </c>
      <c r="E152" s="2" t="s">
        <v>94</v>
      </c>
      <c r="F152" s="19">
        <v>10</v>
      </c>
    </row>
    <row r="153" spans="1:6" ht="14.95" customHeight="1" thickBot="1" x14ac:dyDescent="0.3">
      <c r="A153" s="62" t="s">
        <v>1294</v>
      </c>
      <c r="B153" s="62" t="s">
        <v>952</v>
      </c>
      <c r="C153" s="9">
        <v>1</v>
      </c>
      <c r="D153" s="2" t="s">
        <v>1268</v>
      </c>
      <c r="E153" s="2" t="s">
        <v>104</v>
      </c>
      <c r="F153" s="20">
        <v>10</v>
      </c>
    </row>
    <row r="154" spans="1:6" ht="14.95" customHeight="1" thickBot="1" x14ac:dyDescent="0.3">
      <c r="A154" s="62" t="s">
        <v>128</v>
      </c>
      <c r="B154" s="62" t="s">
        <v>94</v>
      </c>
      <c r="C154" s="9">
        <v>1</v>
      </c>
      <c r="D154" s="2" t="s">
        <v>839</v>
      </c>
      <c r="E154" s="2" t="s">
        <v>282</v>
      </c>
      <c r="F154" s="20">
        <v>10</v>
      </c>
    </row>
    <row r="155" spans="1:6" ht="14.95" customHeight="1" thickBot="1" x14ac:dyDescent="0.3">
      <c r="A155" s="62" t="s">
        <v>1114</v>
      </c>
      <c r="B155" s="62" t="s">
        <v>955</v>
      </c>
      <c r="C155" s="9">
        <v>1</v>
      </c>
      <c r="D155" s="261" t="s">
        <v>1260</v>
      </c>
      <c r="E155" s="261" t="s">
        <v>366</v>
      </c>
      <c r="F155" s="19">
        <v>10</v>
      </c>
    </row>
    <row r="156" spans="1:6" ht="14.95" customHeight="1" thickBot="1" x14ac:dyDescent="0.3">
      <c r="A156" s="62" t="s">
        <v>626</v>
      </c>
      <c r="B156" s="62" t="s">
        <v>96</v>
      </c>
      <c r="C156" s="9">
        <v>1</v>
      </c>
      <c r="D156" s="203" t="s">
        <v>719</v>
      </c>
      <c r="E156" s="203" t="s">
        <v>108</v>
      </c>
      <c r="F156" s="19">
        <v>10</v>
      </c>
    </row>
    <row r="157" spans="1:6" ht="14.95" customHeight="1" thickBot="1" x14ac:dyDescent="0.3">
      <c r="A157" s="10" t="s">
        <v>296</v>
      </c>
      <c r="B157" s="10" t="s">
        <v>282</v>
      </c>
      <c r="C157" s="9">
        <v>1</v>
      </c>
      <c r="D157" s="2" t="s">
        <v>1014</v>
      </c>
      <c r="E157" s="2" t="s">
        <v>958</v>
      </c>
      <c r="F157" s="19">
        <v>10</v>
      </c>
    </row>
    <row r="158" spans="1:6" ht="14.95" customHeight="1" thickBot="1" x14ac:dyDescent="0.3">
      <c r="A158" s="62" t="s">
        <v>1251</v>
      </c>
      <c r="B158" s="62" t="s">
        <v>958</v>
      </c>
      <c r="C158" s="9">
        <v>1</v>
      </c>
      <c r="D158" s="2" t="s">
        <v>435</v>
      </c>
      <c r="E158" s="2" t="s">
        <v>96</v>
      </c>
      <c r="F158" s="19">
        <v>10</v>
      </c>
    </row>
    <row r="159" spans="1:6" ht="14.95" customHeight="1" thickBot="1" x14ac:dyDescent="0.3">
      <c r="A159" s="62" t="s">
        <v>1299</v>
      </c>
      <c r="B159" s="62" t="s">
        <v>94</v>
      </c>
      <c r="C159" s="9">
        <v>1</v>
      </c>
      <c r="D159" s="2" t="s">
        <v>1238</v>
      </c>
      <c r="E159" s="2" t="s">
        <v>960</v>
      </c>
      <c r="F159" s="19">
        <v>8</v>
      </c>
    </row>
    <row r="160" spans="1:6" ht="14.95" customHeight="1" thickBot="1" x14ac:dyDescent="0.3">
      <c r="A160" s="62" t="s">
        <v>1086</v>
      </c>
      <c r="B160" s="62" t="s">
        <v>97</v>
      </c>
      <c r="C160" s="9">
        <v>1</v>
      </c>
      <c r="D160" s="2" t="s">
        <v>1101</v>
      </c>
      <c r="E160" s="2" t="s">
        <v>956</v>
      </c>
      <c r="F160" s="19">
        <v>8</v>
      </c>
    </row>
    <row r="161" spans="1:6" ht="14.95" customHeight="1" thickBot="1" x14ac:dyDescent="0.3">
      <c r="A161" s="62" t="s">
        <v>1247</v>
      </c>
      <c r="B161" s="62" t="s">
        <v>96</v>
      </c>
      <c r="C161" s="49">
        <v>1</v>
      </c>
      <c r="D161" s="2" t="s">
        <v>1288</v>
      </c>
      <c r="E161" s="2" t="s">
        <v>961</v>
      </c>
      <c r="F161" s="19">
        <v>7</v>
      </c>
    </row>
    <row r="162" spans="1:6" ht="14.95" customHeight="1" thickBot="1" x14ac:dyDescent="0.3">
      <c r="A162" s="62" t="s">
        <v>1255</v>
      </c>
      <c r="B162" s="62" t="s">
        <v>960</v>
      </c>
      <c r="C162" s="9">
        <v>1</v>
      </c>
      <c r="D162" s="2" t="s">
        <v>4</v>
      </c>
      <c r="E162" s="2" t="s">
        <v>953</v>
      </c>
      <c r="F162" s="19">
        <v>7</v>
      </c>
    </row>
    <row r="163" spans="1:6" ht="14.95" customHeight="1" thickBot="1" x14ac:dyDescent="0.3">
      <c r="A163" s="62" t="s">
        <v>1222</v>
      </c>
      <c r="B163" s="62" t="s">
        <v>959</v>
      </c>
      <c r="C163" s="9">
        <v>1</v>
      </c>
      <c r="D163" s="2" t="s">
        <v>4</v>
      </c>
      <c r="E163" s="2" t="s">
        <v>957</v>
      </c>
      <c r="F163" s="19">
        <v>7</v>
      </c>
    </row>
    <row r="164" spans="1:6" ht="14.95" customHeight="1" thickBot="1" x14ac:dyDescent="0.3">
      <c r="A164" s="62" t="s">
        <v>1236</v>
      </c>
      <c r="B164" s="62" t="s">
        <v>952</v>
      </c>
      <c r="C164" s="9">
        <v>1</v>
      </c>
      <c r="D164" s="2" t="s">
        <v>4</v>
      </c>
      <c r="E164" s="2" t="s">
        <v>960</v>
      </c>
      <c r="F164" s="19">
        <v>7</v>
      </c>
    </row>
    <row r="165" spans="1:6" ht="14.95" customHeight="1" thickBot="1" x14ac:dyDescent="0.3">
      <c r="A165" s="62" t="s">
        <v>1226</v>
      </c>
      <c r="B165" s="62" t="s">
        <v>95</v>
      </c>
      <c r="C165" s="9">
        <v>1</v>
      </c>
      <c r="D165" s="2" t="s">
        <v>4</v>
      </c>
      <c r="E165" s="2" t="s">
        <v>955</v>
      </c>
      <c r="F165" s="19">
        <v>7</v>
      </c>
    </row>
    <row r="166" spans="1:6" ht="14.95" customHeight="1" thickBot="1" x14ac:dyDescent="0.3">
      <c r="A166" s="62" t="s">
        <v>243</v>
      </c>
      <c r="B166" s="62" t="s">
        <v>96</v>
      </c>
      <c r="C166" s="9">
        <v>1</v>
      </c>
      <c r="D166" s="2" t="s">
        <v>98</v>
      </c>
      <c r="E166" s="2" t="s">
        <v>108</v>
      </c>
      <c r="F166" s="19">
        <v>7</v>
      </c>
    </row>
    <row r="167" spans="1:6" ht="14.95" customHeight="1" thickBot="1" x14ac:dyDescent="0.3">
      <c r="A167" s="62" t="s">
        <v>1138</v>
      </c>
      <c r="B167" s="62" t="s">
        <v>957</v>
      </c>
      <c r="C167" s="9">
        <v>1</v>
      </c>
      <c r="D167" s="2" t="s">
        <v>98</v>
      </c>
      <c r="E167" s="2" t="s">
        <v>94</v>
      </c>
      <c r="F167" s="19">
        <v>7</v>
      </c>
    </row>
    <row r="168" spans="1:6" ht="14.95" customHeight="1" thickBot="1" x14ac:dyDescent="0.3">
      <c r="A168" s="62" t="s">
        <v>1005</v>
      </c>
      <c r="B168" s="62" t="s">
        <v>960</v>
      </c>
      <c r="C168" s="9">
        <v>1</v>
      </c>
      <c r="D168" s="2" t="s">
        <v>98</v>
      </c>
      <c r="E168" s="2" t="s">
        <v>104</v>
      </c>
      <c r="F168" s="19">
        <v>7</v>
      </c>
    </row>
    <row r="169" spans="1:6" ht="14.95" customHeight="1" thickBot="1" x14ac:dyDescent="0.3">
      <c r="A169" s="10" t="s">
        <v>844</v>
      </c>
      <c r="B169" s="62" t="s">
        <v>282</v>
      </c>
      <c r="C169" s="9">
        <v>1</v>
      </c>
      <c r="D169" s="2" t="s">
        <v>98</v>
      </c>
      <c r="E169" s="2" t="s">
        <v>95</v>
      </c>
      <c r="F169" s="18">
        <v>7</v>
      </c>
    </row>
    <row r="170" spans="1:6" ht="14.95" customHeight="1" thickBot="1" x14ac:dyDescent="0.3">
      <c r="A170" s="62" t="s">
        <v>131</v>
      </c>
      <c r="B170" s="62" t="s">
        <v>104</v>
      </c>
      <c r="C170" s="9">
        <v>1</v>
      </c>
      <c r="D170" s="17" t="s">
        <v>98</v>
      </c>
      <c r="E170" s="17" t="s">
        <v>105</v>
      </c>
      <c r="F170" s="19">
        <v>7</v>
      </c>
    </row>
    <row r="171" spans="1:6" ht="14.95" customHeight="1" thickBot="1" x14ac:dyDescent="0.3">
      <c r="A171" s="62" t="s">
        <v>1250</v>
      </c>
      <c r="B171" s="62" t="s">
        <v>96</v>
      </c>
      <c r="C171" s="9">
        <v>1</v>
      </c>
      <c r="D171" s="2" t="s">
        <v>993</v>
      </c>
      <c r="E171" s="2" t="s">
        <v>953</v>
      </c>
      <c r="F171" s="19">
        <v>7</v>
      </c>
    </row>
    <row r="172" spans="1:6" ht="14.95" customHeight="1" thickBot="1" x14ac:dyDescent="0.3">
      <c r="A172" s="62" t="s">
        <v>408</v>
      </c>
      <c r="B172" s="62" t="s">
        <v>95</v>
      </c>
      <c r="C172" s="9">
        <v>1</v>
      </c>
      <c r="D172" s="2" t="s">
        <v>1080</v>
      </c>
      <c r="E172" s="2" t="s">
        <v>955</v>
      </c>
      <c r="F172" s="19">
        <v>7</v>
      </c>
    </row>
    <row r="173" spans="1:6" ht="14.95" customHeight="1" thickBot="1" x14ac:dyDescent="0.3">
      <c r="A173" s="62" t="s">
        <v>1097</v>
      </c>
      <c r="B173" s="62" t="s">
        <v>366</v>
      </c>
      <c r="C173" s="9">
        <v>1</v>
      </c>
      <c r="D173" s="2" t="s">
        <v>140</v>
      </c>
      <c r="E173" s="2" t="s">
        <v>97</v>
      </c>
      <c r="F173" s="19">
        <v>6</v>
      </c>
    </row>
    <row r="174" spans="1:6" ht="14.95" customHeight="1" thickBot="1" x14ac:dyDescent="0.3">
      <c r="A174" s="62" t="s">
        <v>1103</v>
      </c>
      <c r="B174" s="62" t="s">
        <v>952</v>
      </c>
      <c r="C174" s="9">
        <v>1</v>
      </c>
      <c r="D174" s="2" t="s">
        <v>526</v>
      </c>
      <c r="E174" s="2" t="s">
        <v>961</v>
      </c>
      <c r="F174" s="19">
        <v>6</v>
      </c>
    </row>
    <row r="175" spans="1:6" ht="14.95" customHeight="1" thickBot="1" x14ac:dyDescent="0.3">
      <c r="A175" s="62" t="s">
        <v>1277</v>
      </c>
      <c r="B175" s="62" t="s">
        <v>953</v>
      </c>
      <c r="C175" s="9">
        <v>1</v>
      </c>
      <c r="D175" s="2" t="s">
        <v>1070</v>
      </c>
      <c r="E175" s="2" t="s">
        <v>94</v>
      </c>
      <c r="F175" s="19">
        <v>5</v>
      </c>
    </row>
    <row r="176" spans="1:6" ht="14.95" customHeight="1" thickBot="1" x14ac:dyDescent="0.3">
      <c r="A176" s="62" t="s">
        <v>1235</v>
      </c>
      <c r="B176" s="62" t="s">
        <v>956</v>
      </c>
      <c r="C176" s="9">
        <v>1</v>
      </c>
      <c r="D176" s="2" t="s">
        <v>1219</v>
      </c>
      <c r="E176" s="2" t="s">
        <v>961</v>
      </c>
      <c r="F176" s="19">
        <v>5</v>
      </c>
    </row>
    <row r="177" spans="1:6" ht="14.95" customHeight="1" thickBot="1" x14ac:dyDescent="0.3">
      <c r="A177" s="62" t="s">
        <v>539</v>
      </c>
      <c r="B177" s="62" t="s">
        <v>282</v>
      </c>
      <c r="C177" s="9">
        <v>1</v>
      </c>
      <c r="D177" s="2" t="s">
        <v>802</v>
      </c>
      <c r="E177" s="2" t="s">
        <v>620</v>
      </c>
      <c r="F177" s="18">
        <v>5</v>
      </c>
    </row>
    <row r="178" spans="1:6" ht="14.95" customHeight="1" thickBot="1" x14ac:dyDescent="0.3">
      <c r="A178" s="62" t="s">
        <v>944</v>
      </c>
      <c r="B178" s="62" t="s">
        <v>108</v>
      </c>
      <c r="C178" s="9">
        <v>1</v>
      </c>
      <c r="D178" s="17" t="s">
        <v>1254</v>
      </c>
      <c r="E178" s="17" t="s">
        <v>94</v>
      </c>
      <c r="F178" s="19">
        <v>5</v>
      </c>
    </row>
    <row r="179" spans="1:6" ht="14.95" customHeight="1" thickBot="1" x14ac:dyDescent="0.3">
      <c r="A179" s="62" t="s">
        <v>1013</v>
      </c>
      <c r="B179" s="62" t="s">
        <v>958</v>
      </c>
      <c r="C179" s="9">
        <v>1</v>
      </c>
      <c r="D179" s="17" t="s">
        <v>470</v>
      </c>
      <c r="E179" s="17" t="s">
        <v>104</v>
      </c>
      <c r="F179" s="19">
        <v>5</v>
      </c>
    </row>
    <row r="180" spans="1:6" ht="14.95" customHeight="1" thickBot="1" x14ac:dyDescent="0.3">
      <c r="A180" s="62" t="s">
        <v>1273</v>
      </c>
      <c r="B180" s="62" t="s">
        <v>961</v>
      </c>
      <c r="C180" s="9">
        <v>1</v>
      </c>
      <c r="D180" s="2" t="s">
        <v>971</v>
      </c>
      <c r="E180" s="2" t="s">
        <v>97</v>
      </c>
      <c r="F180" s="19">
        <v>5</v>
      </c>
    </row>
    <row r="181" spans="1:6" ht="14.95" customHeight="1" thickBot="1" x14ac:dyDescent="0.3">
      <c r="A181" s="62" t="s">
        <v>1073</v>
      </c>
      <c r="B181" s="62" t="s">
        <v>961</v>
      </c>
      <c r="C181" s="9">
        <v>1</v>
      </c>
      <c r="D181" s="2" t="s">
        <v>607</v>
      </c>
      <c r="E181" s="2" t="s">
        <v>95</v>
      </c>
      <c r="F181" s="19">
        <v>5</v>
      </c>
    </row>
    <row r="182" spans="1:6" ht="14.95" customHeight="1" thickBot="1" x14ac:dyDescent="0.3">
      <c r="A182" s="62" t="s">
        <v>444</v>
      </c>
      <c r="B182" s="62" t="s">
        <v>104</v>
      </c>
      <c r="C182" s="9">
        <v>1</v>
      </c>
      <c r="D182" s="17" t="s">
        <v>221</v>
      </c>
      <c r="E182" s="17" t="s">
        <v>108</v>
      </c>
      <c r="F182" s="19">
        <v>5</v>
      </c>
    </row>
    <row r="183" spans="1:6" ht="14.95" customHeight="1" thickBot="1" x14ac:dyDescent="0.3">
      <c r="A183" s="62" t="s">
        <v>852</v>
      </c>
      <c r="B183" s="62" t="s">
        <v>282</v>
      </c>
      <c r="C183" s="9">
        <v>1</v>
      </c>
      <c r="D183" s="2" t="s">
        <v>181</v>
      </c>
      <c r="E183" s="2" t="s">
        <v>95</v>
      </c>
      <c r="F183" s="19">
        <v>5</v>
      </c>
    </row>
    <row r="184" spans="1:6" ht="14.95" customHeight="1" thickBot="1" x14ac:dyDescent="0.3">
      <c r="A184" s="62" t="s">
        <v>986</v>
      </c>
      <c r="B184" s="62" t="s">
        <v>96</v>
      </c>
      <c r="C184" s="9">
        <v>1</v>
      </c>
      <c r="D184" s="2" t="s">
        <v>1099</v>
      </c>
      <c r="E184" s="2" t="s">
        <v>956</v>
      </c>
      <c r="F184" s="19">
        <v>5</v>
      </c>
    </row>
    <row r="185" spans="1:6" ht="14.95" customHeight="1" thickBot="1" x14ac:dyDescent="0.3">
      <c r="A185" s="62" t="s">
        <v>939</v>
      </c>
      <c r="B185" s="62" t="s">
        <v>282</v>
      </c>
      <c r="C185" s="9">
        <v>1</v>
      </c>
      <c r="D185" s="2" t="s">
        <v>1282</v>
      </c>
      <c r="E185" s="2" t="s">
        <v>97</v>
      </c>
      <c r="F185" s="19">
        <v>5</v>
      </c>
    </row>
    <row r="186" spans="1:6" ht="14.95" customHeight="1" thickBot="1" x14ac:dyDescent="0.3">
      <c r="A186" s="62" t="s">
        <v>723</v>
      </c>
      <c r="B186" s="62" t="s">
        <v>108</v>
      </c>
      <c r="C186" s="49">
        <v>1</v>
      </c>
      <c r="D186" s="2" t="s">
        <v>1134</v>
      </c>
      <c r="E186" s="2" t="s">
        <v>961</v>
      </c>
      <c r="F186" s="19">
        <v>5</v>
      </c>
    </row>
    <row r="187" spans="1:6" ht="14.95" customHeight="1" thickBot="1" x14ac:dyDescent="0.3">
      <c r="A187" s="62" t="s">
        <v>748</v>
      </c>
      <c r="B187" s="62" t="s">
        <v>108</v>
      </c>
      <c r="C187" s="49">
        <v>1</v>
      </c>
      <c r="D187" s="2" t="s">
        <v>904</v>
      </c>
      <c r="E187" s="2" t="s">
        <v>366</v>
      </c>
      <c r="F187" s="19">
        <v>5</v>
      </c>
    </row>
    <row r="188" spans="1:6" ht="14.95" customHeight="1" thickBot="1" x14ac:dyDescent="0.3">
      <c r="A188" s="62" t="s">
        <v>1111</v>
      </c>
      <c r="B188" s="62" t="s">
        <v>105</v>
      </c>
      <c r="C188" s="9">
        <v>1</v>
      </c>
      <c r="D188" s="2" t="s">
        <v>286</v>
      </c>
      <c r="E188" s="2" t="s">
        <v>282</v>
      </c>
      <c r="F188" s="19">
        <v>5</v>
      </c>
    </row>
    <row r="189" spans="1:6" ht="14.95" customHeight="1" thickBot="1" x14ac:dyDescent="0.3">
      <c r="A189" s="62" t="s">
        <v>1095</v>
      </c>
      <c r="B189" s="62" t="s">
        <v>366</v>
      </c>
      <c r="C189" s="9">
        <v>1</v>
      </c>
      <c r="D189" s="2" t="s">
        <v>619</v>
      </c>
      <c r="E189" s="2" t="s">
        <v>282</v>
      </c>
      <c r="F189" s="19">
        <v>5</v>
      </c>
    </row>
    <row r="190" spans="1:6" ht="14.95" customHeight="1" thickBot="1" x14ac:dyDescent="0.3">
      <c r="A190" s="62" t="s">
        <v>336</v>
      </c>
      <c r="B190" s="62" t="s">
        <v>108</v>
      </c>
      <c r="C190" s="9">
        <v>1</v>
      </c>
      <c r="D190" s="2" t="s">
        <v>998</v>
      </c>
      <c r="E190" s="2" t="s">
        <v>956</v>
      </c>
      <c r="F190" s="19">
        <v>5</v>
      </c>
    </row>
    <row r="191" spans="1:6" ht="14.95" customHeight="1" thickBot="1" x14ac:dyDescent="0.3">
      <c r="A191" s="10" t="s">
        <v>455</v>
      </c>
      <c r="B191" s="10" t="s">
        <v>95</v>
      </c>
      <c r="C191" s="9">
        <v>1</v>
      </c>
      <c r="D191" s="17" t="s">
        <v>1110</v>
      </c>
      <c r="E191" s="17" t="s">
        <v>95</v>
      </c>
      <c r="F191" s="19">
        <v>5</v>
      </c>
    </row>
    <row r="192" spans="1:6" ht="14.95" customHeight="1" thickBot="1" x14ac:dyDescent="0.3">
      <c r="A192" s="62" t="s">
        <v>1137</v>
      </c>
      <c r="B192" s="62" t="s">
        <v>957</v>
      </c>
      <c r="C192" s="9">
        <v>1</v>
      </c>
      <c r="D192" s="2" t="s">
        <v>1220</v>
      </c>
      <c r="E192" s="2" t="s">
        <v>94</v>
      </c>
      <c r="F192" s="19">
        <v>5</v>
      </c>
    </row>
    <row r="193" spans="1:6" ht="14.95" customHeight="1" thickBot="1" x14ac:dyDescent="0.3">
      <c r="A193" s="62" t="s">
        <v>507</v>
      </c>
      <c r="B193" s="62" t="s">
        <v>366</v>
      </c>
      <c r="C193" s="9">
        <v>1</v>
      </c>
      <c r="D193" s="2" t="s">
        <v>555</v>
      </c>
      <c r="E193" s="2" t="s">
        <v>105</v>
      </c>
      <c r="F193" s="19">
        <v>5</v>
      </c>
    </row>
    <row r="194" spans="1:6" ht="14.95" customHeight="1" thickBot="1" x14ac:dyDescent="0.3">
      <c r="A194" s="62" t="s">
        <v>688</v>
      </c>
      <c r="B194" s="62" t="s">
        <v>94</v>
      </c>
      <c r="C194" s="9">
        <v>1</v>
      </c>
      <c r="D194" s="2" t="s">
        <v>1217</v>
      </c>
      <c r="E194" s="2" t="s">
        <v>961</v>
      </c>
      <c r="F194" s="19">
        <v>5</v>
      </c>
    </row>
    <row r="195" spans="1:6" ht="14.95" customHeight="1" thickBot="1" x14ac:dyDescent="0.3">
      <c r="A195" s="62" t="s">
        <v>1120</v>
      </c>
      <c r="B195" s="62" t="s">
        <v>953</v>
      </c>
      <c r="C195" s="9">
        <v>1</v>
      </c>
      <c r="D195" s="2" t="s">
        <v>185</v>
      </c>
      <c r="E195" s="2" t="s">
        <v>105</v>
      </c>
      <c r="F195" s="19">
        <v>5</v>
      </c>
    </row>
    <row r="196" spans="1:6" ht="14.95" customHeight="1" thickBot="1" x14ac:dyDescent="0.3">
      <c r="A196" s="62" t="s">
        <v>139</v>
      </c>
      <c r="B196" s="62" t="s">
        <v>108</v>
      </c>
      <c r="C196" s="9">
        <v>1</v>
      </c>
      <c r="D196" s="2" t="s">
        <v>490</v>
      </c>
      <c r="E196" s="2" t="s">
        <v>956</v>
      </c>
      <c r="F196" s="19">
        <v>5</v>
      </c>
    </row>
    <row r="197" spans="1:6" ht="14.95" customHeight="1" thickBot="1" x14ac:dyDescent="0.3">
      <c r="A197" s="62" t="s">
        <v>1256</v>
      </c>
      <c r="B197" s="62" t="s">
        <v>958</v>
      </c>
      <c r="C197" s="9">
        <v>1</v>
      </c>
      <c r="D197" s="2" t="s">
        <v>1294</v>
      </c>
      <c r="E197" s="2" t="s">
        <v>952</v>
      </c>
      <c r="F197" s="19">
        <v>5</v>
      </c>
    </row>
    <row r="198" spans="1:6" ht="14.95" customHeight="1" thickBot="1" x14ac:dyDescent="0.3">
      <c r="A198" s="62" t="s">
        <v>549</v>
      </c>
      <c r="B198" s="62" t="s">
        <v>108</v>
      </c>
      <c r="C198" s="9">
        <v>1</v>
      </c>
      <c r="D198" s="2" t="s">
        <v>128</v>
      </c>
      <c r="E198" s="2" t="s">
        <v>94</v>
      </c>
      <c r="F198" s="20">
        <v>5</v>
      </c>
    </row>
    <row r="199" spans="1:6" ht="14.95" customHeight="1" thickBot="1" x14ac:dyDescent="0.3">
      <c r="A199" s="62" t="s">
        <v>1234</v>
      </c>
      <c r="B199" s="62" t="s">
        <v>104</v>
      </c>
      <c r="C199" s="9">
        <v>1</v>
      </c>
      <c r="D199" s="2" t="s">
        <v>1114</v>
      </c>
      <c r="E199" s="2" t="s">
        <v>955</v>
      </c>
      <c r="F199" s="19">
        <v>5</v>
      </c>
    </row>
    <row r="200" spans="1:6" ht="14.95" customHeight="1" thickBot="1" x14ac:dyDescent="0.3">
      <c r="A200" s="62" t="s">
        <v>1218</v>
      </c>
      <c r="B200" s="62" t="s">
        <v>961</v>
      </c>
      <c r="C200" s="9">
        <v>1</v>
      </c>
      <c r="D200" s="2" t="s">
        <v>626</v>
      </c>
      <c r="E200" s="2" t="s">
        <v>96</v>
      </c>
      <c r="F200" s="19">
        <v>5</v>
      </c>
    </row>
    <row r="201" spans="1:6" ht="14.95" customHeight="1" thickBot="1" x14ac:dyDescent="0.3">
      <c r="A201" s="62" t="s">
        <v>1129</v>
      </c>
      <c r="B201" s="62" t="s">
        <v>960</v>
      </c>
      <c r="C201" s="9">
        <v>1</v>
      </c>
      <c r="D201" s="2" t="s">
        <v>1251</v>
      </c>
      <c r="E201" s="2" t="s">
        <v>958</v>
      </c>
      <c r="F201" s="19">
        <v>5</v>
      </c>
    </row>
    <row r="202" spans="1:6" ht="14.95" customHeight="1" thickBot="1" x14ac:dyDescent="0.3">
      <c r="A202" s="62" t="s">
        <v>1300</v>
      </c>
      <c r="B202" s="62" t="s">
        <v>956</v>
      </c>
      <c r="C202" s="9">
        <v>1</v>
      </c>
      <c r="D202" s="2" t="s">
        <v>1299</v>
      </c>
      <c r="E202" s="2" t="s">
        <v>94</v>
      </c>
      <c r="F202" s="19">
        <v>5</v>
      </c>
    </row>
    <row r="203" spans="1:6" ht="14.95" customHeight="1" thickBot="1" x14ac:dyDescent="0.3">
      <c r="A203" s="62" t="s">
        <v>962</v>
      </c>
      <c r="B203" s="62" t="s">
        <v>961</v>
      </c>
      <c r="C203" s="9">
        <v>1</v>
      </c>
      <c r="D203" s="2" t="s">
        <v>1086</v>
      </c>
      <c r="E203" s="2" t="s">
        <v>97</v>
      </c>
      <c r="F203" s="19">
        <v>5</v>
      </c>
    </row>
    <row r="204" spans="1:6" ht="14.95" customHeight="1" thickBot="1" x14ac:dyDescent="0.3">
      <c r="A204" s="62" t="s">
        <v>1252</v>
      </c>
      <c r="B204" s="62" t="s">
        <v>958</v>
      </c>
      <c r="C204" s="439">
        <v>1</v>
      </c>
      <c r="D204" s="2" t="s">
        <v>1247</v>
      </c>
      <c r="E204" s="2" t="s">
        <v>96</v>
      </c>
      <c r="F204" s="19">
        <v>5</v>
      </c>
    </row>
    <row r="205" spans="1:6" ht="14.95" customHeight="1" thickBot="1" x14ac:dyDescent="0.3">
      <c r="A205" s="62" t="s">
        <v>1289</v>
      </c>
      <c r="B205" s="62" t="s">
        <v>960</v>
      </c>
      <c r="C205" s="9">
        <v>1</v>
      </c>
      <c r="D205" s="2" t="s">
        <v>1255</v>
      </c>
      <c r="E205" s="2" t="s">
        <v>960</v>
      </c>
      <c r="F205" s="19">
        <v>5</v>
      </c>
    </row>
    <row r="206" spans="1:6" ht="14.95" customHeight="1" thickBot="1" x14ac:dyDescent="0.3">
      <c r="A206" s="62" t="s">
        <v>1263</v>
      </c>
      <c r="B206" s="62" t="s">
        <v>959</v>
      </c>
      <c r="C206" s="9">
        <v>1</v>
      </c>
      <c r="D206" s="2" t="s">
        <v>1222</v>
      </c>
      <c r="E206" s="2" t="s">
        <v>959</v>
      </c>
      <c r="F206" s="19">
        <v>5</v>
      </c>
    </row>
    <row r="207" spans="1:6" ht="14.95" customHeight="1" thickBot="1" x14ac:dyDescent="0.3">
      <c r="A207" s="62" t="s">
        <v>141</v>
      </c>
      <c r="B207" s="62" t="s">
        <v>105</v>
      </c>
      <c r="C207" s="9">
        <v>1</v>
      </c>
      <c r="D207" s="2" t="s">
        <v>1236</v>
      </c>
      <c r="E207" s="2" t="s">
        <v>952</v>
      </c>
      <c r="F207" s="19">
        <v>5</v>
      </c>
    </row>
    <row r="208" spans="1:6" ht="14.95" customHeight="1" thickBot="1" x14ac:dyDescent="0.3">
      <c r="A208" s="62" t="s">
        <v>946</v>
      </c>
      <c r="B208" s="62" t="s">
        <v>104</v>
      </c>
      <c r="C208" s="6">
        <v>1</v>
      </c>
      <c r="D208" s="2" t="s">
        <v>1226</v>
      </c>
      <c r="E208" s="2" t="s">
        <v>95</v>
      </c>
      <c r="F208" s="19">
        <v>5</v>
      </c>
    </row>
    <row r="209" spans="1:6" ht="14.95" customHeight="1" thickBot="1" x14ac:dyDescent="0.3">
      <c r="A209" s="62" t="s">
        <v>682</v>
      </c>
      <c r="B209" s="62" t="s">
        <v>97</v>
      </c>
      <c r="C209" s="9">
        <v>1</v>
      </c>
      <c r="D209" s="2" t="s">
        <v>243</v>
      </c>
      <c r="E209" s="2" t="s">
        <v>96</v>
      </c>
      <c r="F209" s="19">
        <v>5</v>
      </c>
    </row>
    <row r="210" spans="1:6" ht="14.95" customHeight="1" thickBot="1" x14ac:dyDescent="0.3">
      <c r="A210" s="62" t="s">
        <v>1271</v>
      </c>
      <c r="B210" s="62" t="s">
        <v>955</v>
      </c>
      <c r="C210" s="9">
        <v>1</v>
      </c>
      <c r="D210" s="2" t="s">
        <v>1138</v>
      </c>
      <c r="E210" s="2" t="s">
        <v>957</v>
      </c>
      <c r="F210" s="19">
        <v>5</v>
      </c>
    </row>
    <row r="211" spans="1:6" ht="14.95" customHeight="1" thickBot="1" x14ac:dyDescent="0.3">
      <c r="A211" s="62" t="s">
        <v>84</v>
      </c>
      <c r="B211" s="62" t="s">
        <v>958</v>
      </c>
      <c r="C211" s="9">
        <v>1</v>
      </c>
      <c r="D211" s="2" t="s">
        <v>1005</v>
      </c>
      <c r="E211" s="2" t="s">
        <v>960</v>
      </c>
      <c r="F211" s="20">
        <v>5</v>
      </c>
    </row>
    <row r="212" spans="1:6" ht="14.95" customHeight="1" thickBot="1" x14ac:dyDescent="0.3">
      <c r="A212" s="62" t="s">
        <v>489</v>
      </c>
      <c r="B212" s="62" t="s">
        <v>104</v>
      </c>
      <c r="C212" s="9">
        <v>1</v>
      </c>
      <c r="D212" s="17" t="s">
        <v>844</v>
      </c>
      <c r="E212" s="17" t="s">
        <v>282</v>
      </c>
      <c r="F212" s="19">
        <v>5</v>
      </c>
    </row>
    <row r="213" spans="1:6" ht="14.95" customHeight="1" thickBot="1" x14ac:dyDescent="0.3">
      <c r="A213" s="62" t="s">
        <v>977</v>
      </c>
      <c r="B213" s="62" t="s">
        <v>954</v>
      </c>
      <c r="C213" s="9">
        <v>1</v>
      </c>
      <c r="D213" s="2" t="s">
        <v>131</v>
      </c>
      <c r="E213" s="2" t="s">
        <v>104</v>
      </c>
      <c r="F213" s="19">
        <v>5</v>
      </c>
    </row>
    <row r="214" spans="1:6" ht="14.95" customHeight="1" thickBot="1" x14ac:dyDescent="0.3">
      <c r="A214" s="62" t="s">
        <v>1142</v>
      </c>
      <c r="B214" s="62" t="s">
        <v>959</v>
      </c>
      <c r="C214" s="9">
        <v>1</v>
      </c>
      <c r="D214" s="2" t="s">
        <v>408</v>
      </c>
      <c r="E214" s="2" t="s">
        <v>95</v>
      </c>
      <c r="F214" s="19">
        <v>5</v>
      </c>
    </row>
    <row r="215" spans="1:6" ht="14.95" customHeight="1" thickBot="1" x14ac:dyDescent="0.3">
      <c r="A215" s="62" t="s">
        <v>1143</v>
      </c>
      <c r="B215" s="62" t="s">
        <v>959</v>
      </c>
      <c r="C215" s="9">
        <v>1</v>
      </c>
      <c r="D215" s="2" t="s">
        <v>1103</v>
      </c>
      <c r="E215" s="2" t="s">
        <v>952</v>
      </c>
      <c r="F215" s="19">
        <v>5</v>
      </c>
    </row>
    <row r="216" spans="1:6" ht="14.95" customHeight="1" thickBot="1" x14ac:dyDescent="0.3">
      <c r="A216" s="62" t="s">
        <v>768</v>
      </c>
      <c r="B216" s="62" t="s">
        <v>94</v>
      </c>
      <c r="C216" s="9">
        <v>1</v>
      </c>
      <c r="D216" s="2" t="s">
        <v>1277</v>
      </c>
      <c r="E216" s="2" t="s">
        <v>953</v>
      </c>
      <c r="F216" s="19">
        <v>5</v>
      </c>
    </row>
    <row r="217" spans="1:6" ht="14.95" customHeight="1" thickBot="1" x14ac:dyDescent="0.3">
      <c r="A217" s="62" t="s">
        <v>1224</v>
      </c>
      <c r="B217" s="62" t="s">
        <v>95</v>
      </c>
      <c r="C217" s="9">
        <v>1</v>
      </c>
      <c r="D217" s="2" t="s">
        <v>1235</v>
      </c>
      <c r="E217" s="2" t="s">
        <v>956</v>
      </c>
      <c r="F217" s="19">
        <v>5</v>
      </c>
    </row>
    <row r="218" spans="1:6" ht="14.95" customHeight="1" thickBot="1" x14ac:dyDescent="0.3">
      <c r="A218" s="62" t="s">
        <v>934</v>
      </c>
      <c r="B218" s="62" t="s">
        <v>97</v>
      </c>
      <c r="C218" s="9">
        <v>1</v>
      </c>
      <c r="D218" s="2" t="s">
        <v>539</v>
      </c>
      <c r="E218" s="2" t="s">
        <v>282</v>
      </c>
      <c r="F218" s="19">
        <v>5</v>
      </c>
    </row>
    <row r="219" spans="1:6" ht="14.95" customHeight="1" thickBot="1" x14ac:dyDescent="0.3">
      <c r="A219" s="62" t="s">
        <v>1124</v>
      </c>
      <c r="B219" s="62" t="s">
        <v>952</v>
      </c>
      <c r="C219" s="9">
        <v>1</v>
      </c>
      <c r="D219" s="2" t="s">
        <v>944</v>
      </c>
      <c r="E219" s="2" t="s">
        <v>108</v>
      </c>
      <c r="F219" s="19">
        <v>5</v>
      </c>
    </row>
    <row r="220" spans="1:6" ht="14.95" customHeight="1" thickBot="1" x14ac:dyDescent="0.3">
      <c r="A220" s="62" t="s">
        <v>806</v>
      </c>
      <c r="B220" s="10" t="s">
        <v>620</v>
      </c>
      <c r="C220" s="9">
        <v>1</v>
      </c>
      <c r="D220" s="2" t="s">
        <v>1013</v>
      </c>
      <c r="E220" s="2" t="s">
        <v>958</v>
      </c>
      <c r="F220" s="19">
        <v>5</v>
      </c>
    </row>
    <row r="221" spans="1:6" ht="14.95" customHeight="1" thickBot="1" x14ac:dyDescent="0.3">
      <c r="A221" s="62" t="s">
        <v>1074</v>
      </c>
      <c r="B221" s="62" t="s">
        <v>961</v>
      </c>
      <c r="C221" s="9">
        <v>1</v>
      </c>
      <c r="D221" s="2" t="s">
        <v>1273</v>
      </c>
      <c r="E221" s="2" t="s">
        <v>961</v>
      </c>
      <c r="F221" s="19">
        <v>5</v>
      </c>
    </row>
    <row r="222" spans="1:6" ht="14.95" customHeight="1" thickBot="1" x14ac:dyDescent="0.3">
      <c r="A222" s="10" t="s">
        <v>1262</v>
      </c>
      <c r="B222" s="10" t="s">
        <v>96</v>
      </c>
      <c r="C222" s="9">
        <v>1</v>
      </c>
      <c r="D222" s="2" t="s">
        <v>1073</v>
      </c>
      <c r="E222" s="2" t="s">
        <v>961</v>
      </c>
      <c r="F222" s="19">
        <v>5</v>
      </c>
    </row>
    <row r="223" spans="1:6" ht="14.95" customHeight="1" thickBot="1" x14ac:dyDescent="0.3">
      <c r="A223" s="62" t="s">
        <v>1076</v>
      </c>
      <c r="B223" s="62" t="s">
        <v>94</v>
      </c>
      <c r="C223" s="9">
        <v>1</v>
      </c>
      <c r="D223" s="2" t="s">
        <v>444</v>
      </c>
      <c r="E223" s="2" t="s">
        <v>104</v>
      </c>
      <c r="F223" s="19">
        <v>5</v>
      </c>
    </row>
    <row r="224" spans="1:6" ht="14.95" customHeight="1" thickBot="1" x14ac:dyDescent="0.3">
      <c r="A224" s="62" t="s">
        <v>1135</v>
      </c>
      <c r="B224" s="62" t="s">
        <v>954</v>
      </c>
      <c r="C224" s="9">
        <v>1</v>
      </c>
      <c r="D224" s="2" t="s">
        <v>852</v>
      </c>
      <c r="E224" s="2" t="s">
        <v>282</v>
      </c>
      <c r="F224" s="19">
        <v>5</v>
      </c>
    </row>
    <row r="225" spans="1:6" ht="14.95" customHeight="1" thickBot="1" x14ac:dyDescent="0.3">
      <c r="A225" s="415" t="s">
        <v>981</v>
      </c>
      <c r="B225" s="62" t="s">
        <v>954</v>
      </c>
      <c r="C225" s="9">
        <v>1</v>
      </c>
      <c r="D225" s="2" t="s">
        <v>986</v>
      </c>
      <c r="E225" s="2" t="s">
        <v>96</v>
      </c>
      <c r="F225" s="19">
        <v>5</v>
      </c>
    </row>
    <row r="226" spans="1:6" ht="14.95" customHeight="1" thickBot="1" x14ac:dyDescent="0.3">
      <c r="A226" s="62" t="s">
        <v>857</v>
      </c>
      <c r="B226" s="62" t="s">
        <v>97</v>
      </c>
      <c r="C226" s="9">
        <v>1</v>
      </c>
      <c r="D226" s="2" t="s">
        <v>939</v>
      </c>
      <c r="E226" s="2" t="s">
        <v>282</v>
      </c>
      <c r="F226" s="19">
        <v>5</v>
      </c>
    </row>
    <row r="227" spans="1:6" ht="14.95" customHeight="1" thickBot="1" x14ac:dyDescent="0.3">
      <c r="A227" s="62" t="s">
        <v>144</v>
      </c>
      <c r="B227" s="62" t="s">
        <v>104</v>
      </c>
      <c r="C227" s="9">
        <v>1</v>
      </c>
      <c r="D227" s="2" t="s">
        <v>723</v>
      </c>
      <c r="E227" s="2" t="s">
        <v>108</v>
      </c>
      <c r="F227" s="19">
        <v>5</v>
      </c>
    </row>
    <row r="228" spans="1:6" ht="14.95" customHeight="1" thickBot="1" x14ac:dyDescent="0.3">
      <c r="A228" s="62" t="s">
        <v>1249</v>
      </c>
      <c r="B228" s="62" t="s">
        <v>96</v>
      </c>
      <c r="C228" s="9">
        <v>1</v>
      </c>
      <c r="D228" s="2" t="s">
        <v>748</v>
      </c>
      <c r="E228" s="2" t="s">
        <v>108</v>
      </c>
      <c r="F228" s="19">
        <v>5</v>
      </c>
    </row>
    <row r="229" spans="1:6" ht="14.95" customHeight="1" thickBot="1" x14ac:dyDescent="0.3">
      <c r="A229" s="62" t="s">
        <v>1108</v>
      </c>
      <c r="B229" s="62" t="s">
        <v>108</v>
      </c>
      <c r="C229" s="9">
        <v>1</v>
      </c>
      <c r="D229" s="2" t="s">
        <v>1111</v>
      </c>
      <c r="E229" s="2" t="s">
        <v>105</v>
      </c>
      <c r="F229" s="19">
        <v>5</v>
      </c>
    </row>
    <row r="230" spans="1:6" ht="14.95" customHeight="1" thickBot="1" x14ac:dyDescent="0.3">
      <c r="A230" s="62" t="s">
        <v>236</v>
      </c>
      <c r="B230" s="62" t="s">
        <v>104</v>
      </c>
      <c r="C230" s="9">
        <v>1</v>
      </c>
      <c r="D230" s="2" t="s">
        <v>1095</v>
      </c>
      <c r="E230" s="2" t="s">
        <v>366</v>
      </c>
      <c r="F230" s="19">
        <v>5</v>
      </c>
    </row>
    <row r="231" spans="1:6" ht="14.95" customHeight="1" thickBot="1" x14ac:dyDescent="0.3">
      <c r="A231" s="62" t="s">
        <v>1130</v>
      </c>
      <c r="B231" s="62" t="s">
        <v>960</v>
      </c>
      <c r="C231" s="9">
        <v>1</v>
      </c>
      <c r="D231" s="2" t="s">
        <v>336</v>
      </c>
      <c r="E231" s="2" t="s">
        <v>108</v>
      </c>
      <c r="F231" s="19">
        <v>5</v>
      </c>
    </row>
    <row r="232" spans="1:6" ht="14.95" customHeight="1" thickBot="1" x14ac:dyDescent="0.3">
      <c r="A232" s="10" t="s">
        <v>248</v>
      </c>
      <c r="B232" s="10" t="s">
        <v>620</v>
      </c>
      <c r="C232" s="9">
        <v>1</v>
      </c>
      <c r="D232" s="17" t="s">
        <v>455</v>
      </c>
      <c r="E232" s="2" t="s">
        <v>95</v>
      </c>
      <c r="F232" s="19">
        <v>5</v>
      </c>
    </row>
    <row r="233" spans="1:6" ht="14.95" customHeight="1" thickBot="1" x14ac:dyDescent="0.3">
      <c r="A233" s="62" t="s">
        <v>1101</v>
      </c>
      <c r="B233" s="62" t="s">
        <v>956</v>
      </c>
      <c r="C233" s="9">
        <v>1</v>
      </c>
      <c r="D233" s="2" t="s">
        <v>1137</v>
      </c>
      <c r="E233" s="2" t="s">
        <v>957</v>
      </c>
      <c r="F233" s="19">
        <v>5</v>
      </c>
    </row>
    <row r="234" spans="1:6" ht="14.95" customHeight="1" thickBot="1" x14ac:dyDescent="0.3">
      <c r="A234" s="62" t="s">
        <v>515</v>
      </c>
      <c r="B234" s="62" t="s">
        <v>97</v>
      </c>
      <c r="C234" s="9">
        <v>1</v>
      </c>
      <c r="D234" s="2" t="s">
        <v>507</v>
      </c>
      <c r="E234" s="2" t="s">
        <v>366</v>
      </c>
      <c r="F234" s="18">
        <v>5</v>
      </c>
    </row>
    <row r="235" spans="1:6" ht="14.95" customHeight="1" thickBot="1" x14ac:dyDescent="0.3">
      <c r="A235" s="62" t="s">
        <v>879</v>
      </c>
      <c r="B235" s="62" t="s">
        <v>95</v>
      </c>
      <c r="C235" s="9">
        <v>1</v>
      </c>
      <c r="D235" s="2" t="s">
        <v>573</v>
      </c>
      <c r="E235" s="2" t="s">
        <v>94</v>
      </c>
      <c r="F235" s="19">
        <v>5</v>
      </c>
    </row>
    <row r="236" spans="1:6" ht="14.95" customHeight="1" thickBot="1" x14ac:dyDescent="0.3">
      <c r="A236" s="62" t="s">
        <v>807</v>
      </c>
      <c r="B236" s="10" t="s">
        <v>620</v>
      </c>
      <c r="C236" s="9">
        <v>1</v>
      </c>
      <c r="D236" s="2" t="s">
        <v>1120</v>
      </c>
      <c r="E236" s="2" t="s">
        <v>953</v>
      </c>
      <c r="F236" s="19">
        <v>5</v>
      </c>
    </row>
    <row r="237" spans="1:6" ht="14.95" customHeight="1" thickBot="1" x14ac:dyDescent="0.3">
      <c r="A237" s="62" t="s">
        <v>713</v>
      </c>
      <c r="B237" s="62" t="s">
        <v>108</v>
      </c>
      <c r="C237" s="9">
        <v>1</v>
      </c>
      <c r="D237" s="2" t="s">
        <v>139</v>
      </c>
      <c r="E237" s="2" t="s">
        <v>108</v>
      </c>
      <c r="F237" s="19">
        <v>5</v>
      </c>
    </row>
    <row r="238" spans="1:6" ht="14.95" customHeight="1" thickBot="1" x14ac:dyDescent="0.3">
      <c r="A238" s="62" t="s">
        <v>461</v>
      </c>
      <c r="B238" s="62" t="s">
        <v>954</v>
      </c>
      <c r="C238" s="9">
        <v>1</v>
      </c>
      <c r="D238" s="2" t="s">
        <v>1256</v>
      </c>
      <c r="E238" s="2" t="s">
        <v>958</v>
      </c>
      <c r="F238" s="19">
        <v>5</v>
      </c>
    </row>
    <row r="239" spans="1:6" ht="14.95" customHeight="1" thickBot="1" x14ac:dyDescent="0.3">
      <c r="A239" s="62" t="s">
        <v>1288</v>
      </c>
      <c r="B239" s="62" t="s">
        <v>961</v>
      </c>
      <c r="C239" s="9">
        <v>1</v>
      </c>
      <c r="D239" s="2" t="s">
        <v>549</v>
      </c>
      <c r="E239" s="2" t="s">
        <v>108</v>
      </c>
      <c r="F239" s="19">
        <v>5</v>
      </c>
    </row>
    <row r="240" spans="1:6" ht="14.95" customHeight="1" thickBot="1" x14ac:dyDescent="0.3">
      <c r="A240" s="62" t="s">
        <v>648</v>
      </c>
      <c r="B240" s="62" t="s">
        <v>282</v>
      </c>
      <c r="C240" s="6">
        <v>1</v>
      </c>
      <c r="D240" s="2" t="s">
        <v>1234</v>
      </c>
      <c r="E240" s="2" t="s">
        <v>104</v>
      </c>
      <c r="F240" s="19">
        <v>5</v>
      </c>
    </row>
    <row r="241" spans="1:6" ht="14.95" customHeight="1" thickBot="1" x14ac:dyDescent="0.3">
      <c r="A241" s="62" t="s">
        <v>1223</v>
      </c>
      <c r="B241" s="62" t="s">
        <v>959</v>
      </c>
      <c r="C241" s="9">
        <v>1</v>
      </c>
      <c r="D241" s="2" t="s">
        <v>1218</v>
      </c>
      <c r="E241" s="2" t="s">
        <v>961</v>
      </c>
      <c r="F241" s="19">
        <v>5</v>
      </c>
    </row>
    <row r="242" spans="1:6" ht="14.95" customHeight="1" thickBot="1" x14ac:dyDescent="0.3">
      <c r="A242" s="62" t="s">
        <v>923</v>
      </c>
      <c r="B242" s="62" t="s">
        <v>97</v>
      </c>
      <c r="C242" s="9">
        <v>1</v>
      </c>
      <c r="D242" s="2" t="s">
        <v>1129</v>
      </c>
      <c r="E242" s="2" t="s">
        <v>960</v>
      </c>
      <c r="F242" s="19">
        <v>5</v>
      </c>
    </row>
    <row r="243" spans="1:6" ht="14.95" customHeight="1" thickBot="1" x14ac:dyDescent="0.3">
      <c r="A243" s="62" t="s">
        <v>1102</v>
      </c>
      <c r="B243" s="62" t="s">
        <v>952</v>
      </c>
      <c r="C243" s="9">
        <v>1</v>
      </c>
      <c r="D243" s="2" t="s">
        <v>1300</v>
      </c>
      <c r="E243" s="2" t="s">
        <v>956</v>
      </c>
      <c r="F243" s="19">
        <v>5</v>
      </c>
    </row>
    <row r="244" spans="1:6" ht="14.95" customHeight="1" thickBot="1" x14ac:dyDescent="0.3">
      <c r="A244" s="62" t="s">
        <v>922</v>
      </c>
      <c r="B244" s="62" t="s">
        <v>366</v>
      </c>
      <c r="C244" s="9">
        <v>1</v>
      </c>
      <c r="D244" s="2" t="s">
        <v>1252</v>
      </c>
      <c r="E244" s="2" t="s">
        <v>958</v>
      </c>
      <c r="F244" s="19">
        <v>5</v>
      </c>
    </row>
    <row r="245" spans="1:6" ht="14.95" customHeight="1" thickBot="1" x14ac:dyDescent="0.3">
      <c r="A245" s="62" t="s">
        <v>1286</v>
      </c>
      <c r="B245" s="62" t="s">
        <v>959</v>
      </c>
      <c r="C245" s="9">
        <v>1</v>
      </c>
      <c r="D245" s="2" t="s">
        <v>1289</v>
      </c>
      <c r="E245" s="2" t="s">
        <v>960</v>
      </c>
      <c r="F245" s="19">
        <v>5</v>
      </c>
    </row>
    <row r="246" spans="1:6" ht="14.95" customHeight="1" thickBot="1" x14ac:dyDescent="0.3">
      <c r="A246" s="62" t="s">
        <v>1091</v>
      </c>
      <c r="B246" s="62" t="s">
        <v>366</v>
      </c>
      <c r="C246" s="9">
        <v>1</v>
      </c>
      <c r="D246" s="2" t="s">
        <v>1263</v>
      </c>
      <c r="E246" s="2" t="s">
        <v>959</v>
      </c>
      <c r="F246" s="19">
        <v>5</v>
      </c>
    </row>
    <row r="247" spans="1:6" ht="14.95" customHeight="1" thickBot="1" x14ac:dyDescent="0.3">
      <c r="A247" s="62" t="s">
        <v>1004</v>
      </c>
      <c r="B247" s="62" t="s">
        <v>960</v>
      </c>
      <c r="C247" s="9">
        <v>1</v>
      </c>
      <c r="D247" s="2" t="s">
        <v>141</v>
      </c>
      <c r="E247" s="2" t="s">
        <v>105</v>
      </c>
      <c r="F247" s="19">
        <v>5</v>
      </c>
    </row>
    <row r="248" spans="1:6" ht="14.95" customHeight="1" thickBot="1" x14ac:dyDescent="0.3">
      <c r="A248" s="62" t="s">
        <v>1296</v>
      </c>
      <c r="B248" s="62" t="s">
        <v>954</v>
      </c>
      <c r="C248" s="9">
        <v>1</v>
      </c>
      <c r="D248" s="261" t="s">
        <v>946</v>
      </c>
      <c r="E248" s="261" t="s">
        <v>104</v>
      </c>
      <c r="F248" s="19">
        <v>5</v>
      </c>
    </row>
    <row r="249" spans="1:6" ht="14.95" customHeight="1" thickBot="1" x14ac:dyDescent="0.3">
      <c r="A249" s="62" t="s">
        <v>272</v>
      </c>
      <c r="B249" s="62" t="s">
        <v>108</v>
      </c>
      <c r="C249" s="9">
        <v>1</v>
      </c>
      <c r="D249" s="2" t="s">
        <v>682</v>
      </c>
      <c r="E249" s="2" t="s">
        <v>97</v>
      </c>
      <c r="F249" s="19">
        <v>5</v>
      </c>
    </row>
    <row r="250" spans="1:6" ht="14.95" customHeight="1" thickBot="1" x14ac:dyDescent="0.3">
      <c r="A250" s="62" t="s">
        <v>1083</v>
      </c>
      <c r="B250" s="62" t="s">
        <v>954</v>
      </c>
      <c r="C250" s="9">
        <v>1</v>
      </c>
      <c r="D250" s="2" t="s">
        <v>1271</v>
      </c>
      <c r="E250" s="2" t="s">
        <v>955</v>
      </c>
      <c r="F250" s="19">
        <v>5</v>
      </c>
    </row>
    <row r="251" spans="1:6" ht="14.95" customHeight="1" thickBot="1" x14ac:dyDescent="0.3">
      <c r="A251" s="62" t="s">
        <v>1072</v>
      </c>
      <c r="B251" s="62" t="s">
        <v>94</v>
      </c>
      <c r="C251" s="9">
        <v>1</v>
      </c>
      <c r="D251" s="2" t="s">
        <v>84</v>
      </c>
      <c r="E251" s="2" t="s">
        <v>958</v>
      </c>
      <c r="F251" s="19">
        <v>5</v>
      </c>
    </row>
    <row r="252" spans="1:6" ht="14.95" customHeight="1" thickBot="1" x14ac:dyDescent="0.3">
      <c r="A252" s="62" t="s">
        <v>1098</v>
      </c>
      <c r="B252" s="62" t="s">
        <v>956</v>
      </c>
      <c r="C252" s="9">
        <v>1</v>
      </c>
      <c r="D252" s="2" t="s">
        <v>489</v>
      </c>
      <c r="E252" s="2" t="s">
        <v>104</v>
      </c>
      <c r="F252" s="19">
        <v>5</v>
      </c>
    </row>
    <row r="253" spans="1:6" ht="14.95" customHeight="1" thickBot="1" x14ac:dyDescent="0.3">
      <c r="A253" s="62" t="s">
        <v>972</v>
      </c>
      <c r="B253" s="62" t="s">
        <v>955</v>
      </c>
      <c r="C253" s="9">
        <v>1</v>
      </c>
      <c r="D253" s="2" t="s">
        <v>977</v>
      </c>
      <c r="E253" s="2" t="s">
        <v>954</v>
      </c>
      <c r="F253" s="19">
        <v>5</v>
      </c>
    </row>
    <row r="254" spans="1:6" ht="14.95" customHeight="1" thickBot="1" x14ac:dyDescent="0.3">
      <c r="A254" s="62" t="s">
        <v>1307</v>
      </c>
      <c r="B254" s="10" t="s">
        <v>95</v>
      </c>
      <c r="C254" s="9">
        <v>1</v>
      </c>
      <c r="D254" s="2" t="s">
        <v>1142</v>
      </c>
      <c r="E254" s="2" t="s">
        <v>959</v>
      </c>
      <c r="F254" s="19">
        <v>5</v>
      </c>
    </row>
    <row r="255" spans="1:6" ht="14.95" customHeight="1" thickBot="1" x14ac:dyDescent="0.3">
      <c r="A255" s="10" t="s">
        <v>654</v>
      </c>
      <c r="B255" s="10" t="s">
        <v>282</v>
      </c>
      <c r="C255" s="9">
        <v>1</v>
      </c>
      <c r="D255" s="2" t="s">
        <v>1143</v>
      </c>
      <c r="E255" s="2" t="s">
        <v>959</v>
      </c>
      <c r="F255" s="19">
        <v>5</v>
      </c>
    </row>
    <row r="256" spans="1:6" ht="14.95" customHeight="1" thickBot="1" x14ac:dyDescent="0.3">
      <c r="A256" s="62" t="s">
        <v>1275</v>
      </c>
      <c r="B256" s="62" t="s">
        <v>282</v>
      </c>
      <c r="C256" s="9">
        <v>1</v>
      </c>
      <c r="D256" s="2" t="s">
        <v>768</v>
      </c>
      <c r="E256" s="2" t="s">
        <v>94</v>
      </c>
      <c r="F256" s="19">
        <v>5</v>
      </c>
    </row>
    <row r="257" spans="1:6" ht="14.95" customHeight="1" thickBot="1" x14ac:dyDescent="0.3">
      <c r="A257" s="62" t="s">
        <v>1265</v>
      </c>
      <c r="B257" s="62" t="s">
        <v>97</v>
      </c>
      <c r="C257" s="9">
        <v>1</v>
      </c>
      <c r="D257" s="2" t="s">
        <v>1224</v>
      </c>
      <c r="E257" s="2" t="s">
        <v>95</v>
      </c>
      <c r="F257" s="19">
        <v>5</v>
      </c>
    </row>
    <row r="258" spans="1:6" ht="14.95" customHeight="1" thickBot="1" x14ac:dyDescent="0.3">
      <c r="A258" s="62" t="s">
        <v>4</v>
      </c>
      <c r="B258" s="62" t="s">
        <v>953</v>
      </c>
      <c r="C258" s="9">
        <v>1</v>
      </c>
      <c r="D258" s="2" t="s">
        <v>934</v>
      </c>
      <c r="E258" s="2" t="s">
        <v>97</v>
      </c>
      <c r="F258" s="19">
        <v>5</v>
      </c>
    </row>
    <row r="259" spans="1:6" ht="14.95" customHeight="1" thickBot="1" x14ac:dyDescent="0.3">
      <c r="A259" s="62" t="s">
        <v>4</v>
      </c>
      <c r="B259" s="62" t="s">
        <v>957</v>
      </c>
      <c r="C259" s="9">
        <v>1</v>
      </c>
      <c r="D259" s="2" t="s">
        <v>1124</v>
      </c>
      <c r="E259" s="2" t="s">
        <v>952</v>
      </c>
      <c r="F259" s="19">
        <v>5</v>
      </c>
    </row>
    <row r="260" spans="1:6" ht="14.95" customHeight="1" thickBot="1" x14ac:dyDescent="0.3">
      <c r="A260" s="62" t="s">
        <v>4</v>
      </c>
      <c r="B260" s="62" t="s">
        <v>960</v>
      </c>
      <c r="C260" s="9">
        <v>1</v>
      </c>
      <c r="D260" s="2" t="s">
        <v>806</v>
      </c>
      <c r="E260" s="2" t="s">
        <v>620</v>
      </c>
      <c r="F260" s="19">
        <v>5</v>
      </c>
    </row>
    <row r="261" spans="1:6" ht="14.95" customHeight="1" thickBot="1" x14ac:dyDescent="0.3">
      <c r="A261" s="62" t="s">
        <v>4</v>
      </c>
      <c r="B261" s="62" t="s">
        <v>955</v>
      </c>
      <c r="C261" s="9">
        <v>1</v>
      </c>
      <c r="D261" s="2" t="s">
        <v>1074</v>
      </c>
      <c r="E261" s="2" t="s">
        <v>961</v>
      </c>
      <c r="F261" s="19">
        <v>5</v>
      </c>
    </row>
    <row r="262" spans="1:6" ht="14.95" customHeight="1" thickBot="1" x14ac:dyDescent="0.3">
      <c r="A262" s="62" t="s">
        <v>98</v>
      </c>
      <c r="B262" s="62" t="s">
        <v>108</v>
      </c>
      <c r="C262" s="9">
        <v>1</v>
      </c>
      <c r="D262" s="2" t="s">
        <v>1262</v>
      </c>
      <c r="E262" s="2" t="s">
        <v>96</v>
      </c>
      <c r="F262" s="19">
        <v>5</v>
      </c>
    </row>
    <row r="263" spans="1:6" ht="14.95" customHeight="1" thickBot="1" x14ac:dyDescent="0.3">
      <c r="A263" s="62" t="s">
        <v>98</v>
      </c>
      <c r="B263" s="62" t="s">
        <v>94</v>
      </c>
      <c r="C263" s="9">
        <v>1</v>
      </c>
      <c r="D263" s="2" t="s">
        <v>1076</v>
      </c>
      <c r="E263" s="2" t="s">
        <v>94</v>
      </c>
      <c r="F263" s="19">
        <v>5</v>
      </c>
    </row>
    <row r="264" spans="1:6" ht="14.95" customHeight="1" thickBot="1" x14ac:dyDescent="0.3">
      <c r="A264" s="62" t="s">
        <v>98</v>
      </c>
      <c r="B264" s="62" t="s">
        <v>104</v>
      </c>
      <c r="C264" s="9">
        <v>1</v>
      </c>
      <c r="D264" s="2" t="s">
        <v>1135</v>
      </c>
      <c r="E264" s="2" t="s">
        <v>954</v>
      </c>
      <c r="F264" s="19">
        <v>5</v>
      </c>
    </row>
    <row r="265" spans="1:6" ht="14.95" customHeight="1" thickBot="1" x14ac:dyDescent="0.3">
      <c r="A265" s="62" t="s">
        <v>98</v>
      </c>
      <c r="B265" s="62" t="s">
        <v>95</v>
      </c>
      <c r="C265" s="9">
        <v>1</v>
      </c>
      <c r="D265" s="2" t="s">
        <v>981</v>
      </c>
      <c r="E265" s="2" t="s">
        <v>954</v>
      </c>
      <c r="F265" s="20">
        <v>5</v>
      </c>
    </row>
    <row r="266" spans="1:6" ht="14.95" customHeight="1" thickBot="1" x14ac:dyDescent="0.3">
      <c r="A266" s="10" t="s">
        <v>98</v>
      </c>
      <c r="B266" s="10" t="s">
        <v>105</v>
      </c>
      <c r="C266" s="9">
        <v>1</v>
      </c>
      <c r="D266" s="2" t="s">
        <v>585</v>
      </c>
      <c r="E266" s="2" t="s">
        <v>97</v>
      </c>
      <c r="F266" s="20">
        <v>5</v>
      </c>
    </row>
    <row r="267" spans="1:6" ht="14.95" customHeight="1" thickBot="1" x14ac:dyDescent="0.3">
      <c r="A267" s="10" t="s">
        <v>793</v>
      </c>
      <c r="B267" s="10" t="s">
        <v>620</v>
      </c>
      <c r="C267" s="9">
        <v>1</v>
      </c>
      <c r="D267" s="2" t="s">
        <v>144</v>
      </c>
      <c r="E267" s="2" t="s">
        <v>104</v>
      </c>
      <c r="F267" s="18">
        <v>5</v>
      </c>
    </row>
    <row r="268" spans="1:6" ht="14.95" customHeight="1" thickBot="1" x14ac:dyDescent="0.3">
      <c r="A268" s="62" t="s">
        <v>1284</v>
      </c>
      <c r="B268" s="62" t="s">
        <v>97</v>
      </c>
      <c r="C268" s="9">
        <v>1</v>
      </c>
      <c r="D268" s="2" t="s">
        <v>1249</v>
      </c>
      <c r="E268" s="2" t="s">
        <v>96</v>
      </c>
      <c r="F268" s="19">
        <v>5</v>
      </c>
    </row>
    <row r="269" spans="1:6" ht="14.95" customHeight="1" thickBot="1" x14ac:dyDescent="0.3">
      <c r="A269" s="62" t="s">
        <v>509</v>
      </c>
      <c r="B269" s="62" t="s">
        <v>97</v>
      </c>
      <c r="C269" s="9">
        <v>1</v>
      </c>
      <c r="D269" s="2" t="s">
        <v>1108</v>
      </c>
      <c r="E269" s="2" t="s">
        <v>108</v>
      </c>
      <c r="F269" s="19">
        <v>5</v>
      </c>
    </row>
    <row r="270" spans="1:6" ht="14.95" customHeight="1" thickBot="1" x14ac:dyDescent="0.3">
      <c r="A270" s="62" t="s">
        <v>1287</v>
      </c>
      <c r="B270" s="62" t="s">
        <v>961</v>
      </c>
      <c r="C270" s="9">
        <v>1</v>
      </c>
      <c r="D270" s="2" t="s">
        <v>236</v>
      </c>
      <c r="E270" s="2" t="s">
        <v>104</v>
      </c>
      <c r="F270" s="19">
        <v>5</v>
      </c>
    </row>
    <row r="271" spans="1:6" ht="14.95" customHeight="1" thickBot="1" x14ac:dyDescent="0.3">
      <c r="A271" s="62" t="s">
        <v>993</v>
      </c>
      <c r="B271" s="62" t="s">
        <v>953</v>
      </c>
      <c r="C271" s="9">
        <v>1</v>
      </c>
      <c r="D271" s="2" t="s">
        <v>1130</v>
      </c>
      <c r="E271" s="2" t="s">
        <v>960</v>
      </c>
      <c r="F271" s="19">
        <v>5</v>
      </c>
    </row>
    <row r="272" spans="1:6" ht="14.95" customHeight="1" thickBot="1" x14ac:dyDescent="0.3">
      <c r="A272" s="62" t="s">
        <v>155</v>
      </c>
      <c r="B272" s="62" t="s">
        <v>94</v>
      </c>
      <c r="C272" s="9">
        <v>1</v>
      </c>
      <c r="D272" s="17" t="s">
        <v>248</v>
      </c>
      <c r="E272" s="17" t="s">
        <v>620</v>
      </c>
      <c r="F272" s="19">
        <v>5</v>
      </c>
    </row>
    <row r="273" spans="1:6" ht="14.95" customHeight="1" thickBot="1" x14ac:dyDescent="0.3">
      <c r="A273" s="62" t="s">
        <v>156</v>
      </c>
      <c r="B273" s="62" t="s">
        <v>96</v>
      </c>
      <c r="C273" s="9">
        <v>1</v>
      </c>
      <c r="D273" s="2" t="s">
        <v>515</v>
      </c>
      <c r="E273" s="2" t="s">
        <v>97</v>
      </c>
      <c r="F273" s="19">
        <v>5</v>
      </c>
    </row>
    <row r="274" spans="1:6" ht="14.95" customHeight="1" thickBot="1" x14ac:dyDescent="0.3">
      <c r="A274" s="62" t="s">
        <v>157</v>
      </c>
      <c r="B274" s="62" t="s">
        <v>95</v>
      </c>
      <c r="C274" s="9">
        <v>1</v>
      </c>
      <c r="D274" s="2" t="s">
        <v>879</v>
      </c>
      <c r="E274" s="2" t="s">
        <v>95</v>
      </c>
      <c r="F274" s="19">
        <v>5</v>
      </c>
    </row>
    <row r="275" spans="1:6" ht="14.95" customHeight="1" thickBot="1" x14ac:dyDescent="0.3">
      <c r="A275" s="62" t="s">
        <v>418</v>
      </c>
      <c r="B275" s="62" t="s">
        <v>94</v>
      </c>
      <c r="C275" s="9">
        <v>1</v>
      </c>
      <c r="D275" s="2" t="s">
        <v>807</v>
      </c>
      <c r="E275" s="2" t="s">
        <v>620</v>
      </c>
      <c r="F275" s="19">
        <v>5</v>
      </c>
    </row>
    <row r="276" spans="1:6" ht="14.95" customHeight="1" thickBot="1" x14ac:dyDescent="0.3">
      <c r="A276" s="62" t="s">
        <v>1133</v>
      </c>
      <c r="B276" s="62" t="s">
        <v>961</v>
      </c>
      <c r="C276" s="9">
        <v>1</v>
      </c>
      <c r="D276" s="2" t="s">
        <v>713</v>
      </c>
      <c r="E276" s="2" t="s">
        <v>108</v>
      </c>
      <c r="F276" s="19">
        <v>5</v>
      </c>
    </row>
    <row r="277" spans="1:6" ht="14.95" customHeight="1" thickBot="1" x14ac:dyDescent="0.3">
      <c r="A277" s="62" t="s">
        <v>475</v>
      </c>
      <c r="B277" s="62" t="s">
        <v>104</v>
      </c>
      <c r="C277" s="9">
        <v>1</v>
      </c>
      <c r="D277" s="2" t="s">
        <v>461</v>
      </c>
      <c r="E277" s="2" t="s">
        <v>954</v>
      </c>
      <c r="F277" s="19">
        <v>5</v>
      </c>
    </row>
    <row r="278" spans="1:6" ht="14.95" customHeight="1" thickBot="1" x14ac:dyDescent="0.3">
      <c r="A278" s="62" t="s">
        <v>970</v>
      </c>
      <c r="B278" s="62" t="s">
        <v>95</v>
      </c>
      <c r="C278" s="9">
        <v>1</v>
      </c>
      <c r="D278" s="2" t="s">
        <v>648</v>
      </c>
      <c r="E278" s="2" t="s">
        <v>282</v>
      </c>
      <c r="F278" s="19">
        <v>5</v>
      </c>
    </row>
    <row r="279" spans="1:6" ht="14.95" customHeight="1" thickBot="1" x14ac:dyDescent="0.3">
      <c r="A279" s="62" t="s">
        <v>976</v>
      </c>
      <c r="B279" s="62" t="s">
        <v>954</v>
      </c>
      <c r="C279" s="9">
        <v>1</v>
      </c>
      <c r="D279" s="2" t="s">
        <v>1223</v>
      </c>
      <c r="E279" s="2" t="s">
        <v>959</v>
      </c>
      <c r="F279" s="19">
        <v>5</v>
      </c>
    </row>
    <row r="280" spans="1:6" ht="14.95" customHeight="1" thickBot="1" x14ac:dyDescent="0.3">
      <c r="A280" s="62" t="s">
        <v>324</v>
      </c>
      <c r="B280" s="62" t="s">
        <v>95</v>
      </c>
      <c r="C280" s="9">
        <v>1</v>
      </c>
      <c r="D280" s="2" t="s">
        <v>923</v>
      </c>
      <c r="E280" s="2" t="s">
        <v>97</v>
      </c>
      <c r="F280" s="19">
        <v>5</v>
      </c>
    </row>
    <row r="281" spans="1:6" ht="14.95" customHeight="1" thickBot="1" x14ac:dyDescent="0.3">
      <c r="A281" s="62" t="s">
        <v>875</v>
      </c>
      <c r="B281" s="62" t="s">
        <v>95</v>
      </c>
      <c r="C281" s="6">
        <v>1</v>
      </c>
      <c r="D281" s="2" t="s">
        <v>1102</v>
      </c>
      <c r="E281" s="2" t="s">
        <v>952</v>
      </c>
      <c r="F281" s="19">
        <v>5</v>
      </c>
    </row>
    <row r="282" spans="1:6" ht="14.95" customHeight="1" thickBot="1" x14ac:dyDescent="0.3">
      <c r="A282" s="62" t="s">
        <v>1112</v>
      </c>
      <c r="B282" s="10" t="s">
        <v>620</v>
      </c>
      <c r="C282" s="9">
        <v>1</v>
      </c>
      <c r="D282" s="2" t="s">
        <v>922</v>
      </c>
      <c r="E282" s="2" t="s">
        <v>366</v>
      </c>
      <c r="F282" s="19">
        <v>5</v>
      </c>
    </row>
    <row r="283" spans="1:6" ht="14.95" customHeight="1" thickBot="1" x14ac:dyDescent="0.3">
      <c r="A283" s="62" t="s">
        <v>811</v>
      </c>
      <c r="B283" s="10" t="s">
        <v>620</v>
      </c>
      <c r="C283" s="9">
        <v>1</v>
      </c>
      <c r="D283" s="2" t="s">
        <v>1286</v>
      </c>
      <c r="E283" s="2" t="s">
        <v>959</v>
      </c>
      <c r="F283" s="19">
        <v>5</v>
      </c>
    </row>
    <row r="284" spans="1:6" ht="14.95" customHeight="1" thickBot="1" x14ac:dyDescent="0.3">
      <c r="A284" s="62" t="s">
        <v>1003</v>
      </c>
      <c r="B284" s="62" t="s">
        <v>104</v>
      </c>
      <c r="C284" s="9">
        <v>1</v>
      </c>
      <c r="D284" s="2" t="s">
        <v>1091</v>
      </c>
      <c r="E284" s="2" t="s">
        <v>366</v>
      </c>
      <c r="F284" s="19">
        <v>5</v>
      </c>
    </row>
    <row r="285" spans="1:6" ht="14.95" customHeight="1" thickBot="1" x14ac:dyDescent="0.3">
      <c r="A285" s="62" t="s">
        <v>595</v>
      </c>
      <c r="B285" s="10" t="s">
        <v>620</v>
      </c>
      <c r="C285" s="9">
        <v>1</v>
      </c>
      <c r="D285" s="2" t="s">
        <v>1004</v>
      </c>
      <c r="E285" s="2" t="s">
        <v>960</v>
      </c>
      <c r="F285" s="19">
        <v>5</v>
      </c>
    </row>
    <row r="286" spans="1:6" ht="14.95" customHeight="1" thickBot="1" x14ac:dyDescent="0.3">
      <c r="A286" s="62" t="s">
        <v>1237</v>
      </c>
      <c r="B286" s="62" t="s">
        <v>960</v>
      </c>
      <c r="C286" s="9">
        <v>1</v>
      </c>
      <c r="D286" s="2" t="s">
        <v>1296</v>
      </c>
      <c r="E286" s="2" t="s">
        <v>954</v>
      </c>
      <c r="F286" s="19">
        <v>5</v>
      </c>
    </row>
    <row r="287" spans="1:6" ht="14.95" customHeight="1" thickBot="1" x14ac:dyDescent="0.3">
      <c r="A287" s="62" t="s">
        <v>996</v>
      </c>
      <c r="B287" s="62" t="s">
        <v>956</v>
      </c>
      <c r="C287" s="9">
        <v>1</v>
      </c>
      <c r="D287" s="2" t="s">
        <v>272</v>
      </c>
      <c r="E287" s="2" t="s">
        <v>108</v>
      </c>
      <c r="F287" s="19">
        <v>5</v>
      </c>
    </row>
    <row r="288" spans="1:6" ht="14.95" customHeight="1" thickBot="1" x14ac:dyDescent="0.3">
      <c r="A288" s="62" t="s">
        <v>1113</v>
      </c>
      <c r="B288" s="62" t="s">
        <v>955</v>
      </c>
      <c r="C288" s="9">
        <v>1</v>
      </c>
      <c r="D288" s="2" t="s">
        <v>1083</v>
      </c>
      <c r="E288" s="2" t="s">
        <v>954</v>
      </c>
      <c r="F288" s="18">
        <v>5</v>
      </c>
    </row>
    <row r="289" spans="1:6" ht="14.95" customHeight="1" thickBot="1" x14ac:dyDescent="0.3">
      <c r="A289" s="62" t="s">
        <v>1292</v>
      </c>
      <c r="B289" s="62" t="s">
        <v>952</v>
      </c>
      <c r="C289" s="9">
        <v>1</v>
      </c>
      <c r="D289" s="2" t="s">
        <v>1072</v>
      </c>
      <c r="E289" s="2" t="s">
        <v>94</v>
      </c>
      <c r="F289" s="19">
        <v>5</v>
      </c>
    </row>
    <row r="290" spans="1:6" ht="14.95" customHeight="1" thickBot="1" x14ac:dyDescent="0.3">
      <c r="A290" s="62" t="s">
        <v>1139</v>
      </c>
      <c r="B290" s="62" t="s">
        <v>957</v>
      </c>
      <c r="C290" s="9">
        <v>1</v>
      </c>
      <c r="D290" s="2" t="s">
        <v>1098</v>
      </c>
      <c r="E290" s="2" t="s">
        <v>956</v>
      </c>
      <c r="F290" s="19">
        <v>5</v>
      </c>
    </row>
    <row r="291" spans="1:6" ht="14.95" customHeight="1" thickBot="1" x14ac:dyDescent="0.3">
      <c r="A291" s="62" t="s">
        <v>836</v>
      </c>
      <c r="B291" s="62" t="s">
        <v>282</v>
      </c>
      <c r="C291" s="9">
        <v>1</v>
      </c>
      <c r="D291" s="2" t="s">
        <v>972</v>
      </c>
      <c r="E291" s="2" t="s">
        <v>955</v>
      </c>
      <c r="F291" s="19">
        <v>5</v>
      </c>
    </row>
    <row r="292" spans="1:6" ht="14.95" customHeight="1" thickBot="1" x14ac:dyDescent="0.3">
      <c r="A292" s="62" t="s">
        <v>1230</v>
      </c>
      <c r="B292" s="62" t="s">
        <v>955</v>
      </c>
      <c r="C292" s="9">
        <v>1</v>
      </c>
      <c r="D292" s="21" t="s">
        <v>1307</v>
      </c>
      <c r="E292" s="21" t="s">
        <v>95</v>
      </c>
      <c r="F292" s="19">
        <v>5</v>
      </c>
    </row>
    <row r="293" spans="1:6" ht="14.95" customHeight="1" thickBot="1" x14ac:dyDescent="0.3">
      <c r="A293" s="62" t="s">
        <v>1123</v>
      </c>
      <c r="B293" s="62" t="s">
        <v>952</v>
      </c>
      <c r="C293" s="9">
        <v>1</v>
      </c>
      <c r="D293" s="21" t="s">
        <v>654</v>
      </c>
      <c r="E293" s="21" t="s">
        <v>282</v>
      </c>
      <c r="F293" s="19">
        <v>5</v>
      </c>
    </row>
    <row r="294" spans="1:6" ht="14.95" customHeight="1" thickBot="1" x14ac:dyDescent="0.3">
      <c r="A294" s="9" t="s">
        <v>293</v>
      </c>
      <c r="B294" s="10" t="s">
        <v>282</v>
      </c>
      <c r="C294" s="9">
        <v>1</v>
      </c>
      <c r="D294" s="21" t="s">
        <v>1275</v>
      </c>
      <c r="E294" s="21" t="s">
        <v>282</v>
      </c>
      <c r="F294" s="20">
        <v>5</v>
      </c>
    </row>
    <row r="295" spans="1:6" ht="14.95" customHeight="1" thickBot="1" x14ac:dyDescent="0.3">
      <c r="A295" s="8" t="s">
        <v>1141</v>
      </c>
      <c r="B295" s="62" t="s">
        <v>366</v>
      </c>
      <c r="C295" s="9">
        <v>1</v>
      </c>
      <c r="D295" s="21" t="s">
        <v>1265</v>
      </c>
      <c r="E295" s="21" t="s">
        <v>97</v>
      </c>
      <c r="F295" s="20">
        <v>5</v>
      </c>
    </row>
    <row r="296" spans="1:6" ht="14.95" customHeight="1" thickBot="1" x14ac:dyDescent="0.3">
      <c r="A296" s="8" t="s">
        <v>1100</v>
      </c>
      <c r="B296" s="62" t="s">
        <v>956</v>
      </c>
      <c r="C296" s="9">
        <v>1</v>
      </c>
      <c r="D296" s="19" t="s">
        <v>793</v>
      </c>
      <c r="E296" s="19" t="s">
        <v>620</v>
      </c>
      <c r="F296" s="19">
        <v>5</v>
      </c>
    </row>
    <row r="297" spans="1:6" ht="14.95" customHeight="1" thickBot="1" x14ac:dyDescent="0.3">
      <c r="A297" s="8" t="s">
        <v>161</v>
      </c>
      <c r="B297" s="62" t="s">
        <v>94</v>
      </c>
      <c r="C297" s="9">
        <v>1</v>
      </c>
      <c r="D297" s="21" t="s">
        <v>1284</v>
      </c>
      <c r="E297" s="21" t="s">
        <v>97</v>
      </c>
      <c r="F297" s="19">
        <v>5</v>
      </c>
    </row>
    <row r="298" spans="1:6" ht="14.95" customHeight="1" thickBot="1" x14ac:dyDescent="0.3">
      <c r="A298" s="8" t="s">
        <v>1080</v>
      </c>
      <c r="B298" s="62" t="s">
        <v>955</v>
      </c>
      <c r="C298" s="9">
        <v>1</v>
      </c>
      <c r="D298" s="21" t="s">
        <v>509</v>
      </c>
      <c r="E298" s="21" t="s">
        <v>97</v>
      </c>
      <c r="F298" s="19">
        <v>5</v>
      </c>
    </row>
    <row r="299" spans="1:6" ht="14.95" customHeight="1" thickBot="1" x14ac:dyDescent="0.3">
      <c r="A299" s="442" t="s">
        <v>1227</v>
      </c>
      <c r="B299" s="62" t="s">
        <v>954</v>
      </c>
      <c r="C299" s="9">
        <v>1</v>
      </c>
      <c r="D299" s="21" t="s">
        <v>1287</v>
      </c>
      <c r="E299" s="21" t="s">
        <v>961</v>
      </c>
      <c r="F299" s="19">
        <v>5</v>
      </c>
    </row>
    <row r="300" spans="1:6" ht="14.95" customHeight="1" thickBot="1" x14ac:dyDescent="0.3">
      <c r="A300" s="309" t="s">
        <v>916</v>
      </c>
      <c r="B300" s="62" t="s">
        <v>366</v>
      </c>
      <c r="C300" s="6">
        <v>1</v>
      </c>
      <c r="D300" s="21" t="s">
        <v>155</v>
      </c>
      <c r="E300" s="21" t="s">
        <v>94</v>
      </c>
      <c r="F300" s="19">
        <v>5</v>
      </c>
    </row>
    <row r="301" spans="1:6" ht="14.95" customHeight="1" thickBot="1" x14ac:dyDescent="0.3">
      <c r="A301" s="8" t="s">
        <v>1156</v>
      </c>
      <c r="B301" s="62" t="s">
        <v>105</v>
      </c>
      <c r="C301" s="9">
        <v>1</v>
      </c>
      <c r="D301" s="21" t="s">
        <v>156</v>
      </c>
      <c r="E301" s="21" t="s">
        <v>96</v>
      </c>
      <c r="F301" s="19">
        <v>5</v>
      </c>
    </row>
    <row r="302" spans="1:6" ht="14.95" customHeight="1" thickBot="1" x14ac:dyDescent="0.3">
      <c r="A302" s="8" t="s">
        <v>395</v>
      </c>
      <c r="B302" s="62" t="s">
        <v>105</v>
      </c>
      <c r="C302" s="9">
        <v>1</v>
      </c>
      <c r="D302" s="21" t="s">
        <v>157</v>
      </c>
      <c r="E302" s="21" t="s">
        <v>95</v>
      </c>
      <c r="F302" s="19">
        <v>5</v>
      </c>
    </row>
    <row r="303" spans="1:6" ht="14.95" customHeight="1" thickBot="1" x14ac:dyDescent="0.3">
      <c r="A303" s="8" t="s">
        <v>1241</v>
      </c>
      <c r="B303" s="62" t="s">
        <v>366</v>
      </c>
      <c r="C303" s="9">
        <v>1</v>
      </c>
      <c r="D303" s="21" t="s">
        <v>418</v>
      </c>
      <c r="E303" s="21" t="s">
        <v>94</v>
      </c>
      <c r="F303" s="19">
        <v>5</v>
      </c>
    </row>
    <row r="304" spans="1:6" ht="14.95" customHeight="1" thickBot="1" x14ac:dyDescent="0.3">
      <c r="A304" s="8" t="s">
        <v>1231</v>
      </c>
      <c r="B304" s="62" t="s">
        <v>955</v>
      </c>
      <c r="C304" s="9">
        <v>1</v>
      </c>
      <c r="D304" s="21" t="s">
        <v>1133</v>
      </c>
      <c r="E304" s="21" t="s">
        <v>961</v>
      </c>
      <c r="F304" s="19">
        <v>5</v>
      </c>
    </row>
    <row r="305" spans="1:6" ht="14.95" customHeight="1" thickBot="1" x14ac:dyDescent="0.3">
      <c r="A305" s="8" t="s">
        <v>1283</v>
      </c>
      <c r="B305" s="62" t="s">
        <v>955</v>
      </c>
      <c r="C305" s="9">
        <v>1</v>
      </c>
      <c r="D305" s="21" t="s">
        <v>475</v>
      </c>
      <c r="E305" s="21" t="s">
        <v>104</v>
      </c>
      <c r="F305" s="19">
        <v>5</v>
      </c>
    </row>
    <row r="306" spans="1:6" ht="14.95" customHeight="1" thickBot="1" x14ac:dyDescent="0.3">
      <c r="A306" s="9" t="s">
        <v>1078</v>
      </c>
      <c r="B306" s="10" t="s">
        <v>620</v>
      </c>
      <c r="C306" s="9">
        <v>1</v>
      </c>
      <c r="D306" s="21" t="s">
        <v>970</v>
      </c>
      <c r="E306" s="21" t="s">
        <v>95</v>
      </c>
      <c r="F306" s="19">
        <v>5</v>
      </c>
    </row>
    <row r="307" spans="1:6" ht="14.95" customHeight="1" thickBot="1" x14ac:dyDescent="0.3">
      <c r="A307" s="8" t="s">
        <v>164</v>
      </c>
      <c r="B307" s="62" t="s">
        <v>96</v>
      </c>
      <c r="C307" s="49">
        <v>1</v>
      </c>
      <c r="D307" s="21" t="s">
        <v>976</v>
      </c>
      <c r="E307" s="21" t="s">
        <v>954</v>
      </c>
      <c r="F307" s="19">
        <v>5</v>
      </c>
    </row>
    <row r="308" spans="1:6" ht="14.95" customHeight="1" thickBot="1" x14ac:dyDescent="0.3">
      <c r="A308" s="8" t="s">
        <v>447</v>
      </c>
      <c r="B308" s="10" t="s">
        <v>620</v>
      </c>
      <c r="C308" s="9">
        <v>1</v>
      </c>
      <c r="D308" s="21" t="s">
        <v>324</v>
      </c>
      <c r="E308" s="21" t="s">
        <v>95</v>
      </c>
      <c r="F308" s="19">
        <v>5</v>
      </c>
    </row>
    <row r="309" spans="1:6" ht="14.95" customHeight="1" thickBot="1" x14ac:dyDescent="0.3">
      <c r="A309" s="8" t="s">
        <v>209</v>
      </c>
      <c r="B309" s="62" t="s">
        <v>105</v>
      </c>
      <c r="C309" s="9">
        <v>1</v>
      </c>
      <c r="D309" s="21" t="s">
        <v>875</v>
      </c>
      <c r="E309" s="21" t="s">
        <v>95</v>
      </c>
      <c r="F309" s="19">
        <v>5</v>
      </c>
    </row>
    <row r="310" spans="1:6" ht="14.95" customHeight="1" thickBot="1" x14ac:dyDescent="0.3">
      <c r="A310" s="8" t="s">
        <v>936</v>
      </c>
      <c r="B310" s="10" t="s">
        <v>620</v>
      </c>
      <c r="C310" s="9">
        <v>1</v>
      </c>
      <c r="D310" s="21" t="s">
        <v>1112</v>
      </c>
      <c r="E310" s="21" t="s">
        <v>620</v>
      </c>
      <c r="F310" s="19">
        <v>5</v>
      </c>
    </row>
    <row r="311" spans="1:6" ht="14.95" customHeight="1" thickBot="1" x14ac:dyDescent="0.3">
      <c r="A311" s="8" t="s">
        <v>964</v>
      </c>
      <c r="B311" s="62" t="s">
        <v>952</v>
      </c>
      <c r="C311" s="9">
        <v>1</v>
      </c>
      <c r="D311" s="21" t="s">
        <v>811</v>
      </c>
      <c r="E311" s="21" t="s">
        <v>620</v>
      </c>
      <c r="F311" s="19">
        <v>5</v>
      </c>
    </row>
    <row r="312" spans="1:6" ht="14.95" customHeight="1" thickBot="1" x14ac:dyDescent="0.3">
      <c r="A312" s="8" t="s">
        <v>1293</v>
      </c>
      <c r="B312" s="62" t="s">
        <v>952</v>
      </c>
      <c r="C312" s="9">
        <v>1</v>
      </c>
      <c r="D312" s="21" t="s">
        <v>1003</v>
      </c>
      <c r="E312" s="21" t="s">
        <v>104</v>
      </c>
      <c r="F312" s="19">
        <v>5</v>
      </c>
    </row>
    <row r="313" spans="1:6" ht="14.95" customHeight="1" thickBot="1" x14ac:dyDescent="0.3">
      <c r="A313" s="309" t="s">
        <v>440</v>
      </c>
      <c r="B313" s="12" t="s">
        <v>104</v>
      </c>
      <c r="C313" s="6">
        <v>1</v>
      </c>
      <c r="D313" s="21" t="s">
        <v>1237</v>
      </c>
      <c r="E313" s="21" t="s">
        <v>960</v>
      </c>
      <c r="F313" s="18">
        <v>5</v>
      </c>
    </row>
    <row r="314" spans="1:6" ht="14.95" customHeight="1" thickBot="1" x14ac:dyDescent="0.3">
      <c r="A314" s="8" t="s">
        <v>1306</v>
      </c>
      <c r="B314" s="62" t="s">
        <v>94</v>
      </c>
      <c r="C314" s="9">
        <v>1</v>
      </c>
      <c r="D314" s="21" t="s">
        <v>996</v>
      </c>
      <c r="E314" s="21" t="s">
        <v>956</v>
      </c>
      <c r="F314" s="19">
        <v>5</v>
      </c>
    </row>
    <row r="315" spans="1:6" ht="14.95" customHeight="1" thickBot="1" x14ac:dyDescent="0.3">
      <c r="A315" s="8" t="s">
        <v>997</v>
      </c>
      <c r="B315" s="62" t="s">
        <v>956</v>
      </c>
      <c r="C315" s="9">
        <v>1</v>
      </c>
      <c r="D315" s="21" t="s">
        <v>1113</v>
      </c>
      <c r="E315" s="21" t="s">
        <v>955</v>
      </c>
      <c r="F315" s="19">
        <v>5</v>
      </c>
    </row>
    <row r="316" spans="1:6" ht="14.95" customHeight="1" thickBot="1" x14ac:dyDescent="0.3">
      <c r="A316" s="8" t="s">
        <v>1295</v>
      </c>
      <c r="B316" s="62" t="s">
        <v>954</v>
      </c>
      <c r="C316" s="9">
        <v>1</v>
      </c>
      <c r="D316" s="21" t="s">
        <v>1292</v>
      </c>
      <c r="E316" s="21" t="s">
        <v>952</v>
      </c>
      <c r="F316" s="19">
        <v>5</v>
      </c>
    </row>
    <row r="317" spans="1:6" ht="14.95" customHeight="1" thickBot="1" x14ac:dyDescent="0.3">
      <c r="A317" s="8" t="s">
        <v>867</v>
      </c>
      <c r="B317" s="62" t="s">
        <v>97</v>
      </c>
      <c r="C317" s="9">
        <v>1</v>
      </c>
      <c r="D317" s="21" t="s">
        <v>1139</v>
      </c>
      <c r="E317" s="21" t="s">
        <v>957</v>
      </c>
      <c r="F317" s="19">
        <v>5</v>
      </c>
    </row>
    <row r="318" spans="1:6" ht="14.95" customHeight="1" thickBot="1" x14ac:dyDescent="0.3">
      <c r="A318" s="8" t="s">
        <v>390</v>
      </c>
      <c r="B318" s="9" t="s">
        <v>620</v>
      </c>
      <c r="C318" s="9">
        <v>1</v>
      </c>
      <c r="D318" s="21" t="s">
        <v>836</v>
      </c>
      <c r="E318" s="21" t="s">
        <v>282</v>
      </c>
      <c r="F318" s="19">
        <v>5</v>
      </c>
    </row>
    <row r="319" spans="1:6" ht="14.95" customHeight="1" thickBot="1" x14ac:dyDescent="0.3">
      <c r="A319" s="8" t="s">
        <v>279</v>
      </c>
      <c r="B319" s="8" t="s">
        <v>104</v>
      </c>
      <c r="C319" s="9">
        <v>1</v>
      </c>
      <c r="D319" s="21" t="s">
        <v>1230</v>
      </c>
      <c r="E319" s="21" t="s">
        <v>955</v>
      </c>
      <c r="F319" s="19">
        <v>5</v>
      </c>
    </row>
    <row r="320" spans="1:6" ht="14.95" customHeight="1" thickBot="1" x14ac:dyDescent="0.3">
      <c r="A320" s="8" t="s">
        <v>1243</v>
      </c>
      <c r="B320" s="8" t="s">
        <v>957</v>
      </c>
      <c r="C320" s="9">
        <v>1</v>
      </c>
      <c r="D320" s="21" t="s">
        <v>1123</v>
      </c>
      <c r="E320" s="21" t="s">
        <v>952</v>
      </c>
      <c r="F320" s="19">
        <v>5</v>
      </c>
    </row>
    <row r="321" spans="1:6" ht="14.95" customHeight="1" thickBot="1" x14ac:dyDescent="0.3">
      <c r="A321" s="8" t="s">
        <v>1272</v>
      </c>
      <c r="B321" s="8" t="s">
        <v>955</v>
      </c>
      <c r="C321" s="9">
        <v>1</v>
      </c>
      <c r="D321" s="19" t="s">
        <v>293</v>
      </c>
      <c r="E321" s="19" t="s">
        <v>282</v>
      </c>
      <c r="F321" s="19">
        <v>5</v>
      </c>
    </row>
    <row r="322" spans="1:6" ht="14.95" customHeight="1" thickBot="1" x14ac:dyDescent="0.3">
      <c r="A322" s="8" t="s">
        <v>918</v>
      </c>
      <c r="B322" s="8" t="s">
        <v>366</v>
      </c>
      <c r="C322" s="9">
        <v>1</v>
      </c>
      <c r="D322" s="21" t="s">
        <v>1141</v>
      </c>
      <c r="E322" s="21" t="s">
        <v>366</v>
      </c>
      <c r="F322" s="19">
        <v>5</v>
      </c>
    </row>
    <row r="323" spans="1:6" ht="14.95" customHeight="1" thickBot="1" x14ac:dyDescent="0.3">
      <c r="A323" s="8" t="s">
        <v>999</v>
      </c>
      <c r="B323" s="8" t="s">
        <v>956</v>
      </c>
      <c r="C323" s="9">
        <v>1</v>
      </c>
      <c r="D323" s="21" t="s">
        <v>1100</v>
      </c>
      <c r="E323" s="21" t="s">
        <v>956</v>
      </c>
      <c r="F323" s="19">
        <v>5</v>
      </c>
    </row>
    <row r="324" spans="1:6" ht="14.95" customHeight="1" thickBot="1" x14ac:dyDescent="0.3">
      <c r="A324" s="8" t="s">
        <v>1281</v>
      </c>
      <c r="B324" s="8" t="s">
        <v>97</v>
      </c>
      <c r="C324" s="9">
        <v>1</v>
      </c>
      <c r="D324" s="21" t="s">
        <v>161</v>
      </c>
      <c r="E324" s="21" t="s">
        <v>94</v>
      </c>
      <c r="F324" s="19">
        <v>5</v>
      </c>
    </row>
    <row r="325" spans="1:6" ht="14.95" customHeight="1" thickBot="1" x14ac:dyDescent="0.3">
      <c r="A325" s="8" t="s">
        <v>72</v>
      </c>
      <c r="B325" s="9" t="s">
        <v>620</v>
      </c>
      <c r="C325" s="9">
        <v>1</v>
      </c>
      <c r="D325" s="21" t="s">
        <v>1227</v>
      </c>
      <c r="E325" s="21" t="s">
        <v>954</v>
      </c>
      <c r="F325" s="19">
        <v>5</v>
      </c>
    </row>
    <row r="326" spans="1:6" ht="14.95" customHeight="1" thickBot="1" x14ac:dyDescent="0.3">
      <c r="A326" s="8" t="s">
        <v>868</v>
      </c>
      <c r="B326" s="8" t="s">
        <v>97</v>
      </c>
      <c r="C326" s="9">
        <v>1</v>
      </c>
      <c r="D326" s="21" t="s">
        <v>916</v>
      </c>
      <c r="E326" s="21" t="s">
        <v>366</v>
      </c>
      <c r="F326" s="19">
        <v>5</v>
      </c>
    </row>
    <row r="327" spans="1:6" ht="14.95" customHeight="1" thickBot="1" x14ac:dyDescent="0.3">
      <c r="A327" s="8" t="s">
        <v>1115</v>
      </c>
      <c r="B327" s="8" t="s">
        <v>955</v>
      </c>
      <c r="C327" s="9">
        <v>1</v>
      </c>
      <c r="D327" s="21" t="s">
        <v>1156</v>
      </c>
      <c r="E327" s="21" t="s">
        <v>105</v>
      </c>
      <c r="F327" s="19">
        <v>5</v>
      </c>
    </row>
    <row r="328" spans="1:6" ht="14.95" customHeight="1" thickBot="1" x14ac:dyDescent="0.3">
      <c r="A328" s="8" t="s">
        <v>994</v>
      </c>
      <c r="B328" s="8" t="s">
        <v>953</v>
      </c>
      <c r="C328" s="9">
        <v>1</v>
      </c>
      <c r="D328" s="21" t="s">
        <v>395</v>
      </c>
      <c r="E328" s="21" t="s">
        <v>105</v>
      </c>
      <c r="F328" s="19">
        <v>5</v>
      </c>
    </row>
    <row r="329" spans="1:6" ht="14.95" customHeight="1" thickBot="1" x14ac:dyDescent="0.3">
      <c r="A329" s="8" t="s">
        <v>1308</v>
      </c>
      <c r="B329" s="8" t="s">
        <v>957</v>
      </c>
      <c r="C329" s="9">
        <v>1</v>
      </c>
      <c r="D329" s="21" t="s">
        <v>1241</v>
      </c>
      <c r="E329" s="21" t="s">
        <v>366</v>
      </c>
      <c r="F329" s="19">
        <v>5</v>
      </c>
    </row>
    <row r="330" spans="1:6" ht="14.95" customHeight="1" thickBot="1" x14ac:dyDescent="0.3">
      <c r="A330" s="8" t="s">
        <v>129</v>
      </c>
      <c r="B330" s="8" t="s">
        <v>96</v>
      </c>
      <c r="C330" s="9">
        <v>1</v>
      </c>
      <c r="D330" s="21" t="s">
        <v>1231</v>
      </c>
      <c r="E330" s="21" t="s">
        <v>955</v>
      </c>
      <c r="F330" s="19">
        <v>5</v>
      </c>
    </row>
    <row r="331" spans="1:6" ht="14.95" customHeight="1" thickBot="1" x14ac:dyDescent="0.3">
      <c r="A331" s="9" t="s">
        <v>612</v>
      </c>
      <c r="B331" s="8" t="s">
        <v>96</v>
      </c>
      <c r="C331" s="9">
        <v>1</v>
      </c>
      <c r="D331" s="2" t="s">
        <v>1283</v>
      </c>
      <c r="E331" s="2" t="s">
        <v>955</v>
      </c>
      <c r="F331" s="19">
        <v>5</v>
      </c>
    </row>
    <row r="332" spans="1:6" ht="14.95" customHeight="1" thickBot="1" x14ac:dyDescent="0.3">
      <c r="A332" s="8" t="s">
        <v>639</v>
      </c>
      <c r="B332" s="8" t="s">
        <v>96</v>
      </c>
      <c r="C332" s="9">
        <v>1</v>
      </c>
      <c r="D332" s="17" t="s">
        <v>1078</v>
      </c>
      <c r="E332" s="17" t="s">
        <v>620</v>
      </c>
      <c r="F332" s="19">
        <v>5</v>
      </c>
    </row>
    <row r="333" spans="1:6" ht="14.95" customHeight="1" thickBot="1" x14ac:dyDescent="0.3">
      <c r="A333" s="8" t="s">
        <v>524</v>
      </c>
      <c r="B333" s="8" t="s">
        <v>105</v>
      </c>
      <c r="C333" s="9">
        <v>1</v>
      </c>
      <c r="D333" s="2" t="s">
        <v>164</v>
      </c>
      <c r="E333" s="2" t="s">
        <v>96</v>
      </c>
      <c r="F333" s="19">
        <v>5</v>
      </c>
    </row>
    <row r="334" spans="1:6" ht="14.95" customHeight="1" thickBot="1" x14ac:dyDescent="0.3">
      <c r="A334" s="62" t="s">
        <v>479</v>
      </c>
      <c r="B334" s="62" t="s">
        <v>105</v>
      </c>
      <c r="C334" s="49">
        <v>1</v>
      </c>
      <c r="D334" s="2" t="s">
        <v>447</v>
      </c>
      <c r="E334" s="2" t="s">
        <v>620</v>
      </c>
      <c r="F334" s="19">
        <v>5</v>
      </c>
    </row>
    <row r="335" spans="1:6" ht="14.95" customHeight="1" thickBot="1" x14ac:dyDescent="0.3">
      <c r="A335" s="62" t="s">
        <v>121</v>
      </c>
      <c r="B335" s="62" t="s">
        <v>94</v>
      </c>
      <c r="C335" s="9">
        <v>0</v>
      </c>
      <c r="D335" s="2" t="s">
        <v>209</v>
      </c>
      <c r="E335" s="2" t="s">
        <v>105</v>
      </c>
      <c r="F335" s="16">
        <v>5</v>
      </c>
    </row>
    <row r="336" spans="1:6" ht="14.95" customHeight="1" thickBot="1" x14ac:dyDescent="0.3">
      <c r="A336" s="62" t="s">
        <v>873</v>
      </c>
      <c r="B336" s="62" t="s">
        <v>95</v>
      </c>
      <c r="C336" s="9">
        <v>0</v>
      </c>
      <c r="D336" s="2" t="s">
        <v>964</v>
      </c>
      <c r="E336" s="2" t="s">
        <v>952</v>
      </c>
      <c r="F336" s="16">
        <v>5</v>
      </c>
    </row>
    <row r="337" spans="1:6" ht="14.95" customHeight="1" thickBot="1" x14ac:dyDescent="0.3">
      <c r="A337" s="62" t="s">
        <v>453</v>
      </c>
      <c r="B337" s="62" t="s">
        <v>366</v>
      </c>
      <c r="C337" s="9">
        <v>0</v>
      </c>
      <c r="D337" s="2" t="s">
        <v>1293</v>
      </c>
      <c r="E337" s="2" t="s">
        <v>952</v>
      </c>
      <c r="F337" s="16">
        <v>5</v>
      </c>
    </row>
    <row r="338" spans="1:6" ht="14.95" customHeight="1" thickBot="1" x14ac:dyDescent="0.3">
      <c r="A338" s="62" t="s">
        <v>258</v>
      </c>
      <c r="B338" s="62" t="s">
        <v>94</v>
      </c>
      <c r="C338" s="49">
        <v>0</v>
      </c>
      <c r="D338" s="2" t="s">
        <v>440</v>
      </c>
      <c r="E338" s="2" t="s">
        <v>104</v>
      </c>
      <c r="F338" s="16">
        <v>5</v>
      </c>
    </row>
    <row r="339" spans="1:6" ht="14.95" customHeight="1" thickBot="1" x14ac:dyDescent="0.3">
      <c r="A339" s="10" t="s">
        <v>889</v>
      </c>
      <c r="B339" s="10" t="s">
        <v>95</v>
      </c>
      <c r="C339" s="9">
        <v>0</v>
      </c>
      <c r="D339" s="2" t="s">
        <v>1306</v>
      </c>
      <c r="E339" s="2" t="s">
        <v>94</v>
      </c>
      <c r="F339" s="16">
        <v>5</v>
      </c>
    </row>
    <row r="340" spans="1:6" ht="14.95" customHeight="1" thickBot="1" x14ac:dyDescent="0.3">
      <c r="A340" s="62" t="s">
        <v>122</v>
      </c>
      <c r="B340" s="62" t="s">
        <v>96</v>
      </c>
      <c r="C340" s="9">
        <v>0</v>
      </c>
      <c r="D340" s="2" t="s">
        <v>997</v>
      </c>
      <c r="E340" s="2" t="s">
        <v>956</v>
      </c>
      <c r="F340" s="16">
        <v>5</v>
      </c>
    </row>
    <row r="341" spans="1:6" ht="14.95" customHeight="1" thickBot="1" x14ac:dyDescent="0.3">
      <c r="A341" s="62" t="s">
        <v>974</v>
      </c>
      <c r="B341" s="62" t="s">
        <v>955</v>
      </c>
      <c r="C341" s="9">
        <v>0</v>
      </c>
      <c r="D341" s="2" t="s">
        <v>1295</v>
      </c>
      <c r="E341" s="2" t="s">
        <v>954</v>
      </c>
      <c r="F341" s="16">
        <v>5</v>
      </c>
    </row>
    <row r="342" spans="1:6" ht="14.95" customHeight="1" thickBot="1" x14ac:dyDescent="0.3">
      <c r="A342" s="62" t="s">
        <v>605</v>
      </c>
      <c r="B342" s="62" t="s">
        <v>105</v>
      </c>
      <c r="C342" s="9">
        <v>0</v>
      </c>
      <c r="D342" s="2" t="s">
        <v>867</v>
      </c>
      <c r="E342" s="2" t="s">
        <v>97</v>
      </c>
      <c r="F342" s="16">
        <v>5</v>
      </c>
    </row>
    <row r="343" spans="1:6" ht="14.95" customHeight="1" thickBot="1" x14ac:dyDescent="0.3">
      <c r="A343" s="62" t="s">
        <v>843</v>
      </c>
      <c r="B343" s="62" t="s">
        <v>282</v>
      </c>
      <c r="C343" s="9">
        <v>0</v>
      </c>
      <c r="D343" s="2" t="s">
        <v>390</v>
      </c>
      <c r="E343" s="2" t="s">
        <v>620</v>
      </c>
      <c r="F343" s="16">
        <v>5</v>
      </c>
    </row>
    <row r="344" spans="1:6" ht="14.95" customHeight="1" thickBot="1" x14ac:dyDescent="0.3">
      <c r="A344" s="62" t="s">
        <v>787</v>
      </c>
      <c r="B344" s="62" t="s">
        <v>104</v>
      </c>
      <c r="C344" s="9">
        <v>0</v>
      </c>
      <c r="D344" s="2" t="s">
        <v>279</v>
      </c>
      <c r="E344" s="2" t="s">
        <v>104</v>
      </c>
      <c r="F344" s="16">
        <v>5</v>
      </c>
    </row>
    <row r="345" spans="1:6" ht="14.95" customHeight="1" thickBot="1" x14ac:dyDescent="0.3">
      <c r="A345" s="62" t="s">
        <v>307</v>
      </c>
      <c r="B345" s="62" t="s">
        <v>94</v>
      </c>
      <c r="C345" s="9">
        <v>0</v>
      </c>
      <c r="D345" s="2" t="s">
        <v>1243</v>
      </c>
      <c r="E345" s="2" t="s">
        <v>957</v>
      </c>
      <c r="F345" s="16">
        <v>5</v>
      </c>
    </row>
    <row r="346" spans="1:6" ht="14.95" customHeight="1" thickBot="1" x14ac:dyDescent="0.3">
      <c r="A346" s="62" t="s">
        <v>433</v>
      </c>
      <c r="B346" s="62" t="s">
        <v>94</v>
      </c>
      <c r="C346" s="9">
        <v>0</v>
      </c>
      <c r="D346" s="2" t="s">
        <v>1272</v>
      </c>
      <c r="E346" s="2" t="s">
        <v>955</v>
      </c>
      <c r="F346" s="16">
        <v>5</v>
      </c>
    </row>
    <row r="347" spans="1:6" ht="14.95" customHeight="1" thickBot="1" x14ac:dyDescent="0.3">
      <c r="A347" s="62" t="s">
        <v>1278</v>
      </c>
      <c r="B347" s="62" t="s">
        <v>953</v>
      </c>
      <c r="C347" s="9">
        <v>0</v>
      </c>
      <c r="D347" s="2" t="s">
        <v>918</v>
      </c>
      <c r="E347" s="2" t="s">
        <v>366</v>
      </c>
      <c r="F347" s="16">
        <v>5</v>
      </c>
    </row>
    <row r="348" spans="1:6" ht="14.95" customHeight="1" thickBot="1" x14ac:dyDescent="0.3">
      <c r="A348" s="62" t="s">
        <v>422</v>
      </c>
      <c r="B348" s="62" t="s">
        <v>97</v>
      </c>
      <c r="C348" s="9">
        <v>0</v>
      </c>
      <c r="D348" s="2" t="s">
        <v>1281</v>
      </c>
      <c r="E348" s="2" t="s">
        <v>97</v>
      </c>
      <c r="F348" s="16">
        <v>5</v>
      </c>
    </row>
    <row r="349" spans="1:6" ht="14.95" customHeight="1" thickBot="1" x14ac:dyDescent="0.3">
      <c r="A349" s="62" t="s">
        <v>331</v>
      </c>
      <c r="B349" s="62" t="s">
        <v>96</v>
      </c>
      <c r="C349" s="9">
        <v>0</v>
      </c>
      <c r="D349" s="2" t="s">
        <v>72</v>
      </c>
      <c r="E349" s="2" t="s">
        <v>620</v>
      </c>
      <c r="F349" s="16">
        <v>5</v>
      </c>
    </row>
    <row r="350" spans="1:6" ht="14.95" customHeight="1" thickBot="1" x14ac:dyDescent="0.3">
      <c r="A350" s="62" t="s">
        <v>816</v>
      </c>
      <c r="B350" s="62" t="s">
        <v>282</v>
      </c>
      <c r="C350" s="9">
        <v>0</v>
      </c>
      <c r="D350" s="2" t="s">
        <v>1136</v>
      </c>
      <c r="E350" s="2" t="s">
        <v>957</v>
      </c>
      <c r="F350" s="22">
        <v>5</v>
      </c>
    </row>
    <row r="351" spans="1:6" ht="14.95" customHeight="1" thickBot="1" x14ac:dyDescent="0.3">
      <c r="A351" s="62" t="s">
        <v>906</v>
      </c>
      <c r="B351" s="62" t="s">
        <v>366</v>
      </c>
      <c r="C351" s="9">
        <v>0</v>
      </c>
      <c r="D351" s="17" t="s">
        <v>868</v>
      </c>
      <c r="E351" s="17" t="s">
        <v>97</v>
      </c>
      <c r="F351" s="22">
        <v>5</v>
      </c>
    </row>
    <row r="352" spans="1:6" ht="14.95" customHeight="1" thickBot="1" x14ac:dyDescent="0.3">
      <c r="A352" s="62" t="s">
        <v>1225</v>
      </c>
      <c r="B352" s="62" t="s">
        <v>953</v>
      </c>
      <c r="C352" s="9">
        <v>0</v>
      </c>
      <c r="D352" s="2" t="s">
        <v>1115</v>
      </c>
      <c r="E352" s="2" t="s">
        <v>955</v>
      </c>
      <c r="F352" s="22">
        <v>5</v>
      </c>
    </row>
    <row r="353" spans="1:6" ht="14.95" customHeight="1" thickBot="1" x14ac:dyDescent="0.3">
      <c r="A353" s="62" t="s">
        <v>711</v>
      </c>
      <c r="B353" s="62" t="s">
        <v>108</v>
      </c>
      <c r="C353" s="9">
        <v>0</v>
      </c>
      <c r="D353" s="2" t="s">
        <v>994</v>
      </c>
      <c r="E353" s="2" t="s">
        <v>953</v>
      </c>
      <c r="F353" s="22">
        <v>5</v>
      </c>
    </row>
    <row r="354" spans="1:6" ht="14.95" customHeight="1" thickBot="1" x14ac:dyDescent="0.3">
      <c r="A354" s="62" t="s">
        <v>983</v>
      </c>
      <c r="B354" s="62" t="s">
        <v>959</v>
      </c>
      <c r="C354" s="9">
        <v>0</v>
      </c>
      <c r="D354" s="2" t="s">
        <v>1308</v>
      </c>
      <c r="E354" s="2" t="s">
        <v>957</v>
      </c>
      <c r="F354" s="22">
        <v>5</v>
      </c>
    </row>
    <row r="355" spans="1:6" ht="14.95" customHeight="1" thickBot="1" x14ac:dyDescent="0.3">
      <c r="A355" s="62" t="s">
        <v>333</v>
      </c>
      <c r="B355" s="62" t="s">
        <v>108</v>
      </c>
      <c r="C355" s="9">
        <v>0</v>
      </c>
      <c r="D355" s="2" t="s">
        <v>129</v>
      </c>
      <c r="E355" s="2" t="s">
        <v>96</v>
      </c>
      <c r="F355" s="22">
        <v>5</v>
      </c>
    </row>
    <row r="356" spans="1:6" ht="14.95" customHeight="1" thickBot="1" x14ac:dyDescent="0.3">
      <c r="A356" s="62" t="s">
        <v>557</v>
      </c>
      <c r="B356" s="62" t="s">
        <v>104</v>
      </c>
      <c r="C356" s="9">
        <v>0</v>
      </c>
      <c r="D356" s="2" t="s">
        <v>612</v>
      </c>
      <c r="E356" s="2" t="s">
        <v>96</v>
      </c>
      <c r="F356" s="444">
        <v>5</v>
      </c>
    </row>
    <row r="357" spans="1:6" ht="14.95" customHeight="1" thickBot="1" x14ac:dyDescent="0.3">
      <c r="A357" s="62" t="s">
        <v>123</v>
      </c>
      <c r="B357" s="62" t="s">
        <v>96</v>
      </c>
      <c r="C357" s="9">
        <v>0</v>
      </c>
      <c r="D357" s="2" t="s">
        <v>639</v>
      </c>
      <c r="E357" s="2" t="s">
        <v>96</v>
      </c>
      <c r="F357" s="23">
        <v>5</v>
      </c>
    </row>
    <row r="358" spans="1:6" ht="14.95" customHeight="1" thickBot="1" x14ac:dyDescent="0.3">
      <c r="A358" s="62" t="s">
        <v>1007</v>
      </c>
      <c r="B358" s="62" t="s">
        <v>1259</v>
      </c>
      <c r="C358" s="9">
        <v>0</v>
      </c>
      <c r="D358" s="2" t="s">
        <v>524</v>
      </c>
      <c r="E358" s="2" t="s">
        <v>105</v>
      </c>
      <c r="F358" s="23">
        <v>5</v>
      </c>
    </row>
    <row r="359" spans="1:6" ht="14.95" customHeight="1" thickBot="1" x14ac:dyDescent="0.3">
      <c r="A359" s="10" t="s">
        <v>420</v>
      </c>
      <c r="B359" s="10" t="s">
        <v>104</v>
      </c>
      <c r="C359" s="9">
        <v>0</v>
      </c>
      <c r="D359" s="2" t="s">
        <v>479</v>
      </c>
      <c r="E359" s="2" t="s">
        <v>105</v>
      </c>
      <c r="F359" s="23">
        <v>5</v>
      </c>
    </row>
    <row r="360" spans="1:6" ht="14.95" customHeight="1" thickBot="1" x14ac:dyDescent="0.3">
      <c r="A360" s="62" t="s">
        <v>124</v>
      </c>
      <c r="B360" s="62" t="s">
        <v>95</v>
      </c>
      <c r="C360" s="6">
        <v>0</v>
      </c>
      <c r="D360" s="2" t="s">
        <v>1225</v>
      </c>
      <c r="E360" s="2" t="s">
        <v>953</v>
      </c>
      <c r="F360" s="23">
        <v>4</v>
      </c>
    </row>
    <row r="361" spans="1:6" ht="14.95" customHeight="1" thickBot="1" x14ac:dyDescent="0.3">
      <c r="A361" s="62" t="s">
        <v>503</v>
      </c>
      <c r="B361" s="62" t="s">
        <v>105</v>
      </c>
      <c r="C361" s="9">
        <v>0</v>
      </c>
      <c r="D361" s="2" t="s">
        <v>783</v>
      </c>
      <c r="E361" s="2" t="s">
        <v>104</v>
      </c>
      <c r="F361" s="23">
        <v>4</v>
      </c>
    </row>
    <row r="362" spans="1:6" ht="14.95" customHeight="1" thickBot="1" x14ac:dyDescent="0.3">
      <c r="A362" s="62" t="s">
        <v>892</v>
      </c>
      <c r="B362" s="62" t="s">
        <v>95</v>
      </c>
      <c r="C362" s="9">
        <v>0</v>
      </c>
      <c r="D362" s="2" t="s">
        <v>442</v>
      </c>
      <c r="E362" s="2" t="s">
        <v>108</v>
      </c>
      <c r="F362" s="23">
        <v>4</v>
      </c>
    </row>
    <row r="363" spans="1:6" ht="14.95" customHeight="1" thickBot="1" x14ac:dyDescent="0.3">
      <c r="A363" s="62" t="s">
        <v>797</v>
      </c>
      <c r="B363" s="10" t="s">
        <v>620</v>
      </c>
      <c r="C363" s="9">
        <v>0</v>
      </c>
      <c r="D363" s="2" t="s">
        <v>1297</v>
      </c>
      <c r="E363" s="2" t="s">
        <v>954</v>
      </c>
      <c r="F363" s="23">
        <v>4</v>
      </c>
    </row>
    <row r="364" spans="1:6" ht="14.95" customHeight="1" thickBot="1" x14ac:dyDescent="0.3">
      <c r="A364" s="62" t="s">
        <v>753</v>
      </c>
      <c r="B364" s="62" t="s">
        <v>105</v>
      </c>
      <c r="C364" s="9">
        <v>0</v>
      </c>
      <c r="D364" s="2" t="s">
        <v>982</v>
      </c>
      <c r="E364" s="2" t="s">
        <v>954</v>
      </c>
      <c r="F364" s="23">
        <v>4</v>
      </c>
    </row>
    <row r="365" spans="1:6" ht="14.95" customHeight="1" thickBot="1" x14ac:dyDescent="0.3">
      <c r="A365" s="10" t="s">
        <v>646</v>
      </c>
      <c r="B365" s="10" t="s">
        <v>282</v>
      </c>
      <c r="C365" s="9">
        <v>0</v>
      </c>
      <c r="D365" s="17" t="s">
        <v>1080</v>
      </c>
      <c r="E365" s="17" t="s">
        <v>620</v>
      </c>
      <c r="F365" s="23">
        <v>4</v>
      </c>
    </row>
    <row r="366" spans="1:6" ht="14.95" customHeight="1" thickBot="1" x14ac:dyDescent="0.3">
      <c r="A366" s="62" t="s">
        <v>967</v>
      </c>
      <c r="B366" s="62" t="s">
        <v>952</v>
      </c>
      <c r="C366" s="9">
        <v>0</v>
      </c>
      <c r="D366" s="2" t="s">
        <v>1278</v>
      </c>
      <c r="E366" s="2" t="s">
        <v>953</v>
      </c>
      <c r="F366" s="23">
        <v>2</v>
      </c>
    </row>
    <row r="367" spans="1:6" ht="14.95" customHeight="1" thickBot="1" x14ac:dyDescent="0.3">
      <c r="A367" s="12" t="s">
        <v>415</v>
      </c>
      <c r="B367" s="12" t="s">
        <v>95</v>
      </c>
      <c r="C367" s="6">
        <v>0</v>
      </c>
      <c r="D367" s="2" t="s">
        <v>975</v>
      </c>
      <c r="E367" s="2" t="s">
        <v>955</v>
      </c>
      <c r="F367" s="19">
        <v>2</v>
      </c>
    </row>
    <row r="368" spans="1:6" ht="14.95" customHeight="1" thickBot="1" x14ac:dyDescent="0.3">
      <c r="A368" s="62" t="s">
        <v>428</v>
      </c>
      <c r="B368" s="62" t="s">
        <v>94</v>
      </c>
      <c r="C368" s="9">
        <v>0</v>
      </c>
      <c r="D368" s="2" t="s">
        <v>1121</v>
      </c>
      <c r="E368" s="2" t="s">
        <v>953</v>
      </c>
      <c r="F368" s="16">
        <v>2</v>
      </c>
    </row>
    <row r="369" spans="1:6" ht="14.95" customHeight="1" thickBot="1" x14ac:dyDescent="0.3">
      <c r="A369" s="62" t="s">
        <v>125</v>
      </c>
      <c r="B369" s="62" t="s">
        <v>96</v>
      </c>
      <c r="C369" s="9">
        <v>0</v>
      </c>
      <c r="D369" s="2" t="s">
        <v>1122</v>
      </c>
      <c r="E369" s="2" t="s">
        <v>953</v>
      </c>
      <c r="F369" s="19">
        <v>2</v>
      </c>
    </row>
    <row r="370" spans="1:6" ht="14.95" customHeight="1" thickBot="1" x14ac:dyDescent="0.3">
      <c r="A370" s="62" t="s">
        <v>491</v>
      </c>
      <c r="B370" s="62" t="s">
        <v>104</v>
      </c>
      <c r="C370" s="9">
        <v>0</v>
      </c>
      <c r="D370" s="2" t="s">
        <v>121</v>
      </c>
      <c r="E370" s="2" t="s">
        <v>94</v>
      </c>
      <c r="F370" s="19">
        <v>0</v>
      </c>
    </row>
    <row r="371" spans="1:6" ht="14.95" customHeight="1" thickBot="1" x14ac:dyDescent="0.3">
      <c r="A371" s="62" t="s">
        <v>914</v>
      </c>
      <c r="B371" s="62" t="s">
        <v>366</v>
      </c>
      <c r="C371" s="9">
        <v>0</v>
      </c>
      <c r="D371" s="2" t="s">
        <v>873</v>
      </c>
      <c r="E371" s="2" t="s">
        <v>95</v>
      </c>
      <c r="F371" s="19">
        <v>0</v>
      </c>
    </row>
    <row r="372" spans="1:6" ht="14.95" customHeight="1" thickBot="1" x14ac:dyDescent="0.3">
      <c r="A372" s="62" t="s">
        <v>126</v>
      </c>
      <c r="B372" s="10" t="s">
        <v>620</v>
      </c>
      <c r="C372" s="9">
        <v>0</v>
      </c>
      <c r="D372" s="2" t="s">
        <v>453</v>
      </c>
      <c r="E372" s="2" t="s">
        <v>366</v>
      </c>
      <c r="F372" s="19">
        <v>0</v>
      </c>
    </row>
    <row r="373" spans="1:6" ht="14.95" customHeight="1" thickBot="1" x14ac:dyDescent="0.3">
      <c r="A373" s="62" t="s">
        <v>609</v>
      </c>
      <c r="B373" s="62" t="s">
        <v>104</v>
      </c>
      <c r="C373" s="9">
        <v>0</v>
      </c>
      <c r="D373" s="2" t="s">
        <v>258</v>
      </c>
      <c r="E373" s="2" t="s">
        <v>94</v>
      </c>
      <c r="F373" s="19">
        <v>0</v>
      </c>
    </row>
    <row r="374" spans="1:6" ht="14.95" customHeight="1" thickBot="1" x14ac:dyDescent="0.3">
      <c r="A374" s="62" t="s">
        <v>900</v>
      </c>
      <c r="B374" s="62" t="s">
        <v>366</v>
      </c>
      <c r="C374" s="10">
        <v>0</v>
      </c>
      <c r="D374" s="21" t="s">
        <v>889</v>
      </c>
      <c r="E374" s="21" t="s">
        <v>95</v>
      </c>
      <c r="F374" s="19">
        <v>0</v>
      </c>
    </row>
    <row r="375" spans="1:6" ht="14.95" customHeight="1" thickBot="1" x14ac:dyDescent="0.3">
      <c r="A375" s="62" t="s">
        <v>256</v>
      </c>
      <c r="B375" s="62" t="s">
        <v>282</v>
      </c>
      <c r="C375" s="10">
        <v>0</v>
      </c>
      <c r="D375" s="19" t="s">
        <v>122</v>
      </c>
      <c r="E375" s="19" t="s">
        <v>96</v>
      </c>
      <c r="F375" s="19">
        <v>0</v>
      </c>
    </row>
    <row r="376" spans="1:6" ht="14.95" customHeight="1" thickBot="1" x14ac:dyDescent="0.3">
      <c r="A376" s="62" t="s">
        <v>602</v>
      </c>
      <c r="B376" s="62" t="s">
        <v>95</v>
      </c>
      <c r="C376" s="443">
        <v>0</v>
      </c>
      <c r="D376" s="21" t="s">
        <v>605</v>
      </c>
      <c r="E376" s="21" t="s">
        <v>105</v>
      </c>
      <c r="F376" s="19">
        <v>0</v>
      </c>
    </row>
    <row r="377" spans="1:6" ht="14.95" customHeight="1" thickBot="1" x14ac:dyDescent="0.3">
      <c r="A377" s="62" t="s">
        <v>674</v>
      </c>
      <c r="B377" s="62" t="s">
        <v>282</v>
      </c>
      <c r="C377" s="10">
        <v>0</v>
      </c>
      <c r="D377" s="21" t="s">
        <v>843</v>
      </c>
      <c r="E377" s="21" t="s">
        <v>282</v>
      </c>
      <c r="F377" s="19">
        <v>0</v>
      </c>
    </row>
    <row r="378" spans="1:6" ht="14.95" customHeight="1" thickBot="1" x14ac:dyDescent="0.3">
      <c r="A378" s="8" t="s">
        <v>127</v>
      </c>
      <c r="B378" s="8" t="s">
        <v>104</v>
      </c>
      <c r="C378" s="150">
        <v>0</v>
      </c>
      <c r="D378" s="21" t="s">
        <v>787</v>
      </c>
      <c r="E378" s="21" t="s">
        <v>104</v>
      </c>
      <c r="F378" s="19">
        <v>0</v>
      </c>
    </row>
    <row r="379" spans="1:6" ht="14.95" customHeight="1" thickBot="1" x14ac:dyDescent="0.3">
      <c r="A379" s="9" t="s">
        <v>454</v>
      </c>
      <c r="B379" s="9" t="s">
        <v>95</v>
      </c>
      <c r="C379" s="9">
        <v>0</v>
      </c>
      <c r="D379" s="21" t="s">
        <v>433</v>
      </c>
      <c r="E379" s="21" t="s">
        <v>94</v>
      </c>
      <c r="F379" s="19">
        <v>0</v>
      </c>
    </row>
    <row r="380" spans="1:6" ht="14.95" customHeight="1" thickBot="1" x14ac:dyDescent="0.3">
      <c r="A380" s="8" t="s">
        <v>490</v>
      </c>
      <c r="B380" s="8" t="s">
        <v>104</v>
      </c>
      <c r="C380" s="9">
        <v>0</v>
      </c>
      <c r="D380" s="21" t="s">
        <v>422</v>
      </c>
      <c r="E380" s="21" t="s">
        <v>97</v>
      </c>
      <c r="F380" s="19">
        <v>0</v>
      </c>
    </row>
    <row r="381" spans="1:6" ht="14.95" customHeight="1" thickBot="1" x14ac:dyDescent="0.3">
      <c r="A381" s="8" t="s">
        <v>910</v>
      </c>
      <c r="B381" s="8" t="s">
        <v>366</v>
      </c>
      <c r="C381" s="9">
        <v>0</v>
      </c>
      <c r="D381" s="21" t="s">
        <v>816</v>
      </c>
      <c r="E381" s="21" t="s">
        <v>282</v>
      </c>
      <c r="F381" s="19">
        <v>0</v>
      </c>
    </row>
    <row r="382" spans="1:6" ht="14.95" customHeight="1" thickBot="1" x14ac:dyDescent="0.3">
      <c r="A382" s="8" t="s">
        <v>564</v>
      </c>
      <c r="B382" s="8" t="s">
        <v>108</v>
      </c>
      <c r="C382" s="9">
        <v>0</v>
      </c>
      <c r="D382" s="21" t="s">
        <v>906</v>
      </c>
      <c r="E382" s="21" t="s">
        <v>366</v>
      </c>
      <c r="F382" s="19">
        <v>0</v>
      </c>
    </row>
    <row r="383" spans="1:6" ht="14.95" customHeight="1" thickBot="1" x14ac:dyDescent="0.3">
      <c r="A383" s="8" t="s">
        <v>1238</v>
      </c>
      <c r="B383" s="8" t="s">
        <v>960</v>
      </c>
      <c r="C383" s="9">
        <v>0</v>
      </c>
      <c r="D383" s="21" t="s">
        <v>711</v>
      </c>
      <c r="E383" s="21" t="s">
        <v>108</v>
      </c>
      <c r="F383" s="19">
        <v>0</v>
      </c>
    </row>
    <row r="384" spans="1:6" ht="14.95" customHeight="1" thickBot="1" x14ac:dyDescent="0.3">
      <c r="A384" s="8" t="s">
        <v>179</v>
      </c>
      <c r="B384" s="8" t="s">
        <v>94</v>
      </c>
      <c r="C384" s="9">
        <v>0</v>
      </c>
      <c r="D384" s="19" t="s">
        <v>333</v>
      </c>
      <c r="E384" s="19" t="s">
        <v>108</v>
      </c>
      <c r="F384" s="19">
        <v>0</v>
      </c>
    </row>
    <row r="385" spans="1:6" ht="14.95" customHeight="1" thickBot="1" x14ac:dyDescent="0.3">
      <c r="A385" s="8" t="s">
        <v>707</v>
      </c>
      <c r="B385" s="8" t="s">
        <v>108</v>
      </c>
      <c r="C385" s="9">
        <v>0</v>
      </c>
      <c r="D385" s="21" t="s">
        <v>557</v>
      </c>
      <c r="E385" s="21" t="s">
        <v>104</v>
      </c>
      <c r="F385" s="18">
        <v>0</v>
      </c>
    </row>
    <row r="386" spans="1:6" ht="14.95" customHeight="1" thickBot="1" x14ac:dyDescent="0.3">
      <c r="A386" s="8" t="s">
        <v>480</v>
      </c>
      <c r="B386" s="9" t="s">
        <v>620</v>
      </c>
      <c r="C386" s="87">
        <v>0</v>
      </c>
      <c r="D386" s="21" t="s">
        <v>123</v>
      </c>
      <c r="E386" s="21" t="s">
        <v>96</v>
      </c>
      <c r="F386" s="19">
        <v>0</v>
      </c>
    </row>
    <row r="387" spans="1:6" ht="14.95" customHeight="1" thickBot="1" x14ac:dyDescent="0.3">
      <c r="A387" s="309" t="s">
        <v>328</v>
      </c>
      <c r="B387" s="9" t="s">
        <v>620</v>
      </c>
      <c r="C387" s="6">
        <v>0</v>
      </c>
      <c r="D387" s="21" t="s">
        <v>420</v>
      </c>
      <c r="E387" s="21" t="s">
        <v>104</v>
      </c>
      <c r="F387" s="19">
        <v>0</v>
      </c>
    </row>
    <row r="388" spans="1:6" ht="14.95" customHeight="1" thickBot="1" x14ac:dyDescent="0.3">
      <c r="A388" s="8" t="s">
        <v>288</v>
      </c>
      <c r="B388" s="8" t="s">
        <v>282</v>
      </c>
      <c r="C388" s="9">
        <v>0</v>
      </c>
      <c r="D388" s="21" t="s">
        <v>124</v>
      </c>
      <c r="E388" s="21" t="s">
        <v>95</v>
      </c>
      <c r="F388" s="19">
        <v>0</v>
      </c>
    </row>
    <row r="389" spans="1:6" ht="14.95" customHeight="1" thickBot="1" x14ac:dyDescent="0.3">
      <c r="A389" s="8" t="s">
        <v>99</v>
      </c>
      <c r="B389" s="8" t="s">
        <v>104</v>
      </c>
      <c r="C389" s="49">
        <v>0</v>
      </c>
      <c r="D389" s="21" t="s">
        <v>503</v>
      </c>
      <c r="E389" s="21" t="s">
        <v>105</v>
      </c>
      <c r="F389" s="19">
        <v>0</v>
      </c>
    </row>
    <row r="390" spans="1:6" ht="14.95" customHeight="1" thickBot="1" x14ac:dyDescent="0.3">
      <c r="A390" s="8" t="s">
        <v>631</v>
      </c>
      <c r="B390" s="8" t="s">
        <v>366</v>
      </c>
      <c r="C390" s="9">
        <v>0</v>
      </c>
      <c r="D390" s="19" t="s">
        <v>892</v>
      </c>
      <c r="E390" s="21" t="s">
        <v>95</v>
      </c>
      <c r="F390" s="19">
        <v>0</v>
      </c>
    </row>
    <row r="391" spans="1:6" ht="14.95" customHeight="1" thickBot="1" x14ac:dyDescent="0.3">
      <c r="A391" s="8" t="s">
        <v>302</v>
      </c>
      <c r="B391" s="9" t="s">
        <v>620</v>
      </c>
      <c r="C391" s="9">
        <v>0</v>
      </c>
      <c r="D391" s="21" t="s">
        <v>797</v>
      </c>
      <c r="E391" s="21" t="s">
        <v>620</v>
      </c>
      <c r="F391" s="19">
        <v>0</v>
      </c>
    </row>
    <row r="392" spans="1:6" ht="14.95" customHeight="1" thickBot="1" x14ac:dyDescent="0.3">
      <c r="A392" s="8" t="s">
        <v>367</v>
      </c>
      <c r="B392" s="8" t="s">
        <v>366</v>
      </c>
      <c r="C392" s="9">
        <v>0</v>
      </c>
      <c r="D392" s="21" t="s">
        <v>753</v>
      </c>
      <c r="E392" s="21" t="s">
        <v>105</v>
      </c>
      <c r="F392" s="19">
        <v>0</v>
      </c>
    </row>
    <row r="393" spans="1:6" ht="14.95" customHeight="1" thickBot="1" x14ac:dyDescent="0.3">
      <c r="A393" s="8" t="s">
        <v>505</v>
      </c>
      <c r="B393" s="8" t="s">
        <v>94</v>
      </c>
      <c r="C393" s="9">
        <v>0</v>
      </c>
      <c r="D393" s="21" t="s">
        <v>646</v>
      </c>
      <c r="E393" s="21" t="s">
        <v>282</v>
      </c>
      <c r="F393" s="19">
        <v>0</v>
      </c>
    </row>
    <row r="394" spans="1:6" ht="14.95" customHeight="1" thickBot="1" x14ac:dyDescent="0.3">
      <c r="A394" s="8" t="s">
        <v>803</v>
      </c>
      <c r="B394" s="9" t="s">
        <v>620</v>
      </c>
      <c r="C394" s="9">
        <v>0</v>
      </c>
      <c r="D394" s="374" t="s">
        <v>415</v>
      </c>
      <c r="E394" s="374" t="s">
        <v>95</v>
      </c>
      <c r="F394" s="19">
        <v>0</v>
      </c>
    </row>
    <row r="395" spans="1:6" ht="14.95" customHeight="1" thickBot="1" x14ac:dyDescent="0.3">
      <c r="A395" s="309" t="s">
        <v>457</v>
      </c>
      <c r="B395" s="309" t="s">
        <v>104</v>
      </c>
      <c r="C395" s="9">
        <v>0</v>
      </c>
      <c r="D395" s="21" t="s">
        <v>428</v>
      </c>
      <c r="E395" s="21" t="s">
        <v>94</v>
      </c>
      <c r="F395" s="19">
        <v>0</v>
      </c>
    </row>
    <row r="396" spans="1:6" ht="14.95" customHeight="1" thickBot="1" x14ac:dyDescent="0.3">
      <c r="A396" s="8" t="s">
        <v>392</v>
      </c>
      <c r="B396" s="8" t="s">
        <v>94</v>
      </c>
      <c r="C396" s="9">
        <v>0</v>
      </c>
      <c r="D396" s="21" t="s">
        <v>125</v>
      </c>
      <c r="E396" s="21" t="s">
        <v>96</v>
      </c>
      <c r="F396" s="19">
        <v>0</v>
      </c>
    </row>
    <row r="397" spans="1:6" ht="14.95" customHeight="1" thickBot="1" x14ac:dyDescent="0.3">
      <c r="A397" s="8" t="s">
        <v>130</v>
      </c>
      <c r="B397" s="9" t="s">
        <v>620</v>
      </c>
      <c r="C397" s="9">
        <v>0</v>
      </c>
      <c r="D397" s="21" t="s">
        <v>491</v>
      </c>
      <c r="E397" s="21" t="s">
        <v>104</v>
      </c>
      <c r="F397" s="19">
        <v>0</v>
      </c>
    </row>
    <row r="398" spans="1:6" ht="14.95" customHeight="1" thickBot="1" x14ac:dyDescent="0.3">
      <c r="A398" s="8" t="s">
        <v>195</v>
      </c>
      <c r="B398" s="8" t="s">
        <v>97</v>
      </c>
      <c r="C398" s="9">
        <v>0</v>
      </c>
      <c r="D398" s="21" t="s">
        <v>914</v>
      </c>
      <c r="E398" s="21" t="s">
        <v>366</v>
      </c>
      <c r="F398" s="19">
        <v>0</v>
      </c>
    </row>
    <row r="399" spans="1:6" ht="14.95" customHeight="1" thickBot="1" x14ac:dyDescent="0.3">
      <c r="A399" s="8" t="s">
        <v>819</v>
      </c>
      <c r="B399" s="8" t="s">
        <v>282</v>
      </c>
      <c r="C399" s="9">
        <v>0</v>
      </c>
      <c r="D399" s="21" t="s">
        <v>126</v>
      </c>
      <c r="E399" s="21" t="s">
        <v>620</v>
      </c>
      <c r="F399" s="19">
        <v>0</v>
      </c>
    </row>
    <row r="400" spans="1:6" ht="14.95" customHeight="1" thickBot="1" x14ac:dyDescent="0.3">
      <c r="A400" s="9" t="s">
        <v>634</v>
      </c>
      <c r="B400" s="9" t="s">
        <v>95</v>
      </c>
      <c r="C400" s="9">
        <v>0</v>
      </c>
      <c r="D400" s="21" t="s">
        <v>609</v>
      </c>
      <c r="E400" s="21" t="s">
        <v>104</v>
      </c>
      <c r="F400" s="19">
        <v>0</v>
      </c>
    </row>
    <row r="401" spans="1:6" ht="14.95" customHeight="1" thickBot="1" x14ac:dyDescent="0.3">
      <c r="A401" s="8" t="s">
        <v>426</v>
      </c>
      <c r="B401" s="9" t="s">
        <v>620</v>
      </c>
      <c r="C401" s="49">
        <v>0</v>
      </c>
      <c r="D401" s="21" t="s">
        <v>900</v>
      </c>
      <c r="E401" s="21" t="s">
        <v>366</v>
      </c>
      <c r="F401" s="19">
        <v>0</v>
      </c>
    </row>
    <row r="402" spans="1:6" ht="14.95" customHeight="1" thickBot="1" x14ac:dyDescent="0.3">
      <c r="A402" s="8" t="s">
        <v>912</v>
      </c>
      <c r="B402" s="8" t="s">
        <v>366</v>
      </c>
      <c r="C402" s="9">
        <v>0</v>
      </c>
      <c r="D402" s="21" t="s">
        <v>256</v>
      </c>
      <c r="E402" s="21" t="s">
        <v>282</v>
      </c>
      <c r="F402" s="19">
        <v>0</v>
      </c>
    </row>
    <row r="403" spans="1:6" ht="14.95" customHeight="1" thickBot="1" x14ac:dyDescent="0.3">
      <c r="A403" s="9" t="s">
        <v>715</v>
      </c>
      <c r="B403" s="9" t="s">
        <v>108</v>
      </c>
      <c r="C403" s="9">
        <v>0</v>
      </c>
      <c r="D403" s="21" t="s">
        <v>602</v>
      </c>
      <c r="E403" s="21" t="s">
        <v>95</v>
      </c>
      <c r="F403" s="19">
        <v>0</v>
      </c>
    </row>
    <row r="404" spans="1:6" ht="14.95" customHeight="1" thickBot="1" x14ac:dyDescent="0.3">
      <c r="A404" s="8" t="s">
        <v>472</v>
      </c>
      <c r="B404" s="9" t="s">
        <v>620</v>
      </c>
      <c r="C404" s="49">
        <v>0</v>
      </c>
      <c r="D404" s="21" t="s">
        <v>674</v>
      </c>
      <c r="E404" s="21" t="s">
        <v>282</v>
      </c>
      <c r="F404" s="19">
        <v>0</v>
      </c>
    </row>
    <row r="405" spans="1:6" ht="14.95" customHeight="1" thickBot="1" x14ac:dyDescent="0.3">
      <c r="A405" s="8" t="s">
        <v>685</v>
      </c>
      <c r="B405" s="8" t="s">
        <v>104</v>
      </c>
      <c r="C405" s="9">
        <v>0</v>
      </c>
      <c r="D405" s="21" t="s">
        <v>127</v>
      </c>
      <c r="E405" s="21" t="s">
        <v>104</v>
      </c>
      <c r="F405" s="19">
        <v>0</v>
      </c>
    </row>
    <row r="406" spans="1:6" ht="14.95" customHeight="1" thickBot="1" x14ac:dyDescent="0.3">
      <c r="A406" s="309" t="s">
        <v>101</v>
      </c>
      <c r="B406" s="309" t="s">
        <v>95</v>
      </c>
      <c r="C406" s="6">
        <v>0</v>
      </c>
      <c r="D406" s="19" t="s">
        <v>454</v>
      </c>
      <c r="E406" s="21" t="s">
        <v>95</v>
      </c>
      <c r="F406" s="19">
        <v>0</v>
      </c>
    </row>
    <row r="407" spans="1:6" ht="14.95" customHeight="1" thickBot="1" x14ac:dyDescent="0.3">
      <c r="A407" s="8" t="s">
        <v>102</v>
      </c>
      <c r="B407" s="8" t="s">
        <v>95</v>
      </c>
      <c r="C407" s="9">
        <v>0</v>
      </c>
      <c r="D407" s="21" t="s">
        <v>490</v>
      </c>
      <c r="E407" s="21" t="s">
        <v>104</v>
      </c>
      <c r="F407" s="19">
        <v>0</v>
      </c>
    </row>
    <row r="408" spans="1:6" ht="14.95" customHeight="1" thickBot="1" x14ac:dyDescent="0.3">
      <c r="A408" s="8" t="s">
        <v>215</v>
      </c>
      <c r="B408" s="8" t="s">
        <v>95</v>
      </c>
      <c r="C408" s="9">
        <v>0</v>
      </c>
      <c r="D408" s="21" t="s">
        <v>910</v>
      </c>
      <c r="E408" s="21" t="s">
        <v>366</v>
      </c>
      <c r="F408" s="19">
        <v>0</v>
      </c>
    </row>
    <row r="409" spans="1:6" ht="14.95" customHeight="1" thickBot="1" x14ac:dyDescent="0.3">
      <c r="A409" s="8" t="s">
        <v>738</v>
      </c>
      <c r="B409" s="8" t="s">
        <v>108</v>
      </c>
      <c r="C409" s="9">
        <v>0</v>
      </c>
      <c r="D409" s="21" t="s">
        <v>564</v>
      </c>
      <c r="E409" s="21" t="s">
        <v>108</v>
      </c>
      <c r="F409" s="19">
        <v>0</v>
      </c>
    </row>
    <row r="410" spans="1:6" ht="14.95" customHeight="1" thickBot="1" x14ac:dyDescent="0.3">
      <c r="A410" s="8" t="s">
        <v>368</v>
      </c>
      <c r="B410" s="8" t="s">
        <v>366</v>
      </c>
      <c r="C410" s="9">
        <v>0</v>
      </c>
      <c r="D410" s="21" t="s">
        <v>179</v>
      </c>
      <c r="E410" s="21" t="s">
        <v>94</v>
      </c>
      <c r="F410" s="19">
        <v>0</v>
      </c>
    </row>
    <row r="411" spans="1:6" ht="14.95" customHeight="1" thickBot="1" x14ac:dyDescent="0.3">
      <c r="A411" s="8" t="s">
        <v>548</v>
      </c>
      <c r="B411" s="8" t="s">
        <v>366</v>
      </c>
      <c r="C411" s="9">
        <v>0</v>
      </c>
      <c r="D411" s="21" t="s">
        <v>707</v>
      </c>
      <c r="E411" s="21" t="s">
        <v>108</v>
      </c>
      <c r="F411" s="19">
        <v>0</v>
      </c>
    </row>
    <row r="412" spans="1:6" ht="14.95" customHeight="1" thickBot="1" x14ac:dyDescent="0.3">
      <c r="A412" s="8" t="s">
        <v>197</v>
      </c>
      <c r="B412" s="8" t="s">
        <v>104</v>
      </c>
      <c r="C412" s="9">
        <v>0</v>
      </c>
      <c r="D412" s="21" t="s">
        <v>480</v>
      </c>
      <c r="E412" s="21" t="s">
        <v>620</v>
      </c>
      <c r="F412" s="20">
        <v>0</v>
      </c>
    </row>
    <row r="413" spans="1:6" ht="14.95" customHeight="1" thickBot="1" x14ac:dyDescent="0.3">
      <c r="A413" s="8" t="s">
        <v>1240</v>
      </c>
      <c r="B413" s="8" t="s">
        <v>97</v>
      </c>
      <c r="C413" s="9">
        <v>0</v>
      </c>
      <c r="D413" s="21" t="s">
        <v>328</v>
      </c>
      <c r="E413" s="21" t="s">
        <v>620</v>
      </c>
      <c r="F413" s="19">
        <v>0</v>
      </c>
    </row>
    <row r="414" spans="1:6" ht="14.95" customHeight="1" thickBot="1" x14ac:dyDescent="0.3">
      <c r="A414" s="8" t="s">
        <v>804</v>
      </c>
      <c r="B414" s="9" t="s">
        <v>620</v>
      </c>
      <c r="C414" s="49">
        <v>0</v>
      </c>
      <c r="D414" s="19" t="s">
        <v>288</v>
      </c>
      <c r="E414" s="19" t="s">
        <v>282</v>
      </c>
      <c r="F414" s="19">
        <v>0</v>
      </c>
    </row>
    <row r="415" spans="1:6" ht="14.95" customHeight="1" thickBot="1" x14ac:dyDescent="0.3">
      <c r="A415" s="8" t="s">
        <v>510</v>
      </c>
      <c r="B415" s="8" t="s">
        <v>95</v>
      </c>
      <c r="C415" s="9">
        <v>0</v>
      </c>
      <c r="D415" s="21" t="s">
        <v>99</v>
      </c>
      <c r="E415" s="21" t="s">
        <v>104</v>
      </c>
      <c r="F415" s="18">
        <v>0</v>
      </c>
    </row>
    <row r="416" spans="1:6" ht="14.95" customHeight="1" thickBot="1" x14ac:dyDescent="0.3">
      <c r="A416" s="8" t="s">
        <v>848</v>
      </c>
      <c r="B416" s="8" t="s">
        <v>282</v>
      </c>
      <c r="C416" s="9">
        <v>0</v>
      </c>
      <c r="D416" s="21" t="s">
        <v>631</v>
      </c>
      <c r="E416" s="21" t="s">
        <v>366</v>
      </c>
      <c r="F416" s="19">
        <v>0</v>
      </c>
    </row>
    <row r="417" spans="1:6" ht="14.95" customHeight="1" thickBot="1" x14ac:dyDescent="0.3">
      <c r="A417" s="8" t="s">
        <v>610</v>
      </c>
      <c r="B417" s="8" t="s">
        <v>282</v>
      </c>
      <c r="C417" s="9">
        <v>0</v>
      </c>
      <c r="D417" s="21" t="s">
        <v>302</v>
      </c>
      <c r="E417" s="21" t="s">
        <v>620</v>
      </c>
      <c r="F417" s="19">
        <v>0</v>
      </c>
    </row>
    <row r="418" spans="1:6" ht="14.95" customHeight="1" thickBot="1" x14ac:dyDescent="0.3">
      <c r="A418" s="8" t="s">
        <v>189</v>
      </c>
      <c r="B418" s="8" t="s">
        <v>97</v>
      </c>
      <c r="C418" s="9">
        <v>0</v>
      </c>
      <c r="D418" s="21" t="s">
        <v>367</v>
      </c>
      <c r="E418" s="21" t="s">
        <v>366</v>
      </c>
      <c r="F418" s="19">
        <v>0</v>
      </c>
    </row>
    <row r="419" spans="1:6" ht="14.95" customHeight="1" thickBot="1" x14ac:dyDescent="0.3">
      <c r="A419" s="8" t="s">
        <v>1127</v>
      </c>
      <c r="B419" s="8" t="s">
        <v>952</v>
      </c>
      <c r="C419" s="9">
        <v>0</v>
      </c>
      <c r="D419" s="21" t="s">
        <v>505</v>
      </c>
      <c r="E419" s="21" t="s">
        <v>94</v>
      </c>
      <c r="F419" s="20">
        <v>0</v>
      </c>
    </row>
    <row r="420" spans="1:6" ht="14.95" customHeight="1" thickBot="1" x14ac:dyDescent="0.3">
      <c r="A420" s="62" t="s">
        <v>755</v>
      </c>
      <c r="B420" s="8" t="s">
        <v>105</v>
      </c>
      <c r="C420" s="9">
        <v>0</v>
      </c>
      <c r="D420" s="2" t="s">
        <v>803</v>
      </c>
      <c r="E420" s="21" t="s">
        <v>620</v>
      </c>
      <c r="F420" s="19">
        <v>0</v>
      </c>
    </row>
    <row r="421" spans="1:6" ht="14.95" customHeight="1" thickBot="1" x14ac:dyDescent="0.3">
      <c r="A421" s="62" t="s">
        <v>709</v>
      </c>
      <c r="B421" s="8" t="s">
        <v>108</v>
      </c>
      <c r="C421" s="49">
        <v>0</v>
      </c>
      <c r="D421" s="203" t="s">
        <v>457</v>
      </c>
      <c r="E421" s="374" t="s">
        <v>104</v>
      </c>
      <c r="F421" s="19">
        <v>0</v>
      </c>
    </row>
    <row r="422" spans="1:6" ht="14.95" customHeight="1" thickBot="1" x14ac:dyDescent="0.3">
      <c r="A422" s="62" t="s">
        <v>789</v>
      </c>
      <c r="B422" s="8" t="s">
        <v>104</v>
      </c>
      <c r="C422" s="9">
        <v>0</v>
      </c>
      <c r="D422" s="2" t="s">
        <v>392</v>
      </c>
      <c r="E422" s="21" t="s">
        <v>94</v>
      </c>
      <c r="F422" s="19">
        <v>0</v>
      </c>
    </row>
    <row r="423" spans="1:6" ht="14.95" customHeight="1" thickBot="1" x14ac:dyDescent="0.3">
      <c r="A423" s="10" t="s">
        <v>211</v>
      </c>
      <c r="B423" s="8" t="s">
        <v>95</v>
      </c>
      <c r="C423" s="9">
        <v>0</v>
      </c>
      <c r="D423" s="21" t="s">
        <v>130</v>
      </c>
      <c r="E423" s="21" t="s">
        <v>620</v>
      </c>
      <c r="F423" s="20">
        <v>0</v>
      </c>
    </row>
    <row r="424" spans="1:6" ht="14.95" customHeight="1" thickBot="1" x14ac:dyDescent="0.3">
      <c r="A424" s="9" t="s">
        <v>191</v>
      </c>
      <c r="B424" s="8" t="s">
        <v>95</v>
      </c>
      <c r="C424" s="9">
        <v>0</v>
      </c>
      <c r="D424" s="21" t="s">
        <v>195</v>
      </c>
      <c r="E424" s="21" t="s">
        <v>97</v>
      </c>
      <c r="F424" s="19">
        <v>0</v>
      </c>
    </row>
    <row r="425" spans="1:6" ht="14.95" customHeight="1" thickBot="1" x14ac:dyDescent="0.3">
      <c r="A425" s="8" t="s">
        <v>183</v>
      </c>
      <c r="B425" s="8" t="s">
        <v>95</v>
      </c>
      <c r="C425" s="9">
        <v>0</v>
      </c>
      <c r="D425" s="19" t="s">
        <v>819</v>
      </c>
      <c r="E425" s="19" t="s">
        <v>282</v>
      </c>
      <c r="F425" s="19">
        <v>0</v>
      </c>
    </row>
    <row r="426" spans="1:6" ht="14.95" customHeight="1" thickBot="1" x14ac:dyDescent="0.3">
      <c r="A426" s="8" t="s">
        <v>628</v>
      </c>
      <c r="B426" s="8" t="s">
        <v>108</v>
      </c>
      <c r="C426" s="9">
        <v>0</v>
      </c>
      <c r="D426" s="19" t="s">
        <v>634</v>
      </c>
      <c r="E426" s="19" t="s">
        <v>95</v>
      </c>
      <c r="F426" s="19">
        <v>0</v>
      </c>
    </row>
    <row r="427" spans="1:6" ht="14.95" customHeight="1" thickBot="1" x14ac:dyDescent="0.3">
      <c r="A427" s="8" t="s">
        <v>636</v>
      </c>
      <c r="B427" s="8" t="s">
        <v>105</v>
      </c>
      <c r="C427" s="9">
        <v>0</v>
      </c>
      <c r="D427" s="21" t="s">
        <v>426</v>
      </c>
      <c r="E427" s="21" t="s">
        <v>620</v>
      </c>
      <c r="F427" s="20">
        <v>0</v>
      </c>
    </row>
    <row r="428" spans="1:6" ht="14.95" customHeight="1" thickBot="1" x14ac:dyDescent="0.3">
      <c r="A428" s="8" t="s">
        <v>133</v>
      </c>
      <c r="B428" s="8" t="s">
        <v>366</v>
      </c>
      <c r="C428" s="9">
        <v>0</v>
      </c>
      <c r="D428" s="21" t="s">
        <v>912</v>
      </c>
      <c r="E428" s="21" t="s">
        <v>366</v>
      </c>
      <c r="F428" s="20">
        <v>0</v>
      </c>
    </row>
    <row r="429" spans="1:6" ht="14.95" customHeight="1" thickBot="1" x14ac:dyDescent="0.3">
      <c r="A429" s="8" t="s">
        <v>821</v>
      </c>
      <c r="B429" s="8" t="s">
        <v>282</v>
      </c>
      <c r="C429" s="9">
        <v>0</v>
      </c>
      <c r="D429" s="21" t="s">
        <v>715</v>
      </c>
      <c r="E429" s="21" t="s">
        <v>108</v>
      </c>
      <c r="F429" s="19">
        <v>0</v>
      </c>
    </row>
    <row r="430" spans="1:6" ht="14.95" customHeight="1" thickBot="1" x14ac:dyDescent="0.3">
      <c r="A430" s="9" t="s">
        <v>277</v>
      </c>
      <c r="B430" s="9" t="s">
        <v>104</v>
      </c>
      <c r="C430" s="9">
        <v>0</v>
      </c>
      <c r="D430" s="21" t="s">
        <v>472</v>
      </c>
      <c r="E430" s="21" t="s">
        <v>620</v>
      </c>
      <c r="F430" s="19">
        <v>0</v>
      </c>
    </row>
    <row r="431" spans="1:6" ht="14.95" customHeight="1" thickBot="1" x14ac:dyDescent="0.3">
      <c r="A431" s="8" t="s">
        <v>678</v>
      </c>
      <c r="B431" s="8" t="s">
        <v>94</v>
      </c>
      <c r="C431" s="6">
        <v>0</v>
      </c>
      <c r="D431" s="21" t="s">
        <v>685</v>
      </c>
      <c r="E431" s="21" t="s">
        <v>104</v>
      </c>
      <c r="F431" s="19">
        <v>0</v>
      </c>
    </row>
    <row r="432" spans="1:6" ht="14.95" customHeight="1" thickBot="1" x14ac:dyDescent="0.3">
      <c r="A432" s="8" t="s">
        <v>601</v>
      </c>
      <c r="B432" s="8" t="s">
        <v>104</v>
      </c>
      <c r="C432" s="9">
        <v>0</v>
      </c>
      <c r="D432" s="374" t="s">
        <v>101</v>
      </c>
      <c r="E432" s="374" t="s">
        <v>95</v>
      </c>
      <c r="F432" s="19">
        <v>0</v>
      </c>
    </row>
    <row r="433" spans="1:6" ht="14.95" customHeight="1" thickBot="1" x14ac:dyDescent="0.3">
      <c r="A433" s="8" t="s">
        <v>314</v>
      </c>
      <c r="B433" s="8" t="s">
        <v>104</v>
      </c>
      <c r="C433" s="9">
        <v>0</v>
      </c>
      <c r="D433" s="21" t="s">
        <v>102</v>
      </c>
      <c r="E433" s="21" t="s">
        <v>95</v>
      </c>
      <c r="F433" s="19">
        <v>0</v>
      </c>
    </row>
    <row r="434" spans="1:6" ht="14.95" customHeight="1" thickBot="1" x14ac:dyDescent="0.3">
      <c r="A434" s="8" t="s">
        <v>134</v>
      </c>
      <c r="B434" s="8" t="s">
        <v>96</v>
      </c>
      <c r="C434" s="9">
        <v>0</v>
      </c>
      <c r="D434" s="21" t="s">
        <v>738</v>
      </c>
      <c r="E434" s="21" t="s">
        <v>108</v>
      </c>
      <c r="F434" s="19">
        <v>0</v>
      </c>
    </row>
    <row r="435" spans="1:6" ht="14.95" customHeight="1" thickBot="1" x14ac:dyDescent="0.3">
      <c r="A435" s="9" t="s">
        <v>766</v>
      </c>
      <c r="B435" s="8" t="s">
        <v>94</v>
      </c>
      <c r="C435" s="9">
        <v>0</v>
      </c>
      <c r="D435" s="21" t="s">
        <v>368</v>
      </c>
      <c r="E435" s="21" t="s">
        <v>366</v>
      </c>
      <c r="F435" s="19">
        <v>0</v>
      </c>
    </row>
    <row r="436" spans="1:6" ht="14.95" customHeight="1" thickBot="1" x14ac:dyDescent="0.3">
      <c r="A436" s="8" t="s">
        <v>537</v>
      </c>
      <c r="B436" s="8" t="s">
        <v>105</v>
      </c>
      <c r="C436" s="49">
        <v>0</v>
      </c>
      <c r="D436" s="21" t="s">
        <v>548</v>
      </c>
      <c r="E436" s="21" t="s">
        <v>366</v>
      </c>
      <c r="F436" s="19">
        <v>0</v>
      </c>
    </row>
    <row r="437" spans="1:6" ht="14.95" customHeight="1" thickBot="1" x14ac:dyDescent="0.3">
      <c r="A437" s="8" t="s">
        <v>552</v>
      </c>
      <c r="B437" s="8" t="s">
        <v>95</v>
      </c>
      <c r="C437" s="9">
        <v>0</v>
      </c>
      <c r="D437" s="21" t="s">
        <v>197</v>
      </c>
      <c r="E437" s="21" t="s">
        <v>104</v>
      </c>
      <c r="F437" s="19">
        <v>0</v>
      </c>
    </row>
    <row r="438" spans="1:6" ht="14.95" customHeight="1" thickBot="1" x14ac:dyDescent="0.3">
      <c r="A438" s="8" t="s">
        <v>135</v>
      </c>
      <c r="B438" s="8" t="s">
        <v>94</v>
      </c>
      <c r="C438" s="9">
        <v>0</v>
      </c>
      <c r="D438" s="21" t="s">
        <v>402</v>
      </c>
      <c r="E438" s="21" t="s">
        <v>97</v>
      </c>
      <c r="F438" s="18">
        <v>0</v>
      </c>
    </row>
    <row r="439" spans="1:6" ht="14.95" customHeight="1" thickBot="1" x14ac:dyDescent="0.3">
      <c r="A439" s="8" t="s">
        <v>263</v>
      </c>
      <c r="B439" s="8" t="s">
        <v>96</v>
      </c>
      <c r="C439" s="9">
        <v>0</v>
      </c>
      <c r="D439" s="21" t="s">
        <v>804</v>
      </c>
      <c r="E439" s="21" t="s">
        <v>620</v>
      </c>
      <c r="F439" s="19">
        <v>0</v>
      </c>
    </row>
    <row r="440" spans="1:6" ht="14.95" customHeight="1" thickBot="1" x14ac:dyDescent="0.3">
      <c r="A440" s="8" t="s">
        <v>327</v>
      </c>
      <c r="B440" s="8" t="s">
        <v>97</v>
      </c>
      <c r="C440" s="9">
        <v>0</v>
      </c>
      <c r="D440" s="21" t="s">
        <v>510</v>
      </c>
      <c r="E440" s="21" t="s">
        <v>95</v>
      </c>
      <c r="F440" s="19">
        <v>0</v>
      </c>
    </row>
    <row r="441" spans="1:6" ht="14.95" customHeight="1" thickBot="1" x14ac:dyDescent="0.3">
      <c r="A441" s="8" t="s">
        <v>136</v>
      </c>
      <c r="B441" s="8" t="s">
        <v>97</v>
      </c>
      <c r="C441" s="9">
        <v>0</v>
      </c>
      <c r="D441" s="21" t="s">
        <v>848</v>
      </c>
      <c r="E441" s="21" t="s">
        <v>282</v>
      </c>
      <c r="F441" s="19">
        <v>0</v>
      </c>
    </row>
    <row r="442" spans="1:6" ht="14.95" customHeight="1" thickBot="1" x14ac:dyDescent="0.3">
      <c r="A442" s="8" t="s">
        <v>670</v>
      </c>
      <c r="B442" s="8" t="s">
        <v>97</v>
      </c>
      <c r="C442" s="9">
        <v>0</v>
      </c>
      <c r="D442" s="21" t="s">
        <v>610</v>
      </c>
      <c r="E442" s="21" t="s">
        <v>282</v>
      </c>
      <c r="F442" s="19">
        <v>0</v>
      </c>
    </row>
    <row r="443" spans="1:6" ht="14.95" customHeight="1" thickBot="1" x14ac:dyDescent="0.3">
      <c r="A443" s="8" t="s">
        <v>137</v>
      </c>
      <c r="B443" s="8" t="s">
        <v>108</v>
      </c>
      <c r="C443" s="9">
        <v>0</v>
      </c>
      <c r="D443" s="21" t="s">
        <v>189</v>
      </c>
      <c r="E443" s="21" t="s">
        <v>97</v>
      </c>
      <c r="F443" s="19">
        <v>0</v>
      </c>
    </row>
    <row r="444" spans="1:6" ht="14.95" customHeight="1" thickBot="1" x14ac:dyDescent="0.3">
      <c r="A444" s="8" t="s">
        <v>369</v>
      </c>
      <c r="B444" s="8" t="s">
        <v>366</v>
      </c>
      <c r="C444" s="9">
        <v>0</v>
      </c>
      <c r="D444" s="21" t="s">
        <v>755</v>
      </c>
      <c r="E444" s="21" t="s">
        <v>105</v>
      </c>
      <c r="F444" s="19">
        <v>0</v>
      </c>
    </row>
    <row r="445" spans="1:6" ht="14.95" customHeight="1" thickBot="1" x14ac:dyDescent="0.3">
      <c r="A445" s="8" t="s">
        <v>617</v>
      </c>
      <c r="B445" s="8" t="s">
        <v>366</v>
      </c>
      <c r="C445" s="9">
        <v>0</v>
      </c>
      <c r="D445" s="21" t="s">
        <v>709</v>
      </c>
      <c r="E445" s="21" t="s">
        <v>108</v>
      </c>
      <c r="F445" s="19">
        <v>0</v>
      </c>
    </row>
    <row r="446" spans="1:6" ht="14.95" customHeight="1" thickBot="1" x14ac:dyDescent="0.3">
      <c r="A446" s="8" t="s">
        <v>370</v>
      </c>
      <c r="B446" s="8" t="s">
        <v>366</v>
      </c>
      <c r="C446" s="9">
        <v>0</v>
      </c>
      <c r="D446" s="21" t="s">
        <v>789</v>
      </c>
      <c r="E446" s="21" t="s">
        <v>104</v>
      </c>
      <c r="F446" s="19">
        <v>0</v>
      </c>
    </row>
    <row r="447" spans="1:6" ht="14.95" customHeight="1" thickBot="1" x14ac:dyDescent="0.3">
      <c r="A447" s="8" t="s">
        <v>750</v>
      </c>
      <c r="B447" s="8" t="s">
        <v>105</v>
      </c>
      <c r="C447" s="9">
        <v>0</v>
      </c>
      <c r="D447" s="19" t="s">
        <v>211</v>
      </c>
      <c r="E447" s="21" t="s">
        <v>95</v>
      </c>
      <c r="F447" s="19">
        <v>0</v>
      </c>
    </row>
    <row r="448" spans="1:6" ht="14.95" customHeight="1" thickBot="1" x14ac:dyDescent="0.3">
      <c r="A448" s="8" t="s">
        <v>761</v>
      </c>
      <c r="B448" s="8" t="s">
        <v>94</v>
      </c>
      <c r="C448" s="9">
        <v>0</v>
      </c>
      <c r="D448" s="19" t="s">
        <v>191</v>
      </c>
      <c r="E448" s="21" t="s">
        <v>95</v>
      </c>
      <c r="F448" s="19">
        <v>0</v>
      </c>
    </row>
    <row r="449" spans="1:6" ht="14.95" customHeight="1" thickBot="1" x14ac:dyDescent="0.3">
      <c r="A449" s="8" t="s">
        <v>494</v>
      </c>
      <c r="B449" s="8" t="s">
        <v>97</v>
      </c>
      <c r="C449" s="9">
        <v>0</v>
      </c>
      <c r="D449" s="21" t="s">
        <v>183</v>
      </c>
      <c r="E449" s="21" t="s">
        <v>95</v>
      </c>
      <c r="F449" s="19">
        <v>0</v>
      </c>
    </row>
    <row r="450" spans="1:6" ht="14.95" customHeight="1" thickBot="1" x14ac:dyDescent="0.3">
      <c r="A450" s="8" t="s">
        <v>721</v>
      </c>
      <c r="B450" s="8" t="s">
        <v>108</v>
      </c>
      <c r="C450" s="9">
        <v>0</v>
      </c>
      <c r="D450" s="21" t="s">
        <v>628</v>
      </c>
      <c r="E450" s="21" t="s">
        <v>108</v>
      </c>
      <c r="F450" s="19">
        <v>0</v>
      </c>
    </row>
    <row r="451" spans="1:6" ht="14.95" customHeight="1" thickBot="1" x14ac:dyDescent="0.3">
      <c r="A451" s="8" t="s">
        <v>473</v>
      </c>
      <c r="B451" s="8" t="s">
        <v>104</v>
      </c>
      <c r="C451" s="9">
        <v>0</v>
      </c>
      <c r="D451" s="21" t="s">
        <v>636</v>
      </c>
      <c r="E451" s="21" t="s">
        <v>105</v>
      </c>
      <c r="F451" s="19">
        <v>0</v>
      </c>
    </row>
    <row r="452" spans="1:6" ht="14.95" customHeight="1" thickBot="1" x14ac:dyDescent="0.3">
      <c r="A452" s="9" t="s">
        <v>722</v>
      </c>
      <c r="B452" s="9" t="s">
        <v>108</v>
      </c>
      <c r="C452" s="9">
        <v>0</v>
      </c>
      <c r="D452" s="21" t="s">
        <v>133</v>
      </c>
      <c r="E452" s="21" t="s">
        <v>366</v>
      </c>
      <c r="F452" s="19">
        <v>0</v>
      </c>
    </row>
    <row r="453" spans="1:6" ht="14.95" customHeight="1" thickBot="1" x14ac:dyDescent="0.3">
      <c r="A453" s="8" t="s">
        <v>891</v>
      </c>
      <c r="B453" s="8" t="s">
        <v>95</v>
      </c>
      <c r="C453" s="9">
        <v>0</v>
      </c>
      <c r="D453" s="21" t="s">
        <v>821</v>
      </c>
      <c r="E453" s="21" t="s">
        <v>282</v>
      </c>
      <c r="F453" s="19">
        <v>0</v>
      </c>
    </row>
    <row r="454" spans="1:6" ht="14.95" customHeight="1" thickBot="1" x14ac:dyDescent="0.3">
      <c r="A454" s="8" t="s">
        <v>856</v>
      </c>
      <c r="B454" s="8" t="s">
        <v>97</v>
      </c>
      <c r="C454" s="9">
        <v>0</v>
      </c>
      <c r="D454" s="19" t="s">
        <v>277</v>
      </c>
      <c r="E454" s="19" t="s">
        <v>104</v>
      </c>
      <c r="F454" s="19">
        <v>0</v>
      </c>
    </row>
    <row r="455" spans="1:6" ht="14.95" customHeight="1" thickBot="1" x14ac:dyDescent="0.3">
      <c r="A455" s="8" t="s">
        <v>138</v>
      </c>
      <c r="B455" s="8" t="s">
        <v>108</v>
      </c>
      <c r="C455" s="9">
        <v>0</v>
      </c>
      <c r="D455" s="374" t="s">
        <v>678</v>
      </c>
      <c r="E455" s="374" t="s">
        <v>94</v>
      </c>
      <c r="F455" s="19">
        <v>0</v>
      </c>
    </row>
    <row r="456" spans="1:6" ht="14.95" customHeight="1" thickBot="1" x14ac:dyDescent="0.3">
      <c r="A456" s="9" t="s">
        <v>783</v>
      </c>
      <c r="B456" s="9" t="s">
        <v>104</v>
      </c>
      <c r="C456" s="9">
        <v>0</v>
      </c>
      <c r="D456" s="21" t="s">
        <v>314</v>
      </c>
      <c r="E456" s="21" t="s">
        <v>104</v>
      </c>
      <c r="F456" s="19">
        <v>0</v>
      </c>
    </row>
    <row r="457" spans="1:6" ht="14.95" customHeight="1" thickBot="1" x14ac:dyDescent="0.3">
      <c r="A457" s="8" t="s">
        <v>477</v>
      </c>
      <c r="B457" s="8" t="s">
        <v>366</v>
      </c>
      <c r="C457" s="9">
        <v>0</v>
      </c>
      <c r="D457" s="21" t="s">
        <v>134</v>
      </c>
      <c r="E457" s="21" t="s">
        <v>96</v>
      </c>
      <c r="F457" s="19">
        <v>0</v>
      </c>
    </row>
    <row r="458" spans="1:6" ht="14.95" customHeight="1" thickBot="1" x14ac:dyDescent="0.3">
      <c r="A458" s="8" t="s">
        <v>740</v>
      </c>
      <c r="B458" s="8" t="s">
        <v>108</v>
      </c>
      <c r="C458" s="9">
        <v>0</v>
      </c>
      <c r="D458" s="19" t="s">
        <v>766</v>
      </c>
      <c r="E458" s="19" t="s">
        <v>94</v>
      </c>
      <c r="F458" s="19">
        <v>0</v>
      </c>
    </row>
    <row r="459" spans="1:6" ht="14.95" customHeight="1" thickBot="1" x14ac:dyDescent="0.3">
      <c r="A459" s="8" t="s">
        <v>234</v>
      </c>
      <c r="B459" s="8" t="s">
        <v>94</v>
      </c>
      <c r="C459" s="9">
        <v>0</v>
      </c>
      <c r="D459" s="21" t="s">
        <v>537</v>
      </c>
      <c r="E459" s="21" t="s">
        <v>105</v>
      </c>
      <c r="F459" s="19">
        <v>0</v>
      </c>
    </row>
    <row r="460" spans="1:6" ht="14.95" customHeight="1" thickBot="1" x14ac:dyDescent="0.3">
      <c r="A460" s="8" t="s">
        <v>530</v>
      </c>
      <c r="B460" s="8" t="s">
        <v>96</v>
      </c>
      <c r="C460" s="9">
        <v>0</v>
      </c>
      <c r="D460" s="21" t="s">
        <v>552</v>
      </c>
      <c r="E460" s="21" t="s">
        <v>95</v>
      </c>
      <c r="F460" s="19">
        <v>0</v>
      </c>
    </row>
    <row r="461" spans="1:6" ht="14.95" customHeight="1" thickBot="1" x14ac:dyDescent="0.3">
      <c r="A461" s="8" t="s">
        <v>106</v>
      </c>
      <c r="B461" s="8" t="s">
        <v>95</v>
      </c>
      <c r="C461" s="9">
        <v>0</v>
      </c>
      <c r="D461" s="21" t="s">
        <v>135</v>
      </c>
      <c r="E461" s="21" t="s">
        <v>94</v>
      </c>
      <c r="F461" s="19">
        <v>0</v>
      </c>
    </row>
    <row r="462" spans="1:6" ht="14.95" customHeight="1" thickBot="1" x14ac:dyDescent="0.3">
      <c r="A462" s="8" t="s">
        <v>732</v>
      </c>
      <c r="B462" s="8" t="s">
        <v>108</v>
      </c>
      <c r="C462" s="9">
        <v>0</v>
      </c>
      <c r="D462" s="21" t="s">
        <v>263</v>
      </c>
      <c r="E462" s="21" t="s">
        <v>96</v>
      </c>
      <c r="F462" s="19">
        <v>0</v>
      </c>
    </row>
    <row r="463" spans="1:6" ht="14.95" customHeight="1" thickBot="1" x14ac:dyDescent="0.3">
      <c r="A463" s="9" t="s">
        <v>826</v>
      </c>
      <c r="B463" s="9" t="s">
        <v>282</v>
      </c>
      <c r="C463" s="9">
        <v>0</v>
      </c>
      <c r="D463" s="21" t="s">
        <v>327</v>
      </c>
      <c r="E463" s="21" t="s">
        <v>97</v>
      </c>
      <c r="F463" s="18">
        <v>0</v>
      </c>
    </row>
    <row r="464" spans="1:6" ht="14.95" customHeight="1" thickBot="1" x14ac:dyDescent="0.3">
      <c r="A464" s="8" t="s">
        <v>570</v>
      </c>
      <c r="B464" s="8" t="s">
        <v>105</v>
      </c>
      <c r="C464" s="9">
        <v>0</v>
      </c>
      <c r="D464" s="21" t="s">
        <v>136</v>
      </c>
      <c r="E464" s="21" t="s">
        <v>97</v>
      </c>
      <c r="F464" s="19">
        <v>0</v>
      </c>
    </row>
    <row r="465" spans="1:6" ht="14.95" customHeight="1" thickBot="1" x14ac:dyDescent="0.3">
      <c r="A465" s="9" t="s">
        <v>468</v>
      </c>
      <c r="B465" s="9" t="s">
        <v>104</v>
      </c>
      <c r="C465" s="9">
        <v>0</v>
      </c>
      <c r="D465" s="21" t="s">
        <v>670</v>
      </c>
      <c r="E465" s="21" t="s">
        <v>97</v>
      </c>
      <c r="F465" s="19">
        <v>0</v>
      </c>
    </row>
    <row r="466" spans="1:6" ht="14.95" customHeight="1" thickBot="1" x14ac:dyDescent="0.3">
      <c r="A466" s="9" t="s">
        <v>246</v>
      </c>
      <c r="B466" s="9" t="s">
        <v>620</v>
      </c>
      <c r="C466" s="9">
        <v>0</v>
      </c>
      <c r="D466" s="21" t="s">
        <v>137</v>
      </c>
      <c r="E466" s="21" t="s">
        <v>108</v>
      </c>
      <c r="F466" s="19">
        <v>0</v>
      </c>
    </row>
    <row r="467" spans="1:6" ht="14.95" customHeight="1" thickBot="1" x14ac:dyDescent="0.3">
      <c r="A467" s="8" t="s">
        <v>281</v>
      </c>
      <c r="B467" s="9" t="s">
        <v>620</v>
      </c>
      <c r="C467" s="9">
        <v>0</v>
      </c>
      <c r="D467" s="21" t="s">
        <v>369</v>
      </c>
      <c r="E467" s="21" t="s">
        <v>366</v>
      </c>
      <c r="F467" s="19">
        <v>0</v>
      </c>
    </row>
    <row r="468" spans="1:6" ht="14.95" customHeight="1" thickBot="1" x14ac:dyDescent="0.3">
      <c r="A468" s="8" t="s">
        <v>103</v>
      </c>
      <c r="B468" s="8" t="s">
        <v>95</v>
      </c>
      <c r="C468" s="9">
        <v>0</v>
      </c>
      <c r="D468" s="21" t="s">
        <v>617</v>
      </c>
      <c r="E468" s="21" t="s">
        <v>366</v>
      </c>
      <c r="F468" s="19">
        <v>0</v>
      </c>
    </row>
    <row r="469" spans="1:6" ht="14.95" thickBot="1" x14ac:dyDescent="0.3">
      <c r="A469" s="8" t="s">
        <v>908</v>
      </c>
      <c r="B469" s="8" t="s">
        <v>366</v>
      </c>
      <c r="C469" s="9">
        <v>0</v>
      </c>
      <c r="D469" s="21" t="s">
        <v>370</v>
      </c>
      <c r="E469" s="21" t="s">
        <v>366</v>
      </c>
      <c r="F469" s="19">
        <v>0</v>
      </c>
    </row>
    <row r="470" spans="1:6" ht="14.95" thickBot="1" x14ac:dyDescent="0.3">
      <c r="A470" s="8" t="s">
        <v>800</v>
      </c>
      <c r="B470" s="9" t="s">
        <v>620</v>
      </c>
      <c r="C470" s="6">
        <v>0</v>
      </c>
      <c r="D470" s="21" t="s">
        <v>750</v>
      </c>
      <c r="E470" s="21" t="s">
        <v>105</v>
      </c>
      <c r="F470" s="18">
        <v>0</v>
      </c>
    </row>
    <row r="471" spans="1:6" ht="14.95" thickBot="1" x14ac:dyDescent="0.3">
      <c r="A471" s="9" t="s">
        <v>371</v>
      </c>
      <c r="B471" s="8" t="s">
        <v>97</v>
      </c>
      <c r="C471" s="9">
        <v>0</v>
      </c>
      <c r="D471" s="21" t="s">
        <v>761</v>
      </c>
      <c r="E471" s="21" t="s">
        <v>94</v>
      </c>
      <c r="F471" s="19">
        <v>0</v>
      </c>
    </row>
    <row r="472" spans="1:6" ht="14.95" thickBot="1" x14ac:dyDescent="0.3">
      <c r="A472" s="8" t="s">
        <v>387</v>
      </c>
      <c r="B472" s="9" t="s">
        <v>620</v>
      </c>
      <c r="C472" s="9">
        <v>0</v>
      </c>
      <c r="D472" s="21" t="s">
        <v>494</v>
      </c>
      <c r="E472" s="21" t="s">
        <v>97</v>
      </c>
      <c r="F472" s="19">
        <v>0</v>
      </c>
    </row>
    <row r="473" spans="1:6" ht="14.95" thickBot="1" x14ac:dyDescent="0.3">
      <c r="A473" s="8" t="s">
        <v>140</v>
      </c>
      <c r="B473" s="8" t="s">
        <v>97</v>
      </c>
      <c r="C473" s="9">
        <v>0</v>
      </c>
      <c r="D473" s="21" t="s">
        <v>721</v>
      </c>
      <c r="E473" s="21" t="s">
        <v>108</v>
      </c>
      <c r="F473" s="19">
        <v>0</v>
      </c>
    </row>
    <row r="474" spans="1:6" ht="14.95" thickBot="1" x14ac:dyDescent="0.3">
      <c r="A474" s="8" t="s">
        <v>535</v>
      </c>
      <c r="B474" s="8" t="s">
        <v>108</v>
      </c>
      <c r="C474" s="9">
        <v>0</v>
      </c>
      <c r="D474" s="21" t="s">
        <v>473</v>
      </c>
      <c r="E474" s="21" t="s">
        <v>104</v>
      </c>
      <c r="F474" s="19">
        <v>0</v>
      </c>
    </row>
    <row r="475" spans="1:6" ht="14.95" thickBot="1" x14ac:dyDescent="0.3">
      <c r="A475" s="8" t="s">
        <v>385</v>
      </c>
      <c r="B475" s="8" t="s">
        <v>105</v>
      </c>
      <c r="C475" s="9">
        <v>0</v>
      </c>
      <c r="D475" s="19" t="s">
        <v>722</v>
      </c>
      <c r="E475" s="19" t="s">
        <v>108</v>
      </c>
      <c r="F475" s="19">
        <v>0</v>
      </c>
    </row>
    <row r="476" spans="1:6" ht="14.95" thickBot="1" x14ac:dyDescent="0.3">
      <c r="A476" s="8" t="s">
        <v>305</v>
      </c>
      <c r="B476" s="8" t="s">
        <v>366</v>
      </c>
      <c r="C476" s="9">
        <v>0</v>
      </c>
      <c r="D476" s="21" t="s">
        <v>891</v>
      </c>
      <c r="E476" s="21" t="s">
        <v>95</v>
      </c>
      <c r="F476" s="20">
        <v>0</v>
      </c>
    </row>
    <row r="477" spans="1:6" ht="14.95" thickBot="1" x14ac:dyDescent="0.3">
      <c r="A477" s="8" t="s">
        <v>372</v>
      </c>
      <c r="B477" s="8" t="s">
        <v>366</v>
      </c>
      <c r="C477" s="9">
        <v>0</v>
      </c>
      <c r="D477" s="21" t="s">
        <v>856</v>
      </c>
      <c r="E477" s="21" t="s">
        <v>97</v>
      </c>
      <c r="F477" s="19">
        <v>0</v>
      </c>
    </row>
    <row r="478" spans="1:6" ht="14.95" thickBot="1" x14ac:dyDescent="0.3">
      <c r="A478" s="8" t="s">
        <v>84</v>
      </c>
      <c r="B478" s="8" t="s">
        <v>95</v>
      </c>
      <c r="C478" s="9">
        <v>0</v>
      </c>
      <c r="D478" s="21" t="s">
        <v>138</v>
      </c>
      <c r="E478" s="21" t="s">
        <v>108</v>
      </c>
      <c r="F478" s="19">
        <v>0</v>
      </c>
    </row>
    <row r="479" spans="1:6" ht="14.95" thickBot="1" x14ac:dyDescent="0.3">
      <c r="A479" s="8" t="s">
        <v>659</v>
      </c>
      <c r="B479" s="8" t="s">
        <v>108</v>
      </c>
      <c r="C479" s="49">
        <v>0</v>
      </c>
      <c r="D479" s="21" t="s">
        <v>477</v>
      </c>
      <c r="E479" s="21" t="s">
        <v>366</v>
      </c>
      <c r="F479" s="19">
        <v>0</v>
      </c>
    </row>
    <row r="480" spans="1:6" ht="14.95" thickBot="1" x14ac:dyDescent="0.3">
      <c r="A480" s="8" t="s">
        <v>527</v>
      </c>
      <c r="B480" s="8" t="s">
        <v>105</v>
      </c>
      <c r="C480" s="9">
        <v>0</v>
      </c>
      <c r="D480" s="21" t="s">
        <v>740</v>
      </c>
      <c r="E480" s="21" t="s">
        <v>108</v>
      </c>
      <c r="F480" s="19">
        <v>0</v>
      </c>
    </row>
    <row r="481" spans="1:6" ht="14.95" thickBot="1" x14ac:dyDescent="0.3">
      <c r="A481" s="8" t="s">
        <v>526</v>
      </c>
      <c r="B481" s="8" t="s">
        <v>961</v>
      </c>
      <c r="C481" s="9">
        <v>0</v>
      </c>
      <c r="D481" s="21" t="s">
        <v>234</v>
      </c>
      <c r="E481" s="21" t="s">
        <v>94</v>
      </c>
      <c r="F481" s="19">
        <v>0</v>
      </c>
    </row>
    <row r="482" spans="1:6" ht="14.95" thickBot="1" x14ac:dyDescent="0.3">
      <c r="A482" s="8" t="s">
        <v>526</v>
      </c>
      <c r="B482" s="8" t="s">
        <v>105</v>
      </c>
      <c r="C482" s="9">
        <v>0</v>
      </c>
      <c r="D482" s="21" t="s">
        <v>530</v>
      </c>
      <c r="E482" s="21" t="s">
        <v>96</v>
      </c>
      <c r="F482" s="19">
        <v>0</v>
      </c>
    </row>
    <row r="483" spans="1:6" ht="14.95" thickBot="1" x14ac:dyDescent="0.3">
      <c r="A483" s="8" t="s">
        <v>735</v>
      </c>
      <c r="B483" s="8" t="s">
        <v>108</v>
      </c>
      <c r="C483" s="9">
        <v>0</v>
      </c>
      <c r="D483" s="21" t="s">
        <v>106</v>
      </c>
      <c r="E483" s="21" t="s">
        <v>95</v>
      </c>
      <c r="F483" s="19">
        <v>0</v>
      </c>
    </row>
    <row r="484" spans="1:6" ht="14.95" thickBot="1" x14ac:dyDescent="0.3">
      <c r="A484" s="8" t="s">
        <v>975</v>
      </c>
      <c r="B484" s="8" t="s">
        <v>955</v>
      </c>
      <c r="C484" s="9">
        <v>0</v>
      </c>
      <c r="D484" s="21" t="s">
        <v>732</v>
      </c>
      <c r="E484" s="21" t="s">
        <v>108</v>
      </c>
      <c r="F484" s="19">
        <v>0</v>
      </c>
    </row>
    <row r="485" spans="1:6" ht="14.95" thickBot="1" x14ac:dyDescent="0.3">
      <c r="A485" s="8" t="s">
        <v>676</v>
      </c>
      <c r="B485" s="8" t="s">
        <v>105</v>
      </c>
      <c r="C485" s="9">
        <v>0</v>
      </c>
      <c r="D485" s="19" t="s">
        <v>826</v>
      </c>
      <c r="E485" s="19" t="s">
        <v>282</v>
      </c>
      <c r="F485" s="19">
        <v>0</v>
      </c>
    </row>
    <row r="486" spans="1:6" ht="14.95" thickBot="1" x14ac:dyDescent="0.3">
      <c r="A486" s="8" t="s">
        <v>902</v>
      </c>
      <c r="B486" s="8" t="s">
        <v>366</v>
      </c>
      <c r="C486" s="9">
        <v>0</v>
      </c>
      <c r="D486" s="19" t="s">
        <v>468</v>
      </c>
      <c r="E486" s="19" t="s">
        <v>104</v>
      </c>
      <c r="F486" s="19">
        <v>0</v>
      </c>
    </row>
    <row r="487" spans="1:6" ht="14.95" thickBot="1" x14ac:dyDescent="0.3">
      <c r="A487" s="8" t="s">
        <v>1121</v>
      </c>
      <c r="B487" s="8" t="s">
        <v>953</v>
      </c>
      <c r="C487" s="9">
        <v>0</v>
      </c>
      <c r="D487" s="19" t="s">
        <v>246</v>
      </c>
      <c r="E487" s="19" t="s">
        <v>620</v>
      </c>
      <c r="F487" s="19">
        <v>0</v>
      </c>
    </row>
    <row r="488" spans="1:6" ht="14.95" thickBot="1" x14ac:dyDescent="0.3">
      <c r="A488" s="8" t="s">
        <v>1018</v>
      </c>
      <c r="B488" s="8" t="s">
        <v>957</v>
      </c>
      <c r="C488" s="9">
        <v>0</v>
      </c>
      <c r="D488" s="21" t="s">
        <v>281</v>
      </c>
      <c r="E488" s="21" t="s">
        <v>620</v>
      </c>
      <c r="F488" s="19">
        <v>0</v>
      </c>
    </row>
    <row r="489" spans="1:6" ht="14.95" thickBot="1" x14ac:dyDescent="0.3">
      <c r="A489" s="8" t="s">
        <v>784</v>
      </c>
      <c r="B489" s="8" t="s">
        <v>104</v>
      </c>
      <c r="C489" s="9">
        <v>0</v>
      </c>
      <c r="D489" s="21" t="s">
        <v>103</v>
      </c>
      <c r="E489" s="21" t="s">
        <v>95</v>
      </c>
      <c r="F489" s="19">
        <v>0</v>
      </c>
    </row>
    <row r="490" spans="1:6" ht="14.95" thickBot="1" x14ac:dyDescent="0.3">
      <c r="A490" s="8" t="s">
        <v>424</v>
      </c>
      <c r="B490" s="8" t="s">
        <v>94</v>
      </c>
      <c r="C490" s="9">
        <v>0</v>
      </c>
      <c r="D490" s="21" t="s">
        <v>908</v>
      </c>
      <c r="E490" s="21" t="s">
        <v>366</v>
      </c>
      <c r="F490" s="19">
        <v>0</v>
      </c>
    </row>
    <row r="491" spans="1:6" ht="14.95" thickBot="1" x14ac:dyDescent="0.3">
      <c r="A491" s="9" t="s">
        <v>404</v>
      </c>
      <c r="B491" s="9" t="s">
        <v>104</v>
      </c>
      <c r="C491" s="9">
        <v>0</v>
      </c>
      <c r="D491" s="21" t="s">
        <v>800</v>
      </c>
      <c r="E491" s="21" t="s">
        <v>620</v>
      </c>
      <c r="F491" s="19">
        <v>0</v>
      </c>
    </row>
    <row r="492" spans="1:6" ht="14.95" thickBot="1" x14ac:dyDescent="0.3">
      <c r="A492" s="8" t="s">
        <v>187</v>
      </c>
      <c r="B492" s="8" t="s">
        <v>105</v>
      </c>
      <c r="C492" s="9">
        <v>0</v>
      </c>
      <c r="D492" s="19" t="s">
        <v>371</v>
      </c>
      <c r="E492" s="21" t="s">
        <v>97</v>
      </c>
      <c r="F492" s="19">
        <v>0</v>
      </c>
    </row>
    <row r="493" spans="1:6" ht="14.95" thickBot="1" x14ac:dyDescent="0.3">
      <c r="A493" s="9" t="s">
        <v>311</v>
      </c>
      <c r="B493" s="9" t="s">
        <v>620</v>
      </c>
      <c r="C493" s="9">
        <v>0</v>
      </c>
      <c r="D493" s="21" t="s">
        <v>387</v>
      </c>
      <c r="E493" s="21" t="s">
        <v>620</v>
      </c>
      <c r="F493" s="19">
        <v>0</v>
      </c>
    </row>
    <row r="494" spans="1:6" ht="14.95" thickBot="1" x14ac:dyDescent="0.3">
      <c r="A494" s="9" t="s">
        <v>827</v>
      </c>
      <c r="B494" s="9" t="s">
        <v>282</v>
      </c>
      <c r="C494" s="9">
        <v>0</v>
      </c>
      <c r="D494" s="21" t="s">
        <v>535</v>
      </c>
      <c r="E494" s="21" t="s">
        <v>108</v>
      </c>
      <c r="F494" s="19">
        <v>0</v>
      </c>
    </row>
    <row r="495" spans="1:6" ht="14.95" thickBot="1" x14ac:dyDescent="0.3">
      <c r="A495" s="8" t="s">
        <v>341</v>
      </c>
      <c r="B495" s="8" t="s">
        <v>104</v>
      </c>
      <c r="C495" s="9">
        <v>0</v>
      </c>
      <c r="D495" s="21" t="s">
        <v>385</v>
      </c>
      <c r="E495" s="21" t="s">
        <v>105</v>
      </c>
      <c r="F495" s="19">
        <v>0</v>
      </c>
    </row>
    <row r="496" spans="1:6" ht="14.95" thickBot="1" x14ac:dyDescent="0.3">
      <c r="A496" s="8" t="s">
        <v>142</v>
      </c>
      <c r="B496" s="8" t="s">
        <v>104</v>
      </c>
      <c r="C496" s="9">
        <v>0</v>
      </c>
      <c r="D496" s="21" t="s">
        <v>305</v>
      </c>
      <c r="E496" s="21" t="s">
        <v>366</v>
      </c>
      <c r="F496" s="19">
        <v>0</v>
      </c>
    </row>
    <row r="497" spans="1:6" ht="14.95" thickBot="1" x14ac:dyDescent="0.3">
      <c r="A497" s="8" t="s">
        <v>1122</v>
      </c>
      <c r="B497" s="8" t="s">
        <v>953</v>
      </c>
      <c r="C497" s="9">
        <v>0</v>
      </c>
      <c r="D497" s="21" t="s">
        <v>372</v>
      </c>
      <c r="E497" s="21" t="s">
        <v>366</v>
      </c>
      <c r="F497" s="20">
        <v>0</v>
      </c>
    </row>
    <row r="498" spans="1:6" ht="14.95" thickBot="1" x14ac:dyDescent="0.3">
      <c r="A498" s="8" t="s">
        <v>313</v>
      </c>
      <c r="B498" s="8" t="s">
        <v>108</v>
      </c>
      <c r="C498" s="9">
        <v>0</v>
      </c>
      <c r="D498" s="21" t="s">
        <v>84</v>
      </c>
      <c r="E498" s="21" t="s">
        <v>95</v>
      </c>
      <c r="F498" s="19">
        <v>0</v>
      </c>
    </row>
    <row r="499" spans="1:6" ht="14.95" thickBot="1" x14ac:dyDescent="0.3">
      <c r="A499" s="8" t="s">
        <v>533</v>
      </c>
      <c r="B499" s="8" t="s">
        <v>366</v>
      </c>
      <c r="C499" s="9">
        <v>0</v>
      </c>
      <c r="D499" s="21" t="s">
        <v>527</v>
      </c>
      <c r="E499" s="21" t="s">
        <v>105</v>
      </c>
      <c r="F499" s="19">
        <v>0</v>
      </c>
    </row>
    <row r="500" spans="1:6" ht="14.95" thickBot="1" x14ac:dyDescent="0.3">
      <c r="A500" s="8" t="s">
        <v>270</v>
      </c>
      <c r="B500" s="8" t="s">
        <v>108</v>
      </c>
      <c r="C500" s="9">
        <v>0</v>
      </c>
      <c r="D500" s="21" t="s">
        <v>526</v>
      </c>
      <c r="E500" s="21" t="s">
        <v>105</v>
      </c>
      <c r="F500" s="19">
        <v>0</v>
      </c>
    </row>
    <row r="501" spans="1:6" ht="14.95" thickBot="1" x14ac:dyDescent="0.3">
      <c r="A501" s="8" t="s">
        <v>143</v>
      </c>
      <c r="B501" s="8" t="s">
        <v>104</v>
      </c>
      <c r="C501" s="9">
        <v>0</v>
      </c>
      <c r="D501" s="21" t="s">
        <v>735</v>
      </c>
      <c r="E501" s="21" t="s">
        <v>108</v>
      </c>
      <c r="F501" s="19">
        <v>0</v>
      </c>
    </row>
    <row r="502" spans="1:6" ht="14.95" thickBot="1" x14ac:dyDescent="0.3">
      <c r="A502" s="8" t="s">
        <v>785</v>
      </c>
      <c r="B502" s="8" t="s">
        <v>104</v>
      </c>
      <c r="C502" s="9">
        <v>0</v>
      </c>
      <c r="D502" s="19" t="s">
        <v>676</v>
      </c>
      <c r="E502" s="19" t="s">
        <v>105</v>
      </c>
      <c r="F502" s="19">
        <v>0</v>
      </c>
    </row>
    <row r="503" spans="1:6" ht="14.95" thickBot="1" x14ac:dyDescent="0.3">
      <c r="A503" s="8" t="s">
        <v>442</v>
      </c>
      <c r="B503" s="8" t="s">
        <v>108</v>
      </c>
      <c r="C503" s="9">
        <v>0</v>
      </c>
      <c r="D503" s="21" t="s">
        <v>784</v>
      </c>
      <c r="E503" s="21" t="s">
        <v>104</v>
      </c>
      <c r="F503" s="19">
        <v>0</v>
      </c>
    </row>
    <row r="504" spans="1:6" ht="14.95" thickBot="1" x14ac:dyDescent="0.3">
      <c r="A504" s="9" t="s">
        <v>858</v>
      </c>
      <c r="B504" s="8" t="s">
        <v>97</v>
      </c>
      <c r="C504" s="9">
        <v>0</v>
      </c>
      <c r="D504" s="21" t="s">
        <v>424</v>
      </c>
      <c r="E504" s="21" t="s">
        <v>94</v>
      </c>
      <c r="F504" s="19">
        <v>0</v>
      </c>
    </row>
    <row r="505" spans="1:6" ht="14.95" thickBot="1" x14ac:dyDescent="0.3">
      <c r="A505" s="8" t="s">
        <v>828</v>
      </c>
      <c r="B505" s="8" t="s">
        <v>282</v>
      </c>
      <c r="C505" s="9">
        <v>0</v>
      </c>
      <c r="D505" s="19" t="s">
        <v>404</v>
      </c>
      <c r="E505" s="19" t="s">
        <v>104</v>
      </c>
      <c r="F505" s="19">
        <v>0</v>
      </c>
    </row>
    <row r="506" spans="1:6" ht="14.95" thickBot="1" x14ac:dyDescent="0.3">
      <c r="A506" s="8" t="s">
        <v>643</v>
      </c>
      <c r="B506" s="8" t="s">
        <v>104</v>
      </c>
      <c r="C506" s="9">
        <v>0</v>
      </c>
      <c r="D506" s="21" t="s">
        <v>187</v>
      </c>
      <c r="E506" s="21" t="s">
        <v>105</v>
      </c>
      <c r="F506" s="19">
        <v>0</v>
      </c>
    </row>
    <row r="507" spans="1:6" ht="14.95" thickBot="1" x14ac:dyDescent="0.3">
      <c r="A507" s="309" t="s">
        <v>664</v>
      </c>
      <c r="B507" s="309" t="s">
        <v>94</v>
      </c>
      <c r="C507" s="9">
        <v>0</v>
      </c>
      <c r="D507" s="21" t="s">
        <v>311</v>
      </c>
      <c r="E507" s="21" t="s">
        <v>620</v>
      </c>
      <c r="F507" s="18">
        <v>0</v>
      </c>
    </row>
    <row r="508" spans="1:6" ht="14.95" thickBot="1" x14ac:dyDescent="0.3">
      <c r="A508" s="8" t="s">
        <v>862</v>
      </c>
      <c r="B508" s="8" t="s">
        <v>97</v>
      </c>
      <c r="C508" s="9">
        <v>0</v>
      </c>
      <c r="D508" s="21" t="s">
        <v>827</v>
      </c>
      <c r="E508" s="21" t="s">
        <v>282</v>
      </c>
      <c r="F508" s="19">
        <v>0</v>
      </c>
    </row>
    <row r="509" spans="1:6" ht="14.95" thickBot="1" x14ac:dyDescent="0.3">
      <c r="A509" s="8" t="s">
        <v>146</v>
      </c>
      <c r="B509" s="8" t="s">
        <v>108</v>
      </c>
      <c r="C509" s="9">
        <v>0</v>
      </c>
      <c r="D509" s="21" t="s">
        <v>341</v>
      </c>
      <c r="E509" s="21" t="s">
        <v>104</v>
      </c>
      <c r="F509" s="19">
        <v>0</v>
      </c>
    </row>
    <row r="510" spans="1:6" ht="14.95" thickBot="1" x14ac:dyDescent="0.3">
      <c r="A510" s="8" t="s">
        <v>147</v>
      </c>
      <c r="B510" s="8" t="s">
        <v>94</v>
      </c>
      <c r="C510" s="9">
        <v>0</v>
      </c>
      <c r="D510" s="21" t="s">
        <v>142</v>
      </c>
      <c r="E510" s="21" t="s">
        <v>104</v>
      </c>
      <c r="F510" s="19">
        <v>0</v>
      </c>
    </row>
    <row r="511" spans="1:6" ht="14.95" thickBot="1" x14ac:dyDescent="0.3">
      <c r="A511" s="8" t="s">
        <v>863</v>
      </c>
      <c r="B511" s="8" t="s">
        <v>97</v>
      </c>
      <c r="C511" s="9">
        <v>0</v>
      </c>
      <c r="D511" s="21" t="s">
        <v>313</v>
      </c>
      <c r="E511" s="21" t="s">
        <v>108</v>
      </c>
      <c r="F511" s="19">
        <v>0</v>
      </c>
    </row>
    <row r="512" spans="1:6" ht="14.95" thickBot="1" x14ac:dyDescent="0.3">
      <c r="A512" s="8" t="s">
        <v>1297</v>
      </c>
      <c r="B512" s="8" t="s">
        <v>954</v>
      </c>
      <c r="C512" s="9">
        <v>0</v>
      </c>
      <c r="D512" s="21" t="s">
        <v>533</v>
      </c>
      <c r="E512" s="21" t="s">
        <v>366</v>
      </c>
      <c r="F512" s="19">
        <v>0</v>
      </c>
    </row>
    <row r="513" spans="1:6" ht="14.95" thickBot="1" x14ac:dyDescent="0.3">
      <c r="A513" s="8" t="s">
        <v>149</v>
      </c>
      <c r="B513" s="8" t="s">
        <v>104</v>
      </c>
      <c r="C513" s="9">
        <v>0</v>
      </c>
      <c r="D513" s="21" t="s">
        <v>270</v>
      </c>
      <c r="E513" s="21" t="s">
        <v>108</v>
      </c>
      <c r="F513" s="19">
        <v>0</v>
      </c>
    </row>
    <row r="514" spans="1:6" ht="14.95" thickBot="1" x14ac:dyDescent="0.3">
      <c r="A514" s="8" t="s">
        <v>1084</v>
      </c>
      <c r="B514" s="8" t="s">
        <v>954</v>
      </c>
      <c r="C514" s="9">
        <v>0</v>
      </c>
      <c r="D514" s="21" t="s">
        <v>143</v>
      </c>
      <c r="E514" s="21" t="s">
        <v>104</v>
      </c>
      <c r="F514" s="20">
        <v>0</v>
      </c>
    </row>
    <row r="515" spans="1:6" ht="14.95" thickBot="1" x14ac:dyDescent="0.3">
      <c r="A515" s="8" t="s">
        <v>461</v>
      </c>
      <c r="B515" s="8" t="s">
        <v>105</v>
      </c>
      <c r="C515" s="9">
        <v>0</v>
      </c>
      <c r="D515" s="21" t="s">
        <v>785</v>
      </c>
      <c r="E515" s="21" t="s">
        <v>104</v>
      </c>
      <c r="F515" s="19">
        <v>0</v>
      </c>
    </row>
    <row r="516" spans="1:6" ht="14.95" thickBot="1" x14ac:dyDescent="0.3">
      <c r="A516" s="8" t="s">
        <v>374</v>
      </c>
      <c r="B516" s="8" t="s">
        <v>366</v>
      </c>
      <c r="C516" s="9">
        <v>0</v>
      </c>
      <c r="D516" s="19" t="s">
        <v>858</v>
      </c>
      <c r="E516" s="21" t="s">
        <v>97</v>
      </c>
      <c r="F516" s="19">
        <v>0</v>
      </c>
    </row>
    <row r="517" spans="1:6" ht="14.95" thickBot="1" x14ac:dyDescent="0.3">
      <c r="A517" s="8" t="s">
        <v>864</v>
      </c>
      <c r="B517" s="8" t="s">
        <v>97</v>
      </c>
      <c r="C517" s="9">
        <v>0</v>
      </c>
      <c r="D517" s="21" t="s">
        <v>828</v>
      </c>
      <c r="E517" s="21" t="s">
        <v>282</v>
      </c>
      <c r="F517" s="19">
        <v>0</v>
      </c>
    </row>
    <row r="518" spans="1:6" ht="14.95" thickBot="1" x14ac:dyDescent="0.3">
      <c r="A518" s="8" t="s">
        <v>770</v>
      </c>
      <c r="B518" s="8" t="s">
        <v>94</v>
      </c>
      <c r="C518" s="9">
        <v>0</v>
      </c>
      <c r="D518" s="21" t="s">
        <v>643</v>
      </c>
      <c r="E518" s="21" t="s">
        <v>104</v>
      </c>
      <c r="F518" s="18">
        <v>0</v>
      </c>
    </row>
    <row r="519" spans="1:6" ht="14.95" thickBot="1" x14ac:dyDescent="0.3">
      <c r="A519" s="9" t="s">
        <v>582</v>
      </c>
      <c r="B519" s="9" t="s">
        <v>282</v>
      </c>
      <c r="C519" s="9">
        <v>0</v>
      </c>
      <c r="D519" s="21" t="s">
        <v>664</v>
      </c>
      <c r="E519" s="21" t="s">
        <v>94</v>
      </c>
      <c r="F519" s="19">
        <v>0</v>
      </c>
    </row>
    <row r="520" spans="1:6" ht="14.95" thickBot="1" x14ac:dyDescent="0.3">
      <c r="A520" s="8" t="s">
        <v>375</v>
      </c>
      <c r="B520" s="8" t="s">
        <v>366</v>
      </c>
      <c r="C520" s="9">
        <v>0</v>
      </c>
      <c r="D520" s="21" t="s">
        <v>862</v>
      </c>
      <c r="E520" s="21" t="s">
        <v>97</v>
      </c>
      <c r="F520" s="19">
        <v>0</v>
      </c>
    </row>
    <row r="521" spans="1:6" ht="14.95" thickBot="1" x14ac:dyDescent="0.3">
      <c r="A521" s="8" t="s">
        <v>469</v>
      </c>
      <c r="B521" s="8" t="s">
        <v>108</v>
      </c>
      <c r="C521" s="9">
        <v>0</v>
      </c>
      <c r="D521" s="21" t="s">
        <v>146</v>
      </c>
      <c r="E521" s="21" t="s">
        <v>108</v>
      </c>
      <c r="F521" s="19">
        <v>0</v>
      </c>
    </row>
    <row r="522" spans="1:6" ht="14.95" thickBot="1" x14ac:dyDescent="0.3">
      <c r="A522" s="8" t="s">
        <v>290</v>
      </c>
      <c r="B522" s="8" t="s">
        <v>94</v>
      </c>
      <c r="C522" s="6">
        <v>0</v>
      </c>
      <c r="D522" s="21" t="s">
        <v>147</v>
      </c>
      <c r="E522" s="21" t="s">
        <v>94</v>
      </c>
      <c r="F522" s="19">
        <v>0</v>
      </c>
    </row>
    <row r="523" spans="1:6" ht="14.95" thickBot="1" x14ac:dyDescent="0.3">
      <c r="A523" s="8" t="s">
        <v>542</v>
      </c>
      <c r="B523" s="8" t="s">
        <v>95</v>
      </c>
      <c r="C523" s="9">
        <v>0</v>
      </c>
      <c r="D523" s="21" t="s">
        <v>149</v>
      </c>
      <c r="E523" s="21" t="s">
        <v>104</v>
      </c>
      <c r="F523" s="19">
        <v>0</v>
      </c>
    </row>
    <row r="524" spans="1:6" ht="14.95" thickBot="1" x14ac:dyDescent="0.3">
      <c r="A524" s="8" t="s">
        <v>809</v>
      </c>
      <c r="B524" s="9" t="s">
        <v>620</v>
      </c>
      <c r="C524" s="9">
        <v>0</v>
      </c>
      <c r="D524" s="21" t="s">
        <v>461</v>
      </c>
      <c r="E524" s="21" t="s">
        <v>105</v>
      </c>
      <c r="F524" s="19">
        <v>0</v>
      </c>
    </row>
    <row r="525" spans="1:6" ht="14.95" thickBot="1" x14ac:dyDescent="0.3">
      <c r="A525" s="8" t="s">
        <v>650</v>
      </c>
      <c r="B525" s="8" t="s">
        <v>94</v>
      </c>
      <c r="C525" s="9">
        <v>0</v>
      </c>
      <c r="D525" s="21" t="s">
        <v>374</v>
      </c>
      <c r="E525" s="21" t="s">
        <v>366</v>
      </c>
      <c r="F525" s="20">
        <v>0</v>
      </c>
    </row>
    <row r="526" spans="1:6" ht="14.95" thickBot="1" x14ac:dyDescent="0.3">
      <c r="A526" s="8" t="s">
        <v>921</v>
      </c>
      <c r="B526" s="8" t="s">
        <v>366</v>
      </c>
      <c r="C526" s="6">
        <v>0</v>
      </c>
      <c r="D526" s="21" t="s">
        <v>864</v>
      </c>
      <c r="E526" s="21" t="s">
        <v>97</v>
      </c>
      <c r="F526" s="19">
        <v>0</v>
      </c>
    </row>
    <row r="527" spans="1:6" ht="14.95" thickBot="1" x14ac:dyDescent="0.3">
      <c r="A527" s="8" t="s">
        <v>846</v>
      </c>
      <c r="B527" s="8" t="s">
        <v>282</v>
      </c>
      <c r="C527" s="9">
        <v>0</v>
      </c>
      <c r="D527" s="21" t="s">
        <v>770</v>
      </c>
      <c r="E527" s="21" t="s">
        <v>94</v>
      </c>
      <c r="F527" s="19">
        <v>0</v>
      </c>
    </row>
    <row r="528" spans="1:6" ht="14.95" thickBot="1" x14ac:dyDescent="0.3">
      <c r="A528" s="8" t="s">
        <v>703</v>
      </c>
      <c r="B528" s="8" t="s">
        <v>96</v>
      </c>
      <c r="C528" s="9">
        <v>0</v>
      </c>
      <c r="D528" s="21" t="s">
        <v>582</v>
      </c>
      <c r="E528" s="21" t="s">
        <v>282</v>
      </c>
      <c r="F528" s="19">
        <v>0</v>
      </c>
    </row>
    <row r="529" spans="1:6" ht="14.95" thickBot="1" x14ac:dyDescent="0.3">
      <c r="A529" s="9" t="s">
        <v>316</v>
      </c>
      <c r="B529" s="9" t="s">
        <v>620</v>
      </c>
      <c r="C529" s="9">
        <v>0</v>
      </c>
      <c r="D529" s="21" t="s">
        <v>375</v>
      </c>
      <c r="E529" s="21" t="s">
        <v>366</v>
      </c>
      <c r="F529" s="19">
        <v>0</v>
      </c>
    </row>
    <row r="530" spans="1:6" ht="14.95" thickBot="1" x14ac:dyDescent="0.3">
      <c r="A530" s="8" t="s">
        <v>217</v>
      </c>
      <c r="B530" s="8" t="s">
        <v>94</v>
      </c>
      <c r="C530" s="9">
        <v>0</v>
      </c>
      <c r="D530" s="19" t="s">
        <v>469</v>
      </c>
      <c r="E530" s="19" t="s">
        <v>108</v>
      </c>
      <c r="F530" s="19">
        <v>0</v>
      </c>
    </row>
    <row r="531" spans="1:6" ht="14.95" thickBot="1" x14ac:dyDescent="0.3">
      <c r="A531" s="8" t="s">
        <v>266</v>
      </c>
      <c r="B531" s="8" t="s">
        <v>96</v>
      </c>
      <c r="C531" s="9">
        <v>0</v>
      </c>
      <c r="D531" s="21" t="s">
        <v>290</v>
      </c>
      <c r="E531" s="21" t="s">
        <v>94</v>
      </c>
      <c r="F531" s="19">
        <v>0</v>
      </c>
    </row>
    <row r="532" spans="1:6" ht="14.95" thickBot="1" x14ac:dyDescent="0.3">
      <c r="A532" s="8" t="s">
        <v>924</v>
      </c>
      <c r="B532" s="8" t="s">
        <v>97</v>
      </c>
      <c r="C532" s="9">
        <v>0</v>
      </c>
      <c r="D532" s="21" t="s">
        <v>542</v>
      </c>
      <c r="E532" s="21" t="s">
        <v>95</v>
      </c>
      <c r="F532" s="19">
        <v>0</v>
      </c>
    </row>
    <row r="533" spans="1:6" ht="14.95" thickBot="1" x14ac:dyDescent="0.3">
      <c r="A533" s="8" t="s">
        <v>193</v>
      </c>
      <c r="B533" s="8" t="s">
        <v>104</v>
      </c>
      <c r="C533" s="9">
        <v>0</v>
      </c>
      <c r="D533" s="21" t="s">
        <v>809</v>
      </c>
      <c r="E533" s="21" t="s">
        <v>620</v>
      </c>
      <c r="F533" s="19">
        <v>0</v>
      </c>
    </row>
    <row r="534" spans="1:6" ht="14.95" thickBot="1" x14ac:dyDescent="0.3">
      <c r="A534" s="8" t="s">
        <v>493</v>
      </c>
      <c r="B534" s="8" t="s">
        <v>104</v>
      </c>
      <c r="C534" s="9">
        <v>0</v>
      </c>
      <c r="D534" s="21" t="s">
        <v>650</v>
      </c>
      <c r="E534" s="21" t="s">
        <v>94</v>
      </c>
      <c r="F534" s="19">
        <v>0</v>
      </c>
    </row>
    <row r="535" spans="1:6" ht="14.95" thickBot="1" x14ac:dyDescent="0.3">
      <c r="A535" s="8" t="s">
        <v>850</v>
      </c>
      <c r="B535" s="8" t="s">
        <v>282</v>
      </c>
      <c r="C535" s="9">
        <v>0</v>
      </c>
      <c r="D535" s="352" t="s">
        <v>921</v>
      </c>
      <c r="E535" s="352" t="s">
        <v>366</v>
      </c>
      <c r="F535" s="19">
        <v>0</v>
      </c>
    </row>
    <row r="536" spans="1:6" ht="14.95" thickBot="1" x14ac:dyDescent="0.3">
      <c r="A536" s="8" t="s">
        <v>830</v>
      </c>
      <c r="B536" s="8" t="s">
        <v>282</v>
      </c>
      <c r="C536" s="6">
        <v>0</v>
      </c>
      <c r="D536" s="21" t="s">
        <v>846</v>
      </c>
      <c r="E536" s="21" t="s">
        <v>282</v>
      </c>
      <c r="F536" s="19">
        <v>0</v>
      </c>
    </row>
    <row r="537" spans="1:6" ht="14.95" thickBot="1" x14ac:dyDescent="0.3">
      <c r="A537" s="8" t="s">
        <v>437</v>
      </c>
      <c r="B537" s="8" t="s">
        <v>105</v>
      </c>
      <c r="C537" s="9">
        <v>0</v>
      </c>
      <c r="D537" s="21" t="s">
        <v>703</v>
      </c>
      <c r="E537" s="21" t="s">
        <v>96</v>
      </c>
      <c r="F537" s="19">
        <v>0</v>
      </c>
    </row>
    <row r="538" spans="1:6" ht="14.95" thickBot="1" x14ac:dyDescent="0.3">
      <c r="A538" s="8" t="s">
        <v>238</v>
      </c>
      <c r="B538" s="8" t="s">
        <v>104</v>
      </c>
      <c r="C538" s="9">
        <v>0</v>
      </c>
      <c r="D538" s="21" t="s">
        <v>316</v>
      </c>
      <c r="E538" s="21" t="s">
        <v>620</v>
      </c>
      <c r="F538" s="19">
        <v>0</v>
      </c>
    </row>
    <row r="539" spans="1:6" ht="14.95" thickBot="1" x14ac:dyDescent="0.3">
      <c r="A539" s="8" t="s">
        <v>376</v>
      </c>
      <c r="B539" s="9" t="s">
        <v>282</v>
      </c>
      <c r="C539" s="6">
        <v>0</v>
      </c>
      <c r="D539" s="21" t="s">
        <v>217</v>
      </c>
      <c r="E539" s="21" t="s">
        <v>94</v>
      </c>
      <c r="F539" s="19">
        <v>0</v>
      </c>
    </row>
    <row r="540" spans="1:6" ht="14.95" thickBot="1" x14ac:dyDescent="0.3">
      <c r="A540" s="62" t="s">
        <v>734</v>
      </c>
      <c r="B540" s="8" t="s">
        <v>108</v>
      </c>
      <c r="C540" s="9">
        <v>0</v>
      </c>
      <c r="D540" s="21" t="s">
        <v>266</v>
      </c>
      <c r="E540" s="21" t="s">
        <v>96</v>
      </c>
      <c r="F540" s="19">
        <v>0</v>
      </c>
    </row>
    <row r="541" spans="1:6" ht="14.95" thickBot="1" x14ac:dyDescent="0.3">
      <c r="A541" s="12" t="s">
        <v>687</v>
      </c>
      <c r="B541" s="309" t="s">
        <v>97</v>
      </c>
      <c r="C541" s="9">
        <v>0</v>
      </c>
      <c r="D541" s="19" t="s">
        <v>924</v>
      </c>
      <c r="E541" s="21" t="s">
        <v>97</v>
      </c>
      <c r="F541" s="19">
        <v>0</v>
      </c>
    </row>
    <row r="542" spans="1:6" ht="14.95" thickBot="1" x14ac:dyDescent="0.3">
      <c r="A542" s="62" t="s">
        <v>153</v>
      </c>
      <c r="B542" s="8" t="s">
        <v>95</v>
      </c>
      <c r="C542" s="9">
        <v>0</v>
      </c>
      <c r="D542" s="21" t="s">
        <v>193</v>
      </c>
      <c r="E542" s="21" t="s">
        <v>104</v>
      </c>
      <c r="F542" s="19">
        <v>0</v>
      </c>
    </row>
    <row r="543" spans="1:6" ht="14.95" thickBot="1" x14ac:dyDescent="0.3">
      <c r="A543" s="62" t="s">
        <v>624</v>
      </c>
      <c r="B543" s="8" t="s">
        <v>108</v>
      </c>
      <c r="C543" s="9">
        <v>0</v>
      </c>
      <c r="D543" s="21" t="s">
        <v>493</v>
      </c>
      <c r="E543" s="21" t="s">
        <v>104</v>
      </c>
      <c r="F543" s="19">
        <v>0</v>
      </c>
    </row>
    <row r="544" spans="1:6" ht="14.95" thickBot="1" x14ac:dyDescent="0.3">
      <c r="A544" s="62" t="s">
        <v>399</v>
      </c>
      <c r="B544" s="8" t="s">
        <v>96</v>
      </c>
      <c r="C544" s="9">
        <v>0</v>
      </c>
      <c r="D544" s="21" t="s">
        <v>850</v>
      </c>
      <c r="E544" s="21" t="s">
        <v>282</v>
      </c>
      <c r="F544" s="19">
        <v>0</v>
      </c>
    </row>
    <row r="545" spans="1:6" ht="14.95" thickBot="1" x14ac:dyDescent="0.3">
      <c r="A545" s="62" t="s">
        <v>832</v>
      </c>
      <c r="B545" s="8" t="s">
        <v>282</v>
      </c>
      <c r="C545" s="9">
        <v>0</v>
      </c>
      <c r="D545" s="2" t="s">
        <v>830</v>
      </c>
      <c r="E545" s="21" t="s">
        <v>282</v>
      </c>
      <c r="F545" s="19">
        <v>0</v>
      </c>
    </row>
    <row r="546" spans="1:6" ht="14.95" thickBot="1" x14ac:dyDescent="0.3">
      <c r="A546" s="62" t="s">
        <v>883</v>
      </c>
      <c r="B546" s="8" t="s">
        <v>95</v>
      </c>
      <c r="C546" s="6">
        <v>0</v>
      </c>
      <c r="D546" s="2" t="s">
        <v>437</v>
      </c>
      <c r="E546" s="21" t="s">
        <v>105</v>
      </c>
      <c r="F546" s="19">
        <v>0</v>
      </c>
    </row>
    <row r="547" spans="1:6" ht="14.95" thickBot="1" x14ac:dyDescent="0.3">
      <c r="A547" s="62" t="s">
        <v>488</v>
      </c>
      <c r="B547" s="8" t="s">
        <v>104</v>
      </c>
      <c r="C547" s="9">
        <v>0</v>
      </c>
      <c r="D547" s="2" t="s">
        <v>238</v>
      </c>
      <c r="E547" s="21" t="s">
        <v>104</v>
      </c>
      <c r="F547" s="19">
        <v>0</v>
      </c>
    </row>
    <row r="548" spans="1:6" ht="14.95" thickBot="1" x14ac:dyDescent="0.3">
      <c r="A548" s="62" t="s">
        <v>567</v>
      </c>
      <c r="B548" s="8" t="s">
        <v>108</v>
      </c>
      <c r="C548" s="9">
        <v>0</v>
      </c>
      <c r="D548" s="2" t="s">
        <v>376</v>
      </c>
      <c r="E548" s="21" t="s">
        <v>282</v>
      </c>
      <c r="F548" s="19">
        <v>0</v>
      </c>
    </row>
    <row r="549" spans="1:6" ht="14.95" thickBot="1" x14ac:dyDescent="0.3">
      <c r="A549" s="62" t="s">
        <v>174</v>
      </c>
      <c r="B549" s="8" t="s">
        <v>105</v>
      </c>
      <c r="C549" s="9">
        <v>0</v>
      </c>
      <c r="D549" s="2" t="s">
        <v>734</v>
      </c>
      <c r="E549" s="21" t="s">
        <v>108</v>
      </c>
      <c r="F549" s="19">
        <v>0</v>
      </c>
    </row>
    <row r="550" spans="1:6" ht="14.95" thickBot="1" x14ac:dyDescent="0.3">
      <c r="A550" s="12" t="s">
        <v>834</v>
      </c>
      <c r="B550" s="309" t="s">
        <v>282</v>
      </c>
      <c r="C550" s="6">
        <v>0</v>
      </c>
      <c r="D550" s="2" t="s">
        <v>687</v>
      </c>
      <c r="E550" s="21" t="s">
        <v>97</v>
      </c>
      <c r="F550" s="19">
        <v>0</v>
      </c>
    </row>
    <row r="551" spans="1:6" ht="14.95" thickBot="1" x14ac:dyDescent="0.3">
      <c r="A551" s="62" t="s">
        <v>1232</v>
      </c>
      <c r="B551" s="8" t="s">
        <v>955</v>
      </c>
      <c r="C551" s="9">
        <v>0</v>
      </c>
      <c r="D551" s="2" t="s">
        <v>153</v>
      </c>
      <c r="E551" s="21" t="s">
        <v>95</v>
      </c>
      <c r="F551" s="19">
        <v>0</v>
      </c>
    </row>
    <row r="552" spans="1:6" ht="14.95" thickBot="1" x14ac:dyDescent="0.3">
      <c r="A552" s="62" t="s">
        <v>672</v>
      </c>
      <c r="B552" s="8" t="s">
        <v>366</v>
      </c>
      <c r="C552" s="9">
        <v>0</v>
      </c>
      <c r="D552" s="2" t="s">
        <v>624</v>
      </c>
      <c r="E552" s="21" t="s">
        <v>108</v>
      </c>
      <c r="F552" s="19">
        <v>0</v>
      </c>
    </row>
    <row r="553" spans="1:6" ht="14.95" thickBot="1" x14ac:dyDescent="0.3">
      <c r="A553" s="62" t="s">
        <v>744</v>
      </c>
      <c r="B553" s="8" t="s">
        <v>108</v>
      </c>
      <c r="C553" s="9">
        <v>0</v>
      </c>
      <c r="D553" s="2" t="s">
        <v>399</v>
      </c>
      <c r="E553" s="21" t="s">
        <v>96</v>
      </c>
      <c r="F553" s="19">
        <v>0</v>
      </c>
    </row>
    <row r="554" spans="1:6" ht="14.95" thickBot="1" x14ac:dyDescent="0.3">
      <c r="A554" s="62" t="s">
        <v>432</v>
      </c>
      <c r="B554" s="8" t="s">
        <v>105</v>
      </c>
      <c r="C554" s="9">
        <v>0</v>
      </c>
      <c r="D554" s="2" t="s">
        <v>832</v>
      </c>
      <c r="E554" s="21" t="s">
        <v>282</v>
      </c>
      <c r="F554" s="19">
        <v>0</v>
      </c>
    </row>
    <row r="555" spans="1:6" ht="14.95" thickBot="1" x14ac:dyDescent="0.3">
      <c r="A555" s="62" t="s">
        <v>432</v>
      </c>
      <c r="B555" s="8" t="s">
        <v>97</v>
      </c>
      <c r="C555" s="6">
        <v>0</v>
      </c>
      <c r="D555" s="2" t="s">
        <v>883</v>
      </c>
      <c r="E555" s="21" t="s">
        <v>95</v>
      </c>
      <c r="F555" s="20">
        <v>0</v>
      </c>
    </row>
    <row r="556" spans="1:6" ht="14.95" thickBot="1" x14ac:dyDescent="0.3">
      <c r="A556" s="62" t="s">
        <v>4</v>
      </c>
      <c r="B556" s="8" t="s">
        <v>366</v>
      </c>
      <c r="C556" s="9">
        <v>0</v>
      </c>
      <c r="D556" s="2" t="s">
        <v>488</v>
      </c>
      <c r="E556" s="21" t="s">
        <v>104</v>
      </c>
      <c r="F556" s="19">
        <v>0</v>
      </c>
    </row>
    <row r="557" spans="1:6" ht="14.95" thickBot="1" x14ac:dyDescent="0.3">
      <c r="A557" s="62" t="s">
        <v>98</v>
      </c>
      <c r="B557" s="8" t="s">
        <v>96</v>
      </c>
      <c r="C557" s="9">
        <v>0</v>
      </c>
      <c r="D557" s="2" t="s">
        <v>567</v>
      </c>
      <c r="E557" s="21" t="s">
        <v>108</v>
      </c>
      <c r="F557" s="19">
        <v>0</v>
      </c>
    </row>
    <row r="558" spans="1:6" ht="14.95" thickBot="1" x14ac:dyDescent="0.3">
      <c r="A558" s="62" t="s">
        <v>98</v>
      </c>
      <c r="B558" s="9" t="s">
        <v>620</v>
      </c>
      <c r="C558" s="9">
        <v>0</v>
      </c>
      <c r="D558" s="2" t="s">
        <v>174</v>
      </c>
      <c r="E558" s="21" t="s">
        <v>105</v>
      </c>
      <c r="F558" s="19">
        <v>0</v>
      </c>
    </row>
    <row r="559" spans="1:6" ht="14.95" thickBot="1" x14ac:dyDescent="0.3">
      <c r="A559" s="10" t="s">
        <v>98</v>
      </c>
      <c r="B559" s="9" t="s">
        <v>282</v>
      </c>
      <c r="C559" s="9">
        <v>0</v>
      </c>
      <c r="D559" s="2" t="s">
        <v>834</v>
      </c>
      <c r="E559" s="21" t="s">
        <v>282</v>
      </c>
      <c r="F559" s="19">
        <v>0</v>
      </c>
    </row>
    <row r="560" spans="1:6" ht="14.95" thickBot="1" x14ac:dyDescent="0.3">
      <c r="A560" s="62" t="s">
        <v>98</v>
      </c>
      <c r="B560" s="8" t="s">
        <v>97</v>
      </c>
      <c r="C560" s="9">
        <v>0</v>
      </c>
      <c r="D560" s="2" t="s">
        <v>672</v>
      </c>
      <c r="E560" s="21" t="s">
        <v>366</v>
      </c>
      <c r="F560" s="18">
        <v>0</v>
      </c>
    </row>
    <row r="561" spans="1:6" ht="14.95" thickBot="1" x14ac:dyDescent="0.3">
      <c r="A561" s="62" t="s">
        <v>522</v>
      </c>
      <c r="B561" s="8" t="s">
        <v>96</v>
      </c>
      <c r="C561" s="9">
        <v>0</v>
      </c>
      <c r="D561" s="2" t="s">
        <v>744</v>
      </c>
      <c r="E561" s="21" t="s">
        <v>108</v>
      </c>
      <c r="F561" s="19">
        <v>0</v>
      </c>
    </row>
    <row r="562" spans="1:6" ht="14.95" thickBot="1" x14ac:dyDescent="0.3">
      <c r="A562" s="62" t="s">
        <v>778</v>
      </c>
      <c r="B562" s="8" t="s">
        <v>94</v>
      </c>
      <c r="C562" s="9">
        <v>0</v>
      </c>
      <c r="D562" s="17" t="s">
        <v>432</v>
      </c>
      <c r="E562" s="19" t="s">
        <v>105</v>
      </c>
      <c r="F562" s="19">
        <v>0</v>
      </c>
    </row>
    <row r="563" spans="1:6" ht="14.95" thickBot="1" x14ac:dyDescent="0.3">
      <c r="A563" s="62" t="s">
        <v>377</v>
      </c>
      <c r="B563" s="8" t="s">
        <v>366</v>
      </c>
      <c r="C563" s="9">
        <v>0</v>
      </c>
      <c r="D563" s="2" t="s">
        <v>432</v>
      </c>
      <c r="E563" s="21" t="s">
        <v>97</v>
      </c>
      <c r="F563" s="19">
        <v>0</v>
      </c>
    </row>
    <row r="564" spans="1:6" ht="14.95" thickBot="1" x14ac:dyDescent="0.3">
      <c r="A564" s="62" t="s">
        <v>544</v>
      </c>
      <c r="B564" s="9" t="s">
        <v>620</v>
      </c>
      <c r="C564" s="9">
        <v>0</v>
      </c>
      <c r="D564" s="2" t="s">
        <v>4</v>
      </c>
      <c r="E564" s="21" t="s">
        <v>366</v>
      </c>
      <c r="F564" s="19">
        <v>0</v>
      </c>
    </row>
    <row r="565" spans="1:6" ht="14.95" thickBot="1" x14ac:dyDescent="0.3">
      <c r="A565" s="62" t="s">
        <v>615</v>
      </c>
      <c r="B565" s="8" t="s">
        <v>104</v>
      </c>
      <c r="C565" s="9">
        <v>0</v>
      </c>
      <c r="D565" s="2" t="s">
        <v>98</v>
      </c>
      <c r="E565" s="21" t="s">
        <v>96</v>
      </c>
      <c r="F565" s="19">
        <v>0</v>
      </c>
    </row>
    <row r="566" spans="1:6" ht="14.95" thickBot="1" x14ac:dyDescent="0.3">
      <c r="A566" s="62" t="s">
        <v>338</v>
      </c>
      <c r="B566" s="8" t="s">
        <v>95</v>
      </c>
      <c r="C566" s="9">
        <v>0</v>
      </c>
      <c r="D566" s="2" t="s">
        <v>98</v>
      </c>
      <c r="E566" s="21" t="s">
        <v>620</v>
      </c>
      <c r="F566" s="19">
        <v>0</v>
      </c>
    </row>
    <row r="567" spans="1:6" ht="14.95" thickBot="1" x14ac:dyDescent="0.3">
      <c r="A567" s="10" t="s">
        <v>154</v>
      </c>
      <c r="B567" s="9" t="s">
        <v>108</v>
      </c>
      <c r="C567" s="9">
        <v>0</v>
      </c>
      <c r="D567" s="2" t="s">
        <v>98</v>
      </c>
      <c r="E567" s="21" t="s">
        <v>282</v>
      </c>
      <c r="F567" s="19">
        <v>0</v>
      </c>
    </row>
    <row r="568" spans="1:6" ht="14.95" thickBot="1" x14ac:dyDescent="0.3">
      <c r="A568" s="62" t="s">
        <v>652</v>
      </c>
      <c r="B568" s="8" t="s">
        <v>282</v>
      </c>
      <c r="C568" s="9">
        <v>0</v>
      </c>
      <c r="D568" s="2" t="s">
        <v>98</v>
      </c>
      <c r="E568" s="21" t="s">
        <v>97</v>
      </c>
      <c r="F568" s="19">
        <v>0</v>
      </c>
    </row>
    <row r="569" spans="1:6" ht="14.95" thickBot="1" x14ac:dyDescent="0.3">
      <c r="A569" s="62" t="s">
        <v>182</v>
      </c>
      <c r="B569" s="9" t="s">
        <v>620</v>
      </c>
      <c r="C569" s="9">
        <v>0</v>
      </c>
      <c r="D569" s="2" t="s">
        <v>522</v>
      </c>
      <c r="E569" s="21" t="s">
        <v>96</v>
      </c>
      <c r="F569" s="19">
        <v>0</v>
      </c>
    </row>
    <row r="570" spans="1:6" ht="14.95" thickBot="1" x14ac:dyDescent="0.3">
      <c r="A570" s="62" t="s">
        <v>264</v>
      </c>
      <c r="B570" s="8" t="s">
        <v>96</v>
      </c>
      <c r="C570" s="9">
        <v>0</v>
      </c>
      <c r="D570" s="17" t="s">
        <v>778</v>
      </c>
      <c r="E570" s="21" t="s">
        <v>94</v>
      </c>
      <c r="F570" s="19">
        <v>0</v>
      </c>
    </row>
    <row r="571" spans="1:6" ht="14.95" thickBot="1" x14ac:dyDescent="0.3">
      <c r="A571" s="62" t="s">
        <v>378</v>
      </c>
      <c r="B571" s="8" t="s">
        <v>366</v>
      </c>
      <c r="C571" s="9">
        <v>0</v>
      </c>
      <c r="D571" s="2" t="s">
        <v>377</v>
      </c>
      <c r="E571" s="21" t="s">
        <v>366</v>
      </c>
      <c r="F571" s="19">
        <v>0</v>
      </c>
    </row>
    <row r="572" spans="1:6" ht="14.95" thickBot="1" x14ac:dyDescent="0.3">
      <c r="A572" s="62" t="s">
        <v>982</v>
      </c>
      <c r="B572" s="8" t="s">
        <v>954</v>
      </c>
      <c r="C572" s="9">
        <v>0</v>
      </c>
      <c r="D572" s="2" t="s">
        <v>544</v>
      </c>
      <c r="E572" s="21" t="s">
        <v>620</v>
      </c>
      <c r="F572" s="18">
        <v>0</v>
      </c>
    </row>
    <row r="573" spans="1:6" ht="14.95" thickBot="1" x14ac:dyDescent="0.3">
      <c r="A573" s="10" t="s">
        <v>213</v>
      </c>
      <c r="B573" s="9" t="s">
        <v>95</v>
      </c>
      <c r="C573" s="9">
        <v>0</v>
      </c>
      <c r="D573" s="2" t="s">
        <v>615</v>
      </c>
      <c r="E573" s="21" t="s">
        <v>104</v>
      </c>
      <c r="F573" s="19">
        <v>0</v>
      </c>
    </row>
    <row r="574" spans="1:6" ht="14.95" thickBot="1" x14ac:dyDescent="0.3">
      <c r="A574" s="62" t="s">
        <v>751</v>
      </c>
      <c r="B574" s="8" t="s">
        <v>105</v>
      </c>
      <c r="C574" s="9">
        <v>0</v>
      </c>
      <c r="D574" s="2" t="s">
        <v>338</v>
      </c>
      <c r="E574" s="21" t="s">
        <v>95</v>
      </c>
      <c r="F574" s="19">
        <v>0</v>
      </c>
    </row>
    <row r="575" spans="1:6" ht="14.95" thickBot="1" x14ac:dyDescent="0.3">
      <c r="A575" s="62" t="s">
        <v>881</v>
      </c>
      <c r="B575" s="8" t="s">
        <v>95</v>
      </c>
      <c r="C575" s="9">
        <v>0</v>
      </c>
      <c r="D575" s="17" t="s">
        <v>154</v>
      </c>
      <c r="E575" s="19" t="s">
        <v>108</v>
      </c>
      <c r="F575" s="19">
        <v>0</v>
      </c>
    </row>
    <row r="576" spans="1:6" ht="14.95" thickBot="1" x14ac:dyDescent="0.3">
      <c r="A576" s="10" t="s">
        <v>835</v>
      </c>
      <c r="B576" s="8" t="s">
        <v>282</v>
      </c>
      <c r="C576" s="9">
        <v>0</v>
      </c>
      <c r="D576" s="2" t="s">
        <v>652</v>
      </c>
      <c r="E576" s="21" t="s">
        <v>282</v>
      </c>
      <c r="F576" s="19">
        <v>0</v>
      </c>
    </row>
    <row r="577" spans="1:6" ht="14.95" thickBot="1" x14ac:dyDescent="0.3">
      <c r="A577" s="62" t="s">
        <v>736</v>
      </c>
      <c r="B577" s="8" t="s">
        <v>108</v>
      </c>
      <c r="C577" s="9">
        <v>0</v>
      </c>
      <c r="D577" s="2" t="s">
        <v>182</v>
      </c>
      <c r="E577" s="21" t="s">
        <v>620</v>
      </c>
      <c r="F577" s="19">
        <v>0</v>
      </c>
    </row>
    <row r="578" spans="1:6" ht="14.95" thickBot="1" x14ac:dyDescent="0.3">
      <c r="A578" s="62" t="s">
        <v>379</v>
      </c>
      <c r="B578" s="8" t="s">
        <v>366</v>
      </c>
      <c r="C578" s="9">
        <v>0</v>
      </c>
      <c r="D578" s="2" t="s">
        <v>264</v>
      </c>
      <c r="E578" s="21" t="s">
        <v>96</v>
      </c>
      <c r="F578" s="19">
        <v>0</v>
      </c>
    </row>
    <row r="579" spans="1:6" ht="14.95" thickBot="1" x14ac:dyDescent="0.3">
      <c r="A579" s="62" t="s">
        <v>159</v>
      </c>
      <c r="B579" s="9" t="s">
        <v>620</v>
      </c>
      <c r="C579" s="9">
        <v>0</v>
      </c>
      <c r="D579" s="2" t="s">
        <v>378</v>
      </c>
      <c r="E579" s="21" t="s">
        <v>366</v>
      </c>
      <c r="F579" s="20">
        <v>0</v>
      </c>
    </row>
    <row r="580" spans="1:6" ht="14.95" thickBot="1" x14ac:dyDescent="0.3">
      <c r="A580" s="62" t="s">
        <v>230</v>
      </c>
      <c r="B580" s="8" t="s">
        <v>366</v>
      </c>
      <c r="C580" s="9">
        <v>0</v>
      </c>
      <c r="D580" s="17" t="s">
        <v>213</v>
      </c>
      <c r="E580" s="19" t="s">
        <v>95</v>
      </c>
      <c r="F580" s="19">
        <v>0</v>
      </c>
    </row>
    <row r="581" spans="1:6" ht="14.95" thickBot="1" x14ac:dyDescent="0.3">
      <c r="A581" s="10" t="s">
        <v>306</v>
      </c>
      <c r="B581" s="8" t="s">
        <v>94</v>
      </c>
      <c r="C581" s="9">
        <v>0</v>
      </c>
      <c r="D581" s="17" t="s">
        <v>751</v>
      </c>
      <c r="E581" s="19" t="s">
        <v>105</v>
      </c>
      <c r="F581" s="19">
        <v>0</v>
      </c>
    </row>
    <row r="582" spans="1:6" ht="14.95" thickBot="1" x14ac:dyDescent="0.3">
      <c r="A582" s="62" t="s">
        <v>160</v>
      </c>
      <c r="B582" s="8" t="s">
        <v>105</v>
      </c>
      <c r="C582" s="9">
        <v>0</v>
      </c>
      <c r="D582" s="2" t="s">
        <v>881</v>
      </c>
      <c r="E582" s="21" t="s">
        <v>95</v>
      </c>
      <c r="F582" s="19">
        <v>0</v>
      </c>
    </row>
    <row r="583" spans="1:6" ht="14.95" thickBot="1" x14ac:dyDescent="0.3">
      <c r="A583" s="62" t="s">
        <v>492</v>
      </c>
      <c r="B583" s="8" t="s">
        <v>104</v>
      </c>
      <c r="C583" s="9">
        <v>0</v>
      </c>
      <c r="D583" s="2" t="s">
        <v>835</v>
      </c>
      <c r="E583" s="21" t="s">
        <v>282</v>
      </c>
      <c r="F583" s="19">
        <v>0</v>
      </c>
    </row>
    <row r="584" spans="1:6" ht="14.95" thickBot="1" x14ac:dyDescent="0.3">
      <c r="A584" s="62" t="s">
        <v>445</v>
      </c>
      <c r="B584" s="8" t="s">
        <v>282</v>
      </c>
      <c r="C584" s="9">
        <v>0</v>
      </c>
      <c r="D584" s="2" t="s">
        <v>736</v>
      </c>
      <c r="E584" s="21" t="s">
        <v>108</v>
      </c>
      <c r="F584" s="19">
        <v>0</v>
      </c>
    </row>
    <row r="585" spans="1:6" ht="14.95" thickBot="1" x14ac:dyDescent="0.3">
      <c r="A585" s="62" t="s">
        <v>445</v>
      </c>
      <c r="B585" s="8" t="s">
        <v>97</v>
      </c>
      <c r="C585" s="9">
        <v>0</v>
      </c>
      <c r="D585" s="2" t="s">
        <v>379</v>
      </c>
      <c r="E585" s="21" t="s">
        <v>366</v>
      </c>
      <c r="F585" s="19">
        <v>0</v>
      </c>
    </row>
    <row r="586" spans="1:6" ht="14.95" thickBot="1" x14ac:dyDescent="0.3">
      <c r="A586" s="62" t="s">
        <v>388</v>
      </c>
      <c r="B586" s="9" t="s">
        <v>620</v>
      </c>
      <c r="C586" s="9">
        <v>0</v>
      </c>
      <c r="D586" s="2" t="s">
        <v>159</v>
      </c>
      <c r="E586" s="21" t="s">
        <v>620</v>
      </c>
      <c r="F586" s="19">
        <v>0</v>
      </c>
    </row>
    <row r="587" spans="1:6" ht="14.95" thickBot="1" x14ac:dyDescent="0.3">
      <c r="A587" s="62" t="s">
        <v>118</v>
      </c>
      <c r="B587" s="8" t="s">
        <v>96</v>
      </c>
      <c r="C587" s="9">
        <v>0</v>
      </c>
      <c r="D587" s="2" t="s">
        <v>230</v>
      </c>
      <c r="E587" s="21" t="s">
        <v>366</v>
      </c>
      <c r="F587" s="19">
        <v>0</v>
      </c>
    </row>
    <row r="588" spans="1:6" ht="14.95" thickBot="1" x14ac:dyDescent="0.3">
      <c r="A588" s="62" t="s">
        <v>898</v>
      </c>
      <c r="B588" s="8" t="s">
        <v>366</v>
      </c>
      <c r="C588" s="9">
        <v>0</v>
      </c>
      <c r="D588" s="2" t="s">
        <v>306</v>
      </c>
      <c r="E588" s="21" t="s">
        <v>94</v>
      </c>
      <c r="F588" s="19">
        <v>0</v>
      </c>
    </row>
    <row r="589" spans="1:6" ht="14.95" thickBot="1" x14ac:dyDescent="0.3">
      <c r="A589" s="62" t="s">
        <v>250</v>
      </c>
      <c r="B589" s="8" t="s">
        <v>94</v>
      </c>
      <c r="C589" s="9">
        <v>0</v>
      </c>
      <c r="D589" s="2" t="s">
        <v>160</v>
      </c>
      <c r="E589" s="21" t="s">
        <v>105</v>
      </c>
      <c r="F589" s="19">
        <v>0</v>
      </c>
    </row>
    <row r="590" spans="1:6" ht="14.95" thickBot="1" x14ac:dyDescent="0.3">
      <c r="A590" s="62" t="s">
        <v>233</v>
      </c>
      <c r="B590" s="9" t="s">
        <v>620</v>
      </c>
      <c r="C590" s="6">
        <v>0</v>
      </c>
      <c r="D590" s="2" t="s">
        <v>492</v>
      </c>
      <c r="E590" s="21" t="s">
        <v>104</v>
      </c>
      <c r="F590" s="19">
        <v>0</v>
      </c>
    </row>
    <row r="591" spans="1:6" ht="14.95" thickBot="1" x14ac:dyDescent="0.3">
      <c r="A591" s="62" t="s">
        <v>219</v>
      </c>
      <c r="B591" s="8" t="s">
        <v>105</v>
      </c>
      <c r="C591" s="9">
        <v>0</v>
      </c>
      <c r="D591" s="2" t="s">
        <v>445</v>
      </c>
      <c r="E591" s="21" t="s">
        <v>282</v>
      </c>
      <c r="F591" s="19">
        <v>0</v>
      </c>
    </row>
    <row r="592" spans="1:6" ht="14.95" thickBot="1" x14ac:dyDescent="0.3">
      <c r="A592" s="62" t="s">
        <v>948</v>
      </c>
      <c r="B592" s="8" t="s">
        <v>366</v>
      </c>
      <c r="C592" s="9">
        <v>0</v>
      </c>
      <c r="D592" s="2" t="s">
        <v>445</v>
      </c>
      <c r="E592" s="21" t="s">
        <v>97</v>
      </c>
      <c r="F592" s="19">
        <v>0</v>
      </c>
    </row>
    <row r="593" spans="1:6" ht="14.95" thickBot="1" x14ac:dyDescent="0.3">
      <c r="A593" s="62" t="s">
        <v>726</v>
      </c>
      <c r="B593" s="8" t="s">
        <v>108</v>
      </c>
      <c r="C593" s="9">
        <v>0</v>
      </c>
      <c r="D593" s="2" t="s">
        <v>388</v>
      </c>
      <c r="E593" s="21" t="s">
        <v>620</v>
      </c>
      <c r="F593" s="20">
        <v>0</v>
      </c>
    </row>
    <row r="594" spans="1:6" ht="14.95" thickBot="1" x14ac:dyDescent="0.3">
      <c r="A594" s="62" t="s">
        <v>416</v>
      </c>
      <c r="B594" s="8" t="s">
        <v>94</v>
      </c>
      <c r="C594" s="9">
        <v>0</v>
      </c>
      <c r="D594" s="2" t="s">
        <v>118</v>
      </c>
      <c r="E594" s="21" t="s">
        <v>96</v>
      </c>
      <c r="F594" s="19">
        <v>0</v>
      </c>
    </row>
    <row r="595" spans="1:6" ht="14.95" thickBot="1" x14ac:dyDescent="0.3">
      <c r="A595" s="62" t="s">
        <v>771</v>
      </c>
      <c r="B595" s="8" t="s">
        <v>94</v>
      </c>
      <c r="C595" s="9">
        <v>0</v>
      </c>
      <c r="D595" s="2" t="s">
        <v>898</v>
      </c>
      <c r="E595" s="21" t="s">
        <v>366</v>
      </c>
      <c r="F595" s="18">
        <v>0</v>
      </c>
    </row>
    <row r="596" spans="1:6" ht="14.95" thickBot="1" x14ac:dyDescent="0.3">
      <c r="A596" s="62" t="s">
        <v>120</v>
      </c>
      <c r="B596" s="8" t="s">
        <v>95</v>
      </c>
      <c r="C596" s="9">
        <v>0</v>
      </c>
      <c r="D596" s="2" t="s">
        <v>250</v>
      </c>
      <c r="E596" s="21" t="s">
        <v>94</v>
      </c>
      <c r="F596" s="19">
        <v>0</v>
      </c>
    </row>
    <row r="597" spans="1:6" ht="14.95" thickBot="1" x14ac:dyDescent="0.3">
      <c r="A597" s="62" t="s">
        <v>458</v>
      </c>
      <c r="B597" s="8" t="s">
        <v>94</v>
      </c>
      <c r="C597" s="9">
        <v>0</v>
      </c>
      <c r="D597" s="2" t="s">
        <v>233</v>
      </c>
      <c r="E597" s="21" t="s">
        <v>620</v>
      </c>
      <c r="F597" s="19">
        <v>0</v>
      </c>
    </row>
    <row r="598" spans="1:6" ht="14.95" thickBot="1" x14ac:dyDescent="0.3">
      <c r="A598" s="10" t="s">
        <v>1080</v>
      </c>
      <c r="B598" s="9" t="s">
        <v>620</v>
      </c>
      <c r="C598" s="9">
        <v>0</v>
      </c>
      <c r="D598" s="2" t="s">
        <v>219</v>
      </c>
      <c r="E598" s="21" t="s">
        <v>105</v>
      </c>
      <c r="F598" s="19">
        <v>0</v>
      </c>
    </row>
    <row r="599" spans="1:6" ht="14.95" thickBot="1" x14ac:dyDescent="0.3">
      <c r="A599" s="62" t="s">
        <v>460</v>
      </c>
      <c r="B599" s="8" t="s">
        <v>282</v>
      </c>
      <c r="C599" s="9">
        <v>0</v>
      </c>
      <c r="D599" s="2" t="s">
        <v>726</v>
      </c>
      <c r="E599" s="21" t="s">
        <v>108</v>
      </c>
      <c r="F599" s="19">
        <v>0</v>
      </c>
    </row>
    <row r="600" spans="1:6" ht="14.95" thickBot="1" x14ac:dyDescent="0.3">
      <c r="A600" s="62" t="s">
        <v>380</v>
      </c>
      <c r="B600" s="8" t="s">
        <v>366</v>
      </c>
      <c r="C600" s="9">
        <v>0</v>
      </c>
      <c r="D600" s="2" t="s">
        <v>416</v>
      </c>
      <c r="E600" s="21" t="s">
        <v>94</v>
      </c>
      <c r="F600" s="19">
        <v>0</v>
      </c>
    </row>
    <row r="601" spans="1:6" ht="14.95" thickBot="1" x14ac:dyDescent="0.3">
      <c r="A601" s="10" t="s">
        <v>741</v>
      </c>
      <c r="B601" s="9" t="s">
        <v>108</v>
      </c>
      <c r="C601" s="9">
        <v>0</v>
      </c>
      <c r="D601" s="2" t="s">
        <v>120</v>
      </c>
      <c r="E601" s="21" t="s">
        <v>95</v>
      </c>
      <c r="F601" s="19">
        <v>0</v>
      </c>
    </row>
    <row r="602" spans="1:6" ht="14.95" thickBot="1" x14ac:dyDescent="0.3">
      <c r="A602" s="62" t="s">
        <v>727</v>
      </c>
      <c r="B602" s="8" t="s">
        <v>108</v>
      </c>
      <c r="C602" s="9">
        <v>0</v>
      </c>
      <c r="D602" s="2" t="s">
        <v>458</v>
      </c>
      <c r="E602" s="21" t="s">
        <v>94</v>
      </c>
      <c r="F602" s="19">
        <v>0</v>
      </c>
    </row>
    <row r="603" spans="1:6" ht="14.95" thickBot="1" x14ac:dyDescent="0.3">
      <c r="A603" s="62" t="s">
        <v>838</v>
      </c>
      <c r="B603" s="8" t="s">
        <v>282</v>
      </c>
      <c r="C603" s="9">
        <v>0</v>
      </c>
      <c r="D603" s="2" t="s">
        <v>460</v>
      </c>
      <c r="E603" s="21" t="s">
        <v>282</v>
      </c>
      <c r="F603" s="19">
        <v>0</v>
      </c>
    </row>
    <row r="604" spans="1:6" ht="14.95" thickBot="1" x14ac:dyDescent="0.3">
      <c r="A604" s="10" t="s">
        <v>728</v>
      </c>
      <c r="B604" s="9" t="s">
        <v>108</v>
      </c>
      <c r="C604" s="9">
        <v>0</v>
      </c>
      <c r="D604" s="2" t="s">
        <v>380</v>
      </c>
      <c r="E604" s="21" t="s">
        <v>366</v>
      </c>
      <c r="F604" s="19">
        <v>0</v>
      </c>
    </row>
    <row r="605" spans="1:6" ht="14.95" thickBot="1" x14ac:dyDescent="0.3">
      <c r="A605" s="62" t="s">
        <v>163</v>
      </c>
      <c r="B605" s="8" t="s">
        <v>96</v>
      </c>
      <c r="C605" s="9">
        <v>0</v>
      </c>
      <c r="D605" s="2" t="s">
        <v>741</v>
      </c>
      <c r="E605" s="21" t="s">
        <v>108</v>
      </c>
      <c r="F605" s="19">
        <v>0</v>
      </c>
    </row>
    <row r="606" spans="1:6" ht="14.95" thickBot="1" x14ac:dyDescent="0.3">
      <c r="A606" s="62" t="s">
        <v>295</v>
      </c>
      <c r="B606" s="8" t="s">
        <v>282</v>
      </c>
      <c r="C606" s="9">
        <v>0</v>
      </c>
      <c r="D606" s="2" t="s">
        <v>727</v>
      </c>
      <c r="E606" s="21" t="s">
        <v>108</v>
      </c>
      <c r="F606" s="19">
        <v>0</v>
      </c>
    </row>
    <row r="607" spans="1:6" ht="14.95" thickBot="1" x14ac:dyDescent="0.3">
      <c r="A607" s="10" t="s">
        <v>321</v>
      </c>
      <c r="B607" s="10" t="s">
        <v>620</v>
      </c>
      <c r="C607" s="9">
        <v>0</v>
      </c>
      <c r="D607" s="2" t="s">
        <v>838</v>
      </c>
      <c r="E607" s="21" t="s">
        <v>282</v>
      </c>
      <c r="F607" s="19">
        <v>0</v>
      </c>
    </row>
    <row r="608" spans="1:6" ht="14.95" thickBot="1" x14ac:dyDescent="0.3">
      <c r="A608" s="62" t="s">
        <v>887</v>
      </c>
      <c r="B608" s="62" t="s">
        <v>95</v>
      </c>
      <c r="C608" s="9">
        <v>0</v>
      </c>
      <c r="D608" s="17" t="s">
        <v>728</v>
      </c>
      <c r="E608" s="19" t="s">
        <v>108</v>
      </c>
      <c r="F608" s="19">
        <v>0</v>
      </c>
    </row>
    <row r="609" spans="1:6" ht="14.95" thickBot="1" x14ac:dyDescent="0.3">
      <c r="A609" s="62" t="s">
        <v>381</v>
      </c>
      <c r="B609" s="62" t="s">
        <v>366</v>
      </c>
      <c r="C609" s="9">
        <v>0</v>
      </c>
      <c r="D609" s="2" t="s">
        <v>163</v>
      </c>
      <c r="E609" s="2" t="s">
        <v>96</v>
      </c>
      <c r="F609" s="19">
        <v>0</v>
      </c>
    </row>
    <row r="610" spans="1:6" ht="14.95" thickBot="1" x14ac:dyDescent="0.3">
      <c r="A610" s="62" t="s">
        <v>241</v>
      </c>
      <c r="B610" s="62" t="s">
        <v>94</v>
      </c>
      <c r="C610" s="49">
        <v>0</v>
      </c>
      <c r="D610" s="2" t="s">
        <v>295</v>
      </c>
      <c r="E610" s="2" t="s">
        <v>282</v>
      </c>
      <c r="F610" s="19">
        <v>0</v>
      </c>
    </row>
    <row r="611" spans="1:6" ht="14.95" thickBot="1" x14ac:dyDescent="0.3">
      <c r="A611" s="62" t="s">
        <v>165</v>
      </c>
      <c r="B611" s="62" t="s">
        <v>96</v>
      </c>
      <c r="C611" s="9">
        <v>0</v>
      </c>
      <c r="D611" s="2" t="s">
        <v>321</v>
      </c>
      <c r="E611" s="2" t="s">
        <v>620</v>
      </c>
      <c r="F611" s="19">
        <v>0</v>
      </c>
    </row>
    <row r="612" spans="1:6" ht="14.95" thickBot="1" x14ac:dyDescent="0.3">
      <c r="A612" s="62" t="s">
        <v>614</v>
      </c>
      <c r="B612" s="62" t="s">
        <v>105</v>
      </c>
      <c r="C612" s="9">
        <v>0</v>
      </c>
      <c r="D612" s="2" t="s">
        <v>887</v>
      </c>
      <c r="E612" s="2" t="s">
        <v>95</v>
      </c>
      <c r="F612" s="19">
        <v>0</v>
      </c>
    </row>
    <row r="613" spans="1:6" ht="14.95" thickBot="1" x14ac:dyDescent="0.3">
      <c r="A613" s="62" t="s">
        <v>763</v>
      </c>
      <c r="B613" s="62" t="s">
        <v>94</v>
      </c>
      <c r="C613" s="9">
        <v>0</v>
      </c>
      <c r="D613" s="2" t="s">
        <v>381</v>
      </c>
      <c r="E613" s="2" t="s">
        <v>366</v>
      </c>
      <c r="F613" s="19">
        <v>0</v>
      </c>
    </row>
    <row r="614" spans="1:6" ht="14.95" thickBot="1" x14ac:dyDescent="0.3">
      <c r="A614" s="62" t="s">
        <v>773</v>
      </c>
      <c r="B614" s="62" t="s">
        <v>94</v>
      </c>
      <c r="C614" s="9">
        <v>0</v>
      </c>
      <c r="D614" s="2" t="s">
        <v>241</v>
      </c>
      <c r="E614" s="2" t="s">
        <v>94</v>
      </c>
      <c r="F614" s="19">
        <v>0</v>
      </c>
    </row>
    <row r="615" spans="1:6" ht="14.95" thickBot="1" x14ac:dyDescent="0.3">
      <c r="A615" s="62" t="s">
        <v>885</v>
      </c>
      <c r="B615" s="62" t="s">
        <v>95</v>
      </c>
      <c r="C615" s="9">
        <v>0</v>
      </c>
      <c r="D615" s="2" t="s">
        <v>165</v>
      </c>
      <c r="E615" s="2" t="s">
        <v>96</v>
      </c>
      <c r="F615" s="19">
        <v>0</v>
      </c>
    </row>
    <row r="616" spans="1:6" ht="14.95" thickBot="1" x14ac:dyDescent="0.3">
      <c r="A616" s="62" t="s">
        <v>401</v>
      </c>
      <c r="B616" s="62" t="s">
        <v>95</v>
      </c>
      <c r="C616" s="9">
        <v>0</v>
      </c>
      <c r="D616" s="2" t="s">
        <v>614</v>
      </c>
      <c r="E616" s="2" t="s">
        <v>105</v>
      </c>
      <c r="F616" s="19">
        <v>0</v>
      </c>
    </row>
    <row r="617" spans="1:6" ht="14.95" thickBot="1" x14ac:dyDescent="0.3">
      <c r="A617" s="62" t="s">
        <v>176</v>
      </c>
      <c r="B617" s="10" t="s">
        <v>620</v>
      </c>
      <c r="C617" s="9">
        <v>0</v>
      </c>
      <c r="D617" s="2" t="s">
        <v>763</v>
      </c>
      <c r="E617" s="2" t="s">
        <v>94</v>
      </c>
      <c r="F617" s="19">
        <v>0</v>
      </c>
    </row>
    <row r="618" spans="1:6" ht="14.95" thickBot="1" x14ac:dyDescent="0.3">
      <c r="A618" s="62" t="s">
        <v>839</v>
      </c>
      <c r="B618" s="62" t="s">
        <v>282</v>
      </c>
      <c r="C618" s="9">
        <v>0</v>
      </c>
      <c r="D618" s="2" t="s">
        <v>773</v>
      </c>
      <c r="E618" s="2" t="s">
        <v>94</v>
      </c>
      <c r="F618" s="18">
        <v>0</v>
      </c>
    </row>
    <row r="619" spans="1:6" ht="14.95" thickBot="1" x14ac:dyDescent="0.3">
      <c r="A619" s="62" t="s">
        <v>216</v>
      </c>
      <c r="B619" s="62" t="s">
        <v>108</v>
      </c>
      <c r="C619" s="9">
        <v>0</v>
      </c>
      <c r="D619" s="2" t="s">
        <v>885</v>
      </c>
      <c r="E619" s="2" t="s">
        <v>95</v>
      </c>
      <c r="F619" s="19">
        <v>0</v>
      </c>
    </row>
    <row r="620" spans="1:6" ht="14.95" thickBot="1" x14ac:dyDescent="0.3">
      <c r="A620" s="62" t="s">
        <v>812</v>
      </c>
      <c r="B620" s="10" t="s">
        <v>620</v>
      </c>
      <c r="C620" s="6">
        <v>0</v>
      </c>
      <c r="D620" s="2" t="s">
        <v>401</v>
      </c>
      <c r="E620" s="2" t="s">
        <v>95</v>
      </c>
      <c r="F620" s="19">
        <v>0</v>
      </c>
    </row>
    <row r="621" spans="1:6" ht="14.95" thickBot="1" x14ac:dyDescent="0.3">
      <c r="A621" s="62" t="s">
        <v>776</v>
      </c>
      <c r="B621" s="62" t="s">
        <v>94</v>
      </c>
      <c r="C621" s="9">
        <v>0</v>
      </c>
      <c r="D621" s="2" t="s">
        <v>176</v>
      </c>
      <c r="E621" s="2" t="s">
        <v>620</v>
      </c>
      <c r="F621" s="20">
        <v>0</v>
      </c>
    </row>
    <row r="622" spans="1:6" ht="14.95" thickBot="1" x14ac:dyDescent="0.3">
      <c r="A622" s="62" t="s">
        <v>1060</v>
      </c>
      <c r="B622" s="62" t="s">
        <v>957</v>
      </c>
      <c r="C622" s="9">
        <v>0</v>
      </c>
      <c r="D622" s="2" t="s">
        <v>216</v>
      </c>
      <c r="E622" s="2" t="s">
        <v>108</v>
      </c>
      <c r="F622" s="19">
        <v>0</v>
      </c>
    </row>
    <row r="623" spans="1:6" ht="14.95" thickBot="1" x14ac:dyDescent="0.3">
      <c r="A623" s="10" t="s">
        <v>641</v>
      </c>
      <c r="B623" s="10" t="s">
        <v>105</v>
      </c>
      <c r="C623" s="9">
        <v>0</v>
      </c>
      <c r="D623" s="2" t="s">
        <v>812</v>
      </c>
      <c r="E623" s="2" t="s">
        <v>620</v>
      </c>
      <c r="F623" s="19">
        <v>0</v>
      </c>
    </row>
    <row r="624" spans="1:6" ht="14.95" thickBot="1" x14ac:dyDescent="0.3">
      <c r="A624" s="62" t="s">
        <v>166</v>
      </c>
      <c r="B624" s="62" t="s">
        <v>105</v>
      </c>
      <c r="C624" s="9">
        <v>0</v>
      </c>
      <c r="D624" s="2" t="s">
        <v>776</v>
      </c>
      <c r="E624" s="2" t="s">
        <v>94</v>
      </c>
      <c r="F624" s="19">
        <v>0</v>
      </c>
    </row>
    <row r="625" spans="1:6" ht="14.95" thickBot="1" x14ac:dyDescent="0.3">
      <c r="A625" s="62" t="s">
        <v>896</v>
      </c>
      <c r="B625" s="62" t="s">
        <v>95</v>
      </c>
      <c r="C625" s="9">
        <v>0</v>
      </c>
      <c r="D625" s="17" t="s">
        <v>641</v>
      </c>
      <c r="E625" s="17" t="s">
        <v>105</v>
      </c>
      <c r="F625" s="19">
        <v>0</v>
      </c>
    </row>
    <row r="626" spans="1:6" ht="14.95" thickBot="1" x14ac:dyDescent="0.3">
      <c r="A626" s="62" t="s">
        <v>167</v>
      </c>
      <c r="B626" s="62" t="s">
        <v>108</v>
      </c>
      <c r="C626" s="9">
        <v>0</v>
      </c>
      <c r="D626" s="2" t="s">
        <v>166</v>
      </c>
      <c r="E626" s="2" t="s">
        <v>105</v>
      </c>
      <c r="F626" s="19">
        <v>0</v>
      </c>
    </row>
    <row r="627" spans="1:6" ht="14.95" thickBot="1" x14ac:dyDescent="0.3">
      <c r="A627" s="62" t="s">
        <v>1136</v>
      </c>
      <c r="B627" s="62" t="s">
        <v>957</v>
      </c>
      <c r="C627" s="9">
        <v>0</v>
      </c>
      <c r="D627" s="2" t="s">
        <v>896</v>
      </c>
      <c r="E627" s="2" t="s">
        <v>95</v>
      </c>
      <c r="F627" s="19">
        <v>0</v>
      </c>
    </row>
    <row r="628" spans="1:6" ht="14.95" thickBot="1" x14ac:dyDescent="0.3">
      <c r="A628" s="62" t="s">
        <v>870</v>
      </c>
      <c r="B628" s="62" t="s">
        <v>108</v>
      </c>
      <c r="C628" s="9">
        <v>0</v>
      </c>
      <c r="D628" s="2" t="s">
        <v>167</v>
      </c>
      <c r="E628" s="2" t="s">
        <v>108</v>
      </c>
      <c r="F628" s="19">
        <v>0</v>
      </c>
    </row>
    <row r="629" spans="1:6" ht="14.95" thickBot="1" x14ac:dyDescent="0.3">
      <c r="A629" s="62" t="s">
        <v>168</v>
      </c>
      <c r="B629" s="62" t="s">
        <v>105</v>
      </c>
      <c r="C629" s="9">
        <v>0</v>
      </c>
      <c r="D629" s="2" t="s">
        <v>168</v>
      </c>
      <c r="E629" s="2" t="s">
        <v>105</v>
      </c>
      <c r="F629" s="19">
        <v>0</v>
      </c>
    </row>
    <row r="630" spans="1:6" ht="14.95" thickBot="1" x14ac:dyDescent="0.3">
      <c r="A630" s="62" t="s">
        <v>100</v>
      </c>
      <c r="B630" s="10" t="s">
        <v>620</v>
      </c>
      <c r="C630" s="9">
        <v>0</v>
      </c>
      <c r="D630" s="2" t="s">
        <v>100</v>
      </c>
      <c r="E630" s="2" t="s">
        <v>620</v>
      </c>
      <c r="F630" s="19">
        <v>0</v>
      </c>
    </row>
    <row r="631" spans="1:6" ht="14.95" thickBot="1" x14ac:dyDescent="0.3">
      <c r="A631" s="9" t="s">
        <v>15</v>
      </c>
      <c r="B631" s="9"/>
      <c r="C631" s="9">
        <f>SUM(C4:C630)</f>
        <v>583</v>
      </c>
      <c r="D631" s="19" t="s">
        <v>15</v>
      </c>
      <c r="E631" s="19"/>
      <c r="F631" s="19">
        <f>SUM(F4:F630)</f>
        <v>3947</v>
      </c>
    </row>
    <row r="632" spans="1:6" x14ac:dyDescent="0.25">
      <c r="A632" s="48" t="s">
        <v>42</v>
      </c>
    </row>
  </sheetData>
  <sortState xmlns:xlrd2="http://schemas.microsoft.com/office/spreadsheetml/2017/richdata2" ref="G4:K62">
    <sortCondition sortBy="fontColor" ref="J4:J62" dxfId="0"/>
    <sortCondition descending="1" ref="K4:K62"/>
    <sortCondition descending="1" ref="J4:J62"/>
    <sortCondition ref="G4:G62"/>
  </sortState>
  <mergeCells count="2">
    <mergeCell ref="G3:H3"/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F58C-83CB-4B08-82FB-CB7938DECFA2}">
  <dimension ref="A1:Q39"/>
  <sheetViews>
    <sheetView workbookViewId="0">
      <selection activeCell="Y18" sqref="Y18"/>
    </sheetView>
  </sheetViews>
  <sheetFormatPr defaultRowHeight="14.95" customHeight="1" x14ac:dyDescent="0.25"/>
  <cols>
    <col min="1" max="1" width="12.625" customWidth="1"/>
    <col min="2" max="4" width="3.75" customWidth="1"/>
    <col min="5" max="5" width="12.625" customWidth="1"/>
    <col min="6" max="8" width="3.75" customWidth="1"/>
    <col min="9" max="9" width="15.625" customWidth="1"/>
    <col min="10" max="17" width="5.625" customWidth="1"/>
  </cols>
  <sheetData>
    <row r="1" spans="1:17" ht="14.95" customHeight="1" thickBot="1" x14ac:dyDescent="0.3">
      <c r="A1" s="565" t="s">
        <v>1163</v>
      </c>
      <c r="B1" s="566"/>
      <c r="C1" s="566"/>
      <c r="D1" s="566"/>
      <c r="E1" s="566"/>
      <c r="F1" s="566"/>
      <c r="G1" s="566"/>
      <c r="H1" s="567"/>
      <c r="I1" s="465" t="s">
        <v>1021</v>
      </c>
      <c r="J1" s="453" t="s">
        <v>16</v>
      </c>
      <c r="K1" s="467"/>
      <c r="L1" s="454"/>
      <c r="M1" s="453" t="s">
        <v>48</v>
      </c>
      <c r="N1" s="467"/>
      <c r="O1" s="454"/>
      <c r="P1" s="453" t="s">
        <v>224</v>
      </c>
      <c r="Q1" s="454"/>
    </row>
    <row r="2" spans="1:17" ht="14.95" customHeight="1" thickBot="1" x14ac:dyDescent="0.3">
      <c r="A2" s="424" t="s">
        <v>0</v>
      </c>
      <c r="B2" s="422" t="s">
        <v>1020</v>
      </c>
      <c r="C2" s="327" t="s">
        <v>383</v>
      </c>
      <c r="D2" s="381" t="s">
        <v>1</v>
      </c>
      <c r="E2" s="425" t="s">
        <v>2</v>
      </c>
      <c r="F2" s="143" t="s">
        <v>1020</v>
      </c>
      <c r="G2" s="219" t="s">
        <v>383</v>
      </c>
      <c r="H2" s="428" t="s">
        <v>1</v>
      </c>
      <c r="I2" s="466"/>
      <c r="J2" s="455"/>
      <c r="K2" s="468"/>
      <c r="L2" s="456"/>
      <c r="M2" s="455"/>
      <c r="N2" s="468"/>
      <c r="O2" s="456"/>
      <c r="P2" s="455"/>
      <c r="Q2" s="456"/>
    </row>
    <row r="3" spans="1:17" ht="14.95" customHeight="1" thickBot="1" x14ac:dyDescent="0.3">
      <c r="A3" s="420" t="s">
        <v>1164</v>
      </c>
      <c r="B3" s="423">
        <v>8</v>
      </c>
      <c r="C3" s="331">
        <v>2</v>
      </c>
      <c r="D3" s="383">
        <f t="shared" ref="D3:D20" si="0">SUM(B3:C3)</f>
        <v>10</v>
      </c>
      <c r="E3" s="426" t="s">
        <v>1164</v>
      </c>
      <c r="F3" s="144">
        <v>40</v>
      </c>
      <c r="G3" s="220">
        <v>10</v>
      </c>
      <c r="H3" s="429">
        <f t="shared" ref="H3:H35" si="1">SUM(F3:G3)</f>
        <v>50</v>
      </c>
      <c r="I3" s="221" t="s">
        <v>25</v>
      </c>
      <c r="J3" s="3" t="s">
        <v>55</v>
      </c>
      <c r="K3" s="3" t="s">
        <v>11</v>
      </c>
      <c r="L3" s="3" t="s">
        <v>12</v>
      </c>
      <c r="M3" s="164" t="s">
        <v>55</v>
      </c>
      <c r="N3" s="3" t="s">
        <v>11</v>
      </c>
      <c r="O3" s="3" t="s">
        <v>12</v>
      </c>
      <c r="P3" s="3" t="s">
        <v>1020</v>
      </c>
      <c r="Q3" s="3" t="s">
        <v>67</v>
      </c>
    </row>
    <row r="4" spans="1:17" ht="14.95" customHeight="1" thickBot="1" x14ac:dyDescent="0.3">
      <c r="A4" s="420" t="s">
        <v>1165</v>
      </c>
      <c r="B4" s="423">
        <v>0</v>
      </c>
      <c r="C4" s="331">
        <v>0</v>
      </c>
      <c r="D4" s="383">
        <f t="shared" si="0"/>
        <v>0</v>
      </c>
      <c r="E4" s="426" t="s">
        <v>1165</v>
      </c>
      <c r="F4" s="144">
        <v>0</v>
      </c>
      <c r="G4" s="220">
        <v>0</v>
      </c>
      <c r="H4" s="429">
        <f t="shared" si="1"/>
        <v>0</v>
      </c>
      <c r="I4" s="420" t="s">
        <v>1176</v>
      </c>
      <c r="J4" s="383">
        <v>44</v>
      </c>
      <c r="K4" s="383">
        <v>53</v>
      </c>
      <c r="L4" s="421">
        <f t="shared" ref="L4" si="2">SUM(J4/K4)*100</f>
        <v>83.018867924528308</v>
      </c>
      <c r="M4" s="383">
        <v>3</v>
      </c>
      <c r="N4" s="383">
        <v>3</v>
      </c>
      <c r="O4" s="421">
        <f t="shared" ref="O4" si="3">SUM(M4/N4)*100</f>
        <v>100</v>
      </c>
      <c r="P4" s="383">
        <v>2</v>
      </c>
      <c r="Q4" s="383">
        <v>4</v>
      </c>
    </row>
    <row r="5" spans="1:17" ht="14.95" customHeight="1" thickBot="1" x14ac:dyDescent="0.3">
      <c r="A5" s="420" t="s">
        <v>1166</v>
      </c>
      <c r="B5" s="423">
        <v>3</v>
      </c>
      <c r="C5" s="331">
        <v>1</v>
      </c>
      <c r="D5" s="383">
        <f t="shared" si="0"/>
        <v>4</v>
      </c>
      <c r="E5" s="426" t="s">
        <v>1166</v>
      </c>
      <c r="F5" s="144">
        <v>15</v>
      </c>
      <c r="G5" s="220">
        <v>5</v>
      </c>
      <c r="H5" s="429">
        <f t="shared" si="1"/>
        <v>20</v>
      </c>
      <c r="I5" s="26"/>
    </row>
    <row r="6" spans="1:17" ht="14.95" customHeight="1" thickBot="1" x14ac:dyDescent="0.3">
      <c r="A6" s="420" t="s">
        <v>1085</v>
      </c>
      <c r="B6" s="423">
        <v>1</v>
      </c>
      <c r="C6" s="331">
        <v>0</v>
      </c>
      <c r="D6" s="383">
        <f t="shared" si="0"/>
        <v>1</v>
      </c>
      <c r="E6" s="426" t="s">
        <v>1085</v>
      </c>
      <c r="F6" s="144">
        <v>5</v>
      </c>
      <c r="G6" s="220">
        <v>0</v>
      </c>
      <c r="H6" s="429">
        <f t="shared" si="1"/>
        <v>5</v>
      </c>
      <c r="I6" s="499" t="s">
        <v>93</v>
      </c>
      <c r="J6" s="513" t="s">
        <v>16</v>
      </c>
      <c r="K6" s="514"/>
      <c r="L6" s="515"/>
    </row>
    <row r="7" spans="1:17" ht="14.95" customHeight="1" thickBot="1" x14ac:dyDescent="0.3">
      <c r="A7" s="420" t="s">
        <v>1167</v>
      </c>
      <c r="B7" s="423">
        <v>2</v>
      </c>
      <c r="C7" s="331">
        <v>0</v>
      </c>
      <c r="D7" s="383">
        <f t="shared" ref="D7:D12" si="4">SUM(B7:C7)</f>
        <v>2</v>
      </c>
      <c r="E7" s="426" t="s">
        <v>1167</v>
      </c>
      <c r="F7" s="144">
        <v>10</v>
      </c>
      <c r="G7" s="220">
        <v>0</v>
      </c>
      <c r="H7" s="429">
        <f t="shared" ref="H7:H12" si="5">SUM(F7:G7)</f>
        <v>10</v>
      </c>
      <c r="I7" s="500"/>
      <c r="J7" s="516"/>
      <c r="K7" s="517"/>
      <c r="L7" s="518"/>
    </row>
    <row r="8" spans="1:17" ht="14.95" customHeight="1" thickBot="1" x14ac:dyDescent="0.3">
      <c r="A8" s="420" t="s">
        <v>512</v>
      </c>
      <c r="B8" s="423">
        <v>0</v>
      </c>
      <c r="C8" s="331">
        <v>0</v>
      </c>
      <c r="D8" s="383">
        <f t="shared" si="4"/>
        <v>0</v>
      </c>
      <c r="E8" s="426" t="s">
        <v>512</v>
      </c>
      <c r="F8" s="144">
        <v>0</v>
      </c>
      <c r="G8" s="220">
        <v>0</v>
      </c>
      <c r="H8" s="429">
        <f t="shared" si="5"/>
        <v>0</v>
      </c>
      <c r="I8" s="224" t="s">
        <v>25</v>
      </c>
      <c r="J8" s="165" t="s">
        <v>55</v>
      </c>
      <c r="K8" s="165" t="s">
        <v>11</v>
      </c>
      <c r="L8" s="165" t="s">
        <v>12</v>
      </c>
    </row>
    <row r="9" spans="1:17" ht="14.95" customHeight="1" thickBot="1" x14ac:dyDescent="0.3">
      <c r="A9" s="420" t="s">
        <v>1168</v>
      </c>
      <c r="B9" s="423">
        <v>1</v>
      </c>
      <c r="C9" s="331">
        <v>0</v>
      </c>
      <c r="D9" s="383">
        <f t="shared" si="4"/>
        <v>1</v>
      </c>
      <c r="E9" s="426" t="s">
        <v>1168</v>
      </c>
      <c r="F9" s="144">
        <v>5</v>
      </c>
      <c r="G9" s="220">
        <v>0</v>
      </c>
      <c r="H9" s="429">
        <f t="shared" si="5"/>
        <v>5</v>
      </c>
      <c r="I9" s="420" t="s">
        <v>1176</v>
      </c>
      <c r="J9" s="383">
        <v>15</v>
      </c>
      <c r="K9" s="383">
        <v>18</v>
      </c>
      <c r="L9" s="421">
        <f t="shared" ref="L9:L10" si="6">SUM(J9/K9)*100</f>
        <v>83.333333333333343</v>
      </c>
    </row>
    <row r="10" spans="1:17" ht="14.95" customHeight="1" thickBot="1" x14ac:dyDescent="0.3">
      <c r="A10" s="420" t="s">
        <v>397</v>
      </c>
      <c r="B10" s="423">
        <v>0</v>
      </c>
      <c r="C10" s="331">
        <v>0</v>
      </c>
      <c r="D10" s="383">
        <f t="shared" si="4"/>
        <v>0</v>
      </c>
      <c r="E10" s="426" t="s">
        <v>397</v>
      </c>
      <c r="F10" s="144">
        <v>0</v>
      </c>
      <c r="G10" s="220">
        <v>0</v>
      </c>
      <c r="H10" s="429">
        <f t="shared" si="5"/>
        <v>0</v>
      </c>
      <c r="I10" s="420" t="s">
        <v>1183</v>
      </c>
      <c r="J10" s="383">
        <v>0</v>
      </c>
      <c r="K10" s="383">
        <v>1</v>
      </c>
      <c r="L10" s="421">
        <f t="shared" si="6"/>
        <v>0</v>
      </c>
    </row>
    <row r="11" spans="1:17" ht="14.95" customHeight="1" thickBot="1" x14ac:dyDescent="0.3">
      <c r="A11" s="420" t="s">
        <v>1013</v>
      </c>
      <c r="B11" s="423">
        <v>2</v>
      </c>
      <c r="C11" s="331">
        <v>1</v>
      </c>
      <c r="D11" s="383">
        <f t="shared" si="4"/>
        <v>3</v>
      </c>
      <c r="E11" s="426" t="s">
        <v>1013</v>
      </c>
      <c r="F11" s="144">
        <v>10</v>
      </c>
      <c r="G11" s="220">
        <v>5</v>
      </c>
      <c r="H11" s="429">
        <f t="shared" si="5"/>
        <v>15</v>
      </c>
      <c r="I11" s="204"/>
    </row>
    <row r="12" spans="1:17" ht="14.95" customHeight="1" thickBot="1" x14ac:dyDescent="0.3">
      <c r="A12" s="420" t="s">
        <v>670</v>
      </c>
      <c r="B12" s="423">
        <v>0</v>
      </c>
      <c r="C12" s="331">
        <v>0</v>
      </c>
      <c r="D12" s="383">
        <f t="shared" si="4"/>
        <v>0</v>
      </c>
      <c r="E12" s="426" t="s">
        <v>670</v>
      </c>
      <c r="F12" s="144">
        <v>0</v>
      </c>
      <c r="G12" s="220">
        <v>0</v>
      </c>
      <c r="H12" s="429">
        <f t="shared" si="5"/>
        <v>0</v>
      </c>
      <c r="I12" s="204" t="s">
        <v>25</v>
      </c>
    </row>
    <row r="13" spans="1:17" ht="14.95" customHeight="1" thickBot="1" x14ac:dyDescent="0.3">
      <c r="A13" s="420" t="s">
        <v>1169</v>
      </c>
      <c r="B13" s="423">
        <v>2</v>
      </c>
      <c r="C13" s="331">
        <v>1</v>
      </c>
      <c r="D13" s="383">
        <f t="shared" si="0"/>
        <v>3</v>
      </c>
      <c r="E13" s="426" t="s">
        <v>1169</v>
      </c>
      <c r="F13" s="144">
        <v>10</v>
      </c>
      <c r="G13" s="220">
        <v>5</v>
      </c>
      <c r="H13" s="429">
        <f t="shared" si="1"/>
        <v>15</v>
      </c>
    </row>
    <row r="14" spans="1:17" ht="14.95" customHeight="1" thickBot="1" x14ac:dyDescent="0.3">
      <c r="A14" s="420" t="s">
        <v>1170</v>
      </c>
      <c r="B14" s="423">
        <v>1</v>
      </c>
      <c r="C14" s="331">
        <v>4</v>
      </c>
      <c r="D14" s="383">
        <f t="shared" si="0"/>
        <v>5</v>
      </c>
      <c r="E14" s="426" t="s">
        <v>1170</v>
      </c>
      <c r="F14" s="144">
        <v>5</v>
      </c>
      <c r="G14" s="220">
        <v>20</v>
      </c>
      <c r="H14" s="429">
        <f t="shared" si="1"/>
        <v>25</v>
      </c>
    </row>
    <row r="15" spans="1:17" ht="14.95" customHeight="1" thickBot="1" x14ac:dyDescent="0.3">
      <c r="A15" s="420" t="s">
        <v>1171</v>
      </c>
      <c r="B15" s="423">
        <v>4</v>
      </c>
      <c r="C15" s="331">
        <v>1</v>
      </c>
      <c r="D15" s="383">
        <f t="shared" si="0"/>
        <v>5</v>
      </c>
      <c r="E15" s="426" t="s">
        <v>1171</v>
      </c>
      <c r="F15" s="144">
        <v>20</v>
      </c>
      <c r="G15" s="220">
        <v>5</v>
      </c>
      <c r="H15" s="429">
        <f t="shared" si="1"/>
        <v>25</v>
      </c>
    </row>
    <row r="16" spans="1:17" ht="14.95" customHeight="1" thickBot="1" x14ac:dyDescent="0.3">
      <c r="A16" s="420" t="s">
        <v>1172</v>
      </c>
      <c r="B16" s="423">
        <v>0</v>
      </c>
      <c r="C16" s="331">
        <v>0</v>
      </c>
      <c r="D16" s="383">
        <f t="shared" si="0"/>
        <v>0</v>
      </c>
      <c r="E16" s="426" t="s">
        <v>1172</v>
      </c>
      <c r="F16" s="144">
        <v>0</v>
      </c>
      <c r="G16" s="220">
        <v>0</v>
      </c>
      <c r="H16" s="429">
        <f t="shared" si="1"/>
        <v>0</v>
      </c>
    </row>
    <row r="17" spans="1:8" ht="14.95" customHeight="1" thickBot="1" x14ac:dyDescent="0.3">
      <c r="A17" s="420" t="s">
        <v>308</v>
      </c>
      <c r="B17" s="423">
        <v>3</v>
      </c>
      <c r="C17" s="331">
        <v>1</v>
      </c>
      <c r="D17" s="383">
        <f t="shared" si="0"/>
        <v>4</v>
      </c>
      <c r="E17" s="427" t="s">
        <v>308</v>
      </c>
      <c r="F17" s="144">
        <v>15</v>
      </c>
      <c r="G17" s="220">
        <v>5</v>
      </c>
      <c r="H17" s="429">
        <f t="shared" si="1"/>
        <v>20</v>
      </c>
    </row>
    <row r="18" spans="1:8" ht="14.95" customHeight="1" thickBot="1" x14ac:dyDescent="0.3">
      <c r="A18" s="420" t="s">
        <v>1174</v>
      </c>
      <c r="B18" s="423">
        <v>0</v>
      </c>
      <c r="C18" s="331">
        <v>0</v>
      </c>
      <c r="D18" s="383">
        <f t="shared" si="0"/>
        <v>0</v>
      </c>
      <c r="E18" s="427" t="s">
        <v>1174</v>
      </c>
      <c r="F18" s="144">
        <v>0</v>
      </c>
      <c r="G18" s="220">
        <v>0</v>
      </c>
      <c r="H18" s="429">
        <f t="shared" si="1"/>
        <v>0</v>
      </c>
    </row>
    <row r="19" spans="1:8" ht="14.95" customHeight="1" thickBot="1" x14ac:dyDescent="0.3">
      <c r="A19" s="420" t="s">
        <v>1175</v>
      </c>
      <c r="B19" s="423">
        <v>0</v>
      </c>
      <c r="C19" s="331">
        <v>0</v>
      </c>
      <c r="D19" s="383">
        <f t="shared" si="0"/>
        <v>0</v>
      </c>
      <c r="E19" s="427" t="s">
        <v>1175</v>
      </c>
      <c r="F19" s="144">
        <v>0</v>
      </c>
      <c r="G19" s="220">
        <v>0</v>
      </c>
      <c r="H19" s="429">
        <f t="shared" si="1"/>
        <v>0</v>
      </c>
    </row>
    <row r="20" spans="1:8" ht="14.95" customHeight="1" thickBot="1" x14ac:dyDescent="0.3">
      <c r="A20" s="420" t="s">
        <v>1185</v>
      </c>
      <c r="B20" s="423">
        <v>1</v>
      </c>
      <c r="C20" s="331">
        <v>0</v>
      </c>
      <c r="D20" s="383">
        <f t="shared" si="0"/>
        <v>1</v>
      </c>
      <c r="E20" s="427" t="s">
        <v>585</v>
      </c>
      <c r="F20" s="144">
        <v>5</v>
      </c>
      <c r="G20" s="220">
        <v>0</v>
      </c>
      <c r="H20" s="429">
        <f t="shared" si="1"/>
        <v>5</v>
      </c>
    </row>
    <row r="21" spans="1:8" ht="14.95" customHeight="1" thickBot="1" x14ac:dyDescent="0.3">
      <c r="A21" s="420" t="s">
        <v>1173</v>
      </c>
      <c r="B21" s="423">
        <v>2</v>
      </c>
      <c r="C21" s="331">
        <v>0</v>
      </c>
      <c r="D21" s="383">
        <f t="shared" ref="D21:D24" si="7">SUM(B21:C21)</f>
        <v>2</v>
      </c>
      <c r="E21" s="427" t="s">
        <v>1173</v>
      </c>
      <c r="F21" s="144">
        <v>10</v>
      </c>
      <c r="G21" s="220">
        <v>0</v>
      </c>
      <c r="H21" s="429">
        <f t="shared" ref="H21:H24" si="8">SUM(F21:G21)</f>
        <v>10</v>
      </c>
    </row>
    <row r="22" spans="1:8" ht="14.95" customHeight="1" thickBot="1" x14ac:dyDescent="0.3">
      <c r="A22" s="420" t="s">
        <v>1107</v>
      </c>
      <c r="B22" s="423">
        <v>1</v>
      </c>
      <c r="C22" s="331">
        <v>0</v>
      </c>
      <c r="D22" s="383">
        <f t="shared" si="7"/>
        <v>1</v>
      </c>
      <c r="E22" s="427" t="s">
        <v>1107</v>
      </c>
      <c r="F22" s="144">
        <v>5</v>
      </c>
      <c r="G22" s="220">
        <v>0</v>
      </c>
      <c r="H22" s="429">
        <f t="shared" si="8"/>
        <v>5</v>
      </c>
    </row>
    <row r="23" spans="1:8" ht="14.95" customHeight="1" thickBot="1" x14ac:dyDescent="0.3">
      <c r="A23" s="420" t="s">
        <v>1176</v>
      </c>
      <c r="B23" s="423">
        <v>0</v>
      </c>
      <c r="C23" s="331">
        <v>3</v>
      </c>
      <c r="D23" s="383">
        <f t="shared" si="7"/>
        <v>3</v>
      </c>
      <c r="E23" s="427" t="s">
        <v>1176</v>
      </c>
      <c r="F23" s="144">
        <v>95</v>
      </c>
      <c r="G23" s="220">
        <v>47</v>
      </c>
      <c r="H23" s="429">
        <f t="shared" si="8"/>
        <v>142</v>
      </c>
    </row>
    <row r="24" spans="1:8" ht="14.95" customHeight="1" thickBot="1" x14ac:dyDescent="0.3">
      <c r="A24" s="420" t="s">
        <v>1177</v>
      </c>
      <c r="B24" s="423">
        <v>3</v>
      </c>
      <c r="C24" s="331">
        <v>0</v>
      </c>
      <c r="D24" s="383">
        <f t="shared" si="7"/>
        <v>3</v>
      </c>
      <c r="E24" s="427" t="s">
        <v>1177</v>
      </c>
      <c r="F24" s="144">
        <v>15</v>
      </c>
      <c r="G24" s="220">
        <v>0</v>
      </c>
      <c r="H24" s="429">
        <f t="shared" si="8"/>
        <v>15</v>
      </c>
    </row>
    <row r="25" spans="1:8" ht="14.95" customHeight="1" thickBot="1" x14ac:dyDescent="0.3">
      <c r="A25" s="420" t="s">
        <v>4</v>
      </c>
      <c r="B25" s="423">
        <v>1</v>
      </c>
      <c r="C25" s="331">
        <v>0</v>
      </c>
      <c r="D25" s="383">
        <f t="shared" ref="D25:D36" si="9">SUM(B25:C25)</f>
        <v>1</v>
      </c>
      <c r="E25" s="427" t="s">
        <v>4</v>
      </c>
      <c r="F25" s="144">
        <v>7</v>
      </c>
      <c r="G25" s="220">
        <v>0</v>
      </c>
      <c r="H25" s="429">
        <f t="shared" si="1"/>
        <v>7</v>
      </c>
    </row>
    <row r="26" spans="1:8" ht="14.95" customHeight="1" thickBot="1" x14ac:dyDescent="0.3">
      <c r="A26" s="420" t="s">
        <v>1187</v>
      </c>
      <c r="B26" s="423">
        <v>1</v>
      </c>
      <c r="C26" s="331">
        <v>0</v>
      </c>
      <c r="D26" s="383">
        <f t="shared" si="9"/>
        <v>1</v>
      </c>
      <c r="E26" s="427" t="s">
        <v>1187</v>
      </c>
      <c r="F26" s="144">
        <v>5</v>
      </c>
      <c r="G26" s="220">
        <v>0</v>
      </c>
      <c r="H26" s="429">
        <f t="shared" si="1"/>
        <v>5</v>
      </c>
    </row>
    <row r="27" spans="1:8" ht="14.95" customHeight="1" thickBot="1" x14ac:dyDescent="0.3">
      <c r="A27" s="420" t="s">
        <v>26</v>
      </c>
      <c r="B27" s="423">
        <v>1</v>
      </c>
      <c r="C27" s="331">
        <v>0</v>
      </c>
      <c r="D27" s="383">
        <f t="shared" si="9"/>
        <v>1</v>
      </c>
      <c r="E27" s="427" t="s">
        <v>26</v>
      </c>
      <c r="F27" s="144">
        <v>5</v>
      </c>
      <c r="G27" s="220">
        <v>0</v>
      </c>
      <c r="H27" s="429">
        <f t="shared" si="1"/>
        <v>5</v>
      </c>
    </row>
    <row r="28" spans="1:8" ht="14.95" customHeight="1" thickBot="1" x14ac:dyDescent="0.3">
      <c r="A28" s="420" t="s">
        <v>1186</v>
      </c>
      <c r="B28" s="423">
        <v>1</v>
      </c>
      <c r="C28" s="331">
        <v>0</v>
      </c>
      <c r="D28" s="383">
        <f t="shared" ref="D28" si="10">SUM(B28:C28)</f>
        <v>1</v>
      </c>
      <c r="E28" s="427" t="s">
        <v>1186</v>
      </c>
      <c r="F28" s="144">
        <v>5</v>
      </c>
      <c r="G28" s="220">
        <v>0</v>
      </c>
      <c r="H28" s="429">
        <f t="shared" ref="H28" si="11">SUM(F28:G28)</f>
        <v>5</v>
      </c>
    </row>
    <row r="29" spans="1:8" ht="14.95" customHeight="1" thickBot="1" x14ac:dyDescent="0.3">
      <c r="A29" s="420" t="s">
        <v>1178</v>
      </c>
      <c r="B29" s="423">
        <v>0</v>
      </c>
      <c r="C29" s="331">
        <v>0</v>
      </c>
      <c r="D29" s="383">
        <f t="shared" si="9"/>
        <v>0</v>
      </c>
      <c r="E29" s="427" t="s">
        <v>1178</v>
      </c>
      <c r="F29" s="144">
        <v>0</v>
      </c>
      <c r="G29" s="220">
        <v>0</v>
      </c>
      <c r="H29" s="429">
        <f t="shared" si="1"/>
        <v>0</v>
      </c>
    </row>
    <row r="30" spans="1:8" ht="14.95" customHeight="1" thickBot="1" x14ac:dyDescent="0.3">
      <c r="A30" s="420" t="s">
        <v>1179</v>
      </c>
      <c r="B30" s="423">
        <v>3</v>
      </c>
      <c r="C30" s="331">
        <v>0</v>
      </c>
      <c r="D30" s="383">
        <f t="shared" si="9"/>
        <v>3</v>
      </c>
      <c r="E30" s="427" t="s">
        <v>1179</v>
      </c>
      <c r="F30" s="144">
        <v>15</v>
      </c>
      <c r="G30" s="220">
        <v>0</v>
      </c>
      <c r="H30" s="429">
        <f t="shared" si="1"/>
        <v>15</v>
      </c>
    </row>
    <row r="31" spans="1:8" ht="14.95" customHeight="1" thickBot="1" x14ac:dyDescent="0.3">
      <c r="A31" s="420" t="s">
        <v>1180</v>
      </c>
      <c r="B31" s="423">
        <v>1</v>
      </c>
      <c r="C31" s="331">
        <v>2</v>
      </c>
      <c r="D31" s="383">
        <f t="shared" si="9"/>
        <v>3</v>
      </c>
      <c r="E31" s="427" t="s">
        <v>1180</v>
      </c>
      <c r="F31" s="144">
        <v>5</v>
      </c>
      <c r="G31" s="220">
        <v>10</v>
      </c>
      <c r="H31" s="429">
        <f t="shared" si="1"/>
        <v>15</v>
      </c>
    </row>
    <row r="32" spans="1:8" ht="14.95" customHeight="1" thickBot="1" x14ac:dyDescent="0.3">
      <c r="A32" s="420" t="s">
        <v>1181</v>
      </c>
      <c r="B32" s="423">
        <v>0</v>
      </c>
      <c r="C32" s="331">
        <v>0</v>
      </c>
      <c r="D32" s="383">
        <f t="shared" si="9"/>
        <v>0</v>
      </c>
      <c r="E32" s="427" t="s">
        <v>1181</v>
      </c>
      <c r="F32" s="144">
        <v>0</v>
      </c>
      <c r="G32" s="220">
        <v>0</v>
      </c>
      <c r="H32" s="429">
        <f t="shared" si="1"/>
        <v>0</v>
      </c>
    </row>
    <row r="33" spans="1:8" ht="14.95" customHeight="1" thickBot="1" x14ac:dyDescent="0.3">
      <c r="A33" s="420" t="s">
        <v>1182</v>
      </c>
      <c r="B33" s="423">
        <v>0</v>
      </c>
      <c r="C33" s="331">
        <v>0</v>
      </c>
      <c r="D33" s="383">
        <f t="shared" si="9"/>
        <v>0</v>
      </c>
      <c r="E33" s="427" t="s">
        <v>1182</v>
      </c>
      <c r="F33" s="144">
        <v>0</v>
      </c>
      <c r="G33" s="220">
        <v>0</v>
      </c>
      <c r="H33" s="429">
        <f t="shared" si="1"/>
        <v>0</v>
      </c>
    </row>
    <row r="34" spans="1:8" ht="14.95" customHeight="1" thickBot="1" x14ac:dyDescent="0.3">
      <c r="A34" s="420" t="s">
        <v>1183</v>
      </c>
      <c r="B34" s="423">
        <v>4</v>
      </c>
      <c r="C34" s="331">
        <v>2</v>
      </c>
      <c r="D34" s="383">
        <f t="shared" si="9"/>
        <v>6</v>
      </c>
      <c r="E34" s="427" t="s">
        <v>1183</v>
      </c>
      <c r="F34" s="144">
        <v>20</v>
      </c>
      <c r="G34" s="220">
        <v>10</v>
      </c>
      <c r="H34" s="429">
        <f t="shared" si="1"/>
        <v>30</v>
      </c>
    </row>
    <row r="35" spans="1:8" ht="14.95" customHeight="1" thickBot="1" x14ac:dyDescent="0.3">
      <c r="A35" s="420" t="s">
        <v>866</v>
      </c>
      <c r="B35" s="423">
        <v>1</v>
      </c>
      <c r="C35" s="331">
        <v>0</v>
      </c>
      <c r="D35" s="383">
        <f t="shared" si="9"/>
        <v>1</v>
      </c>
      <c r="E35" s="427" t="s">
        <v>866</v>
      </c>
      <c r="F35" s="144">
        <v>5</v>
      </c>
      <c r="G35" s="220">
        <v>0</v>
      </c>
      <c r="H35" s="429">
        <f t="shared" si="1"/>
        <v>5</v>
      </c>
    </row>
    <row r="36" spans="1:8" ht="14.95" customHeight="1" thickBot="1" x14ac:dyDescent="0.3">
      <c r="A36" s="420" t="s">
        <v>3</v>
      </c>
      <c r="B36" s="423">
        <f>SUM(B3:B35)</f>
        <v>47</v>
      </c>
      <c r="C36" s="331">
        <f>SUM(C3:C35)</f>
        <v>18</v>
      </c>
      <c r="D36" s="383">
        <f t="shared" si="9"/>
        <v>65</v>
      </c>
      <c r="E36" s="427" t="s">
        <v>3</v>
      </c>
      <c r="F36" s="144">
        <f>SUM(F3:F35)</f>
        <v>332</v>
      </c>
      <c r="G36" s="220">
        <f>SUM(G3:G35)</f>
        <v>122</v>
      </c>
      <c r="H36" s="429">
        <f>SUM(F36:G36)</f>
        <v>454</v>
      </c>
    </row>
    <row r="38" spans="1:8" ht="14.95" customHeight="1" x14ac:dyDescent="0.25">
      <c r="A38" t="s">
        <v>14</v>
      </c>
    </row>
    <row r="39" spans="1:8" ht="14.95" customHeight="1" x14ac:dyDescent="0.25">
      <c r="A39" s="488" t="s">
        <v>42</v>
      </c>
      <c r="B39" s="480"/>
      <c r="C39" s="480"/>
      <c r="D39" s="480"/>
      <c r="E39" s="480"/>
      <c r="F39" s="480"/>
      <c r="G39" s="480"/>
      <c r="H39" s="480"/>
    </row>
  </sheetData>
  <mergeCells count="8">
    <mergeCell ref="P1:Q2"/>
    <mergeCell ref="I6:I7"/>
    <mergeCell ref="J6:L7"/>
    <mergeCell ref="A39:H39"/>
    <mergeCell ref="A1:H1"/>
    <mergeCell ref="I1:I2"/>
    <mergeCell ref="J1:L2"/>
    <mergeCell ref="M1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BF3F-A604-4F43-939D-EA204A4B8BCE}">
  <dimension ref="A1:Q45"/>
  <sheetViews>
    <sheetView workbookViewId="0">
      <selection activeCell="R17" sqref="R17"/>
    </sheetView>
  </sheetViews>
  <sheetFormatPr defaultRowHeight="14.95" customHeight="1" x14ac:dyDescent="0.25"/>
  <cols>
    <col min="1" max="1" width="12.625" customWidth="1"/>
    <col min="2" max="4" width="3.75" customWidth="1"/>
    <col min="5" max="5" width="12.625" customWidth="1"/>
    <col min="6" max="8" width="3.75" customWidth="1"/>
    <col min="9" max="9" width="14.625" customWidth="1"/>
    <col min="10" max="17" width="5.625" customWidth="1"/>
  </cols>
  <sheetData>
    <row r="1" spans="1:17" ht="14.95" customHeight="1" thickBot="1" x14ac:dyDescent="0.3">
      <c r="A1" s="568" t="s">
        <v>1188</v>
      </c>
      <c r="B1" s="569"/>
      <c r="C1" s="569"/>
      <c r="D1" s="569"/>
      <c r="E1" s="569"/>
      <c r="F1" s="569"/>
      <c r="G1" s="569"/>
      <c r="H1" s="570"/>
      <c r="I1" s="465" t="s">
        <v>1021</v>
      </c>
      <c r="J1" s="453" t="s">
        <v>16</v>
      </c>
      <c r="K1" s="467"/>
      <c r="L1" s="454"/>
      <c r="M1" s="453" t="s">
        <v>48</v>
      </c>
      <c r="N1" s="467"/>
      <c r="O1" s="454"/>
      <c r="P1" s="453" t="s">
        <v>224</v>
      </c>
      <c r="Q1" s="454"/>
    </row>
    <row r="2" spans="1:17" ht="14.95" customHeight="1" thickBot="1" x14ac:dyDescent="0.3">
      <c r="A2" s="434" t="s">
        <v>0</v>
      </c>
      <c r="B2" s="438" t="s">
        <v>1020</v>
      </c>
      <c r="C2" s="430" t="s">
        <v>383</v>
      </c>
      <c r="D2" s="431" t="s">
        <v>1</v>
      </c>
      <c r="E2" s="167" t="s">
        <v>2</v>
      </c>
      <c r="F2" s="170" t="s">
        <v>1020</v>
      </c>
      <c r="G2" s="219" t="s">
        <v>383</v>
      </c>
      <c r="H2" s="428" t="s">
        <v>1</v>
      </c>
      <c r="I2" s="466"/>
      <c r="J2" s="455"/>
      <c r="K2" s="468"/>
      <c r="L2" s="456"/>
      <c r="M2" s="455"/>
      <c r="N2" s="468"/>
      <c r="O2" s="456"/>
      <c r="P2" s="455"/>
      <c r="Q2" s="456"/>
    </row>
    <row r="3" spans="1:17" ht="14.95" customHeight="1" thickBot="1" x14ac:dyDescent="0.3">
      <c r="A3" s="435" t="s">
        <v>1189</v>
      </c>
      <c r="B3" s="437">
        <v>2</v>
      </c>
      <c r="C3" s="432">
        <v>0</v>
      </c>
      <c r="D3" s="433">
        <f t="shared" ref="D3:D21" si="0">SUM(B3:C3)</f>
        <v>2</v>
      </c>
      <c r="E3" s="168" t="s">
        <v>1189</v>
      </c>
      <c r="F3" s="171">
        <v>68</v>
      </c>
      <c r="G3" s="220">
        <v>20</v>
      </c>
      <c r="H3" s="429">
        <f t="shared" ref="H3:H41" si="1">SUM(F3:G3)</f>
        <v>88</v>
      </c>
      <c r="I3" s="221" t="s">
        <v>25</v>
      </c>
      <c r="J3" s="3" t="s">
        <v>55</v>
      </c>
      <c r="K3" s="3" t="s">
        <v>11</v>
      </c>
      <c r="L3" s="3" t="s">
        <v>12</v>
      </c>
      <c r="M3" s="164" t="s">
        <v>55</v>
      </c>
      <c r="N3" s="3" t="s">
        <v>11</v>
      </c>
      <c r="O3" s="3" t="s">
        <v>12</v>
      </c>
      <c r="P3" s="3" t="s">
        <v>1020</v>
      </c>
      <c r="Q3" s="3" t="s">
        <v>67</v>
      </c>
    </row>
    <row r="4" spans="1:17" ht="14.95" customHeight="1" thickBot="1" x14ac:dyDescent="0.3">
      <c r="A4" s="435" t="s">
        <v>1190</v>
      </c>
      <c r="B4" s="437">
        <v>0</v>
      </c>
      <c r="C4" s="432">
        <v>2</v>
      </c>
      <c r="D4" s="433">
        <f t="shared" si="0"/>
        <v>2</v>
      </c>
      <c r="E4" s="168" t="s">
        <v>1190</v>
      </c>
      <c r="F4" s="171">
        <v>10</v>
      </c>
      <c r="G4" s="220">
        <v>12</v>
      </c>
      <c r="H4" s="429">
        <f t="shared" si="1"/>
        <v>22</v>
      </c>
      <c r="I4" s="435" t="s">
        <v>1189</v>
      </c>
      <c r="J4" s="436">
        <v>25</v>
      </c>
      <c r="K4" s="436">
        <v>37</v>
      </c>
      <c r="L4" s="437">
        <f t="shared" ref="L4" si="2">SUM(J4/K4)*100</f>
        <v>67.567567567567565</v>
      </c>
      <c r="M4" s="436" t="s">
        <v>17</v>
      </c>
      <c r="N4" s="436" t="s">
        <v>17</v>
      </c>
      <c r="O4" s="437" t="s">
        <v>17</v>
      </c>
      <c r="P4" s="436">
        <v>-1</v>
      </c>
      <c r="Q4" s="436">
        <v>-1</v>
      </c>
    </row>
    <row r="5" spans="1:17" ht="14.95" customHeight="1" thickBot="1" x14ac:dyDescent="0.3">
      <c r="A5" s="435" t="s">
        <v>178</v>
      </c>
      <c r="B5" s="437">
        <v>0</v>
      </c>
      <c r="C5" s="432">
        <v>1</v>
      </c>
      <c r="D5" s="433">
        <f t="shared" si="0"/>
        <v>1</v>
      </c>
      <c r="E5" s="168" t="s">
        <v>178</v>
      </c>
      <c r="F5" s="171">
        <v>0</v>
      </c>
      <c r="G5" s="220">
        <v>5</v>
      </c>
      <c r="H5" s="429">
        <f t="shared" si="1"/>
        <v>5</v>
      </c>
      <c r="I5" s="435" t="s">
        <v>1190</v>
      </c>
      <c r="J5" s="436">
        <v>5</v>
      </c>
      <c r="K5" s="436">
        <v>12</v>
      </c>
      <c r="L5" s="437">
        <f t="shared" ref="L5:L6" si="3">SUM(J5/K5)*100</f>
        <v>41.666666666666671</v>
      </c>
      <c r="M5" s="436">
        <v>1</v>
      </c>
      <c r="N5" s="436">
        <v>3</v>
      </c>
      <c r="O5" s="437">
        <f t="shared" ref="O5" si="4">SUM(M5/N5)*100</f>
        <v>33.333333333333329</v>
      </c>
      <c r="P5" s="436">
        <v>-1</v>
      </c>
      <c r="Q5" s="436">
        <v>-1</v>
      </c>
    </row>
    <row r="6" spans="1:17" ht="14.95" customHeight="1" thickBot="1" x14ac:dyDescent="0.3">
      <c r="A6" s="435" t="s">
        <v>1214</v>
      </c>
      <c r="B6" s="437">
        <v>0</v>
      </c>
      <c r="C6" s="432">
        <v>3</v>
      </c>
      <c r="D6" s="433">
        <f t="shared" si="0"/>
        <v>3</v>
      </c>
      <c r="E6" s="168" t="s">
        <v>1214</v>
      </c>
      <c r="F6" s="171">
        <v>0</v>
      </c>
      <c r="G6" s="220">
        <v>15</v>
      </c>
      <c r="H6" s="429">
        <f t="shared" si="1"/>
        <v>15</v>
      </c>
      <c r="I6" s="435" t="s">
        <v>1192</v>
      </c>
      <c r="J6" s="436">
        <v>11</v>
      </c>
      <c r="K6" s="436">
        <v>15</v>
      </c>
      <c r="L6" s="437">
        <f t="shared" si="3"/>
        <v>73.333333333333329</v>
      </c>
      <c r="M6" s="436">
        <v>3</v>
      </c>
      <c r="N6" s="436">
        <v>5</v>
      </c>
      <c r="O6" s="437">
        <f t="shared" ref="O6" si="5">SUM(M6/N6)*100</f>
        <v>60</v>
      </c>
      <c r="P6" s="436">
        <v>2</v>
      </c>
      <c r="Q6" s="436">
        <v>2</v>
      </c>
    </row>
    <row r="7" spans="1:17" ht="14.95" customHeight="1" thickBot="1" x14ac:dyDescent="0.3">
      <c r="A7" s="435" t="s">
        <v>1191</v>
      </c>
      <c r="B7" s="437">
        <v>1</v>
      </c>
      <c r="C7" s="432">
        <v>0</v>
      </c>
      <c r="D7" s="433">
        <f t="shared" si="0"/>
        <v>1</v>
      </c>
      <c r="E7" s="168" t="s">
        <v>1191</v>
      </c>
      <c r="F7" s="171">
        <v>5</v>
      </c>
      <c r="G7" s="220">
        <v>0</v>
      </c>
      <c r="H7" s="429">
        <f t="shared" si="1"/>
        <v>5</v>
      </c>
      <c r="I7" s="26"/>
    </row>
    <row r="8" spans="1:17" ht="14.95" customHeight="1" thickBot="1" x14ac:dyDescent="0.3">
      <c r="A8" s="435" t="s">
        <v>402</v>
      </c>
      <c r="B8" s="437">
        <v>0</v>
      </c>
      <c r="C8" s="432">
        <v>1</v>
      </c>
      <c r="D8" s="433">
        <f t="shared" ref="D8:D13" si="6">SUM(B8:C8)</f>
        <v>1</v>
      </c>
      <c r="E8" s="168" t="s">
        <v>402</v>
      </c>
      <c r="F8" s="171">
        <v>0</v>
      </c>
      <c r="G8" s="220">
        <v>5</v>
      </c>
      <c r="H8" s="429">
        <f t="shared" si="1"/>
        <v>5</v>
      </c>
      <c r="I8" s="499" t="s">
        <v>93</v>
      </c>
      <c r="J8" s="513" t="s">
        <v>16</v>
      </c>
      <c r="K8" s="514"/>
      <c r="L8" s="515"/>
    </row>
    <row r="9" spans="1:17" ht="14.95" customHeight="1" thickBot="1" x14ac:dyDescent="0.3">
      <c r="A9" s="435" t="s">
        <v>347</v>
      </c>
      <c r="B9" s="437">
        <v>0</v>
      </c>
      <c r="C9" s="432">
        <v>0</v>
      </c>
      <c r="D9" s="433">
        <f t="shared" si="6"/>
        <v>0</v>
      </c>
      <c r="E9" s="168" t="s">
        <v>347</v>
      </c>
      <c r="F9" s="171">
        <v>0</v>
      </c>
      <c r="G9" s="220">
        <v>0</v>
      </c>
      <c r="H9" s="429">
        <f t="shared" si="1"/>
        <v>0</v>
      </c>
      <c r="I9" s="500"/>
      <c r="J9" s="516"/>
      <c r="K9" s="517"/>
      <c r="L9" s="518"/>
    </row>
    <row r="10" spans="1:17" ht="14.95" customHeight="1" thickBot="1" x14ac:dyDescent="0.3">
      <c r="A10" s="435" t="s">
        <v>1192</v>
      </c>
      <c r="B10" s="437">
        <v>1</v>
      </c>
      <c r="C10" s="432">
        <v>0</v>
      </c>
      <c r="D10" s="433">
        <f t="shared" si="6"/>
        <v>1</v>
      </c>
      <c r="E10" s="168" t="s">
        <v>1192</v>
      </c>
      <c r="F10" s="171">
        <v>25</v>
      </c>
      <c r="G10" s="220">
        <v>37</v>
      </c>
      <c r="H10" s="429">
        <f t="shared" si="1"/>
        <v>62</v>
      </c>
      <c r="I10" s="224" t="s">
        <v>25</v>
      </c>
      <c r="J10" s="165" t="s">
        <v>55</v>
      </c>
      <c r="K10" s="165" t="s">
        <v>11</v>
      </c>
      <c r="L10" s="165" t="s">
        <v>12</v>
      </c>
    </row>
    <row r="11" spans="1:17" ht="14.95" customHeight="1" thickBot="1" x14ac:dyDescent="0.3">
      <c r="A11" s="435" t="s">
        <v>1193</v>
      </c>
      <c r="B11" s="437">
        <v>2</v>
      </c>
      <c r="C11" s="432">
        <v>1</v>
      </c>
      <c r="D11" s="433">
        <f t="shared" si="6"/>
        <v>3</v>
      </c>
      <c r="E11" s="168" t="s">
        <v>1193</v>
      </c>
      <c r="F11" s="171">
        <v>10</v>
      </c>
      <c r="G11" s="220">
        <v>5</v>
      </c>
      <c r="H11" s="429">
        <f t="shared" si="1"/>
        <v>15</v>
      </c>
      <c r="I11" s="435" t="s">
        <v>1189</v>
      </c>
      <c r="J11" s="436">
        <v>9</v>
      </c>
      <c r="K11" s="436">
        <v>11</v>
      </c>
      <c r="L11" s="437">
        <f t="shared" ref="L11:L12" si="7">SUM(J11/K11)*100</f>
        <v>81.818181818181827</v>
      </c>
    </row>
    <row r="12" spans="1:17" ht="14.95" customHeight="1" thickBot="1" x14ac:dyDescent="0.3">
      <c r="A12" s="435" t="s">
        <v>262</v>
      </c>
      <c r="B12" s="437">
        <v>0</v>
      </c>
      <c r="C12" s="432">
        <v>0</v>
      </c>
      <c r="D12" s="433">
        <f t="shared" si="6"/>
        <v>0</v>
      </c>
      <c r="E12" s="168" t="s">
        <v>262</v>
      </c>
      <c r="F12" s="171">
        <v>0</v>
      </c>
      <c r="G12" s="220">
        <v>0</v>
      </c>
      <c r="H12" s="429">
        <f t="shared" si="1"/>
        <v>0</v>
      </c>
      <c r="I12" s="435" t="s">
        <v>1190</v>
      </c>
      <c r="J12" s="436">
        <v>1</v>
      </c>
      <c r="K12" s="436">
        <v>4</v>
      </c>
      <c r="L12" s="437">
        <f t="shared" si="7"/>
        <v>25</v>
      </c>
    </row>
    <row r="13" spans="1:17" ht="14.95" customHeight="1" thickBot="1" x14ac:dyDescent="0.3">
      <c r="A13" s="435" t="s">
        <v>1065</v>
      </c>
      <c r="B13" s="437">
        <v>1</v>
      </c>
      <c r="C13" s="432">
        <v>0</v>
      </c>
      <c r="D13" s="433">
        <f t="shared" si="6"/>
        <v>1</v>
      </c>
      <c r="E13" s="168" t="s">
        <v>1065</v>
      </c>
      <c r="F13" s="171">
        <v>5</v>
      </c>
      <c r="G13" s="220">
        <v>0</v>
      </c>
      <c r="H13" s="429">
        <f t="shared" si="1"/>
        <v>5</v>
      </c>
      <c r="I13" s="435" t="s">
        <v>1192</v>
      </c>
      <c r="J13" s="436">
        <v>16</v>
      </c>
      <c r="K13" s="436">
        <v>21</v>
      </c>
      <c r="L13" s="437">
        <f t="shared" ref="L13" si="8">SUM(J13/K13)*100</f>
        <v>76.19047619047619</v>
      </c>
    </row>
    <row r="14" spans="1:17" ht="14.95" customHeight="1" thickBot="1" x14ac:dyDescent="0.3">
      <c r="A14" s="435" t="s">
        <v>23</v>
      </c>
      <c r="B14" s="437">
        <v>0</v>
      </c>
      <c r="C14" s="432">
        <v>0</v>
      </c>
      <c r="D14" s="433">
        <f t="shared" si="0"/>
        <v>0</v>
      </c>
      <c r="E14" s="168" t="s">
        <v>23</v>
      </c>
      <c r="F14" s="171">
        <v>0</v>
      </c>
      <c r="G14" s="220">
        <v>0</v>
      </c>
      <c r="H14" s="429">
        <f t="shared" si="1"/>
        <v>0</v>
      </c>
      <c r="I14" s="204" t="s">
        <v>25</v>
      </c>
    </row>
    <row r="15" spans="1:17" ht="14.95" customHeight="1" thickBot="1" x14ac:dyDescent="0.3">
      <c r="A15" s="435" t="s">
        <v>1194</v>
      </c>
      <c r="B15" s="437">
        <v>2</v>
      </c>
      <c r="C15" s="432">
        <v>2</v>
      </c>
      <c r="D15" s="433">
        <f t="shared" si="0"/>
        <v>4</v>
      </c>
      <c r="E15" s="168" t="s">
        <v>1194</v>
      </c>
      <c r="F15" s="171">
        <v>10</v>
      </c>
      <c r="G15" s="220">
        <v>10</v>
      </c>
      <c r="H15" s="429">
        <f t="shared" si="1"/>
        <v>20</v>
      </c>
    </row>
    <row r="16" spans="1:17" ht="14.95" customHeight="1" thickBot="1" x14ac:dyDescent="0.3">
      <c r="A16" s="435" t="s">
        <v>1195</v>
      </c>
      <c r="B16" s="437">
        <v>0</v>
      </c>
      <c r="C16" s="432">
        <v>0</v>
      </c>
      <c r="D16" s="433">
        <f t="shared" si="0"/>
        <v>0</v>
      </c>
      <c r="E16" s="168" t="s">
        <v>1195</v>
      </c>
      <c r="F16" s="171">
        <v>0</v>
      </c>
      <c r="G16" s="220">
        <v>0</v>
      </c>
      <c r="H16" s="429">
        <f t="shared" si="1"/>
        <v>0</v>
      </c>
    </row>
    <row r="17" spans="1:8" ht="14.95" customHeight="1" thickBot="1" x14ac:dyDescent="0.3">
      <c r="A17" s="435" t="s">
        <v>767</v>
      </c>
      <c r="B17" s="437">
        <v>1</v>
      </c>
      <c r="C17" s="432">
        <v>0</v>
      </c>
      <c r="D17" s="433">
        <f t="shared" si="0"/>
        <v>1</v>
      </c>
      <c r="E17" s="168" t="s">
        <v>767</v>
      </c>
      <c r="F17" s="171">
        <v>5</v>
      </c>
      <c r="G17" s="220">
        <v>0</v>
      </c>
      <c r="H17" s="429">
        <f t="shared" si="1"/>
        <v>5</v>
      </c>
    </row>
    <row r="18" spans="1:8" ht="14.95" customHeight="1" thickBot="1" x14ac:dyDescent="0.3">
      <c r="A18" s="435" t="s">
        <v>1196</v>
      </c>
      <c r="B18" s="437">
        <v>3</v>
      </c>
      <c r="C18" s="432">
        <v>1</v>
      </c>
      <c r="D18" s="433">
        <f t="shared" si="0"/>
        <v>4</v>
      </c>
      <c r="E18" s="169" t="s">
        <v>1196</v>
      </c>
      <c r="F18" s="171">
        <v>15</v>
      </c>
      <c r="G18" s="220">
        <v>5</v>
      </c>
      <c r="H18" s="429">
        <f t="shared" si="1"/>
        <v>20</v>
      </c>
    </row>
    <row r="19" spans="1:8" ht="14.95" customHeight="1" thickBot="1" x14ac:dyDescent="0.3">
      <c r="A19" s="435" t="s">
        <v>1213</v>
      </c>
      <c r="B19" s="437">
        <v>0</v>
      </c>
      <c r="C19" s="432">
        <v>1</v>
      </c>
      <c r="D19" s="433">
        <f t="shared" si="0"/>
        <v>1</v>
      </c>
      <c r="E19" s="169" t="s">
        <v>1213</v>
      </c>
      <c r="F19" s="171">
        <v>0</v>
      </c>
      <c r="G19" s="220">
        <v>5</v>
      </c>
      <c r="H19" s="429">
        <f t="shared" si="1"/>
        <v>5</v>
      </c>
    </row>
    <row r="20" spans="1:8" ht="14.95" customHeight="1" thickBot="1" x14ac:dyDescent="0.3">
      <c r="A20" s="435" t="s">
        <v>1197</v>
      </c>
      <c r="B20" s="437">
        <v>0</v>
      </c>
      <c r="C20" s="432">
        <v>0</v>
      </c>
      <c r="D20" s="433">
        <f t="shared" si="0"/>
        <v>0</v>
      </c>
      <c r="E20" s="169" t="s">
        <v>1197</v>
      </c>
      <c r="F20" s="171">
        <v>0</v>
      </c>
      <c r="G20" s="220">
        <v>0</v>
      </c>
      <c r="H20" s="429">
        <f t="shared" si="1"/>
        <v>0</v>
      </c>
    </row>
    <row r="21" spans="1:8" ht="14.95" customHeight="1" thickBot="1" x14ac:dyDescent="0.3">
      <c r="A21" s="435" t="s">
        <v>81</v>
      </c>
      <c r="B21" s="437">
        <v>0</v>
      </c>
      <c r="C21" s="432">
        <v>0</v>
      </c>
      <c r="D21" s="433">
        <f t="shared" si="0"/>
        <v>0</v>
      </c>
      <c r="E21" s="169" t="s">
        <v>81</v>
      </c>
      <c r="F21" s="171">
        <v>0</v>
      </c>
      <c r="G21" s="220">
        <v>0</v>
      </c>
      <c r="H21" s="429">
        <f t="shared" si="1"/>
        <v>0</v>
      </c>
    </row>
    <row r="22" spans="1:8" ht="14.95" customHeight="1" thickBot="1" x14ac:dyDescent="0.3">
      <c r="A22" s="435" t="s">
        <v>1198</v>
      </c>
      <c r="B22" s="437">
        <v>0</v>
      </c>
      <c r="C22" s="432">
        <v>0</v>
      </c>
      <c r="D22" s="433">
        <f t="shared" ref="D22:D25" si="9">SUM(B22:C22)</f>
        <v>0</v>
      </c>
      <c r="E22" s="169" t="s">
        <v>1198</v>
      </c>
      <c r="F22" s="171">
        <v>0</v>
      </c>
      <c r="G22" s="220">
        <v>0</v>
      </c>
      <c r="H22" s="429">
        <f t="shared" si="1"/>
        <v>0</v>
      </c>
    </row>
    <row r="23" spans="1:8" ht="14.95" customHeight="1" thickBot="1" x14ac:dyDescent="0.3">
      <c r="A23" s="435" t="s">
        <v>1199</v>
      </c>
      <c r="B23" s="437">
        <v>2</v>
      </c>
      <c r="C23" s="432">
        <v>0</v>
      </c>
      <c r="D23" s="433">
        <f t="shared" si="9"/>
        <v>2</v>
      </c>
      <c r="E23" s="169" t="s">
        <v>1199</v>
      </c>
      <c r="F23" s="171">
        <v>10</v>
      </c>
      <c r="G23" s="220">
        <v>0</v>
      </c>
      <c r="H23" s="429">
        <f t="shared" si="1"/>
        <v>10</v>
      </c>
    </row>
    <row r="24" spans="1:8" ht="14.95" customHeight="1" thickBot="1" x14ac:dyDescent="0.3">
      <c r="A24" s="435" t="s">
        <v>1200</v>
      </c>
      <c r="B24" s="437">
        <v>13</v>
      </c>
      <c r="C24" s="432">
        <v>3</v>
      </c>
      <c r="D24" s="433">
        <f t="shared" si="9"/>
        <v>16</v>
      </c>
      <c r="E24" s="169" t="s">
        <v>1200</v>
      </c>
      <c r="F24" s="171">
        <v>65</v>
      </c>
      <c r="G24" s="220">
        <v>15</v>
      </c>
      <c r="H24" s="429">
        <f t="shared" si="1"/>
        <v>80</v>
      </c>
    </row>
    <row r="25" spans="1:8" ht="14.95" customHeight="1" thickBot="1" x14ac:dyDescent="0.3">
      <c r="A25" s="435" t="s">
        <v>987</v>
      </c>
      <c r="B25" s="437">
        <v>0</v>
      </c>
      <c r="C25" s="432">
        <v>0</v>
      </c>
      <c r="D25" s="433">
        <f t="shared" si="9"/>
        <v>0</v>
      </c>
      <c r="E25" s="169" t="s">
        <v>987</v>
      </c>
      <c r="F25" s="171">
        <v>0</v>
      </c>
      <c r="G25" s="220">
        <v>0</v>
      </c>
      <c r="H25" s="429">
        <f t="shared" si="1"/>
        <v>0</v>
      </c>
    </row>
    <row r="26" spans="1:8" ht="14.95" customHeight="1" thickBot="1" x14ac:dyDescent="0.3">
      <c r="A26" s="435" t="s">
        <v>4</v>
      </c>
      <c r="B26" s="437">
        <v>0</v>
      </c>
      <c r="C26" s="432">
        <v>0</v>
      </c>
      <c r="D26" s="433">
        <f t="shared" ref="D26:D42" si="10">SUM(B26:C26)</f>
        <v>0</v>
      </c>
      <c r="E26" s="169" t="s">
        <v>4</v>
      </c>
      <c r="F26" s="171">
        <v>0</v>
      </c>
      <c r="G26" s="220">
        <v>0</v>
      </c>
      <c r="H26" s="429">
        <f t="shared" si="1"/>
        <v>0</v>
      </c>
    </row>
    <row r="27" spans="1:8" ht="14.95" customHeight="1" thickBot="1" x14ac:dyDescent="0.3">
      <c r="A27" s="435" t="s">
        <v>1212</v>
      </c>
      <c r="B27" s="437">
        <v>0</v>
      </c>
      <c r="C27" s="432">
        <v>0</v>
      </c>
      <c r="D27" s="433">
        <f t="shared" si="10"/>
        <v>0</v>
      </c>
      <c r="E27" s="169" t="s">
        <v>1212</v>
      </c>
      <c r="F27" s="171">
        <v>0</v>
      </c>
      <c r="G27" s="220">
        <v>0</v>
      </c>
      <c r="H27" s="429">
        <f t="shared" si="1"/>
        <v>0</v>
      </c>
    </row>
    <row r="28" spans="1:8" ht="14.95" customHeight="1" thickBot="1" x14ac:dyDescent="0.3">
      <c r="A28" s="435" t="s">
        <v>1201</v>
      </c>
      <c r="B28" s="437">
        <v>2</v>
      </c>
      <c r="C28" s="432">
        <v>1</v>
      </c>
      <c r="D28" s="433">
        <f t="shared" si="10"/>
        <v>3</v>
      </c>
      <c r="E28" s="169" t="s">
        <v>1201</v>
      </c>
      <c r="F28" s="171">
        <v>10</v>
      </c>
      <c r="G28" s="220">
        <v>5</v>
      </c>
      <c r="H28" s="429">
        <f t="shared" si="1"/>
        <v>15</v>
      </c>
    </row>
    <row r="29" spans="1:8" ht="14.95" customHeight="1" thickBot="1" x14ac:dyDescent="0.3">
      <c r="A29" s="435" t="s">
        <v>1202</v>
      </c>
      <c r="B29" s="437">
        <v>1</v>
      </c>
      <c r="C29" s="432">
        <v>4</v>
      </c>
      <c r="D29" s="433">
        <f t="shared" si="10"/>
        <v>5</v>
      </c>
      <c r="E29" s="169" t="s">
        <v>1202</v>
      </c>
      <c r="F29" s="171">
        <v>5</v>
      </c>
      <c r="G29" s="220">
        <v>20</v>
      </c>
      <c r="H29" s="429">
        <f t="shared" si="1"/>
        <v>25</v>
      </c>
    </row>
    <row r="30" spans="1:8" ht="14.95" customHeight="1" thickBot="1" x14ac:dyDescent="0.3">
      <c r="A30" s="435" t="s">
        <v>1203</v>
      </c>
      <c r="B30" s="437">
        <v>0</v>
      </c>
      <c r="C30" s="432">
        <v>1</v>
      </c>
      <c r="D30" s="433">
        <f t="shared" si="10"/>
        <v>1</v>
      </c>
      <c r="E30" s="169" t="s">
        <v>1203</v>
      </c>
      <c r="F30" s="171">
        <v>0</v>
      </c>
      <c r="G30" s="220">
        <v>5</v>
      </c>
      <c r="H30" s="429">
        <f t="shared" si="1"/>
        <v>5</v>
      </c>
    </row>
    <row r="31" spans="1:8" ht="14.95" customHeight="1" thickBot="1" x14ac:dyDescent="0.3">
      <c r="A31" s="435" t="s">
        <v>26</v>
      </c>
      <c r="B31" s="437">
        <v>3</v>
      </c>
      <c r="C31" s="432">
        <v>0</v>
      </c>
      <c r="D31" s="433">
        <f t="shared" si="10"/>
        <v>3</v>
      </c>
      <c r="E31" s="169" t="s">
        <v>26</v>
      </c>
      <c r="F31" s="171">
        <v>15</v>
      </c>
      <c r="G31" s="220">
        <v>0</v>
      </c>
      <c r="H31" s="429">
        <f t="shared" si="1"/>
        <v>15</v>
      </c>
    </row>
    <row r="32" spans="1:8" ht="14.95" customHeight="1" thickBot="1" x14ac:dyDescent="0.3">
      <c r="A32" s="435" t="s">
        <v>1204</v>
      </c>
      <c r="B32" s="437">
        <v>4</v>
      </c>
      <c r="C32" s="432">
        <v>1</v>
      </c>
      <c r="D32" s="433">
        <f t="shared" si="10"/>
        <v>5</v>
      </c>
      <c r="E32" s="169" t="s">
        <v>1204</v>
      </c>
      <c r="F32" s="171">
        <v>20</v>
      </c>
      <c r="G32" s="220">
        <v>5</v>
      </c>
      <c r="H32" s="429">
        <f t="shared" si="1"/>
        <v>25</v>
      </c>
    </row>
    <row r="33" spans="1:8" ht="14.95" customHeight="1" thickBot="1" x14ac:dyDescent="0.3">
      <c r="A33" s="435" t="s">
        <v>1205</v>
      </c>
      <c r="B33" s="437">
        <v>2</v>
      </c>
      <c r="C33" s="432">
        <v>0</v>
      </c>
      <c r="D33" s="433">
        <f t="shared" si="10"/>
        <v>2</v>
      </c>
      <c r="E33" s="169" t="s">
        <v>1205</v>
      </c>
      <c r="F33" s="171">
        <v>10</v>
      </c>
      <c r="G33" s="220">
        <v>0</v>
      </c>
      <c r="H33" s="429">
        <f t="shared" si="1"/>
        <v>10</v>
      </c>
    </row>
    <row r="34" spans="1:8" ht="14.95" customHeight="1" thickBot="1" x14ac:dyDescent="0.3">
      <c r="A34" s="435" t="s">
        <v>1206</v>
      </c>
      <c r="B34" s="437">
        <v>0</v>
      </c>
      <c r="C34" s="432">
        <v>0</v>
      </c>
      <c r="D34" s="433">
        <f t="shared" si="10"/>
        <v>0</v>
      </c>
      <c r="E34" s="169" t="s">
        <v>1206</v>
      </c>
      <c r="F34" s="171">
        <v>0</v>
      </c>
      <c r="G34" s="220">
        <v>0</v>
      </c>
      <c r="H34" s="429">
        <f t="shared" si="1"/>
        <v>0</v>
      </c>
    </row>
    <row r="35" spans="1:8" ht="14.95" customHeight="1" thickBot="1" x14ac:dyDescent="0.3">
      <c r="A35" s="435" t="s">
        <v>1207</v>
      </c>
      <c r="B35" s="437">
        <v>0</v>
      </c>
      <c r="C35" s="432">
        <v>0</v>
      </c>
      <c r="D35" s="433">
        <f t="shared" si="10"/>
        <v>0</v>
      </c>
      <c r="E35" s="169" t="s">
        <v>1207</v>
      </c>
      <c r="F35" s="171">
        <v>0</v>
      </c>
      <c r="G35" s="220">
        <v>0</v>
      </c>
      <c r="H35" s="429">
        <f t="shared" si="1"/>
        <v>0</v>
      </c>
    </row>
    <row r="36" spans="1:8" ht="14.95" customHeight="1" thickBot="1" x14ac:dyDescent="0.3">
      <c r="A36" s="435" t="s">
        <v>1208</v>
      </c>
      <c r="B36" s="437">
        <v>0</v>
      </c>
      <c r="C36" s="432">
        <v>0</v>
      </c>
      <c r="D36" s="433">
        <f t="shared" ref="D36:D40" si="11">SUM(B36:C36)</f>
        <v>0</v>
      </c>
      <c r="E36" s="169" t="s">
        <v>1208</v>
      </c>
      <c r="F36" s="171">
        <v>0</v>
      </c>
      <c r="G36" s="220">
        <v>0</v>
      </c>
      <c r="H36" s="429">
        <f t="shared" si="1"/>
        <v>0</v>
      </c>
    </row>
    <row r="37" spans="1:8" ht="14.95" customHeight="1" thickBot="1" x14ac:dyDescent="0.3">
      <c r="A37" s="435" t="s">
        <v>725</v>
      </c>
      <c r="B37" s="437">
        <v>0</v>
      </c>
      <c r="C37" s="432">
        <v>0</v>
      </c>
      <c r="D37" s="433">
        <f t="shared" si="11"/>
        <v>0</v>
      </c>
      <c r="E37" s="169" t="s">
        <v>725</v>
      </c>
      <c r="F37" s="171">
        <v>0</v>
      </c>
      <c r="G37" s="220">
        <v>0</v>
      </c>
      <c r="H37" s="429">
        <f t="shared" si="1"/>
        <v>0</v>
      </c>
    </row>
    <row r="38" spans="1:8" ht="14.95" customHeight="1" thickBot="1" x14ac:dyDescent="0.3">
      <c r="A38" s="435" t="s">
        <v>1209</v>
      </c>
      <c r="B38" s="437">
        <v>0</v>
      </c>
      <c r="C38" s="432">
        <v>0</v>
      </c>
      <c r="D38" s="433">
        <f t="shared" si="11"/>
        <v>0</v>
      </c>
      <c r="E38" s="169" t="s">
        <v>1209</v>
      </c>
      <c r="F38" s="171">
        <v>0</v>
      </c>
      <c r="G38" s="220">
        <v>0</v>
      </c>
      <c r="H38" s="429">
        <f t="shared" si="1"/>
        <v>0</v>
      </c>
    </row>
    <row r="39" spans="1:8" ht="14.95" customHeight="1" thickBot="1" x14ac:dyDescent="0.3">
      <c r="A39" s="435" t="s">
        <v>1210</v>
      </c>
      <c r="B39" s="437">
        <v>1</v>
      </c>
      <c r="C39" s="432">
        <v>3</v>
      </c>
      <c r="D39" s="433">
        <f t="shared" si="11"/>
        <v>4</v>
      </c>
      <c r="E39" s="169" t="s">
        <v>1210</v>
      </c>
      <c r="F39" s="171">
        <v>5</v>
      </c>
      <c r="G39" s="220">
        <v>15</v>
      </c>
      <c r="H39" s="429">
        <f t="shared" si="1"/>
        <v>20</v>
      </c>
    </row>
    <row r="40" spans="1:8" ht="14.95" customHeight="1" thickBot="1" x14ac:dyDescent="0.3">
      <c r="A40" s="435" t="s">
        <v>1211</v>
      </c>
      <c r="B40" s="437">
        <v>0</v>
      </c>
      <c r="C40" s="432">
        <v>1</v>
      </c>
      <c r="D40" s="433">
        <f t="shared" si="11"/>
        <v>1</v>
      </c>
      <c r="E40" s="169" t="s">
        <v>1211</v>
      </c>
      <c r="F40" s="171">
        <v>0</v>
      </c>
      <c r="G40" s="220">
        <v>5</v>
      </c>
      <c r="H40" s="429">
        <f t="shared" si="1"/>
        <v>5</v>
      </c>
    </row>
    <row r="41" spans="1:8" ht="14.95" customHeight="1" thickBot="1" x14ac:dyDescent="0.3">
      <c r="A41" s="435" t="s">
        <v>1290</v>
      </c>
      <c r="B41" s="437">
        <v>0</v>
      </c>
      <c r="C41" s="432">
        <v>1</v>
      </c>
      <c r="D41" s="433">
        <f t="shared" si="10"/>
        <v>1</v>
      </c>
      <c r="E41" s="169" t="s">
        <v>1290</v>
      </c>
      <c r="F41" s="171">
        <v>0</v>
      </c>
      <c r="G41" s="220">
        <v>5</v>
      </c>
      <c r="H41" s="429">
        <f t="shared" si="1"/>
        <v>5</v>
      </c>
    </row>
    <row r="42" spans="1:8" ht="14.95" customHeight="1" thickBot="1" x14ac:dyDescent="0.3">
      <c r="A42" s="435" t="s">
        <v>3</v>
      </c>
      <c r="B42" s="436">
        <f>SUM(B3:B41)</f>
        <v>41</v>
      </c>
      <c r="C42" s="432">
        <f>SUM(C3:C41)</f>
        <v>27</v>
      </c>
      <c r="D42" s="433">
        <f t="shared" si="10"/>
        <v>68</v>
      </c>
      <c r="E42" s="169" t="s">
        <v>3</v>
      </c>
      <c r="F42" s="171">
        <f>SUM(F3:F41)</f>
        <v>293</v>
      </c>
      <c r="G42" s="220">
        <f>SUM(G3:G41)</f>
        <v>194</v>
      </c>
      <c r="H42" s="429">
        <f>SUM(F42:G42)</f>
        <v>487</v>
      </c>
    </row>
    <row r="44" spans="1:8" ht="14.95" customHeight="1" thickBot="1" x14ac:dyDescent="0.3">
      <c r="A44" t="s">
        <v>14</v>
      </c>
    </row>
    <row r="45" spans="1:8" ht="14.95" customHeight="1" x14ac:dyDescent="0.25">
      <c r="A45" s="489" t="s">
        <v>42</v>
      </c>
      <c r="B45" s="490"/>
      <c r="C45" s="490"/>
      <c r="D45" s="490"/>
      <c r="E45" s="490"/>
      <c r="F45" s="490"/>
      <c r="G45" s="490"/>
      <c r="H45" s="490"/>
    </row>
  </sheetData>
  <mergeCells count="8">
    <mergeCell ref="M1:O2"/>
    <mergeCell ref="P1:Q2"/>
    <mergeCell ref="I8:I9"/>
    <mergeCell ref="J8:L9"/>
    <mergeCell ref="A45:H45"/>
    <mergeCell ref="A1:H1"/>
    <mergeCell ref="I1:I2"/>
    <mergeCell ref="J1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A9B-A25C-48BE-B9F0-C3393476D458}">
  <dimension ref="A1:S58"/>
  <sheetViews>
    <sheetView workbookViewId="0">
      <selection activeCell="T12" sqref="T12"/>
    </sheetView>
  </sheetViews>
  <sheetFormatPr defaultRowHeight="14.3" x14ac:dyDescent="0.25"/>
  <cols>
    <col min="1" max="1" width="16.375" customWidth="1"/>
    <col min="2" max="4" width="3.625" customWidth="1"/>
    <col min="5" max="5" width="16.375" customWidth="1"/>
    <col min="6" max="8" width="3.625" customWidth="1"/>
    <col min="9" max="9" width="16.375" customWidth="1"/>
    <col min="10" max="23" width="5.625" customWidth="1"/>
  </cols>
  <sheetData>
    <row r="1" spans="1:19" ht="14.95" customHeight="1" thickBot="1" x14ac:dyDescent="0.3">
      <c r="A1" s="540" t="s">
        <v>1019</v>
      </c>
      <c r="B1" s="541"/>
      <c r="C1" s="541"/>
      <c r="D1" s="541"/>
      <c r="E1" s="541"/>
      <c r="F1" s="541"/>
      <c r="G1" s="541"/>
      <c r="H1" s="542"/>
      <c r="I1" s="465" t="s">
        <v>1021</v>
      </c>
      <c r="J1" s="453" t="s">
        <v>16</v>
      </c>
      <c r="K1" s="467"/>
      <c r="L1" s="454"/>
      <c r="M1" s="453" t="s">
        <v>48</v>
      </c>
      <c r="N1" s="467"/>
      <c r="O1" s="454"/>
      <c r="P1" s="453" t="s">
        <v>224</v>
      </c>
      <c r="Q1" s="454"/>
      <c r="R1" s="197"/>
      <c r="S1" s="95"/>
    </row>
    <row r="2" spans="1:19" ht="14.95" customHeight="1" thickBot="1" x14ac:dyDescent="0.3">
      <c r="A2" s="385" t="s">
        <v>0</v>
      </c>
      <c r="B2" s="389" t="s">
        <v>1020</v>
      </c>
      <c r="C2" s="411" t="s">
        <v>383</v>
      </c>
      <c r="D2" s="386" t="s">
        <v>1</v>
      </c>
      <c r="E2" s="167" t="s">
        <v>2</v>
      </c>
      <c r="F2" s="143" t="s">
        <v>1020</v>
      </c>
      <c r="G2" s="219" t="s">
        <v>383</v>
      </c>
      <c r="H2" s="170" t="s">
        <v>1</v>
      </c>
      <c r="I2" s="466"/>
      <c r="J2" s="455"/>
      <c r="K2" s="468"/>
      <c r="L2" s="456"/>
      <c r="M2" s="455"/>
      <c r="N2" s="468"/>
      <c r="O2" s="456"/>
      <c r="P2" s="455"/>
      <c r="Q2" s="456"/>
      <c r="R2" s="94"/>
      <c r="S2" s="95"/>
    </row>
    <row r="3" spans="1:19" ht="14.95" customHeight="1" thickBot="1" x14ac:dyDescent="0.3">
      <c r="A3" s="387" t="s">
        <v>1022</v>
      </c>
      <c r="B3" s="390">
        <v>0</v>
      </c>
      <c r="C3" s="412">
        <v>0</v>
      </c>
      <c r="D3" s="388">
        <f t="shared" ref="D3:D34" si="0">SUM(B3:C3)</f>
        <v>0</v>
      </c>
      <c r="E3" s="168" t="s">
        <v>1022</v>
      </c>
      <c r="F3" s="144">
        <v>0</v>
      </c>
      <c r="G3" s="220">
        <v>0</v>
      </c>
      <c r="H3" s="171">
        <f t="shared" ref="H3:H50" si="1">SUM(F3:G3)</f>
        <v>0</v>
      </c>
      <c r="I3" s="221" t="s">
        <v>25</v>
      </c>
      <c r="J3" s="3" t="s">
        <v>55</v>
      </c>
      <c r="K3" s="3" t="s">
        <v>11</v>
      </c>
      <c r="L3" s="3" t="s">
        <v>12</v>
      </c>
      <c r="M3" s="164" t="s">
        <v>55</v>
      </c>
      <c r="N3" s="3" t="s">
        <v>11</v>
      </c>
      <c r="O3" s="3" t="s">
        <v>12</v>
      </c>
      <c r="P3" s="3" t="s">
        <v>1020</v>
      </c>
      <c r="Q3" s="3" t="s">
        <v>67</v>
      </c>
      <c r="R3" s="94"/>
      <c r="S3" s="95"/>
    </row>
    <row r="4" spans="1:19" ht="14.95" customHeight="1" thickBot="1" x14ac:dyDescent="0.3">
      <c r="A4" s="387" t="s">
        <v>1023</v>
      </c>
      <c r="B4" s="390">
        <v>5</v>
      </c>
      <c r="C4" s="412">
        <v>6</v>
      </c>
      <c r="D4" s="388">
        <f t="shared" si="0"/>
        <v>11</v>
      </c>
      <c r="E4" s="168" t="s">
        <v>1023</v>
      </c>
      <c r="F4" s="144">
        <v>25</v>
      </c>
      <c r="G4" s="220">
        <v>30</v>
      </c>
      <c r="H4" s="171">
        <f t="shared" si="1"/>
        <v>55</v>
      </c>
      <c r="I4" s="387" t="s">
        <v>767</v>
      </c>
      <c r="J4" s="388">
        <v>43</v>
      </c>
      <c r="K4" s="388">
        <v>58</v>
      </c>
      <c r="L4" s="393">
        <f t="shared" ref="L4" si="2">SUM(J4/K4)*100</f>
        <v>74.137931034482762</v>
      </c>
      <c r="M4" s="388" t="s">
        <v>17</v>
      </c>
      <c r="N4" s="388" t="s">
        <v>17</v>
      </c>
      <c r="O4" s="393" t="s">
        <v>17</v>
      </c>
      <c r="P4" s="388">
        <v>5</v>
      </c>
      <c r="Q4" s="388">
        <v>5</v>
      </c>
      <c r="R4" s="95"/>
      <c r="S4" s="95"/>
    </row>
    <row r="5" spans="1:19" ht="14.95" customHeight="1" thickBot="1" x14ac:dyDescent="0.3">
      <c r="A5" s="387" t="s">
        <v>1024</v>
      </c>
      <c r="B5" s="390">
        <v>0</v>
      </c>
      <c r="C5" s="412">
        <v>0</v>
      </c>
      <c r="D5" s="388">
        <f t="shared" si="0"/>
        <v>0</v>
      </c>
      <c r="E5" s="168" t="s">
        <v>1024</v>
      </c>
      <c r="F5" s="144">
        <v>0</v>
      </c>
      <c r="G5" s="220">
        <v>0</v>
      </c>
      <c r="H5" s="171">
        <f t="shared" si="1"/>
        <v>0</v>
      </c>
      <c r="I5" s="387" t="s">
        <v>593</v>
      </c>
      <c r="J5" s="388">
        <v>32</v>
      </c>
      <c r="K5" s="388">
        <v>40</v>
      </c>
      <c r="L5" s="393">
        <f t="shared" ref="L5:L7" si="3">SUM(J5/K5)*100</f>
        <v>80</v>
      </c>
      <c r="M5" s="388" t="s">
        <v>17</v>
      </c>
      <c r="N5" s="388" t="s">
        <v>17</v>
      </c>
      <c r="O5" s="393" t="s">
        <v>17</v>
      </c>
      <c r="P5" s="388">
        <v>7</v>
      </c>
      <c r="Q5" s="388">
        <v>11</v>
      </c>
      <c r="R5" s="95"/>
      <c r="S5" s="95"/>
    </row>
    <row r="6" spans="1:19" ht="14.95" customHeight="1" thickBot="1" x14ac:dyDescent="0.3">
      <c r="A6" s="387" t="s">
        <v>1025</v>
      </c>
      <c r="B6" s="390">
        <v>0</v>
      </c>
      <c r="C6" s="412">
        <v>0</v>
      </c>
      <c r="D6" s="388">
        <f t="shared" si="0"/>
        <v>0</v>
      </c>
      <c r="E6" s="168" t="s">
        <v>1025</v>
      </c>
      <c r="F6" s="144">
        <v>0</v>
      </c>
      <c r="G6" s="220">
        <v>0</v>
      </c>
      <c r="H6" s="171">
        <f t="shared" si="1"/>
        <v>0</v>
      </c>
      <c r="I6" s="387" t="s">
        <v>917</v>
      </c>
      <c r="J6" s="388" t="s">
        <v>17</v>
      </c>
      <c r="K6" s="388" t="s">
        <v>17</v>
      </c>
      <c r="L6" s="393" t="s">
        <v>17</v>
      </c>
      <c r="M6" s="388" t="s">
        <v>17</v>
      </c>
      <c r="N6" s="388" t="s">
        <v>17</v>
      </c>
      <c r="O6" s="393" t="s">
        <v>17</v>
      </c>
      <c r="P6" s="388" t="s">
        <v>22</v>
      </c>
      <c r="Q6" s="388">
        <v>1</v>
      </c>
      <c r="R6" s="95"/>
      <c r="S6" s="95"/>
    </row>
    <row r="7" spans="1:19" ht="14.95" customHeight="1" thickBot="1" x14ac:dyDescent="0.3">
      <c r="A7" s="387" t="s">
        <v>1309</v>
      </c>
      <c r="B7" s="390">
        <v>3</v>
      </c>
      <c r="C7" s="412">
        <v>0</v>
      </c>
      <c r="D7" s="388">
        <f t="shared" ref="D7" si="4">SUM(B7:C7)</f>
        <v>3</v>
      </c>
      <c r="E7" s="168" t="s">
        <v>1309</v>
      </c>
      <c r="F7" s="144">
        <v>15</v>
      </c>
      <c r="G7" s="220">
        <v>0</v>
      </c>
      <c r="H7" s="171">
        <f t="shared" ref="H7" si="5">SUM(F7:G7)</f>
        <v>15</v>
      </c>
      <c r="I7" s="387" t="s">
        <v>1056</v>
      </c>
      <c r="J7" s="388">
        <v>1</v>
      </c>
      <c r="K7" s="388">
        <v>3</v>
      </c>
      <c r="L7" s="393">
        <f t="shared" si="3"/>
        <v>33.333333333333329</v>
      </c>
      <c r="M7" s="388" t="s">
        <v>17</v>
      </c>
      <c r="N7" s="388" t="s">
        <v>17</v>
      </c>
      <c r="O7" s="393" t="s">
        <v>17</v>
      </c>
      <c r="P7" s="388">
        <v>-1</v>
      </c>
      <c r="Q7" s="388">
        <v>2</v>
      </c>
      <c r="R7" s="95"/>
      <c r="S7" s="95"/>
    </row>
    <row r="8" spans="1:19" ht="14.95" customHeight="1" thickBot="1" x14ac:dyDescent="0.3">
      <c r="A8" s="387" t="s">
        <v>1026</v>
      </c>
      <c r="B8" s="390">
        <v>0</v>
      </c>
      <c r="C8" s="412">
        <v>0</v>
      </c>
      <c r="D8" s="388">
        <f t="shared" si="0"/>
        <v>0</v>
      </c>
      <c r="E8" s="168" t="s">
        <v>1026</v>
      </c>
      <c r="F8" s="144">
        <v>0</v>
      </c>
      <c r="G8" s="220">
        <v>0</v>
      </c>
      <c r="H8" s="171">
        <f t="shared" si="1"/>
        <v>0</v>
      </c>
      <c r="I8" s="26"/>
      <c r="R8" s="95"/>
      <c r="S8" s="95"/>
    </row>
    <row r="9" spans="1:19" ht="14.95" customHeight="1" thickBot="1" x14ac:dyDescent="0.3">
      <c r="A9" s="387" t="s">
        <v>30</v>
      </c>
      <c r="B9" s="390">
        <v>0</v>
      </c>
      <c r="C9" s="412">
        <v>0</v>
      </c>
      <c r="D9" s="388">
        <f t="shared" si="0"/>
        <v>0</v>
      </c>
      <c r="E9" s="168" t="s">
        <v>30</v>
      </c>
      <c r="F9" s="144">
        <v>0</v>
      </c>
      <c r="G9" s="220">
        <v>0</v>
      </c>
      <c r="H9" s="171">
        <f t="shared" si="1"/>
        <v>0</v>
      </c>
      <c r="I9" s="499" t="s">
        <v>93</v>
      </c>
      <c r="J9" s="513" t="s">
        <v>16</v>
      </c>
      <c r="K9" s="514"/>
      <c r="L9" s="515"/>
      <c r="R9" s="95"/>
      <c r="S9" s="95"/>
    </row>
    <row r="10" spans="1:19" ht="14.95" customHeight="1" thickBot="1" x14ac:dyDescent="0.3">
      <c r="A10" s="387" t="s">
        <v>1027</v>
      </c>
      <c r="B10" s="390">
        <v>6</v>
      </c>
      <c r="C10" s="412">
        <v>4</v>
      </c>
      <c r="D10" s="388">
        <f t="shared" si="0"/>
        <v>10</v>
      </c>
      <c r="E10" s="168" t="s">
        <v>1027</v>
      </c>
      <c r="F10" s="144">
        <v>30</v>
      </c>
      <c r="G10" s="220">
        <v>20</v>
      </c>
      <c r="H10" s="171">
        <f t="shared" si="1"/>
        <v>50</v>
      </c>
      <c r="I10" s="500"/>
      <c r="J10" s="516"/>
      <c r="K10" s="517"/>
      <c r="L10" s="518"/>
    </row>
    <row r="11" spans="1:19" ht="14.95" customHeight="1" thickBot="1" x14ac:dyDescent="0.3">
      <c r="A11" s="387" t="s">
        <v>1028</v>
      </c>
      <c r="B11" s="390">
        <v>7</v>
      </c>
      <c r="C11" s="412">
        <v>3</v>
      </c>
      <c r="D11" s="388">
        <f t="shared" si="0"/>
        <v>10</v>
      </c>
      <c r="E11" s="168" t="s">
        <v>1028</v>
      </c>
      <c r="F11" s="144">
        <v>35</v>
      </c>
      <c r="G11" s="220">
        <v>15</v>
      </c>
      <c r="H11" s="171">
        <f t="shared" si="1"/>
        <v>50</v>
      </c>
      <c r="I11" s="224" t="s">
        <v>25</v>
      </c>
      <c r="J11" s="165" t="s">
        <v>55</v>
      </c>
      <c r="K11" s="165" t="s">
        <v>11</v>
      </c>
      <c r="L11" s="165" t="s">
        <v>12</v>
      </c>
    </row>
    <row r="12" spans="1:19" ht="14.95" customHeight="1" thickBot="1" x14ac:dyDescent="0.3">
      <c r="A12" s="387" t="s">
        <v>1029</v>
      </c>
      <c r="B12" s="390">
        <v>0</v>
      </c>
      <c r="C12" s="412">
        <v>0</v>
      </c>
      <c r="D12" s="388">
        <f t="shared" si="0"/>
        <v>0</v>
      </c>
      <c r="E12" s="168" t="s">
        <v>1029</v>
      </c>
      <c r="F12" s="144">
        <v>0</v>
      </c>
      <c r="G12" s="220">
        <v>0</v>
      </c>
      <c r="H12" s="171">
        <f t="shared" si="1"/>
        <v>0</v>
      </c>
      <c r="I12" s="387" t="s">
        <v>767</v>
      </c>
      <c r="J12" s="388">
        <v>22</v>
      </c>
      <c r="K12" s="388">
        <v>29</v>
      </c>
      <c r="L12" s="393">
        <f t="shared" ref="L12:L15" si="6">SUM(J12/K12)*100</f>
        <v>75.862068965517238</v>
      </c>
    </row>
    <row r="13" spans="1:19" ht="14.95" customHeight="1" thickBot="1" x14ac:dyDescent="0.3">
      <c r="A13" s="387" t="s">
        <v>818</v>
      </c>
      <c r="B13" s="390">
        <v>1</v>
      </c>
      <c r="C13" s="412">
        <v>2</v>
      </c>
      <c r="D13" s="388">
        <f t="shared" si="0"/>
        <v>3</v>
      </c>
      <c r="E13" s="168" t="s">
        <v>818</v>
      </c>
      <c r="F13" s="144">
        <v>5</v>
      </c>
      <c r="G13" s="220">
        <v>10</v>
      </c>
      <c r="H13" s="171">
        <f t="shared" si="1"/>
        <v>15</v>
      </c>
      <c r="I13" s="387" t="s">
        <v>593</v>
      </c>
      <c r="J13" s="388">
        <v>8</v>
      </c>
      <c r="K13" s="388">
        <v>11</v>
      </c>
      <c r="L13" s="393">
        <f t="shared" si="6"/>
        <v>72.727272727272734</v>
      </c>
    </row>
    <row r="14" spans="1:19" ht="14.95" customHeight="1" thickBot="1" x14ac:dyDescent="0.3">
      <c r="A14" s="387" t="s">
        <v>1030</v>
      </c>
      <c r="B14" s="390">
        <v>3</v>
      </c>
      <c r="C14" s="412">
        <v>1</v>
      </c>
      <c r="D14" s="388">
        <f t="shared" si="0"/>
        <v>4</v>
      </c>
      <c r="E14" s="168" t="s">
        <v>1030</v>
      </c>
      <c r="F14" s="144">
        <v>15</v>
      </c>
      <c r="G14" s="220">
        <v>5</v>
      </c>
      <c r="H14" s="171">
        <f t="shared" si="1"/>
        <v>20</v>
      </c>
      <c r="I14" s="387" t="s">
        <v>917</v>
      </c>
      <c r="J14" s="388">
        <v>1</v>
      </c>
      <c r="K14" s="388">
        <v>1</v>
      </c>
      <c r="L14" s="393">
        <f t="shared" si="6"/>
        <v>100</v>
      </c>
    </row>
    <row r="15" spans="1:19" ht="14.95" customHeight="1" thickBot="1" x14ac:dyDescent="0.3">
      <c r="A15" s="387" t="s">
        <v>1031</v>
      </c>
      <c r="B15" s="390">
        <v>3</v>
      </c>
      <c r="C15" s="412">
        <v>0</v>
      </c>
      <c r="D15" s="388">
        <f t="shared" si="0"/>
        <v>3</v>
      </c>
      <c r="E15" s="169" t="s">
        <v>1031</v>
      </c>
      <c r="F15" s="144">
        <v>15</v>
      </c>
      <c r="G15" s="220">
        <v>0</v>
      </c>
      <c r="H15" s="171">
        <f t="shared" si="1"/>
        <v>15</v>
      </c>
      <c r="I15" s="387" t="s">
        <v>1056</v>
      </c>
      <c r="J15" s="388">
        <v>2</v>
      </c>
      <c r="K15" s="388">
        <v>3</v>
      </c>
      <c r="L15" s="393">
        <f t="shared" si="6"/>
        <v>66.666666666666657</v>
      </c>
    </row>
    <row r="16" spans="1:19" ht="14.95" customHeight="1" thickBot="1" x14ac:dyDescent="0.3">
      <c r="A16" s="387" t="s">
        <v>1032</v>
      </c>
      <c r="B16" s="390">
        <v>0</v>
      </c>
      <c r="C16" s="412">
        <v>0</v>
      </c>
      <c r="D16" s="388">
        <f t="shared" si="0"/>
        <v>0</v>
      </c>
      <c r="E16" s="169" t="s">
        <v>1032</v>
      </c>
      <c r="F16" s="144">
        <v>0</v>
      </c>
      <c r="G16" s="220">
        <v>0</v>
      </c>
      <c r="H16" s="171">
        <f t="shared" si="1"/>
        <v>0</v>
      </c>
      <c r="I16" s="204"/>
    </row>
    <row r="17" spans="1:9" ht="14.95" customHeight="1" thickBot="1" x14ac:dyDescent="0.3">
      <c r="A17" s="387" t="s">
        <v>1033</v>
      </c>
      <c r="B17" s="390">
        <v>0</v>
      </c>
      <c r="C17" s="412">
        <v>0</v>
      </c>
      <c r="D17" s="388">
        <f t="shared" si="0"/>
        <v>0</v>
      </c>
      <c r="E17" s="169" t="s">
        <v>1033</v>
      </c>
      <c r="F17" s="144">
        <v>0</v>
      </c>
      <c r="G17" s="220">
        <v>0</v>
      </c>
      <c r="H17" s="171">
        <f t="shared" si="1"/>
        <v>0</v>
      </c>
      <c r="I17" s="204" t="s">
        <v>25</v>
      </c>
    </row>
    <row r="18" spans="1:9" ht="14.95" customHeight="1" thickBot="1" x14ac:dyDescent="0.3">
      <c r="A18" s="387" t="s">
        <v>1034</v>
      </c>
      <c r="B18" s="390">
        <v>3</v>
      </c>
      <c r="C18" s="412">
        <v>2</v>
      </c>
      <c r="D18" s="388">
        <f t="shared" si="0"/>
        <v>5</v>
      </c>
      <c r="E18" s="169" t="s">
        <v>1034</v>
      </c>
      <c r="F18" s="144">
        <v>15</v>
      </c>
      <c r="G18" s="220">
        <v>10</v>
      </c>
      <c r="H18" s="171">
        <f t="shared" si="1"/>
        <v>25</v>
      </c>
    </row>
    <row r="19" spans="1:9" ht="14.95" customHeight="1" thickBot="1" x14ac:dyDescent="0.3">
      <c r="A19" s="387" t="s">
        <v>1035</v>
      </c>
      <c r="B19" s="390">
        <v>0</v>
      </c>
      <c r="C19" s="412">
        <v>0</v>
      </c>
      <c r="D19" s="388">
        <f t="shared" si="0"/>
        <v>0</v>
      </c>
      <c r="E19" s="169" t="s">
        <v>1035</v>
      </c>
      <c r="F19" s="144">
        <v>0</v>
      </c>
      <c r="G19" s="220">
        <v>0</v>
      </c>
      <c r="H19" s="171">
        <f t="shared" si="1"/>
        <v>0</v>
      </c>
    </row>
    <row r="20" spans="1:9" ht="14.95" customHeight="1" thickBot="1" x14ac:dyDescent="0.3">
      <c r="A20" s="387" t="s">
        <v>1036</v>
      </c>
      <c r="B20" s="390">
        <v>1</v>
      </c>
      <c r="C20" s="412">
        <v>2</v>
      </c>
      <c r="D20" s="388">
        <f t="shared" si="0"/>
        <v>3</v>
      </c>
      <c r="E20" s="169" t="s">
        <v>1036</v>
      </c>
      <c r="F20" s="144">
        <v>5</v>
      </c>
      <c r="G20" s="220">
        <v>10</v>
      </c>
      <c r="H20" s="171">
        <f t="shared" si="1"/>
        <v>15</v>
      </c>
    </row>
    <row r="21" spans="1:9" ht="14.95" customHeight="1" thickBot="1" x14ac:dyDescent="0.3">
      <c r="A21" s="387" t="s">
        <v>228</v>
      </c>
      <c r="B21" s="390">
        <v>8</v>
      </c>
      <c r="C21" s="412">
        <v>1</v>
      </c>
      <c r="D21" s="388">
        <f t="shared" si="0"/>
        <v>9</v>
      </c>
      <c r="E21" s="169" t="s">
        <v>228</v>
      </c>
      <c r="F21" s="144">
        <v>40</v>
      </c>
      <c r="G21" s="220">
        <v>5</v>
      </c>
      <c r="H21" s="171">
        <f t="shared" si="1"/>
        <v>45</v>
      </c>
    </row>
    <row r="22" spans="1:9" ht="14.95" customHeight="1" thickBot="1" x14ac:dyDescent="0.3">
      <c r="A22" s="387" t="s">
        <v>1037</v>
      </c>
      <c r="B22" s="390">
        <v>3</v>
      </c>
      <c r="C22" s="412">
        <v>3</v>
      </c>
      <c r="D22" s="388">
        <f t="shared" si="0"/>
        <v>6</v>
      </c>
      <c r="E22" s="169" t="s">
        <v>1037</v>
      </c>
      <c r="F22" s="144">
        <v>15</v>
      </c>
      <c r="G22" s="220">
        <v>15</v>
      </c>
      <c r="H22" s="171">
        <f t="shared" si="1"/>
        <v>30</v>
      </c>
    </row>
    <row r="23" spans="1:9" ht="14.95" customHeight="1" thickBot="1" x14ac:dyDescent="0.3">
      <c r="A23" s="387" t="s">
        <v>1038</v>
      </c>
      <c r="B23" s="390">
        <v>0</v>
      </c>
      <c r="C23" s="412">
        <v>0</v>
      </c>
      <c r="D23" s="388">
        <f t="shared" si="0"/>
        <v>0</v>
      </c>
      <c r="E23" s="169" t="s">
        <v>1038</v>
      </c>
      <c r="F23" s="144">
        <v>0</v>
      </c>
      <c r="G23" s="220">
        <v>0</v>
      </c>
      <c r="H23" s="171">
        <f t="shared" si="1"/>
        <v>0</v>
      </c>
    </row>
    <row r="24" spans="1:9" ht="14.95" customHeight="1" thickBot="1" x14ac:dyDescent="0.3">
      <c r="A24" s="387" t="s">
        <v>767</v>
      </c>
      <c r="B24" s="390">
        <v>0</v>
      </c>
      <c r="C24" s="412">
        <v>0</v>
      </c>
      <c r="D24" s="388">
        <f t="shared" si="0"/>
        <v>0</v>
      </c>
      <c r="E24" s="169" t="s">
        <v>767</v>
      </c>
      <c r="F24" s="144">
        <v>92</v>
      </c>
      <c r="G24" s="220">
        <v>50</v>
      </c>
      <c r="H24" s="171">
        <f t="shared" si="1"/>
        <v>142</v>
      </c>
    </row>
    <row r="25" spans="1:9" ht="14.95" customHeight="1" thickBot="1" x14ac:dyDescent="0.3">
      <c r="A25" s="387" t="s">
        <v>403</v>
      </c>
      <c r="B25" s="390">
        <v>1</v>
      </c>
      <c r="C25" s="412">
        <v>0</v>
      </c>
      <c r="D25" s="388">
        <f t="shared" si="0"/>
        <v>1</v>
      </c>
      <c r="E25" s="169" t="s">
        <v>403</v>
      </c>
      <c r="F25" s="144">
        <v>5</v>
      </c>
      <c r="G25" s="220">
        <v>0</v>
      </c>
      <c r="H25" s="171">
        <f t="shared" si="1"/>
        <v>5</v>
      </c>
    </row>
    <row r="26" spans="1:9" ht="14.95" customHeight="1" thickBot="1" x14ac:dyDescent="0.3">
      <c r="A26" s="387" t="s">
        <v>1039</v>
      </c>
      <c r="B26" s="390">
        <v>0</v>
      </c>
      <c r="C26" s="412">
        <v>0</v>
      </c>
      <c r="D26" s="388">
        <f t="shared" si="0"/>
        <v>0</v>
      </c>
      <c r="E26" s="169" t="s">
        <v>1039</v>
      </c>
      <c r="F26" s="144">
        <v>0</v>
      </c>
      <c r="G26" s="220">
        <v>0</v>
      </c>
      <c r="H26" s="171">
        <f t="shared" si="1"/>
        <v>0</v>
      </c>
    </row>
    <row r="27" spans="1:9" ht="14.95" customHeight="1" thickBot="1" x14ac:dyDescent="0.3">
      <c r="A27" s="387" t="s">
        <v>1040</v>
      </c>
      <c r="B27" s="390">
        <v>4</v>
      </c>
      <c r="C27" s="412">
        <v>2</v>
      </c>
      <c r="D27" s="388">
        <f t="shared" si="0"/>
        <v>6</v>
      </c>
      <c r="E27" s="169" t="s">
        <v>1040</v>
      </c>
      <c r="F27" s="144">
        <v>20</v>
      </c>
      <c r="G27" s="220">
        <v>10</v>
      </c>
      <c r="H27" s="171">
        <f t="shared" si="1"/>
        <v>30</v>
      </c>
    </row>
    <row r="28" spans="1:9" ht="14.95" customHeight="1" thickBot="1" x14ac:dyDescent="0.3">
      <c r="A28" s="387" t="s">
        <v>1041</v>
      </c>
      <c r="B28" s="390">
        <v>1</v>
      </c>
      <c r="C28" s="412">
        <v>0</v>
      </c>
      <c r="D28" s="388">
        <f t="shared" si="0"/>
        <v>1</v>
      </c>
      <c r="E28" s="169" t="s">
        <v>1041</v>
      </c>
      <c r="F28" s="144">
        <v>5</v>
      </c>
      <c r="G28" s="220">
        <v>0</v>
      </c>
      <c r="H28" s="171">
        <f t="shared" si="1"/>
        <v>5</v>
      </c>
    </row>
    <row r="29" spans="1:9" ht="14.95" customHeight="1" thickBot="1" x14ac:dyDescent="0.3">
      <c r="A29" s="387" t="s">
        <v>1058</v>
      </c>
      <c r="B29" s="390">
        <v>0</v>
      </c>
      <c r="C29" s="412">
        <v>0</v>
      </c>
      <c r="D29" s="388">
        <f t="shared" si="0"/>
        <v>0</v>
      </c>
      <c r="E29" s="169" t="s">
        <v>1058</v>
      </c>
      <c r="F29" s="144">
        <v>0</v>
      </c>
      <c r="G29" s="220">
        <v>0</v>
      </c>
      <c r="H29" s="171">
        <f t="shared" si="1"/>
        <v>0</v>
      </c>
    </row>
    <row r="30" spans="1:9" ht="14.95" customHeight="1" thickBot="1" x14ac:dyDescent="0.3">
      <c r="A30" s="387" t="s">
        <v>1042</v>
      </c>
      <c r="B30" s="390">
        <v>6</v>
      </c>
      <c r="C30" s="412">
        <v>0</v>
      </c>
      <c r="D30" s="388">
        <f t="shared" si="0"/>
        <v>6</v>
      </c>
      <c r="E30" s="169" t="s">
        <v>1042</v>
      </c>
      <c r="F30" s="144">
        <v>30</v>
      </c>
      <c r="G30" s="220">
        <v>0</v>
      </c>
      <c r="H30" s="171">
        <f t="shared" si="1"/>
        <v>30</v>
      </c>
    </row>
    <row r="31" spans="1:9" ht="14.95" customHeight="1" thickBot="1" x14ac:dyDescent="0.3">
      <c r="A31" s="387" t="s">
        <v>1043</v>
      </c>
      <c r="B31" s="390">
        <v>5</v>
      </c>
      <c r="C31" s="412">
        <v>2</v>
      </c>
      <c r="D31" s="388">
        <f t="shared" si="0"/>
        <v>7</v>
      </c>
      <c r="E31" s="169" t="s">
        <v>1043</v>
      </c>
      <c r="F31" s="144">
        <v>25</v>
      </c>
      <c r="G31" s="220">
        <v>10</v>
      </c>
      <c r="H31" s="171">
        <f t="shared" si="1"/>
        <v>35</v>
      </c>
    </row>
    <row r="32" spans="1:9" ht="14.95" customHeight="1" thickBot="1" x14ac:dyDescent="0.3">
      <c r="A32" s="387" t="s">
        <v>1044</v>
      </c>
      <c r="B32" s="390">
        <v>0</v>
      </c>
      <c r="C32" s="412">
        <v>0</v>
      </c>
      <c r="D32" s="388">
        <f t="shared" si="0"/>
        <v>0</v>
      </c>
      <c r="E32" s="169" t="s">
        <v>1044</v>
      </c>
      <c r="F32" s="144">
        <v>0</v>
      </c>
      <c r="G32" s="220">
        <v>0</v>
      </c>
      <c r="H32" s="171">
        <f t="shared" si="1"/>
        <v>0</v>
      </c>
    </row>
    <row r="33" spans="1:8" ht="14.95" customHeight="1" thickBot="1" x14ac:dyDescent="0.3">
      <c r="A33" s="387" t="s">
        <v>1045</v>
      </c>
      <c r="B33" s="390">
        <v>0</v>
      </c>
      <c r="C33" s="412">
        <v>0</v>
      </c>
      <c r="D33" s="388">
        <f t="shared" si="0"/>
        <v>0</v>
      </c>
      <c r="E33" s="169" t="s">
        <v>1045</v>
      </c>
      <c r="F33" s="144">
        <v>0</v>
      </c>
      <c r="G33" s="220">
        <v>0</v>
      </c>
      <c r="H33" s="171">
        <f t="shared" si="1"/>
        <v>0</v>
      </c>
    </row>
    <row r="34" spans="1:8" ht="14.95" customHeight="1" thickBot="1" x14ac:dyDescent="0.3">
      <c r="A34" s="387" t="s">
        <v>1046</v>
      </c>
      <c r="B34" s="390">
        <v>0</v>
      </c>
      <c r="C34" s="412">
        <v>0</v>
      </c>
      <c r="D34" s="388">
        <f t="shared" si="0"/>
        <v>0</v>
      </c>
      <c r="E34" s="169" t="s">
        <v>1046</v>
      </c>
      <c r="F34" s="144">
        <v>0</v>
      </c>
      <c r="G34" s="220">
        <v>0</v>
      </c>
      <c r="H34" s="171">
        <f t="shared" si="1"/>
        <v>0</v>
      </c>
    </row>
    <row r="35" spans="1:8" ht="14.95" customHeight="1" thickBot="1" x14ac:dyDescent="0.3">
      <c r="A35" s="387" t="s">
        <v>4</v>
      </c>
      <c r="B35" s="390">
        <v>1</v>
      </c>
      <c r="C35" s="412">
        <v>1</v>
      </c>
      <c r="D35" s="388">
        <f t="shared" ref="D35:D54" si="7">SUM(B35:C35)</f>
        <v>2</v>
      </c>
      <c r="E35" s="169" t="s">
        <v>4</v>
      </c>
      <c r="F35" s="144">
        <v>7</v>
      </c>
      <c r="G35" s="220">
        <v>7</v>
      </c>
      <c r="H35" s="171">
        <f t="shared" si="1"/>
        <v>14</v>
      </c>
    </row>
    <row r="36" spans="1:8" ht="14.95" customHeight="1" thickBot="1" x14ac:dyDescent="0.3">
      <c r="A36" s="387" t="s">
        <v>210</v>
      </c>
      <c r="B36" s="390">
        <v>5</v>
      </c>
      <c r="C36" s="412">
        <v>2</v>
      </c>
      <c r="D36" s="388">
        <f t="shared" si="7"/>
        <v>7</v>
      </c>
      <c r="E36" s="169" t="s">
        <v>210</v>
      </c>
      <c r="F36" s="144">
        <v>25</v>
      </c>
      <c r="G36" s="220">
        <v>10</v>
      </c>
      <c r="H36" s="171">
        <f t="shared" si="1"/>
        <v>35</v>
      </c>
    </row>
    <row r="37" spans="1:8" ht="14.95" customHeight="1" thickBot="1" x14ac:dyDescent="0.3">
      <c r="A37" s="387" t="s">
        <v>1047</v>
      </c>
      <c r="B37" s="390">
        <v>0</v>
      </c>
      <c r="C37" s="412">
        <v>0</v>
      </c>
      <c r="D37" s="388">
        <f t="shared" si="7"/>
        <v>0</v>
      </c>
      <c r="E37" s="169" t="s">
        <v>1047</v>
      </c>
      <c r="F37" s="144">
        <v>0</v>
      </c>
      <c r="G37" s="220">
        <v>0</v>
      </c>
      <c r="H37" s="171">
        <f t="shared" si="1"/>
        <v>0</v>
      </c>
    </row>
    <row r="38" spans="1:8" ht="14.95" customHeight="1" thickBot="1" x14ac:dyDescent="0.3">
      <c r="A38" s="387" t="s">
        <v>1048</v>
      </c>
      <c r="B38" s="390">
        <v>0</v>
      </c>
      <c r="C38" s="412">
        <v>0</v>
      </c>
      <c r="D38" s="388">
        <f t="shared" si="7"/>
        <v>0</v>
      </c>
      <c r="E38" s="169" t="s">
        <v>1048</v>
      </c>
      <c r="F38" s="144">
        <v>0</v>
      </c>
      <c r="G38" s="220">
        <v>0</v>
      </c>
      <c r="H38" s="171">
        <f t="shared" si="1"/>
        <v>0</v>
      </c>
    </row>
    <row r="39" spans="1:8" ht="14.95" customHeight="1" thickBot="1" x14ac:dyDescent="0.3">
      <c r="A39" s="387" t="s">
        <v>621</v>
      </c>
      <c r="B39" s="390">
        <v>0</v>
      </c>
      <c r="C39" s="412">
        <v>0</v>
      </c>
      <c r="D39" s="388">
        <f t="shared" si="7"/>
        <v>0</v>
      </c>
      <c r="E39" s="169" t="s">
        <v>621</v>
      </c>
      <c r="F39" s="144">
        <v>0</v>
      </c>
      <c r="G39" s="220">
        <v>0</v>
      </c>
      <c r="H39" s="171">
        <f t="shared" si="1"/>
        <v>0</v>
      </c>
    </row>
    <row r="40" spans="1:8" ht="14.95" customHeight="1" thickBot="1" x14ac:dyDescent="0.3">
      <c r="A40" s="387" t="s">
        <v>1049</v>
      </c>
      <c r="B40" s="390">
        <v>3</v>
      </c>
      <c r="C40" s="412">
        <v>1</v>
      </c>
      <c r="D40" s="388">
        <f t="shared" si="7"/>
        <v>4</v>
      </c>
      <c r="E40" s="169" t="s">
        <v>1049</v>
      </c>
      <c r="F40" s="144">
        <v>15</v>
      </c>
      <c r="G40" s="220">
        <v>5</v>
      </c>
      <c r="H40" s="171">
        <f t="shared" si="1"/>
        <v>20</v>
      </c>
    </row>
    <row r="41" spans="1:8" ht="14.95" customHeight="1" thickBot="1" x14ac:dyDescent="0.3">
      <c r="A41" s="387" t="s">
        <v>1050</v>
      </c>
      <c r="B41" s="390">
        <v>0</v>
      </c>
      <c r="C41" s="412">
        <v>0</v>
      </c>
      <c r="D41" s="388">
        <f t="shared" si="7"/>
        <v>0</v>
      </c>
      <c r="E41" s="169" t="s">
        <v>1050</v>
      </c>
      <c r="F41" s="144">
        <v>0</v>
      </c>
      <c r="G41" s="220">
        <v>0</v>
      </c>
      <c r="H41" s="171">
        <f t="shared" si="1"/>
        <v>0</v>
      </c>
    </row>
    <row r="42" spans="1:8" ht="14.95" customHeight="1" thickBot="1" x14ac:dyDescent="0.3">
      <c r="A42" s="387" t="s">
        <v>62</v>
      </c>
      <c r="B42" s="390">
        <v>1</v>
      </c>
      <c r="C42" s="412">
        <v>0</v>
      </c>
      <c r="D42" s="388">
        <f t="shared" si="7"/>
        <v>1</v>
      </c>
      <c r="E42" s="169" t="s">
        <v>62</v>
      </c>
      <c r="F42" s="144">
        <v>5</v>
      </c>
      <c r="G42" s="220">
        <v>0</v>
      </c>
      <c r="H42" s="171">
        <f t="shared" si="1"/>
        <v>5</v>
      </c>
    </row>
    <row r="43" spans="1:8" ht="14.95" customHeight="1" thickBot="1" x14ac:dyDescent="0.3">
      <c r="A43" s="387" t="s">
        <v>1051</v>
      </c>
      <c r="B43" s="390">
        <v>2</v>
      </c>
      <c r="C43" s="412">
        <v>0</v>
      </c>
      <c r="D43" s="388">
        <f t="shared" si="7"/>
        <v>2</v>
      </c>
      <c r="E43" s="169" t="s">
        <v>1051</v>
      </c>
      <c r="F43" s="144">
        <v>10</v>
      </c>
      <c r="G43" s="220">
        <v>0</v>
      </c>
      <c r="H43" s="171">
        <f t="shared" si="1"/>
        <v>10</v>
      </c>
    </row>
    <row r="44" spans="1:8" ht="14.95" customHeight="1" thickBot="1" x14ac:dyDescent="0.3">
      <c r="A44" s="387" t="s">
        <v>1052</v>
      </c>
      <c r="B44" s="390">
        <v>2</v>
      </c>
      <c r="C44" s="412">
        <v>0</v>
      </c>
      <c r="D44" s="388">
        <f t="shared" si="7"/>
        <v>2</v>
      </c>
      <c r="E44" s="169" t="s">
        <v>1052</v>
      </c>
      <c r="F44" s="144">
        <v>10</v>
      </c>
      <c r="G44" s="220">
        <v>0</v>
      </c>
      <c r="H44" s="171">
        <f t="shared" si="1"/>
        <v>10</v>
      </c>
    </row>
    <row r="45" spans="1:8" ht="14.95" customHeight="1" thickBot="1" x14ac:dyDescent="0.3">
      <c r="A45" s="387" t="s">
        <v>1053</v>
      </c>
      <c r="B45" s="390">
        <v>0</v>
      </c>
      <c r="C45" s="412">
        <v>0</v>
      </c>
      <c r="D45" s="388">
        <f t="shared" si="7"/>
        <v>0</v>
      </c>
      <c r="E45" s="169" t="s">
        <v>1053</v>
      </c>
      <c r="F45" s="144">
        <v>0</v>
      </c>
      <c r="G45" s="220">
        <v>0</v>
      </c>
      <c r="H45" s="171">
        <f t="shared" si="1"/>
        <v>0</v>
      </c>
    </row>
    <row r="46" spans="1:8" ht="14.95" customHeight="1" thickBot="1" x14ac:dyDescent="0.3">
      <c r="A46" s="387" t="s">
        <v>24</v>
      </c>
      <c r="B46" s="390">
        <v>3</v>
      </c>
      <c r="C46" s="412">
        <v>0</v>
      </c>
      <c r="D46" s="388">
        <f t="shared" si="7"/>
        <v>3</v>
      </c>
      <c r="E46" s="169" t="s">
        <v>24</v>
      </c>
      <c r="F46" s="144">
        <v>15</v>
      </c>
      <c r="G46" s="220">
        <v>0</v>
      </c>
      <c r="H46" s="171">
        <f t="shared" si="1"/>
        <v>15</v>
      </c>
    </row>
    <row r="47" spans="1:8" ht="14.95" customHeight="1" thickBot="1" x14ac:dyDescent="0.3">
      <c r="A47" s="387" t="s">
        <v>1054</v>
      </c>
      <c r="B47" s="390">
        <v>0</v>
      </c>
      <c r="C47" s="412">
        <v>0</v>
      </c>
      <c r="D47" s="388">
        <f t="shared" si="7"/>
        <v>0</v>
      </c>
      <c r="E47" s="169" t="s">
        <v>1054</v>
      </c>
      <c r="F47" s="144">
        <v>0</v>
      </c>
      <c r="G47" s="220">
        <v>0</v>
      </c>
      <c r="H47" s="171">
        <f t="shared" si="1"/>
        <v>0</v>
      </c>
    </row>
    <row r="48" spans="1:8" ht="14.95" customHeight="1" thickBot="1" x14ac:dyDescent="0.3">
      <c r="A48" s="387" t="s">
        <v>1055</v>
      </c>
      <c r="B48" s="390">
        <v>3</v>
      </c>
      <c r="C48" s="412">
        <v>1</v>
      </c>
      <c r="D48" s="388">
        <f t="shared" si="7"/>
        <v>4</v>
      </c>
      <c r="E48" s="169" t="s">
        <v>1055</v>
      </c>
      <c r="F48" s="144">
        <v>15</v>
      </c>
      <c r="G48" s="220">
        <v>5</v>
      </c>
      <c r="H48" s="171">
        <f t="shared" si="1"/>
        <v>20</v>
      </c>
    </row>
    <row r="49" spans="1:8" ht="14.95" customHeight="1" thickBot="1" x14ac:dyDescent="0.3">
      <c r="A49" s="387" t="s">
        <v>5</v>
      </c>
      <c r="B49" s="390">
        <v>4</v>
      </c>
      <c r="C49" s="412">
        <v>0</v>
      </c>
      <c r="D49" s="388">
        <f t="shared" si="7"/>
        <v>4</v>
      </c>
      <c r="E49" s="169" t="s">
        <v>5</v>
      </c>
      <c r="F49" s="144">
        <v>20</v>
      </c>
      <c r="G49" s="220">
        <v>0</v>
      </c>
      <c r="H49" s="171">
        <f t="shared" si="1"/>
        <v>20</v>
      </c>
    </row>
    <row r="50" spans="1:8" ht="14.95" customHeight="1" thickBot="1" x14ac:dyDescent="0.3">
      <c r="A50" s="387" t="s">
        <v>593</v>
      </c>
      <c r="B50" s="390">
        <v>1</v>
      </c>
      <c r="C50" s="412">
        <v>0</v>
      </c>
      <c r="D50" s="388">
        <f t="shared" si="7"/>
        <v>1</v>
      </c>
      <c r="E50" s="169" t="s">
        <v>593</v>
      </c>
      <c r="F50" s="144">
        <v>71</v>
      </c>
      <c r="G50" s="220">
        <v>16</v>
      </c>
      <c r="H50" s="171">
        <f t="shared" si="1"/>
        <v>87</v>
      </c>
    </row>
    <row r="51" spans="1:8" ht="14.95" customHeight="1" thickBot="1" x14ac:dyDescent="0.3">
      <c r="A51" s="387" t="s">
        <v>917</v>
      </c>
      <c r="B51" s="390">
        <v>9</v>
      </c>
      <c r="C51" s="412">
        <v>3</v>
      </c>
      <c r="D51" s="388">
        <f t="shared" si="7"/>
        <v>12</v>
      </c>
      <c r="E51" s="169" t="s">
        <v>917</v>
      </c>
      <c r="F51" s="144">
        <v>45</v>
      </c>
      <c r="G51" s="220">
        <v>17</v>
      </c>
      <c r="H51" s="171">
        <f t="shared" ref="H51" si="8">SUM(F51:G51)</f>
        <v>62</v>
      </c>
    </row>
    <row r="52" spans="1:8" ht="14.95" customHeight="1" thickBot="1" x14ac:dyDescent="0.3">
      <c r="A52" s="387" t="s">
        <v>1056</v>
      </c>
      <c r="B52" s="390">
        <v>0</v>
      </c>
      <c r="C52" s="412">
        <v>0</v>
      </c>
      <c r="D52" s="388">
        <f t="shared" si="7"/>
        <v>0</v>
      </c>
      <c r="E52" s="169" t="s">
        <v>1056</v>
      </c>
      <c r="F52" s="144">
        <v>2</v>
      </c>
      <c r="G52" s="220">
        <v>5</v>
      </c>
      <c r="H52" s="171">
        <f t="shared" ref="H52" si="9">SUM(F52:G52)</f>
        <v>7</v>
      </c>
    </row>
    <row r="53" spans="1:8" ht="14.95" customHeight="1" thickBot="1" x14ac:dyDescent="0.3">
      <c r="A53" s="387" t="s">
        <v>1059</v>
      </c>
      <c r="B53" s="390">
        <v>0</v>
      </c>
      <c r="C53" s="412">
        <v>1</v>
      </c>
      <c r="D53" s="388">
        <f t="shared" si="7"/>
        <v>1</v>
      </c>
      <c r="E53" s="169" t="s">
        <v>1057</v>
      </c>
      <c r="F53" s="144">
        <v>0</v>
      </c>
      <c r="G53" s="220">
        <v>5</v>
      </c>
      <c r="H53" s="171">
        <f>SUM(F53:G53)</f>
        <v>5</v>
      </c>
    </row>
    <row r="54" spans="1:8" ht="14.95" thickBot="1" x14ac:dyDescent="0.3">
      <c r="A54" s="387" t="s">
        <v>3</v>
      </c>
      <c r="B54" s="390">
        <f>SUM(B3:B53)</f>
        <v>94</v>
      </c>
      <c r="C54" s="412">
        <f>SUM(C3:C53)</f>
        <v>37</v>
      </c>
      <c r="D54" s="388">
        <f t="shared" si="7"/>
        <v>131</v>
      </c>
      <c r="E54" s="169" t="s">
        <v>3</v>
      </c>
      <c r="F54" s="144">
        <f>SUM(F3:F53)</f>
        <v>632</v>
      </c>
      <c r="G54" s="220">
        <f>SUM(G3:G53)</f>
        <v>260</v>
      </c>
      <c r="H54" s="171">
        <f>SUM(F54:G54)</f>
        <v>892</v>
      </c>
    </row>
    <row r="56" spans="1:8" x14ac:dyDescent="0.25">
      <c r="A56" t="s">
        <v>14</v>
      </c>
    </row>
    <row r="57" spans="1:8" x14ac:dyDescent="0.25">
      <c r="A57" s="488" t="s">
        <v>42</v>
      </c>
      <c r="B57" s="480"/>
      <c r="C57" s="480"/>
      <c r="D57" s="480"/>
      <c r="E57" s="480"/>
      <c r="F57" s="480"/>
      <c r="G57" s="480"/>
      <c r="H57" s="480"/>
    </row>
    <row r="58" spans="1:8" x14ac:dyDescent="0.25">
      <c r="A58" s="488" t="s">
        <v>25</v>
      </c>
      <c r="B58" s="480"/>
      <c r="C58" s="480"/>
      <c r="D58" s="480"/>
      <c r="E58" s="480"/>
      <c r="F58" s="480"/>
      <c r="G58" s="480"/>
      <c r="H58" s="480"/>
    </row>
  </sheetData>
  <mergeCells count="9">
    <mergeCell ref="M1:O2"/>
    <mergeCell ref="P1:Q2"/>
    <mergeCell ref="A58:H58"/>
    <mergeCell ref="I9:I10"/>
    <mergeCell ref="J9:L10"/>
    <mergeCell ref="A1:H1"/>
    <mergeCell ref="I1:I2"/>
    <mergeCell ref="J1:L2"/>
    <mergeCell ref="A57:H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28"/>
  <sheetViews>
    <sheetView workbookViewId="0">
      <selection activeCell="U22" sqref="U22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4.75" customWidth="1"/>
    <col min="18" max="18" width="5.375" bestFit="1" customWidth="1"/>
    <col min="19" max="31" width="4.75" customWidth="1"/>
    <col min="32" max="46" width="5.75" customWidth="1"/>
    <col min="47" max="52" width="5.625" customWidth="1"/>
  </cols>
  <sheetData>
    <row r="1" spans="1:61" ht="14.95" customHeight="1" thickBot="1" x14ac:dyDescent="0.3">
      <c r="A1" s="496" t="s">
        <v>690</v>
      </c>
      <c r="B1" s="497"/>
      <c r="C1" s="497"/>
      <c r="D1" s="497"/>
      <c r="E1" s="497"/>
      <c r="F1" s="497"/>
      <c r="G1" s="497"/>
      <c r="H1" s="497"/>
      <c r="I1" s="497"/>
      <c r="J1" s="498"/>
      <c r="K1" s="465" t="s">
        <v>225</v>
      </c>
      <c r="L1" s="453" t="s">
        <v>16</v>
      </c>
      <c r="M1" s="467"/>
      <c r="N1" s="454"/>
      <c r="O1" s="453" t="s">
        <v>115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162"/>
      <c r="AB1" s="162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57" t="s">
        <v>260</v>
      </c>
      <c r="AM1" s="458"/>
      <c r="AN1" s="459"/>
      <c r="AO1" s="457" t="s">
        <v>199</v>
      </c>
      <c r="AP1" s="458"/>
      <c r="AQ1" s="459"/>
      <c r="AR1" s="457" t="s">
        <v>92</v>
      </c>
      <c r="AS1" s="458"/>
      <c r="AT1" s="459"/>
      <c r="AU1" s="457" t="s">
        <v>63</v>
      </c>
      <c r="AV1" s="458"/>
      <c r="AW1" s="459"/>
      <c r="AX1" s="457" t="s">
        <v>59</v>
      </c>
      <c r="AY1" s="458"/>
      <c r="AZ1" s="459"/>
      <c r="BA1" s="4"/>
      <c r="BB1" s="4"/>
      <c r="BC1" s="4"/>
      <c r="BF1" s="4"/>
    </row>
    <row r="2" spans="1:61" ht="14.95" customHeight="1" thickBot="1" x14ac:dyDescent="0.3">
      <c r="A2" s="324" t="s">
        <v>0</v>
      </c>
      <c r="B2" s="380" t="s">
        <v>259</v>
      </c>
      <c r="C2" s="381" t="s">
        <v>35</v>
      </c>
      <c r="D2" s="382" t="s">
        <v>383</v>
      </c>
      <c r="E2" s="328" t="s">
        <v>1</v>
      </c>
      <c r="F2" s="310" t="s">
        <v>2</v>
      </c>
      <c r="G2" s="139" t="s">
        <v>259</v>
      </c>
      <c r="H2" s="337" t="s">
        <v>35</v>
      </c>
      <c r="I2" s="215" t="s">
        <v>383</v>
      </c>
      <c r="J2" s="140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7"/>
      <c r="AA2" s="162"/>
      <c r="AB2" s="162"/>
      <c r="AC2" s="472"/>
      <c r="AD2" s="473"/>
      <c r="AE2" s="474"/>
      <c r="AF2" s="472"/>
      <c r="AG2" s="473"/>
      <c r="AH2" s="474"/>
      <c r="AI2" s="472"/>
      <c r="AJ2" s="473"/>
      <c r="AK2" s="474"/>
      <c r="AL2" s="460"/>
      <c r="AM2" s="461"/>
      <c r="AN2" s="462"/>
      <c r="AO2" s="460"/>
      <c r="AP2" s="461"/>
      <c r="AQ2" s="462"/>
      <c r="AR2" s="460"/>
      <c r="AS2" s="461"/>
      <c r="AT2" s="462"/>
      <c r="AU2" s="460"/>
      <c r="AV2" s="461"/>
      <c r="AW2" s="462"/>
      <c r="AX2" s="460"/>
      <c r="AY2" s="461"/>
      <c r="AZ2" s="462"/>
      <c r="BD2" s="4"/>
      <c r="BE2" s="4"/>
      <c r="BF2" s="4"/>
      <c r="BG2" s="4"/>
      <c r="BH2" s="4"/>
      <c r="BI2" s="4"/>
    </row>
    <row r="3" spans="1:61" ht="14.95" customHeight="1" thickBot="1" x14ac:dyDescent="0.3">
      <c r="A3" s="323" t="s">
        <v>330</v>
      </c>
      <c r="B3" s="329">
        <v>2</v>
      </c>
      <c r="C3" s="383">
        <v>0</v>
      </c>
      <c r="D3" s="384">
        <v>4</v>
      </c>
      <c r="E3" s="332">
        <f t="shared" ref="E3:E38" si="0">SUM(B3:D3)</f>
        <v>6</v>
      </c>
      <c r="F3" s="311" t="s">
        <v>330</v>
      </c>
      <c r="G3" s="137">
        <v>10</v>
      </c>
      <c r="H3" s="338">
        <v>0</v>
      </c>
      <c r="I3" s="216">
        <v>20</v>
      </c>
      <c r="J3" s="138">
        <f t="shared" ref="J3:J38" si="1">SUM(G3:I3)</f>
        <v>30</v>
      </c>
      <c r="K3" s="221" t="s">
        <v>25</v>
      </c>
      <c r="L3" s="3" t="s">
        <v>55</v>
      </c>
      <c r="M3" s="3" t="s">
        <v>11</v>
      </c>
      <c r="N3" s="3" t="s">
        <v>12</v>
      </c>
      <c r="O3" s="160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150" t="s">
        <v>55</v>
      </c>
      <c r="X3" s="7" t="s">
        <v>11</v>
      </c>
      <c r="Y3" s="7" t="s">
        <v>12</v>
      </c>
      <c r="Z3" s="94"/>
      <c r="AA3" s="95"/>
      <c r="AB3" s="95"/>
      <c r="AC3" s="150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85" t="s">
        <v>55</v>
      </c>
      <c r="AM3" s="80" t="s">
        <v>11</v>
      </c>
      <c r="AN3" s="80" t="s">
        <v>12</v>
      </c>
      <c r="AO3" s="85" t="s">
        <v>55</v>
      </c>
      <c r="AP3" s="80" t="s">
        <v>11</v>
      </c>
      <c r="AQ3" s="80" t="s">
        <v>12</v>
      </c>
      <c r="AR3" s="85" t="s">
        <v>55</v>
      </c>
      <c r="AS3" s="80" t="s">
        <v>11</v>
      </c>
      <c r="AT3" s="98" t="s">
        <v>12</v>
      </c>
      <c r="AU3" s="98" t="s">
        <v>55</v>
      </c>
      <c r="AV3" s="80" t="s">
        <v>11</v>
      </c>
      <c r="AW3" s="80" t="s">
        <v>12</v>
      </c>
      <c r="AX3" s="80" t="s">
        <v>55</v>
      </c>
      <c r="AY3" s="80" t="s">
        <v>11</v>
      </c>
      <c r="AZ3" s="80" t="s">
        <v>12</v>
      </c>
    </row>
    <row r="4" spans="1:61" ht="14.95" customHeight="1" thickBot="1" x14ac:dyDescent="0.3">
      <c r="A4" s="323" t="s">
        <v>745</v>
      </c>
      <c r="B4" s="329">
        <v>0</v>
      </c>
      <c r="C4" s="383">
        <v>0</v>
      </c>
      <c r="D4" s="384">
        <v>0</v>
      </c>
      <c r="E4" s="332">
        <f t="shared" si="0"/>
        <v>0</v>
      </c>
      <c r="F4" s="311" t="s">
        <v>745</v>
      </c>
      <c r="G4" s="137">
        <v>0</v>
      </c>
      <c r="H4" s="338">
        <v>0</v>
      </c>
      <c r="I4" s="216">
        <v>0</v>
      </c>
      <c r="J4" s="138">
        <f t="shared" si="1"/>
        <v>0</v>
      </c>
      <c r="K4" s="324" t="s">
        <v>1258</v>
      </c>
      <c r="L4" s="375" t="s">
        <v>17</v>
      </c>
      <c r="M4" s="375" t="s">
        <v>17</v>
      </c>
      <c r="N4" s="376" t="s">
        <v>17</v>
      </c>
      <c r="O4" s="375" t="s">
        <v>17</v>
      </c>
      <c r="P4" s="375" t="s">
        <v>17</v>
      </c>
      <c r="Q4" s="376" t="s">
        <v>17</v>
      </c>
      <c r="R4" s="328" t="s">
        <v>22</v>
      </c>
      <c r="S4" s="328">
        <v>2</v>
      </c>
      <c r="T4" s="6" t="s">
        <v>17</v>
      </c>
      <c r="U4" s="6" t="s">
        <v>17</v>
      </c>
      <c r="V4" s="159" t="s">
        <v>17</v>
      </c>
      <c r="W4" s="6" t="s">
        <v>17</v>
      </c>
      <c r="X4" s="6" t="s">
        <v>17</v>
      </c>
      <c r="Y4" s="159" t="s">
        <v>17</v>
      </c>
      <c r="Z4" s="94"/>
      <c r="AA4" s="95"/>
      <c r="AB4" s="95"/>
      <c r="AC4" s="6" t="s">
        <v>17</v>
      </c>
      <c r="AD4" s="6" t="s">
        <v>17</v>
      </c>
      <c r="AE4" s="159" t="s">
        <v>17</v>
      </c>
      <c r="AF4" s="6" t="s">
        <v>17</v>
      </c>
      <c r="AG4" s="6" t="s">
        <v>17</v>
      </c>
      <c r="AH4" s="159" t="s">
        <v>17</v>
      </c>
      <c r="AI4" s="6" t="s">
        <v>17</v>
      </c>
      <c r="AJ4" s="6" t="s">
        <v>17</v>
      </c>
      <c r="AK4" s="159" t="s">
        <v>17</v>
      </c>
      <c r="AL4" s="6" t="s">
        <v>17</v>
      </c>
      <c r="AM4" s="6" t="s">
        <v>17</v>
      </c>
      <c r="AN4" s="159" t="s">
        <v>17</v>
      </c>
      <c r="AO4" s="6" t="s">
        <v>17</v>
      </c>
      <c r="AP4" s="6" t="s">
        <v>17</v>
      </c>
      <c r="AQ4" s="159" t="s">
        <v>17</v>
      </c>
      <c r="AR4" s="6" t="s">
        <v>17</v>
      </c>
      <c r="AS4" s="6" t="s">
        <v>17</v>
      </c>
      <c r="AT4" s="159" t="s">
        <v>17</v>
      </c>
      <c r="AU4" s="6" t="s">
        <v>17</v>
      </c>
      <c r="AV4" s="6" t="s">
        <v>17</v>
      </c>
      <c r="AW4" s="159" t="s">
        <v>17</v>
      </c>
      <c r="AX4" s="6" t="s">
        <v>17</v>
      </c>
      <c r="AY4" s="6" t="s">
        <v>17</v>
      </c>
      <c r="AZ4" s="159" t="s">
        <v>17</v>
      </c>
    </row>
    <row r="5" spans="1:61" ht="14.95" customHeight="1" thickBot="1" x14ac:dyDescent="0.3">
      <c r="A5" s="323" t="s">
        <v>710</v>
      </c>
      <c r="B5" s="329">
        <v>0</v>
      </c>
      <c r="C5" s="383">
        <v>0</v>
      </c>
      <c r="D5" s="384">
        <v>0</v>
      </c>
      <c r="E5" s="332">
        <f t="shared" si="0"/>
        <v>0</v>
      </c>
      <c r="F5" s="311" t="s">
        <v>710</v>
      </c>
      <c r="G5" s="137">
        <v>0</v>
      </c>
      <c r="H5" s="338">
        <v>0</v>
      </c>
      <c r="I5" s="216">
        <v>0</v>
      </c>
      <c r="J5" s="138">
        <f t="shared" si="1"/>
        <v>0</v>
      </c>
      <c r="K5" s="324" t="s">
        <v>1158</v>
      </c>
      <c r="L5" s="375">
        <v>17</v>
      </c>
      <c r="M5" s="375">
        <v>22</v>
      </c>
      <c r="N5" s="376">
        <f t="shared" ref="N5" si="2">(L5/M5)*100</f>
        <v>77.272727272727266</v>
      </c>
      <c r="O5" s="375">
        <v>1</v>
      </c>
      <c r="P5" s="375">
        <v>1</v>
      </c>
      <c r="Q5" s="376">
        <f t="shared" ref="Q5" si="3">(O5/P5)*100</f>
        <v>100</v>
      </c>
      <c r="R5" s="328">
        <v>1</v>
      </c>
      <c r="S5" s="328">
        <v>1</v>
      </c>
      <c r="T5" s="7">
        <v>24</v>
      </c>
      <c r="U5" s="7">
        <v>31</v>
      </c>
      <c r="V5" s="155">
        <v>77.41935483870968</v>
      </c>
      <c r="W5" s="7">
        <v>26</v>
      </c>
      <c r="X5" s="7">
        <v>35</v>
      </c>
      <c r="Y5" s="155">
        <v>74.285714285714292</v>
      </c>
      <c r="Z5" s="94"/>
      <c r="AA5" s="95"/>
      <c r="AB5" s="95"/>
      <c r="AC5" s="150">
        <v>13</v>
      </c>
      <c r="AD5" s="7">
        <v>19</v>
      </c>
      <c r="AE5" s="155">
        <f>SUM(AC5/AD5)*100</f>
        <v>68.421052631578945</v>
      </c>
      <c r="AF5" s="6">
        <v>36</v>
      </c>
      <c r="AG5" s="6">
        <v>42</v>
      </c>
      <c r="AH5" s="159">
        <v>85.714285714285708</v>
      </c>
      <c r="AI5" s="6">
        <v>21</v>
      </c>
      <c r="AJ5" s="6">
        <v>29</v>
      </c>
      <c r="AK5" s="159">
        <v>72</v>
      </c>
      <c r="AL5" s="6" t="s">
        <v>17</v>
      </c>
      <c r="AM5" s="6" t="s">
        <v>17</v>
      </c>
      <c r="AN5" s="159" t="s">
        <v>17</v>
      </c>
      <c r="AO5" s="6" t="s">
        <v>17</v>
      </c>
      <c r="AP5" s="6" t="s">
        <v>17</v>
      </c>
      <c r="AQ5" s="159" t="s">
        <v>17</v>
      </c>
      <c r="AR5" s="6" t="s">
        <v>17</v>
      </c>
      <c r="AS5" s="6" t="s">
        <v>17</v>
      </c>
      <c r="AT5" s="159" t="s">
        <v>17</v>
      </c>
      <c r="AU5" s="6" t="s">
        <v>17</v>
      </c>
      <c r="AV5" s="6" t="s">
        <v>17</v>
      </c>
      <c r="AW5" s="159" t="s">
        <v>17</v>
      </c>
      <c r="AX5" s="6" t="s">
        <v>17</v>
      </c>
      <c r="AY5" s="6" t="s">
        <v>17</v>
      </c>
      <c r="AZ5" s="159" t="s">
        <v>17</v>
      </c>
    </row>
    <row r="6" spans="1:61" ht="14.95" customHeight="1" thickBot="1" x14ac:dyDescent="0.3">
      <c r="A6" s="323" t="s">
        <v>220</v>
      </c>
      <c r="B6" s="329">
        <v>3</v>
      </c>
      <c r="C6" s="383">
        <v>1</v>
      </c>
      <c r="D6" s="384">
        <v>1</v>
      </c>
      <c r="E6" s="332">
        <f t="shared" si="0"/>
        <v>5</v>
      </c>
      <c r="F6" s="311" t="s">
        <v>220</v>
      </c>
      <c r="G6" s="137">
        <v>15</v>
      </c>
      <c r="H6" s="338">
        <v>5</v>
      </c>
      <c r="I6" s="216">
        <v>5</v>
      </c>
      <c r="J6" s="138">
        <f t="shared" si="1"/>
        <v>25</v>
      </c>
      <c r="K6" s="324" t="s">
        <v>1009</v>
      </c>
      <c r="L6" s="375" t="s">
        <v>17</v>
      </c>
      <c r="M6" s="375" t="s">
        <v>17</v>
      </c>
      <c r="N6" s="376" t="s">
        <v>17</v>
      </c>
      <c r="O6" s="375" t="s">
        <v>17</v>
      </c>
      <c r="P6" s="375" t="s">
        <v>17</v>
      </c>
      <c r="Q6" s="376" t="s">
        <v>17</v>
      </c>
      <c r="R6" s="328" t="s">
        <v>22</v>
      </c>
      <c r="S6" s="328">
        <v>-1</v>
      </c>
      <c r="T6" s="6" t="s">
        <v>17</v>
      </c>
      <c r="U6" s="6" t="s">
        <v>17</v>
      </c>
      <c r="V6" s="159" t="s">
        <v>17</v>
      </c>
      <c r="W6" s="6" t="s">
        <v>17</v>
      </c>
      <c r="X6" s="6" t="s">
        <v>17</v>
      </c>
      <c r="Y6" s="159" t="s">
        <v>17</v>
      </c>
      <c r="Z6" s="94"/>
      <c r="AA6" s="95"/>
      <c r="AB6" s="95"/>
      <c r="AC6" s="6" t="s">
        <v>17</v>
      </c>
      <c r="AD6" s="6" t="s">
        <v>17</v>
      </c>
      <c r="AE6" s="159" t="s">
        <v>17</v>
      </c>
      <c r="AF6" s="6" t="s">
        <v>17</v>
      </c>
      <c r="AG6" s="6" t="s">
        <v>17</v>
      </c>
      <c r="AH6" s="159" t="s">
        <v>17</v>
      </c>
      <c r="AI6" s="6" t="s">
        <v>17</v>
      </c>
      <c r="AJ6" s="6" t="s">
        <v>17</v>
      </c>
      <c r="AK6" s="159" t="s">
        <v>17</v>
      </c>
      <c r="AL6" s="6" t="s">
        <v>17</v>
      </c>
      <c r="AM6" s="6" t="s">
        <v>17</v>
      </c>
      <c r="AN6" s="159" t="s">
        <v>17</v>
      </c>
      <c r="AO6" s="6" t="s">
        <v>17</v>
      </c>
      <c r="AP6" s="6" t="s">
        <v>17</v>
      </c>
      <c r="AQ6" s="159" t="s">
        <v>17</v>
      </c>
      <c r="AR6" s="6" t="s">
        <v>17</v>
      </c>
      <c r="AS6" s="6" t="s">
        <v>17</v>
      </c>
      <c r="AT6" s="159" t="s">
        <v>17</v>
      </c>
      <c r="AU6" s="6" t="s">
        <v>17</v>
      </c>
      <c r="AV6" s="6" t="s">
        <v>17</v>
      </c>
      <c r="AW6" s="159" t="s">
        <v>17</v>
      </c>
      <c r="AX6" s="6" t="s">
        <v>17</v>
      </c>
      <c r="AY6" s="6" t="s">
        <v>17</v>
      </c>
      <c r="AZ6" s="159" t="s">
        <v>17</v>
      </c>
    </row>
    <row r="7" spans="1:61" ht="14.95" customHeight="1" thickBot="1" x14ac:dyDescent="0.3">
      <c r="A7" s="323" t="s">
        <v>332</v>
      </c>
      <c r="B7" s="329">
        <v>3</v>
      </c>
      <c r="C7" s="383">
        <v>0</v>
      </c>
      <c r="D7" s="384">
        <v>0</v>
      </c>
      <c r="E7" s="332">
        <f t="shared" si="0"/>
        <v>3</v>
      </c>
      <c r="F7" s="311" t="s">
        <v>332</v>
      </c>
      <c r="G7" s="137">
        <v>15</v>
      </c>
      <c r="H7" s="338">
        <v>0</v>
      </c>
      <c r="I7" s="216">
        <v>0</v>
      </c>
      <c r="J7" s="138">
        <f t="shared" si="1"/>
        <v>15</v>
      </c>
      <c r="K7" s="324" t="s">
        <v>534</v>
      </c>
      <c r="L7" s="375" t="s">
        <v>17</v>
      </c>
      <c r="M7" s="375" t="s">
        <v>17</v>
      </c>
      <c r="N7" s="376" t="s">
        <v>17</v>
      </c>
      <c r="O7" s="375" t="s">
        <v>17</v>
      </c>
      <c r="P7" s="375" t="s">
        <v>17</v>
      </c>
      <c r="Q7" s="376" t="s">
        <v>17</v>
      </c>
      <c r="R7" s="328">
        <v>1</v>
      </c>
      <c r="S7" s="328">
        <v>1</v>
      </c>
      <c r="T7" s="6" t="s">
        <v>17</v>
      </c>
      <c r="U7" s="6" t="s">
        <v>17</v>
      </c>
      <c r="V7" s="159" t="s">
        <v>17</v>
      </c>
      <c r="W7" s="6">
        <v>1</v>
      </c>
      <c r="X7" s="6">
        <v>1</v>
      </c>
      <c r="Y7" s="159">
        <v>100</v>
      </c>
      <c r="Z7" s="94"/>
      <c r="AA7" s="95"/>
      <c r="AB7" s="95"/>
      <c r="AC7" s="6" t="s">
        <v>17</v>
      </c>
      <c r="AD7" s="6" t="s">
        <v>17</v>
      </c>
      <c r="AE7" s="159" t="s">
        <v>17</v>
      </c>
      <c r="AF7" s="6" t="s">
        <v>17</v>
      </c>
      <c r="AG7" s="6" t="s">
        <v>17</v>
      </c>
      <c r="AH7" s="159" t="s">
        <v>17</v>
      </c>
      <c r="AI7" s="6" t="s">
        <v>17</v>
      </c>
      <c r="AJ7" s="6" t="s">
        <v>17</v>
      </c>
      <c r="AK7" s="159" t="s">
        <v>17</v>
      </c>
      <c r="AL7" s="6" t="s">
        <v>17</v>
      </c>
      <c r="AM7" s="6" t="s">
        <v>17</v>
      </c>
      <c r="AN7" s="159" t="s">
        <v>17</v>
      </c>
      <c r="AO7" s="6" t="s">
        <v>17</v>
      </c>
      <c r="AP7" s="6" t="s">
        <v>17</v>
      </c>
      <c r="AQ7" s="159" t="s">
        <v>17</v>
      </c>
      <c r="AR7" s="6" t="s">
        <v>17</v>
      </c>
      <c r="AS7" s="6" t="s">
        <v>17</v>
      </c>
      <c r="AT7" s="159" t="s">
        <v>17</v>
      </c>
      <c r="AU7" s="6" t="s">
        <v>17</v>
      </c>
      <c r="AV7" s="6" t="s">
        <v>17</v>
      </c>
      <c r="AW7" s="159" t="s">
        <v>17</v>
      </c>
      <c r="AX7" s="6" t="s">
        <v>17</v>
      </c>
      <c r="AY7" s="6" t="s">
        <v>17</v>
      </c>
      <c r="AZ7" s="159" t="s">
        <v>17</v>
      </c>
    </row>
    <row r="8" spans="1:61" ht="14.95" customHeight="1" thickBot="1" x14ac:dyDescent="0.3">
      <c r="A8" s="323" t="s">
        <v>1258</v>
      </c>
      <c r="B8" s="329">
        <v>0</v>
      </c>
      <c r="C8" s="383">
        <v>0</v>
      </c>
      <c r="D8" s="384">
        <v>0</v>
      </c>
      <c r="E8" s="332">
        <f t="shared" si="0"/>
        <v>0</v>
      </c>
      <c r="F8" s="311" t="s">
        <v>1258</v>
      </c>
      <c r="G8" s="137">
        <v>0</v>
      </c>
      <c r="H8" s="338">
        <v>0</v>
      </c>
      <c r="I8" s="216">
        <v>4</v>
      </c>
      <c r="J8" s="138">
        <f t="shared" si="1"/>
        <v>4</v>
      </c>
      <c r="K8" s="324" t="s">
        <v>680</v>
      </c>
      <c r="L8" s="375">
        <v>2</v>
      </c>
      <c r="M8" s="375">
        <v>4</v>
      </c>
      <c r="N8" s="376">
        <f t="shared" ref="N8" si="4">(L8/M8)*100</f>
        <v>50</v>
      </c>
      <c r="O8" s="375" t="s">
        <v>17</v>
      </c>
      <c r="P8" s="375" t="s">
        <v>17</v>
      </c>
      <c r="Q8" s="376" t="s">
        <v>17</v>
      </c>
      <c r="R8" s="328">
        <v>1</v>
      </c>
      <c r="S8" s="328">
        <v>-1</v>
      </c>
      <c r="T8" s="6">
        <v>2</v>
      </c>
      <c r="U8" s="6">
        <v>3</v>
      </c>
      <c r="V8" s="159">
        <v>66.666666666666657</v>
      </c>
      <c r="W8" s="6" t="s">
        <v>17</v>
      </c>
      <c r="X8" s="6" t="s">
        <v>17</v>
      </c>
      <c r="Y8" s="159" t="s">
        <v>17</v>
      </c>
      <c r="Z8" s="94"/>
      <c r="AA8" s="95"/>
      <c r="AB8" s="95"/>
      <c r="AC8" s="6" t="s">
        <v>17</v>
      </c>
      <c r="AD8" s="6" t="s">
        <v>17</v>
      </c>
      <c r="AE8" s="159" t="s">
        <v>17</v>
      </c>
      <c r="AF8" s="6" t="s">
        <v>17</v>
      </c>
      <c r="AG8" s="6" t="s">
        <v>17</v>
      </c>
      <c r="AH8" s="159" t="s">
        <v>17</v>
      </c>
      <c r="AI8" s="6" t="s">
        <v>17</v>
      </c>
      <c r="AJ8" s="6" t="s">
        <v>17</v>
      </c>
      <c r="AK8" s="159" t="s">
        <v>17</v>
      </c>
      <c r="AL8" s="6" t="s">
        <v>17</v>
      </c>
      <c r="AM8" s="6" t="s">
        <v>17</v>
      </c>
      <c r="AN8" s="6" t="s">
        <v>17</v>
      </c>
      <c r="AO8" s="6" t="s">
        <v>17</v>
      </c>
      <c r="AP8" s="6" t="s">
        <v>17</v>
      </c>
      <c r="AQ8" s="6" t="s">
        <v>17</v>
      </c>
      <c r="AR8" s="6" t="s">
        <v>17</v>
      </c>
      <c r="AS8" s="6" t="s">
        <v>17</v>
      </c>
      <c r="AT8" s="6" t="s">
        <v>17</v>
      </c>
      <c r="AU8" s="6" t="s">
        <v>17</v>
      </c>
      <c r="AV8" s="6" t="s">
        <v>17</v>
      </c>
      <c r="AW8" s="6" t="s">
        <v>17</v>
      </c>
      <c r="AX8" s="6" t="s">
        <v>17</v>
      </c>
      <c r="AY8" s="6" t="s">
        <v>17</v>
      </c>
      <c r="AZ8" s="6" t="s">
        <v>17</v>
      </c>
      <c r="BA8" s="4"/>
    </row>
    <row r="9" spans="1:61" ht="14.95" customHeight="1" thickBot="1" x14ac:dyDescent="0.3">
      <c r="A9" s="323" t="s">
        <v>729</v>
      </c>
      <c r="B9" s="329">
        <v>0</v>
      </c>
      <c r="C9" s="383">
        <v>0</v>
      </c>
      <c r="D9" s="384">
        <v>2</v>
      </c>
      <c r="E9" s="332">
        <f t="shared" si="0"/>
        <v>2</v>
      </c>
      <c r="F9" s="311" t="s">
        <v>729</v>
      </c>
      <c r="G9" s="137">
        <v>0</v>
      </c>
      <c r="H9" s="338">
        <v>0</v>
      </c>
      <c r="I9" s="216">
        <v>10</v>
      </c>
      <c r="J9" s="138">
        <f t="shared" si="1"/>
        <v>10</v>
      </c>
      <c r="K9" s="324" t="s">
        <v>441</v>
      </c>
      <c r="L9" s="375" t="s">
        <v>17</v>
      </c>
      <c r="M9" s="375" t="s">
        <v>17</v>
      </c>
      <c r="N9" s="376" t="s">
        <v>17</v>
      </c>
      <c r="O9" s="375" t="s">
        <v>17</v>
      </c>
      <c r="P9" s="375" t="s">
        <v>17</v>
      </c>
      <c r="Q9" s="376" t="s">
        <v>17</v>
      </c>
      <c r="R9" s="328" t="s">
        <v>22</v>
      </c>
      <c r="S9" s="328">
        <v>1</v>
      </c>
      <c r="T9" s="6" t="s">
        <v>17</v>
      </c>
      <c r="U9" s="6" t="s">
        <v>17</v>
      </c>
      <c r="V9" s="159" t="s">
        <v>17</v>
      </c>
      <c r="W9" s="6" t="s">
        <v>17</v>
      </c>
      <c r="X9" s="6" t="s">
        <v>17</v>
      </c>
      <c r="Y9" s="159" t="s">
        <v>17</v>
      </c>
      <c r="Z9" s="94"/>
      <c r="AA9" s="95"/>
      <c r="AB9" s="95"/>
      <c r="AC9" s="6" t="s">
        <v>17</v>
      </c>
      <c r="AD9" s="6" t="s">
        <v>17</v>
      </c>
      <c r="AE9" s="159" t="s">
        <v>17</v>
      </c>
      <c r="AF9" s="6" t="s">
        <v>17</v>
      </c>
      <c r="AG9" s="6" t="s">
        <v>17</v>
      </c>
      <c r="AH9" s="159" t="s">
        <v>17</v>
      </c>
      <c r="AI9" s="6" t="s">
        <v>17</v>
      </c>
      <c r="AJ9" s="6" t="s">
        <v>17</v>
      </c>
      <c r="AK9" s="159" t="s">
        <v>17</v>
      </c>
      <c r="AL9" s="6" t="s">
        <v>17</v>
      </c>
      <c r="AM9" s="6" t="s">
        <v>17</v>
      </c>
      <c r="AN9" s="159" t="s">
        <v>17</v>
      </c>
      <c r="AO9" s="6" t="s">
        <v>17</v>
      </c>
      <c r="AP9" s="6" t="s">
        <v>17</v>
      </c>
      <c r="AQ9" s="159" t="s">
        <v>17</v>
      </c>
      <c r="AR9" s="6" t="s">
        <v>17</v>
      </c>
      <c r="AS9" s="6" t="s">
        <v>17</v>
      </c>
      <c r="AT9" s="159" t="s">
        <v>17</v>
      </c>
      <c r="AU9" s="6" t="s">
        <v>17</v>
      </c>
      <c r="AV9" s="6" t="s">
        <v>17</v>
      </c>
      <c r="AW9" s="159" t="s">
        <v>17</v>
      </c>
      <c r="AX9" s="6" t="s">
        <v>17</v>
      </c>
      <c r="AY9" s="6" t="s">
        <v>17</v>
      </c>
      <c r="AZ9" s="159" t="s">
        <v>17</v>
      </c>
    </row>
    <row r="10" spans="1:61" ht="14.95" customHeight="1" thickBot="1" x14ac:dyDescent="0.3">
      <c r="A10" s="323" t="s">
        <v>255</v>
      </c>
      <c r="B10" s="329">
        <v>1</v>
      </c>
      <c r="C10" s="383">
        <v>0</v>
      </c>
      <c r="D10" s="384">
        <v>1</v>
      </c>
      <c r="E10" s="332">
        <f t="shared" si="0"/>
        <v>2</v>
      </c>
      <c r="F10" s="311" t="s">
        <v>255</v>
      </c>
      <c r="G10" s="137">
        <v>40</v>
      </c>
      <c r="H10" s="338">
        <v>14</v>
      </c>
      <c r="I10" s="216">
        <v>13</v>
      </c>
      <c r="J10" s="138">
        <f t="shared" si="1"/>
        <v>67</v>
      </c>
      <c r="K10" s="324" t="s">
        <v>497</v>
      </c>
      <c r="L10" s="375">
        <v>55</v>
      </c>
      <c r="M10" s="375">
        <v>75</v>
      </c>
      <c r="N10" s="376">
        <f t="shared" ref="N10:N11" si="5">(L10/M10)*100</f>
        <v>73.333333333333329</v>
      </c>
      <c r="O10" s="375">
        <v>3</v>
      </c>
      <c r="P10" s="375">
        <v>3</v>
      </c>
      <c r="Q10" s="376">
        <f t="shared" ref="Q10" si="6">(O10/P10)*100</f>
        <v>100</v>
      </c>
      <c r="R10" s="328">
        <v>6</v>
      </c>
      <c r="S10" s="328">
        <v>6</v>
      </c>
      <c r="T10" s="6">
        <v>34</v>
      </c>
      <c r="U10" s="154">
        <v>41</v>
      </c>
      <c r="V10" s="159">
        <v>82.926829268292678</v>
      </c>
      <c r="W10" s="6">
        <v>42</v>
      </c>
      <c r="X10" s="154">
        <v>53</v>
      </c>
      <c r="Y10" s="159">
        <v>79.245283018867923</v>
      </c>
      <c r="Z10" s="94"/>
      <c r="AA10" s="95"/>
      <c r="AB10" s="95"/>
      <c r="AC10" s="6">
        <v>38</v>
      </c>
      <c r="AD10" s="154">
        <v>53</v>
      </c>
      <c r="AE10" s="159">
        <v>71.698113207547166</v>
      </c>
      <c r="AF10" s="6">
        <v>71</v>
      </c>
      <c r="AG10" s="154">
        <v>87</v>
      </c>
      <c r="AH10" s="159">
        <v>81.609195402298852</v>
      </c>
      <c r="AI10" s="6">
        <v>27</v>
      </c>
      <c r="AJ10" s="154">
        <v>34</v>
      </c>
      <c r="AK10" s="159">
        <v>79.411764705882348</v>
      </c>
      <c r="AL10" s="6">
        <v>40</v>
      </c>
      <c r="AM10" s="154">
        <v>48</v>
      </c>
      <c r="AN10" s="7">
        <v>83</v>
      </c>
      <c r="AO10" s="6">
        <v>58</v>
      </c>
      <c r="AP10" s="154">
        <v>69</v>
      </c>
      <c r="AQ10" s="154">
        <v>84</v>
      </c>
      <c r="AR10" s="6">
        <v>40</v>
      </c>
      <c r="AS10" s="154">
        <v>48</v>
      </c>
      <c r="AT10" s="6">
        <v>83</v>
      </c>
      <c r="AU10" s="6" t="s">
        <v>17</v>
      </c>
      <c r="AV10" s="154" t="s">
        <v>17</v>
      </c>
      <c r="AW10" s="154" t="s">
        <v>17</v>
      </c>
      <c r="AX10" s="6" t="s">
        <v>17</v>
      </c>
      <c r="AY10" s="154" t="s">
        <v>17</v>
      </c>
      <c r="AZ10" s="154" t="s">
        <v>17</v>
      </c>
    </row>
    <row r="11" spans="1:61" ht="14.95" customHeight="1" thickBot="1" x14ac:dyDescent="0.3">
      <c r="A11" s="323" t="s">
        <v>222</v>
      </c>
      <c r="B11" s="329">
        <v>1</v>
      </c>
      <c r="C11" s="383">
        <v>0</v>
      </c>
      <c r="D11" s="384">
        <v>3</v>
      </c>
      <c r="E11" s="332">
        <f t="shared" si="0"/>
        <v>4</v>
      </c>
      <c r="F11" s="311" t="s">
        <v>222</v>
      </c>
      <c r="G11" s="137">
        <v>5</v>
      </c>
      <c r="H11" s="338">
        <v>0</v>
      </c>
      <c r="I11" s="216">
        <v>15</v>
      </c>
      <c r="J11" s="138">
        <f t="shared" si="1"/>
        <v>20</v>
      </c>
      <c r="K11" s="377" t="s">
        <v>5</v>
      </c>
      <c r="L11" s="375">
        <v>1</v>
      </c>
      <c r="M11" s="375">
        <v>1</v>
      </c>
      <c r="N11" s="376">
        <f t="shared" si="5"/>
        <v>100</v>
      </c>
      <c r="O11" s="375" t="s">
        <v>17</v>
      </c>
      <c r="P11" s="375" t="s">
        <v>17</v>
      </c>
      <c r="Q11" s="376" t="s">
        <v>17</v>
      </c>
      <c r="R11" s="378">
        <v>6</v>
      </c>
      <c r="S11" s="378">
        <v>6</v>
      </c>
      <c r="T11" s="6">
        <v>15</v>
      </c>
      <c r="U11" s="6">
        <v>20</v>
      </c>
      <c r="V11" s="159">
        <v>75</v>
      </c>
      <c r="W11" s="6">
        <v>12</v>
      </c>
      <c r="X11" s="6">
        <v>18</v>
      </c>
      <c r="Y11" s="159">
        <v>66.666666666666657</v>
      </c>
      <c r="Z11" s="94"/>
      <c r="AA11" s="95"/>
      <c r="AB11" s="95"/>
      <c r="AC11" s="6" t="s">
        <v>17</v>
      </c>
      <c r="AD11" s="6" t="s">
        <v>17</v>
      </c>
      <c r="AE11" s="159" t="s">
        <v>17</v>
      </c>
      <c r="AF11" s="6" t="s">
        <v>17</v>
      </c>
      <c r="AG11" s="6" t="s">
        <v>17</v>
      </c>
      <c r="AH11" s="6" t="s">
        <v>17</v>
      </c>
      <c r="AI11" s="6" t="s">
        <v>17</v>
      </c>
      <c r="AJ11" s="6" t="s">
        <v>17</v>
      </c>
      <c r="AK11" s="6" t="s">
        <v>17</v>
      </c>
      <c r="AL11" s="6" t="s">
        <v>17</v>
      </c>
      <c r="AM11" s="6" t="s">
        <v>17</v>
      </c>
      <c r="AN11" s="6" t="s">
        <v>17</v>
      </c>
      <c r="AO11" s="6" t="s">
        <v>17</v>
      </c>
      <c r="AP11" s="154" t="s">
        <v>17</v>
      </c>
      <c r="AQ11" s="154" t="s">
        <v>17</v>
      </c>
      <c r="AR11" s="6" t="s">
        <v>17</v>
      </c>
      <c r="AS11" s="154" t="s">
        <v>17</v>
      </c>
      <c r="AT11" s="6" t="s">
        <v>17</v>
      </c>
      <c r="AU11" s="6" t="s">
        <v>17</v>
      </c>
      <c r="AV11" s="154" t="s">
        <v>17</v>
      </c>
      <c r="AW11" s="154" t="s">
        <v>17</v>
      </c>
      <c r="AX11" s="6" t="s">
        <v>17</v>
      </c>
      <c r="AY11" s="154" t="s">
        <v>17</v>
      </c>
      <c r="AZ11" s="154" t="s">
        <v>17</v>
      </c>
      <c r="BA11" s="4"/>
      <c r="BB11" s="4"/>
      <c r="BC11" s="4"/>
    </row>
    <row r="12" spans="1:61" ht="14.95" customHeight="1" thickBot="1" x14ac:dyDescent="0.3">
      <c r="A12" s="323" t="s">
        <v>564</v>
      </c>
      <c r="B12" s="329">
        <v>0</v>
      </c>
      <c r="C12" s="383">
        <v>0</v>
      </c>
      <c r="D12" s="384">
        <v>0</v>
      </c>
      <c r="E12" s="332">
        <f t="shared" si="0"/>
        <v>0</v>
      </c>
      <c r="F12" s="311" t="s">
        <v>564</v>
      </c>
      <c r="G12" s="137">
        <v>0</v>
      </c>
      <c r="H12" s="338">
        <v>0</v>
      </c>
      <c r="I12" s="216">
        <v>0</v>
      </c>
      <c r="J12" s="138">
        <f t="shared" si="1"/>
        <v>0</v>
      </c>
      <c r="K12" s="377" t="s">
        <v>501</v>
      </c>
      <c r="L12" s="375">
        <v>5</v>
      </c>
      <c r="M12" s="328">
        <v>6</v>
      </c>
      <c r="N12" s="376">
        <f t="shared" ref="N12" si="7">(L12/M12)*100</f>
        <v>83.333333333333343</v>
      </c>
      <c r="O12" s="375" t="s">
        <v>17</v>
      </c>
      <c r="P12" s="375" t="s">
        <v>17</v>
      </c>
      <c r="Q12" s="376" t="s">
        <v>17</v>
      </c>
      <c r="R12" s="378">
        <v>3</v>
      </c>
      <c r="S12" s="378">
        <v>4</v>
      </c>
      <c r="T12" s="6" t="s">
        <v>17</v>
      </c>
      <c r="U12" s="6" t="s">
        <v>17</v>
      </c>
      <c r="V12" s="159" t="s">
        <v>17</v>
      </c>
      <c r="W12" s="6" t="s">
        <v>17</v>
      </c>
      <c r="X12" s="6" t="s">
        <v>17</v>
      </c>
      <c r="Y12" s="159" t="s">
        <v>17</v>
      </c>
      <c r="Z12" s="94"/>
      <c r="AA12" s="95"/>
      <c r="AB12" s="95"/>
      <c r="AC12" s="6" t="s">
        <v>17</v>
      </c>
      <c r="AD12" s="6" t="s">
        <v>17</v>
      </c>
      <c r="AE12" s="159" t="s">
        <v>17</v>
      </c>
      <c r="AF12" s="6" t="s">
        <v>17</v>
      </c>
      <c r="AG12" s="6" t="s">
        <v>17</v>
      </c>
      <c r="AH12" s="6" t="s">
        <v>17</v>
      </c>
      <c r="AI12" s="6" t="s">
        <v>17</v>
      </c>
      <c r="AJ12" s="6" t="s">
        <v>17</v>
      </c>
      <c r="AK12" s="6" t="s">
        <v>17</v>
      </c>
      <c r="AL12" s="6" t="s">
        <v>17</v>
      </c>
      <c r="AM12" s="6" t="s">
        <v>17</v>
      </c>
      <c r="AN12" s="6" t="s">
        <v>17</v>
      </c>
      <c r="AO12" s="6" t="s">
        <v>17</v>
      </c>
      <c r="AP12" s="154" t="s">
        <v>17</v>
      </c>
      <c r="AQ12" s="154" t="s">
        <v>17</v>
      </c>
      <c r="AR12" s="6" t="s">
        <v>17</v>
      </c>
      <c r="AS12" s="154" t="s">
        <v>17</v>
      </c>
      <c r="AT12" s="6" t="s">
        <v>17</v>
      </c>
      <c r="AU12" s="6" t="s">
        <v>17</v>
      </c>
      <c r="AV12" s="154" t="s">
        <v>17</v>
      </c>
      <c r="AW12" s="154" t="s">
        <v>17</v>
      </c>
      <c r="AX12" s="6" t="s">
        <v>17</v>
      </c>
      <c r="AY12" s="154" t="s">
        <v>17</v>
      </c>
      <c r="AZ12" s="154" t="s">
        <v>17</v>
      </c>
      <c r="BA12" s="4"/>
      <c r="BB12" s="4"/>
      <c r="BC12" s="4"/>
    </row>
    <row r="13" spans="1:61" ht="14.95" customHeight="1" thickBot="1" x14ac:dyDescent="0.3">
      <c r="A13" s="323" t="s">
        <v>706</v>
      </c>
      <c r="B13" s="329">
        <v>0</v>
      </c>
      <c r="C13" s="383">
        <v>0</v>
      </c>
      <c r="D13" s="384">
        <v>0</v>
      </c>
      <c r="E13" s="332">
        <f t="shared" si="0"/>
        <v>0</v>
      </c>
      <c r="F13" s="311" t="s">
        <v>706</v>
      </c>
      <c r="G13" s="137">
        <v>0</v>
      </c>
      <c r="H13" s="338">
        <v>0</v>
      </c>
      <c r="I13" s="216">
        <v>0</v>
      </c>
      <c r="J13" s="138">
        <f t="shared" si="1"/>
        <v>0</v>
      </c>
      <c r="K13" s="102"/>
      <c r="L13" s="57"/>
      <c r="M13" s="101"/>
      <c r="N13" s="101"/>
      <c r="O13" s="101"/>
      <c r="P13" s="101"/>
      <c r="Q13" s="101"/>
      <c r="R13" s="161"/>
      <c r="S13" s="161"/>
      <c r="T13" s="151"/>
      <c r="U13" s="151"/>
      <c r="V13" s="151"/>
      <c r="W13" s="151"/>
      <c r="X13" s="152"/>
      <c r="Y13" s="152"/>
      <c r="Z13" s="87"/>
      <c r="AA13" s="87"/>
      <c r="AB13" s="87"/>
      <c r="AC13" s="87"/>
      <c r="AD13" s="87"/>
      <c r="AE13" s="87"/>
      <c r="AF13" s="174"/>
      <c r="AG13" s="172"/>
      <c r="AH13" s="172"/>
      <c r="AI13" s="174"/>
      <c r="AJ13" s="172"/>
      <c r="AK13" s="174"/>
      <c r="AT13" s="4"/>
    </row>
    <row r="14" spans="1:61" ht="14.95" customHeight="1" thickBot="1" x14ac:dyDescent="0.3">
      <c r="A14" s="323" t="s">
        <v>714</v>
      </c>
      <c r="B14" s="329">
        <v>0</v>
      </c>
      <c r="C14" s="383">
        <v>0</v>
      </c>
      <c r="D14" s="384">
        <v>0</v>
      </c>
      <c r="E14" s="332">
        <f t="shared" si="0"/>
        <v>0</v>
      </c>
      <c r="F14" s="311" t="s">
        <v>714</v>
      </c>
      <c r="G14" s="137">
        <v>0</v>
      </c>
      <c r="H14" s="338">
        <v>0</v>
      </c>
      <c r="I14" s="216">
        <v>0</v>
      </c>
      <c r="J14" s="138">
        <f t="shared" si="1"/>
        <v>0</v>
      </c>
      <c r="K14" s="463" t="s">
        <v>226</v>
      </c>
      <c r="L14" s="501" t="s">
        <v>16</v>
      </c>
      <c r="M14" s="502"/>
      <c r="N14" s="503"/>
      <c r="O14" s="469" t="s">
        <v>267</v>
      </c>
      <c r="P14" s="470"/>
      <c r="Q14" s="471"/>
      <c r="R14" s="469" t="s">
        <v>698</v>
      </c>
      <c r="S14" s="470"/>
      <c r="T14" s="471"/>
      <c r="U14" s="469" t="s">
        <v>562</v>
      </c>
      <c r="V14" s="470"/>
      <c r="W14" s="471"/>
      <c r="X14" s="86"/>
      <c r="Y14" s="86"/>
      <c r="Z14" s="86"/>
      <c r="AC14" s="469" t="s">
        <v>463</v>
      </c>
      <c r="AD14" s="470"/>
      <c r="AE14" s="471"/>
      <c r="AF14" s="469" t="s">
        <v>355</v>
      </c>
      <c r="AG14" s="470"/>
      <c r="AH14" s="471"/>
      <c r="AI14" s="457" t="s">
        <v>260</v>
      </c>
      <c r="AJ14" s="458"/>
      <c r="AK14" s="459"/>
      <c r="AL14" s="469" t="s">
        <v>92</v>
      </c>
      <c r="AM14" s="470"/>
      <c r="AN14" s="471"/>
      <c r="AO14" s="469" t="s">
        <v>63</v>
      </c>
      <c r="AP14" s="491"/>
      <c r="AQ14" s="492"/>
      <c r="AR14" s="469" t="s">
        <v>59</v>
      </c>
      <c r="AS14" s="491"/>
      <c r="AT14" s="492"/>
      <c r="AU14" s="469" t="s">
        <v>45</v>
      </c>
      <c r="AV14" s="491"/>
      <c r="AW14" s="492"/>
    </row>
    <row r="15" spans="1:61" ht="14.95" customHeight="1" thickBot="1" x14ac:dyDescent="0.3">
      <c r="A15" s="323" t="s">
        <v>737</v>
      </c>
      <c r="B15" s="329">
        <v>0</v>
      </c>
      <c r="C15" s="383">
        <v>0</v>
      </c>
      <c r="D15" s="384">
        <v>0</v>
      </c>
      <c r="E15" s="332">
        <f t="shared" si="0"/>
        <v>0</v>
      </c>
      <c r="F15" s="311" t="s">
        <v>737</v>
      </c>
      <c r="G15" s="137">
        <v>0</v>
      </c>
      <c r="H15" s="338">
        <v>0</v>
      </c>
      <c r="I15" s="216">
        <v>0</v>
      </c>
      <c r="J15" s="138">
        <f t="shared" si="1"/>
        <v>0</v>
      </c>
      <c r="K15" s="464"/>
      <c r="L15" s="504"/>
      <c r="M15" s="505"/>
      <c r="N15" s="506"/>
      <c r="O15" s="472"/>
      <c r="P15" s="473"/>
      <c r="Q15" s="474"/>
      <c r="R15" s="472"/>
      <c r="S15" s="473"/>
      <c r="T15" s="474"/>
      <c r="U15" s="472"/>
      <c r="V15" s="473"/>
      <c r="W15" s="474"/>
      <c r="X15" s="86"/>
      <c r="Y15" s="86"/>
      <c r="Z15" s="86"/>
      <c r="AC15" s="472"/>
      <c r="AD15" s="473"/>
      <c r="AE15" s="474"/>
      <c r="AF15" s="472"/>
      <c r="AG15" s="473"/>
      <c r="AH15" s="474"/>
      <c r="AI15" s="460"/>
      <c r="AJ15" s="461"/>
      <c r="AK15" s="462"/>
      <c r="AL15" s="472"/>
      <c r="AM15" s="473"/>
      <c r="AN15" s="474"/>
      <c r="AO15" s="493"/>
      <c r="AP15" s="494"/>
      <c r="AQ15" s="495"/>
      <c r="AR15" s="493"/>
      <c r="AS15" s="494"/>
      <c r="AT15" s="495"/>
      <c r="AU15" s="493"/>
      <c r="AV15" s="494"/>
      <c r="AW15" s="495"/>
      <c r="AZ15" s="4"/>
    </row>
    <row r="16" spans="1:61" ht="14.95" customHeight="1" thickBot="1" x14ac:dyDescent="0.3">
      <c r="A16" s="323" t="s">
        <v>708</v>
      </c>
      <c r="B16" s="329">
        <v>0</v>
      </c>
      <c r="C16" s="383">
        <v>0</v>
      </c>
      <c r="D16" s="384">
        <v>0</v>
      </c>
      <c r="E16" s="332">
        <f t="shared" si="0"/>
        <v>0</v>
      </c>
      <c r="F16" s="311" t="s">
        <v>708</v>
      </c>
      <c r="G16" s="137">
        <v>0</v>
      </c>
      <c r="H16" s="338">
        <v>0</v>
      </c>
      <c r="I16" s="216">
        <v>0</v>
      </c>
      <c r="J16" s="138">
        <f t="shared" si="1"/>
        <v>0</v>
      </c>
      <c r="K16" s="265" t="s">
        <v>25</v>
      </c>
      <c r="L16" s="258" t="s">
        <v>55</v>
      </c>
      <c r="M16" s="258" t="s">
        <v>11</v>
      </c>
      <c r="N16" s="258" t="s">
        <v>12</v>
      </c>
      <c r="O16" s="7" t="s">
        <v>55</v>
      </c>
      <c r="P16" s="7" t="s">
        <v>11</v>
      </c>
      <c r="Q16" s="7" t="s">
        <v>12</v>
      </c>
      <c r="R16" s="7" t="s">
        <v>55</v>
      </c>
      <c r="S16" s="7" t="s">
        <v>11</v>
      </c>
      <c r="T16" s="7" t="s">
        <v>12</v>
      </c>
      <c r="U16" s="7" t="s">
        <v>55</v>
      </c>
      <c r="V16" s="7" t="s">
        <v>11</v>
      </c>
      <c r="W16" s="7" t="s">
        <v>12</v>
      </c>
      <c r="AC16" s="150" t="s">
        <v>55</v>
      </c>
      <c r="AD16" s="7" t="s">
        <v>11</v>
      </c>
      <c r="AE16" s="7" t="s">
        <v>12</v>
      </c>
      <c r="AF16" s="150" t="s">
        <v>55</v>
      </c>
      <c r="AG16" s="7" t="s">
        <v>11</v>
      </c>
      <c r="AH16" s="7" t="s">
        <v>12</v>
      </c>
      <c r="AI16" s="85" t="s">
        <v>55</v>
      </c>
      <c r="AJ16" s="80" t="s">
        <v>11</v>
      </c>
      <c r="AK16" s="80" t="s">
        <v>12</v>
      </c>
      <c r="AL16" s="150" t="s">
        <v>55</v>
      </c>
      <c r="AM16" s="7" t="s">
        <v>11</v>
      </c>
      <c r="AN16" s="7" t="s">
        <v>12</v>
      </c>
      <c r="AO16" s="6" t="s">
        <v>55</v>
      </c>
      <c r="AP16" s="6" t="s">
        <v>11</v>
      </c>
      <c r="AQ16" s="6" t="s">
        <v>12</v>
      </c>
      <c r="AR16" s="6" t="s">
        <v>55</v>
      </c>
      <c r="AS16" s="6" t="s">
        <v>11</v>
      </c>
      <c r="AT16" s="6" t="s">
        <v>12</v>
      </c>
      <c r="AU16" s="6" t="s">
        <v>55</v>
      </c>
      <c r="AV16" s="6" t="s">
        <v>11</v>
      </c>
      <c r="AW16" s="6" t="s">
        <v>12</v>
      </c>
    </row>
    <row r="17" spans="1:54" ht="14.95" customHeight="1" thickBot="1" x14ac:dyDescent="0.3">
      <c r="A17" s="323" t="s">
        <v>627</v>
      </c>
      <c r="B17" s="329">
        <v>1</v>
      </c>
      <c r="C17" s="383">
        <v>1</v>
      </c>
      <c r="D17" s="384">
        <v>0</v>
      </c>
      <c r="E17" s="332">
        <f t="shared" si="0"/>
        <v>2</v>
      </c>
      <c r="F17" s="311" t="s">
        <v>627</v>
      </c>
      <c r="G17" s="137">
        <v>5</v>
      </c>
      <c r="H17" s="338">
        <v>5</v>
      </c>
      <c r="I17" s="216">
        <v>0</v>
      </c>
      <c r="J17" s="138">
        <f t="shared" si="1"/>
        <v>10</v>
      </c>
      <c r="K17" s="324" t="s">
        <v>1158</v>
      </c>
      <c r="L17" s="375">
        <v>7</v>
      </c>
      <c r="M17" s="328">
        <v>8</v>
      </c>
      <c r="N17" s="376">
        <f t="shared" ref="N17:N18" si="8">(L17/M17)*100</f>
        <v>87.5</v>
      </c>
      <c r="O17" s="7">
        <v>5</v>
      </c>
      <c r="P17" s="7">
        <v>6</v>
      </c>
      <c r="Q17" s="155">
        <v>83.333333333333343</v>
      </c>
      <c r="R17" s="7">
        <v>6</v>
      </c>
      <c r="S17" s="7">
        <v>7</v>
      </c>
      <c r="T17" s="155">
        <v>85.714285714285708</v>
      </c>
      <c r="U17" s="7" t="s">
        <v>17</v>
      </c>
      <c r="V17" s="7" t="s">
        <v>17</v>
      </c>
      <c r="W17" s="155" t="s">
        <v>17</v>
      </c>
      <c r="AC17" s="6">
        <v>2</v>
      </c>
      <c r="AD17" s="154">
        <v>3</v>
      </c>
      <c r="AE17" s="159">
        <v>66.666666666666657</v>
      </c>
      <c r="AF17" s="6" t="s">
        <v>17</v>
      </c>
      <c r="AG17" s="154" t="s">
        <v>17</v>
      </c>
      <c r="AH17" s="159" t="s">
        <v>17</v>
      </c>
      <c r="AI17" s="6" t="s">
        <v>17</v>
      </c>
      <c r="AJ17" s="154" t="s">
        <v>17</v>
      </c>
      <c r="AK17" s="159" t="s">
        <v>17</v>
      </c>
      <c r="AL17" s="6" t="s">
        <v>17</v>
      </c>
      <c r="AM17" s="154" t="s">
        <v>17</v>
      </c>
      <c r="AN17" s="159" t="s">
        <v>17</v>
      </c>
      <c r="AO17" s="6" t="s">
        <v>17</v>
      </c>
      <c r="AP17" s="154" t="s">
        <v>17</v>
      </c>
      <c r="AQ17" s="159" t="s">
        <v>17</v>
      </c>
      <c r="AR17" s="6" t="s">
        <v>17</v>
      </c>
      <c r="AS17" s="154" t="s">
        <v>17</v>
      </c>
      <c r="AT17" s="159" t="s">
        <v>17</v>
      </c>
      <c r="AU17" s="6" t="s">
        <v>17</v>
      </c>
      <c r="AV17" s="154" t="s">
        <v>17</v>
      </c>
      <c r="AW17" s="159" t="s">
        <v>17</v>
      </c>
    </row>
    <row r="18" spans="1:54" ht="14.95" customHeight="1" thickBot="1" x14ac:dyDescent="0.3">
      <c r="A18" s="323" t="s">
        <v>1009</v>
      </c>
      <c r="B18" s="329">
        <v>0</v>
      </c>
      <c r="C18" s="383">
        <v>0</v>
      </c>
      <c r="D18" s="384">
        <v>3</v>
      </c>
      <c r="E18" s="332">
        <f t="shared" si="0"/>
        <v>3</v>
      </c>
      <c r="F18" s="311" t="s">
        <v>1009</v>
      </c>
      <c r="G18" s="137">
        <v>0</v>
      </c>
      <c r="H18" s="338">
        <v>0</v>
      </c>
      <c r="I18" s="216">
        <v>21</v>
      </c>
      <c r="J18" s="138">
        <f t="shared" si="1"/>
        <v>21</v>
      </c>
      <c r="K18" s="324" t="s">
        <v>680</v>
      </c>
      <c r="L18" s="332">
        <v>1</v>
      </c>
      <c r="M18" s="332">
        <v>2</v>
      </c>
      <c r="N18" s="332">
        <f t="shared" si="8"/>
        <v>50</v>
      </c>
      <c r="O18" s="6" t="s">
        <v>17</v>
      </c>
      <c r="P18" s="154" t="s">
        <v>17</v>
      </c>
      <c r="Q18" s="159" t="s">
        <v>17</v>
      </c>
      <c r="R18" s="6" t="s">
        <v>17</v>
      </c>
      <c r="S18" s="154" t="s">
        <v>17</v>
      </c>
      <c r="T18" s="159" t="s">
        <v>17</v>
      </c>
      <c r="U18" s="6" t="s">
        <v>17</v>
      </c>
      <c r="V18" s="154" t="s">
        <v>17</v>
      </c>
      <c r="W18" s="159" t="s">
        <v>17</v>
      </c>
      <c r="AC18" s="6" t="s">
        <v>17</v>
      </c>
      <c r="AD18" s="154" t="s">
        <v>17</v>
      </c>
      <c r="AE18" s="159" t="s">
        <v>17</v>
      </c>
      <c r="AF18" s="6" t="s">
        <v>17</v>
      </c>
      <c r="AG18" s="154" t="s">
        <v>17</v>
      </c>
      <c r="AH18" s="159" t="s">
        <v>17</v>
      </c>
      <c r="AI18" s="6" t="s">
        <v>17</v>
      </c>
      <c r="AJ18" s="154" t="s">
        <v>17</v>
      </c>
      <c r="AK18" s="159" t="s">
        <v>17</v>
      </c>
      <c r="AL18" s="6" t="s">
        <v>17</v>
      </c>
      <c r="AM18" s="154" t="s">
        <v>17</v>
      </c>
      <c r="AN18" s="159" t="s">
        <v>17</v>
      </c>
      <c r="AO18" s="6" t="s">
        <v>17</v>
      </c>
      <c r="AP18" s="154" t="s">
        <v>17</v>
      </c>
      <c r="AQ18" s="159" t="s">
        <v>17</v>
      </c>
      <c r="AR18" s="6" t="s">
        <v>17</v>
      </c>
      <c r="AS18" s="154" t="s">
        <v>17</v>
      </c>
      <c r="AT18" s="159" t="s">
        <v>17</v>
      </c>
      <c r="AU18" s="6" t="s">
        <v>17</v>
      </c>
      <c r="AV18" s="154" t="s">
        <v>17</v>
      </c>
      <c r="AW18" s="159" t="s">
        <v>17</v>
      </c>
    </row>
    <row r="19" spans="1:54" ht="14.95" customHeight="1" thickBot="1" x14ac:dyDescent="0.3">
      <c r="A19" s="323" t="s">
        <v>943</v>
      </c>
      <c r="B19" s="329">
        <v>1</v>
      </c>
      <c r="C19" s="383">
        <v>0</v>
      </c>
      <c r="D19" s="384">
        <v>1</v>
      </c>
      <c r="E19" s="332">
        <f t="shared" si="0"/>
        <v>2</v>
      </c>
      <c r="F19" s="311" t="s">
        <v>943</v>
      </c>
      <c r="G19" s="137">
        <v>5</v>
      </c>
      <c r="H19" s="338">
        <v>0</v>
      </c>
      <c r="I19" s="216">
        <v>5</v>
      </c>
      <c r="J19" s="138">
        <f t="shared" si="1"/>
        <v>10</v>
      </c>
      <c r="K19" s="324" t="s">
        <v>497</v>
      </c>
      <c r="L19" s="375" t="s">
        <v>17</v>
      </c>
      <c r="M19" s="328" t="s">
        <v>17</v>
      </c>
      <c r="N19" s="376" t="s">
        <v>17</v>
      </c>
      <c r="O19" s="6">
        <v>2</v>
      </c>
      <c r="P19" s="154">
        <v>4</v>
      </c>
      <c r="Q19" s="159">
        <v>50</v>
      </c>
      <c r="R19" s="6" t="s">
        <v>17</v>
      </c>
      <c r="S19" s="154" t="s">
        <v>17</v>
      </c>
      <c r="T19" s="159" t="s">
        <v>17</v>
      </c>
      <c r="U19" s="7">
        <v>7</v>
      </c>
      <c r="V19" s="7">
        <v>7</v>
      </c>
      <c r="W19" s="155">
        <f t="shared" ref="W19" si="9">SUM(U19/V19)*100</f>
        <v>100</v>
      </c>
      <c r="AC19" s="150">
        <v>17</v>
      </c>
      <c r="AD19" s="7">
        <v>20</v>
      </c>
      <c r="AE19" s="155">
        <f t="shared" ref="AE19" si="10">SUM(AC19/AD19)*100</f>
        <v>85</v>
      </c>
      <c r="AF19" s="150">
        <v>9</v>
      </c>
      <c r="AG19" s="7">
        <v>12</v>
      </c>
      <c r="AH19" s="155">
        <f t="shared" ref="AH19" si="11">SUM(AF19/AG19)*100</f>
        <v>75</v>
      </c>
      <c r="AI19" s="150" t="s">
        <v>17</v>
      </c>
      <c r="AJ19" s="7" t="s">
        <v>17</v>
      </c>
      <c r="AK19" s="7" t="s">
        <v>17</v>
      </c>
      <c r="AL19" s="150" t="s">
        <v>17</v>
      </c>
      <c r="AM19" s="7" t="s">
        <v>17</v>
      </c>
      <c r="AN19" s="7" t="s">
        <v>17</v>
      </c>
      <c r="AO19" s="150">
        <v>8</v>
      </c>
      <c r="AP19" s="7">
        <v>10</v>
      </c>
      <c r="AQ19" s="155">
        <f>SUM(AO19/AP19)*100</f>
        <v>80</v>
      </c>
      <c r="AR19" s="6" t="s">
        <v>17</v>
      </c>
      <c r="AS19" s="7" t="s">
        <v>17</v>
      </c>
      <c r="AT19" s="7" t="s">
        <v>17</v>
      </c>
      <c r="AU19" s="150">
        <v>7</v>
      </c>
      <c r="AV19" s="7">
        <v>8</v>
      </c>
      <c r="AW19" s="159">
        <f>SUM(AU19/AV19)*100</f>
        <v>87.5</v>
      </c>
      <c r="AX19" s="87"/>
      <c r="AY19" s="87"/>
      <c r="AZ19" s="87"/>
      <c r="BA19" s="81"/>
      <c r="BB19" s="81"/>
    </row>
    <row r="20" spans="1:54" ht="14.95" customHeight="1" thickBot="1" x14ac:dyDescent="0.3">
      <c r="A20" s="323" t="s">
        <v>61</v>
      </c>
      <c r="B20" s="329">
        <v>0</v>
      </c>
      <c r="C20" s="383">
        <v>0</v>
      </c>
      <c r="D20" s="384">
        <v>0</v>
      </c>
      <c r="E20" s="332">
        <f t="shared" si="0"/>
        <v>0</v>
      </c>
      <c r="F20" s="311" t="s">
        <v>61</v>
      </c>
      <c r="G20" s="137">
        <v>0</v>
      </c>
      <c r="H20" s="338">
        <v>0</v>
      </c>
      <c r="I20" s="216">
        <v>0</v>
      </c>
      <c r="J20" s="138">
        <f t="shared" si="1"/>
        <v>0</v>
      </c>
      <c r="K20" s="324" t="s">
        <v>5</v>
      </c>
      <c r="L20" s="375" t="s">
        <v>17</v>
      </c>
      <c r="M20" s="375" t="s">
        <v>17</v>
      </c>
      <c r="N20" s="376" t="s">
        <v>17</v>
      </c>
      <c r="O20" s="156" t="s">
        <v>17</v>
      </c>
      <c r="P20" s="156" t="s">
        <v>17</v>
      </c>
      <c r="Q20" s="155" t="s">
        <v>17</v>
      </c>
      <c r="R20" s="156" t="s">
        <v>17</v>
      </c>
      <c r="S20" s="156" t="s">
        <v>17</v>
      </c>
      <c r="T20" s="155" t="s">
        <v>17</v>
      </c>
      <c r="U20" s="156" t="s">
        <v>17</v>
      </c>
      <c r="V20" s="156" t="s">
        <v>17</v>
      </c>
      <c r="W20" s="155" t="s">
        <v>17</v>
      </c>
      <c r="AC20" s="6" t="s">
        <v>17</v>
      </c>
      <c r="AD20" s="156" t="s">
        <v>17</v>
      </c>
      <c r="AE20" s="155" t="s">
        <v>17</v>
      </c>
      <c r="AF20" s="156" t="s">
        <v>17</v>
      </c>
      <c r="AG20" s="156" t="s">
        <v>17</v>
      </c>
      <c r="AH20" s="155" t="s">
        <v>17</v>
      </c>
      <c r="AI20" s="156" t="s">
        <v>17</v>
      </c>
      <c r="AJ20" s="156" t="s">
        <v>17</v>
      </c>
      <c r="AK20" s="155" t="s">
        <v>17</v>
      </c>
      <c r="AL20" s="156" t="s">
        <v>17</v>
      </c>
      <c r="AM20" s="156" t="s">
        <v>17</v>
      </c>
      <c r="AN20" s="155" t="s">
        <v>17</v>
      </c>
      <c r="AO20" s="156" t="s">
        <v>17</v>
      </c>
      <c r="AP20" s="156" t="s">
        <v>17</v>
      </c>
      <c r="AQ20" s="155" t="s">
        <v>17</v>
      </c>
      <c r="AR20" s="156" t="s">
        <v>17</v>
      </c>
      <c r="AS20" s="156" t="s">
        <v>17</v>
      </c>
      <c r="AT20" s="155" t="s">
        <v>17</v>
      </c>
      <c r="AU20" s="156" t="s">
        <v>17</v>
      </c>
      <c r="AV20" s="156" t="s">
        <v>17</v>
      </c>
      <c r="AW20" s="155" t="s">
        <v>17</v>
      </c>
    </row>
    <row r="21" spans="1:54" ht="14.95" customHeight="1" thickBot="1" x14ac:dyDescent="0.3">
      <c r="A21" s="323" t="s">
        <v>720</v>
      </c>
      <c r="B21" s="329">
        <v>0</v>
      </c>
      <c r="C21" s="383">
        <v>0</v>
      </c>
      <c r="D21" s="384">
        <v>0</v>
      </c>
      <c r="E21" s="332">
        <f t="shared" si="0"/>
        <v>0</v>
      </c>
      <c r="F21" s="311" t="s">
        <v>720</v>
      </c>
      <c r="G21" s="137">
        <v>0</v>
      </c>
      <c r="H21" s="338">
        <v>0</v>
      </c>
      <c r="I21" s="216">
        <v>0</v>
      </c>
      <c r="J21" s="138">
        <f t="shared" si="1"/>
        <v>0</v>
      </c>
      <c r="K21" s="377" t="s">
        <v>501</v>
      </c>
      <c r="L21" s="375">
        <v>1</v>
      </c>
      <c r="M21" s="375">
        <v>1</v>
      </c>
      <c r="N21" s="376">
        <f t="shared" ref="N21" si="12">(L21/M21)*100</f>
        <v>100</v>
      </c>
      <c r="O21" s="156">
        <v>3</v>
      </c>
      <c r="P21" s="156">
        <v>3</v>
      </c>
      <c r="Q21" s="155">
        <v>100</v>
      </c>
      <c r="R21" s="156" t="s">
        <v>17</v>
      </c>
      <c r="S21" s="156" t="s">
        <v>17</v>
      </c>
      <c r="T21" s="155" t="s">
        <v>17</v>
      </c>
      <c r="U21" s="156" t="s">
        <v>17</v>
      </c>
      <c r="V21" s="156" t="s">
        <v>17</v>
      </c>
      <c r="W21" s="155" t="s">
        <v>17</v>
      </c>
      <c r="AC21" s="6" t="s">
        <v>17</v>
      </c>
      <c r="AD21" s="154" t="s">
        <v>17</v>
      </c>
      <c r="AE21" s="155" t="s">
        <v>17</v>
      </c>
      <c r="AF21" s="6" t="s">
        <v>17</v>
      </c>
      <c r="AG21" s="6" t="s">
        <v>17</v>
      </c>
      <c r="AH21" s="159" t="s">
        <v>17</v>
      </c>
      <c r="AI21" s="6" t="s">
        <v>17</v>
      </c>
      <c r="AJ21" s="6" t="s">
        <v>17</v>
      </c>
      <c r="AK21" s="159" t="s">
        <v>17</v>
      </c>
      <c r="AL21" s="6" t="s">
        <v>17</v>
      </c>
      <c r="AM21" s="6" t="s">
        <v>17</v>
      </c>
      <c r="AN21" s="159" t="s">
        <v>17</v>
      </c>
      <c r="AO21" s="6" t="s">
        <v>17</v>
      </c>
      <c r="AP21" s="6" t="s">
        <v>17</v>
      </c>
      <c r="AQ21" s="159" t="s">
        <v>17</v>
      </c>
      <c r="AR21" s="6" t="s">
        <v>17</v>
      </c>
      <c r="AS21" s="6" t="s">
        <v>17</v>
      </c>
      <c r="AT21" s="155" t="s">
        <v>17</v>
      </c>
      <c r="AU21" s="6" t="s">
        <v>17</v>
      </c>
      <c r="AV21" s="6" t="s">
        <v>17</v>
      </c>
      <c r="AW21" s="155" t="s">
        <v>17</v>
      </c>
    </row>
    <row r="22" spans="1:54" ht="14.95" customHeight="1" thickBot="1" x14ac:dyDescent="0.3">
      <c r="A22" s="323" t="s">
        <v>722</v>
      </c>
      <c r="B22" s="329">
        <v>0</v>
      </c>
      <c r="C22" s="383">
        <v>0</v>
      </c>
      <c r="D22" s="384">
        <v>0</v>
      </c>
      <c r="E22" s="332">
        <f t="shared" si="0"/>
        <v>0</v>
      </c>
      <c r="F22" s="311" t="s">
        <v>722</v>
      </c>
      <c r="G22" s="137">
        <v>0</v>
      </c>
      <c r="H22" s="338">
        <v>0</v>
      </c>
      <c r="I22" s="216">
        <v>0</v>
      </c>
      <c r="J22" s="138">
        <f t="shared" si="1"/>
        <v>0</v>
      </c>
      <c r="K22" t="s">
        <v>25</v>
      </c>
      <c r="O22" s="35"/>
      <c r="P22" s="38"/>
      <c r="Q22" s="38"/>
      <c r="R22" s="38"/>
      <c r="S22" s="38"/>
      <c r="T22" s="38"/>
      <c r="U22" s="38"/>
      <c r="V22" s="38"/>
      <c r="W22" s="38"/>
    </row>
    <row r="23" spans="1:54" ht="14.95" customHeight="1" thickBot="1" x14ac:dyDescent="0.3">
      <c r="A23" s="323" t="s">
        <v>723</v>
      </c>
      <c r="B23" s="329">
        <v>4</v>
      </c>
      <c r="C23" s="383">
        <v>0</v>
      </c>
      <c r="D23" s="384">
        <v>1</v>
      </c>
      <c r="E23" s="332">
        <f t="shared" si="0"/>
        <v>5</v>
      </c>
      <c r="F23" s="311" t="s">
        <v>723</v>
      </c>
      <c r="G23" s="137">
        <v>20</v>
      </c>
      <c r="H23" s="338">
        <v>0</v>
      </c>
      <c r="I23" s="216">
        <v>5</v>
      </c>
      <c r="J23" s="138">
        <f t="shared" si="1"/>
        <v>25</v>
      </c>
      <c r="K23" s="475" t="s">
        <v>227</v>
      </c>
      <c r="L23" s="457" t="s">
        <v>16</v>
      </c>
      <c r="M23" s="458"/>
      <c r="N23" s="459"/>
      <c r="O23" s="469" t="s">
        <v>267</v>
      </c>
      <c r="P23" s="470"/>
      <c r="Q23" s="471"/>
      <c r="R23" s="469" t="s">
        <v>698</v>
      </c>
      <c r="S23" s="470"/>
      <c r="T23" s="471"/>
      <c r="U23" s="469" t="s">
        <v>562</v>
      </c>
      <c r="V23" s="470"/>
      <c r="W23" s="471"/>
      <c r="AC23" s="469" t="s">
        <v>463</v>
      </c>
      <c r="AD23" s="470"/>
      <c r="AE23" s="471"/>
      <c r="AF23" s="469" t="s">
        <v>355</v>
      </c>
      <c r="AG23" s="470"/>
      <c r="AH23" s="471"/>
      <c r="AI23" s="457" t="s">
        <v>260</v>
      </c>
      <c r="AJ23" s="458"/>
      <c r="AK23" s="459"/>
      <c r="AL23" s="469" t="s">
        <v>92</v>
      </c>
      <c r="AM23" s="470"/>
      <c r="AN23" s="471"/>
      <c r="AO23" s="469" t="s">
        <v>63</v>
      </c>
      <c r="AP23" s="491"/>
      <c r="AQ23" s="492"/>
      <c r="AR23" s="469" t="s">
        <v>59</v>
      </c>
      <c r="AS23" s="491"/>
      <c r="AT23" s="492"/>
      <c r="AU23" s="469" t="s">
        <v>45</v>
      </c>
      <c r="AV23" s="491"/>
      <c r="AW23" s="492"/>
    </row>
    <row r="24" spans="1:54" ht="14.95" customHeight="1" thickBot="1" x14ac:dyDescent="0.3">
      <c r="A24" s="323" t="s">
        <v>747</v>
      </c>
      <c r="B24" s="329">
        <v>0</v>
      </c>
      <c r="C24" s="383">
        <v>0</v>
      </c>
      <c r="D24" s="384">
        <v>2</v>
      </c>
      <c r="E24" s="332">
        <f t="shared" si="0"/>
        <v>2</v>
      </c>
      <c r="F24" s="311" t="s">
        <v>747</v>
      </c>
      <c r="G24" s="137">
        <v>0</v>
      </c>
      <c r="H24" s="338">
        <v>0</v>
      </c>
      <c r="I24" s="216">
        <v>10</v>
      </c>
      <c r="J24" s="138">
        <f t="shared" si="1"/>
        <v>10</v>
      </c>
      <c r="K24" s="476"/>
      <c r="L24" s="460"/>
      <c r="M24" s="461"/>
      <c r="N24" s="462"/>
      <c r="O24" s="472"/>
      <c r="P24" s="473"/>
      <c r="Q24" s="474"/>
      <c r="R24" s="472"/>
      <c r="S24" s="473"/>
      <c r="T24" s="474"/>
      <c r="U24" s="472"/>
      <c r="V24" s="473"/>
      <c r="W24" s="474"/>
      <c r="AC24" s="472"/>
      <c r="AD24" s="473"/>
      <c r="AE24" s="474"/>
      <c r="AF24" s="472"/>
      <c r="AG24" s="473"/>
      <c r="AH24" s="474"/>
      <c r="AI24" s="460"/>
      <c r="AJ24" s="461"/>
      <c r="AK24" s="462"/>
      <c r="AL24" s="472"/>
      <c r="AM24" s="473"/>
      <c r="AN24" s="474"/>
      <c r="AO24" s="493"/>
      <c r="AP24" s="494"/>
      <c r="AQ24" s="495"/>
      <c r="AR24" s="493"/>
      <c r="AS24" s="494"/>
      <c r="AT24" s="495"/>
      <c r="AU24" s="493"/>
      <c r="AV24" s="494"/>
      <c r="AW24" s="495"/>
    </row>
    <row r="25" spans="1:54" ht="14.95" customHeight="1" thickBot="1" x14ac:dyDescent="0.3">
      <c r="A25" s="323" t="s">
        <v>739</v>
      </c>
      <c r="B25" s="329">
        <v>0</v>
      </c>
      <c r="C25" s="383">
        <v>0</v>
      </c>
      <c r="D25" s="384">
        <v>0</v>
      </c>
      <c r="E25" s="332">
        <f t="shared" si="0"/>
        <v>0</v>
      </c>
      <c r="F25" s="311" t="s">
        <v>739</v>
      </c>
      <c r="G25" s="137">
        <v>0</v>
      </c>
      <c r="H25" s="338">
        <v>0</v>
      </c>
      <c r="I25" s="216">
        <v>0</v>
      </c>
      <c r="J25" s="138">
        <f t="shared" si="1"/>
        <v>0</v>
      </c>
      <c r="K25" s="259" t="s">
        <v>25</v>
      </c>
      <c r="L25" s="85" t="s">
        <v>55</v>
      </c>
      <c r="M25" s="80" t="s">
        <v>11</v>
      </c>
      <c r="N25" s="80" t="s">
        <v>12</v>
      </c>
      <c r="O25" s="150" t="s">
        <v>55</v>
      </c>
      <c r="P25" s="7" t="s">
        <v>11</v>
      </c>
      <c r="Q25" s="7" t="s">
        <v>12</v>
      </c>
      <c r="R25" s="7" t="s">
        <v>55</v>
      </c>
      <c r="S25" s="7" t="s">
        <v>11</v>
      </c>
      <c r="T25" s="7" t="s">
        <v>12</v>
      </c>
      <c r="U25" s="7" t="s">
        <v>55</v>
      </c>
      <c r="V25" s="7" t="s">
        <v>11</v>
      </c>
      <c r="W25" s="7" t="s">
        <v>12</v>
      </c>
      <c r="AC25" s="150" t="s">
        <v>55</v>
      </c>
      <c r="AD25" s="7" t="s">
        <v>11</v>
      </c>
      <c r="AE25" s="7" t="s">
        <v>12</v>
      </c>
      <c r="AF25" s="150" t="s">
        <v>55</v>
      </c>
      <c r="AG25" s="7" t="s">
        <v>11</v>
      </c>
      <c r="AH25" s="7" t="s">
        <v>12</v>
      </c>
      <c r="AI25" s="85" t="s">
        <v>55</v>
      </c>
      <c r="AJ25" s="80" t="s">
        <v>11</v>
      </c>
      <c r="AK25" s="80" t="s">
        <v>12</v>
      </c>
      <c r="AL25" s="150" t="s">
        <v>55</v>
      </c>
      <c r="AM25" s="7" t="s">
        <v>11</v>
      </c>
      <c r="AN25" s="7" t="s">
        <v>12</v>
      </c>
      <c r="AO25" s="6" t="s">
        <v>55</v>
      </c>
      <c r="AP25" s="6" t="s">
        <v>11</v>
      </c>
      <c r="AQ25" s="6" t="s">
        <v>12</v>
      </c>
      <c r="AR25" s="6" t="s">
        <v>55</v>
      </c>
      <c r="AS25" s="6" t="s">
        <v>11</v>
      </c>
      <c r="AT25" s="6" t="s">
        <v>12</v>
      </c>
      <c r="AU25" s="6" t="s">
        <v>55</v>
      </c>
      <c r="AV25" s="6" t="s">
        <v>11</v>
      </c>
      <c r="AW25" s="6" t="s">
        <v>12</v>
      </c>
    </row>
    <row r="26" spans="1:54" ht="14.95" customHeight="1" thickBot="1" x14ac:dyDescent="0.3">
      <c r="A26" s="323" t="s">
        <v>335</v>
      </c>
      <c r="B26" s="329">
        <v>5</v>
      </c>
      <c r="C26" s="383">
        <v>0</v>
      </c>
      <c r="D26" s="384">
        <v>1</v>
      </c>
      <c r="E26" s="332">
        <f t="shared" si="0"/>
        <v>6</v>
      </c>
      <c r="F26" s="311" t="s">
        <v>335</v>
      </c>
      <c r="G26" s="137">
        <v>25</v>
      </c>
      <c r="H26" s="338">
        <v>0</v>
      </c>
      <c r="I26" s="216">
        <v>5</v>
      </c>
      <c r="J26" s="138">
        <f t="shared" si="1"/>
        <v>30</v>
      </c>
      <c r="K26" s="324" t="s">
        <v>497</v>
      </c>
      <c r="L26" s="353" t="s">
        <v>17</v>
      </c>
      <c r="M26" s="156" t="s">
        <v>17</v>
      </c>
      <c r="N26" s="155" t="s">
        <v>17</v>
      </c>
      <c r="O26" s="353" t="s">
        <v>17</v>
      </c>
      <c r="P26" s="156" t="s">
        <v>17</v>
      </c>
      <c r="Q26" s="155" t="s">
        <v>17</v>
      </c>
      <c r="R26" s="7">
        <v>17</v>
      </c>
      <c r="S26" s="7">
        <v>19</v>
      </c>
      <c r="T26" s="155">
        <v>89.473684210526315</v>
      </c>
      <c r="U26" s="7" t="s">
        <v>17</v>
      </c>
      <c r="V26" s="7" t="s">
        <v>17</v>
      </c>
      <c r="W26" s="155" t="s">
        <v>17</v>
      </c>
      <c r="AC26" s="150" t="s">
        <v>17</v>
      </c>
      <c r="AD26" s="7" t="s">
        <v>17</v>
      </c>
      <c r="AE26" s="155" t="s">
        <v>17</v>
      </c>
      <c r="AF26" s="150">
        <v>17</v>
      </c>
      <c r="AG26" s="7">
        <v>20</v>
      </c>
      <c r="AH26" s="155">
        <f t="shared" ref="AH26" si="13">SUM(AF26/AG26)*100</f>
        <v>85</v>
      </c>
      <c r="AI26" s="150">
        <v>4</v>
      </c>
      <c r="AJ26" s="7">
        <v>4</v>
      </c>
      <c r="AK26" s="7">
        <v>100</v>
      </c>
      <c r="AL26" s="150">
        <v>5</v>
      </c>
      <c r="AM26" s="7">
        <v>6</v>
      </c>
      <c r="AN26" s="155">
        <f t="shared" ref="AN26" si="14">SUM(AL26/AM26)*100</f>
        <v>83.333333333333343</v>
      </c>
      <c r="AO26" s="150" t="s">
        <v>17</v>
      </c>
      <c r="AP26" s="7" t="s">
        <v>17</v>
      </c>
      <c r="AQ26" s="7" t="s">
        <v>17</v>
      </c>
      <c r="AR26" s="150">
        <v>6</v>
      </c>
      <c r="AS26" s="7">
        <v>16</v>
      </c>
      <c r="AT26" s="155">
        <f>SUM(AR26/AS26)*100</f>
        <v>37.5</v>
      </c>
      <c r="AU26" s="7" t="s">
        <v>17</v>
      </c>
      <c r="AV26" s="7" t="s">
        <v>17</v>
      </c>
      <c r="AW26" s="150" t="s">
        <v>17</v>
      </c>
    </row>
    <row r="27" spans="1:54" ht="14.95" customHeight="1" thickBot="1" x14ac:dyDescent="0.3">
      <c r="A27" s="323" t="s">
        <v>731</v>
      </c>
      <c r="B27" s="329">
        <v>0</v>
      </c>
      <c r="C27" s="383">
        <v>0</v>
      </c>
      <c r="D27" s="384">
        <v>0</v>
      </c>
      <c r="E27" s="332">
        <f t="shared" si="0"/>
        <v>0</v>
      </c>
      <c r="F27" s="311" t="s">
        <v>731</v>
      </c>
      <c r="G27" s="137">
        <v>0</v>
      </c>
      <c r="H27" s="338">
        <v>0</v>
      </c>
      <c r="I27" s="216">
        <v>0</v>
      </c>
      <c r="J27" s="138">
        <f t="shared" si="1"/>
        <v>0</v>
      </c>
      <c r="K27" s="324" t="s">
        <v>5</v>
      </c>
      <c r="L27" s="6" t="s">
        <v>17</v>
      </c>
      <c r="M27" s="154" t="s">
        <v>17</v>
      </c>
      <c r="N27" s="155" t="s">
        <v>17</v>
      </c>
      <c r="O27" s="6" t="s">
        <v>17</v>
      </c>
      <c r="P27" s="154" t="s">
        <v>17</v>
      </c>
      <c r="Q27" s="155" t="s">
        <v>17</v>
      </c>
      <c r="R27" s="7">
        <v>0</v>
      </c>
      <c r="S27" s="7">
        <v>1</v>
      </c>
      <c r="T27" s="155">
        <v>0</v>
      </c>
      <c r="U27" s="7" t="s">
        <v>17</v>
      </c>
      <c r="V27" s="7" t="s">
        <v>17</v>
      </c>
      <c r="W27" s="155" t="s">
        <v>17</v>
      </c>
      <c r="AC27" s="150" t="s">
        <v>17</v>
      </c>
      <c r="AD27" s="7" t="s">
        <v>17</v>
      </c>
      <c r="AE27" s="155" t="s">
        <v>17</v>
      </c>
      <c r="AF27" s="150" t="s">
        <v>17</v>
      </c>
      <c r="AG27" s="7" t="s">
        <v>17</v>
      </c>
      <c r="AH27" s="155" t="s">
        <v>17</v>
      </c>
      <c r="AI27" s="6" t="s">
        <v>17</v>
      </c>
      <c r="AJ27" s="7" t="s">
        <v>17</v>
      </c>
      <c r="AK27" s="155" t="s">
        <v>17</v>
      </c>
      <c r="AL27" s="7" t="s">
        <v>17</v>
      </c>
      <c r="AM27" s="7" t="s">
        <v>17</v>
      </c>
      <c r="AN27" s="155" t="s">
        <v>17</v>
      </c>
      <c r="AO27" s="7" t="s">
        <v>17</v>
      </c>
      <c r="AP27" s="7" t="s">
        <v>17</v>
      </c>
      <c r="AQ27" s="155" t="s">
        <v>17</v>
      </c>
      <c r="AR27" s="7" t="s">
        <v>17</v>
      </c>
      <c r="AS27" s="7" t="s">
        <v>17</v>
      </c>
      <c r="AT27" s="155" t="s">
        <v>17</v>
      </c>
      <c r="AU27" s="7" t="s">
        <v>17</v>
      </c>
      <c r="AV27" s="7" t="s">
        <v>17</v>
      </c>
      <c r="AW27" s="155" t="s">
        <v>17</v>
      </c>
    </row>
    <row r="28" spans="1:54" ht="14.95" customHeight="1" thickBot="1" x14ac:dyDescent="0.3">
      <c r="A28" s="323" t="s">
        <v>109</v>
      </c>
      <c r="B28" s="329">
        <v>1</v>
      </c>
      <c r="C28" s="383">
        <v>0</v>
      </c>
      <c r="D28" s="384">
        <v>1</v>
      </c>
      <c r="E28" s="332">
        <f t="shared" si="0"/>
        <v>2</v>
      </c>
      <c r="F28" s="311" t="s">
        <v>109</v>
      </c>
      <c r="G28" s="137">
        <v>5</v>
      </c>
      <c r="H28" s="338">
        <v>0</v>
      </c>
      <c r="I28" s="216">
        <v>5</v>
      </c>
      <c r="J28" s="138">
        <f t="shared" si="1"/>
        <v>10</v>
      </c>
      <c r="O28" s="101"/>
      <c r="P28" s="101"/>
      <c r="Q28" s="101"/>
      <c r="R28" s="101"/>
      <c r="S28" s="101"/>
      <c r="T28" s="101"/>
      <c r="U28" s="101"/>
      <c r="V28" s="101"/>
      <c r="W28" s="101"/>
    </row>
    <row r="29" spans="1:54" ht="14.95" customHeight="1" thickBot="1" x14ac:dyDescent="0.3">
      <c r="A29" s="323" t="s">
        <v>229</v>
      </c>
      <c r="B29" s="329">
        <v>2</v>
      </c>
      <c r="C29" s="383">
        <v>1</v>
      </c>
      <c r="D29" s="384">
        <v>1</v>
      </c>
      <c r="E29" s="332">
        <f t="shared" si="0"/>
        <v>4</v>
      </c>
      <c r="F29" s="311" t="s">
        <v>229</v>
      </c>
      <c r="G29" s="137">
        <v>10</v>
      </c>
      <c r="H29" s="338">
        <v>5</v>
      </c>
      <c r="I29" s="216">
        <v>5</v>
      </c>
      <c r="J29" s="138">
        <f t="shared" si="1"/>
        <v>20</v>
      </c>
      <c r="K29" s="499" t="s">
        <v>114</v>
      </c>
      <c r="L29" s="453" t="s">
        <v>16</v>
      </c>
      <c r="M29" s="467"/>
      <c r="N29" s="454"/>
      <c r="O29" s="469" t="s">
        <v>267</v>
      </c>
      <c r="P29" s="470"/>
      <c r="Q29" s="471"/>
      <c r="R29" s="469" t="s">
        <v>698</v>
      </c>
      <c r="S29" s="470"/>
      <c r="T29" s="471"/>
      <c r="U29" s="469" t="s">
        <v>562</v>
      </c>
      <c r="V29" s="470"/>
      <c r="W29" s="471"/>
      <c r="AC29" s="469" t="s">
        <v>355</v>
      </c>
      <c r="AD29" s="470"/>
      <c r="AE29" s="471"/>
      <c r="AF29" s="469" t="s">
        <v>260</v>
      </c>
      <c r="AG29" s="470"/>
      <c r="AH29" s="471"/>
      <c r="AI29" s="457" t="s">
        <v>199</v>
      </c>
      <c r="AJ29" s="458"/>
      <c r="AK29" s="459"/>
      <c r="AL29" s="469" t="s">
        <v>92</v>
      </c>
      <c r="AM29" s="470"/>
      <c r="AN29" s="471"/>
      <c r="AO29" s="207"/>
    </row>
    <row r="30" spans="1:54" ht="14.95" customHeight="1" thickBot="1" x14ac:dyDescent="0.3">
      <c r="A30" s="323" t="s">
        <v>534</v>
      </c>
      <c r="B30" s="329">
        <v>13</v>
      </c>
      <c r="C30" s="383">
        <v>1</v>
      </c>
      <c r="D30" s="384">
        <v>0</v>
      </c>
      <c r="E30" s="332">
        <f t="shared" si="0"/>
        <v>14</v>
      </c>
      <c r="F30" s="311" t="s">
        <v>534</v>
      </c>
      <c r="G30" s="137">
        <v>65</v>
      </c>
      <c r="H30" s="338">
        <v>5</v>
      </c>
      <c r="I30" s="216">
        <v>0</v>
      </c>
      <c r="J30" s="138">
        <f t="shared" si="1"/>
        <v>70</v>
      </c>
      <c r="K30" s="500"/>
      <c r="L30" s="455"/>
      <c r="M30" s="468"/>
      <c r="N30" s="456"/>
      <c r="O30" s="472"/>
      <c r="P30" s="473"/>
      <c r="Q30" s="474"/>
      <c r="R30" s="472"/>
      <c r="S30" s="473"/>
      <c r="T30" s="474"/>
      <c r="U30" s="472"/>
      <c r="V30" s="473"/>
      <c r="W30" s="474"/>
      <c r="AC30" s="472"/>
      <c r="AD30" s="473"/>
      <c r="AE30" s="474"/>
      <c r="AF30" s="472"/>
      <c r="AG30" s="473"/>
      <c r="AH30" s="474"/>
      <c r="AI30" s="460"/>
      <c r="AJ30" s="461"/>
      <c r="AK30" s="462"/>
      <c r="AL30" s="472"/>
      <c r="AM30" s="473"/>
      <c r="AN30" s="474"/>
      <c r="AO30" s="93"/>
    </row>
    <row r="31" spans="1:54" ht="14.95" customHeight="1" thickBot="1" x14ac:dyDescent="0.3">
      <c r="A31" s="323" t="s">
        <v>658</v>
      </c>
      <c r="B31" s="329">
        <v>6</v>
      </c>
      <c r="C31" s="383">
        <v>0</v>
      </c>
      <c r="D31" s="384">
        <v>0</v>
      </c>
      <c r="E31" s="332">
        <f t="shared" si="0"/>
        <v>6</v>
      </c>
      <c r="F31" s="311" t="s">
        <v>658</v>
      </c>
      <c r="G31" s="137">
        <v>34</v>
      </c>
      <c r="H31" s="338">
        <v>2</v>
      </c>
      <c r="I31" s="216">
        <v>12</v>
      </c>
      <c r="J31" s="138">
        <f t="shared" si="1"/>
        <v>48</v>
      </c>
      <c r="K31" s="223" t="s">
        <v>25</v>
      </c>
      <c r="L31" s="3" t="s">
        <v>55</v>
      </c>
      <c r="M31" s="3" t="s">
        <v>11</v>
      </c>
      <c r="N31" s="3" t="s">
        <v>12</v>
      </c>
      <c r="O31" s="7" t="s">
        <v>55</v>
      </c>
      <c r="P31" s="7" t="s">
        <v>11</v>
      </c>
      <c r="Q31" s="7" t="s">
        <v>12</v>
      </c>
      <c r="R31" s="7" t="s">
        <v>55</v>
      </c>
      <c r="S31" s="7" t="s">
        <v>11</v>
      </c>
      <c r="T31" s="7" t="s">
        <v>12</v>
      </c>
      <c r="U31" s="7" t="s">
        <v>55</v>
      </c>
      <c r="V31" s="7" t="s">
        <v>11</v>
      </c>
      <c r="W31" s="7" t="s">
        <v>12</v>
      </c>
      <c r="AC31" s="354" t="s">
        <v>55</v>
      </c>
      <c r="AD31" s="158" t="s">
        <v>11</v>
      </c>
      <c r="AE31" s="158" t="s">
        <v>12</v>
      </c>
      <c r="AF31" s="6" t="s">
        <v>55</v>
      </c>
      <c r="AG31" s="6" t="s">
        <v>11</v>
      </c>
      <c r="AH31" s="6" t="s">
        <v>12</v>
      </c>
      <c r="AI31" s="98" t="s">
        <v>55</v>
      </c>
      <c r="AJ31" s="98" t="s">
        <v>11</v>
      </c>
      <c r="AK31" s="98" t="s">
        <v>12</v>
      </c>
      <c r="AL31" s="6" t="s">
        <v>55</v>
      </c>
      <c r="AM31" s="7" t="s">
        <v>11</v>
      </c>
      <c r="AN31" s="7" t="s">
        <v>12</v>
      </c>
      <c r="AO31" s="93"/>
      <c r="AU31" s="4"/>
    </row>
    <row r="32" spans="1:54" ht="14.95" customHeight="1" thickBot="1" x14ac:dyDescent="0.3">
      <c r="A32" s="323" t="s">
        <v>540</v>
      </c>
      <c r="B32" s="329">
        <v>0</v>
      </c>
      <c r="C32" s="383">
        <v>0</v>
      </c>
      <c r="D32" s="384">
        <v>3</v>
      </c>
      <c r="E32" s="332">
        <f t="shared" si="0"/>
        <v>3</v>
      </c>
      <c r="F32" s="311" t="s">
        <v>540</v>
      </c>
      <c r="G32" s="137">
        <v>0</v>
      </c>
      <c r="H32" s="338">
        <v>0</v>
      </c>
      <c r="I32" s="216">
        <v>15</v>
      </c>
      <c r="J32" s="138">
        <f t="shared" si="1"/>
        <v>15</v>
      </c>
      <c r="K32" s="324" t="s">
        <v>1258</v>
      </c>
      <c r="L32" s="379">
        <v>2</v>
      </c>
      <c r="M32" s="379">
        <v>2</v>
      </c>
      <c r="N32" s="333">
        <f t="shared" ref="N32" si="15">(L32/M32)*100</f>
        <v>100</v>
      </c>
      <c r="O32" s="156" t="s">
        <v>17</v>
      </c>
      <c r="P32" s="156" t="s">
        <v>17</v>
      </c>
      <c r="Q32" s="155" t="s">
        <v>17</v>
      </c>
      <c r="R32" s="156" t="s">
        <v>17</v>
      </c>
      <c r="S32" s="156" t="s">
        <v>17</v>
      </c>
      <c r="T32" s="155" t="s">
        <v>17</v>
      </c>
      <c r="U32" s="156" t="s">
        <v>17</v>
      </c>
      <c r="V32" s="156" t="s">
        <v>17</v>
      </c>
      <c r="W32" s="155" t="s">
        <v>17</v>
      </c>
      <c r="AC32" s="353" t="s">
        <v>17</v>
      </c>
      <c r="AD32" s="156" t="s">
        <v>17</v>
      </c>
      <c r="AE32" s="159" t="s">
        <v>17</v>
      </c>
      <c r="AF32" s="6" t="s">
        <v>17</v>
      </c>
      <c r="AG32" s="156" t="s">
        <v>17</v>
      </c>
      <c r="AH32" s="155" t="s">
        <v>17</v>
      </c>
      <c r="AI32" s="156" t="s">
        <v>17</v>
      </c>
      <c r="AJ32" s="156" t="s">
        <v>17</v>
      </c>
      <c r="AK32" s="155" t="s">
        <v>17</v>
      </c>
      <c r="AL32" s="156" t="s">
        <v>17</v>
      </c>
      <c r="AM32" s="156" t="s">
        <v>17</v>
      </c>
      <c r="AN32" s="155" t="s">
        <v>17</v>
      </c>
      <c r="AO32" s="93"/>
      <c r="AU32" s="4"/>
    </row>
    <row r="33" spans="1:47" ht="14.95" customHeight="1" thickBot="1" x14ac:dyDescent="0.3">
      <c r="A33" s="323" t="s">
        <v>735</v>
      </c>
      <c r="B33" s="329">
        <v>0</v>
      </c>
      <c r="C33" s="383">
        <v>0</v>
      </c>
      <c r="D33" s="384">
        <v>0</v>
      </c>
      <c r="E33" s="332">
        <f t="shared" si="0"/>
        <v>0</v>
      </c>
      <c r="F33" s="311" t="s">
        <v>735</v>
      </c>
      <c r="G33" s="137">
        <v>0</v>
      </c>
      <c r="H33" s="338">
        <v>0</v>
      </c>
      <c r="I33" s="216">
        <v>0</v>
      </c>
      <c r="J33" s="138">
        <f t="shared" si="1"/>
        <v>0</v>
      </c>
      <c r="K33" s="324" t="s">
        <v>255</v>
      </c>
      <c r="L33" s="379">
        <v>4</v>
      </c>
      <c r="M33" s="379">
        <v>5</v>
      </c>
      <c r="N33" s="333">
        <f t="shared" ref="N33" si="16">(L33/M33)*100</f>
        <v>80</v>
      </c>
      <c r="O33" s="156" t="s">
        <v>17</v>
      </c>
      <c r="P33" s="156" t="s">
        <v>17</v>
      </c>
      <c r="Q33" s="155" t="s">
        <v>17</v>
      </c>
      <c r="R33" s="156" t="s">
        <v>17</v>
      </c>
      <c r="S33" s="156" t="s">
        <v>17</v>
      </c>
      <c r="T33" s="155" t="s">
        <v>17</v>
      </c>
      <c r="U33" s="156" t="s">
        <v>17</v>
      </c>
      <c r="V33" s="156" t="s">
        <v>17</v>
      </c>
      <c r="W33" s="155" t="s">
        <v>17</v>
      </c>
      <c r="AC33" s="353" t="s">
        <v>17</v>
      </c>
      <c r="AD33" s="156" t="s">
        <v>17</v>
      </c>
      <c r="AE33" s="159" t="s">
        <v>17</v>
      </c>
      <c r="AF33" s="6" t="s">
        <v>17</v>
      </c>
      <c r="AG33" s="156" t="s">
        <v>17</v>
      </c>
      <c r="AH33" s="155" t="s">
        <v>17</v>
      </c>
      <c r="AI33" s="156" t="s">
        <v>17</v>
      </c>
      <c r="AJ33" s="156" t="s">
        <v>17</v>
      </c>
      <c r="AK33" s="155" t="s">
        <v>17</v>
      </c>
      <c r="AL33" s="156" t="s">
        <v>17</v>
      </c>
      <c r="AM33" s="156" t="s">
        <v>17</v>
      </c>
      <c r="AN33" s="155" t="s">
        <v>17</v>
      </c>
      <c r="AO33" s="93"/>
    </row>
    <row r="34" spans="1:47" ht="14.95" customHeight="1" thickBot="1" x14ac:dyDescent="0.3">
      <c r="A34" s="323" t="s">
        <v>312</v>
      </c>
      <c r="B34" s="329">
        <v>1</v>
      </c>
      <c r="C34" s="383">
        <v>0</v>
      </c>
      <c r="D34" s="384">
        <v>0</v>
      </c>
      <c r="E34" s="332">
        <f t="shared" si="0"/>
        <v>1</v>
      </c>
      <c r="F34" s="311" t="s">
        <v>312</v>
      </c>
      <c r="G34" s="137">
        <v>5</v>
      </c>
      <c r="H34" s="338">
        <v>0</v>
      </c>
      <c r="I34" s="217">
        <v>0</v>
      </c>
      <c r="J34" s="141">
        <f t="shared" si="1"/>
        <v>5</v>
      </c>
      <c r="K34" s="324" t="s">
        <v>1009</v>
      </c>
      <c r="L34" s="379">
        <v>3</v>
      </c>
      <c r="M34" s="379">
        <v>7</v>
      </c>
      <c r="N34" s="333">
        <f t="shared" ref="N34" si="17">(L34/M34)*100</f>
        <v>42.857142857142854</v>
      </c>
      <c r="O34" s="156" t="s">
        <v>17</v>
      </c>
      <c r="P34" s="156" t="s">
        <v>17</v>
      </c>
      <c r="Q34" s="155" t="s">
        <v>17</v>
      </c>
      <c r="R34" s="156" t="s">
        <v>17</v>
      </c>
      <c r="S34" s="156" t="s">
        <v>17</v>
      </c>
      <c r="T34" s="155" t="s">
        <v>17</v>
      </c>
      <c r="U34" s="156" t="s">
        <v>17</v>
      </c>
      <c r="V34" s="156" t="s">
        <v>17</v>
      </c>
      <c r="W34" s="155" t="s">
        <v>17</v>
      </c>
      <c r="AC34" s="353" t="s">
        <v>17</v>
      </c>
      <c r="AD34" s="156" t="s">
        <v>17</v>
      </c>
      <c r="AE34" s="159" t="s">
        <v>17</v>
      </c>
      <c r="AF34" s="6" t="s">
        <v>17</v>
      </c>
      <c r="AG34" s="156" t="s">
        <v>17</v>
      </c>
      <c r="AH34" s="155" t="s">
        <v>17</v>
      </c>
      <c r="AI34" s="156" t="s">
        <v>17</v>
      </c>
      <c r="AJ34" s="156" t="s">
        <v>17</v>
      </c>
      <c r="AK34" s="155" t="s">
        <v>17</v>
      </c>
      <c r="AL34" s="156" t="s">
        <v>17</v>
      </c>
      <c r="AM34" s="156" t="s">
        <v>17</v>
      </c>
      <c r="AN34" s="155" t="s">
        <v>17</v>
      </c>
      <c r="AO34" s="93"/>
    </row>
    <row r="35" spans="1:47" ht="14.95" customHeight="1" thickBot="1" x14ac:dyDescent="0.3">
      <c r="A35" s="323" t="s">
        <v>269</v>
      </c>
      <c r="B35" s="329">
        <v>1</v>
      </c>
      <c r="C35" s="383">
        <v>2</v>
      </c>
      <c r="D35" s="384">
        <v>0</v>
      </c>
      <c r="E35" s="332">
        <f t="shared" si="0"/>
        <v>3</v>
      </c>
      <c r="F35" s="311" t="s">
        <v>269</v>
      </c>
      <c r="G35" s="137">
        <v>5</v>
      </c>
      <c r="H35" s="338">
        <v>10</v>
      </c>
      <c r="I35" s="217">
        <v>0</v>
      </c>
      <c r="J35" s="141">
        <f t="shared" si="1"/>
        <v>15</v>
      </c>
      <c r="K35" s="324" t="s">
        <v>680</v>
      </c>
      <c r="L35" s="379">
        <v>6</v>
      </c>
      <c r="M35" s="379">
        <v>8</v>
      </c>
      <c r="N35" s="333">
        <f t="shared" ref="N35" si="18">(L35/M35)*100</f>
        <v>75</v>
      </c>
      <c r="O35" s="156" t="s">
        <v>17</v>
      </c>
      <c r="P35" s="156" t="s">
        <v>17</v>
      </c>
      <c r="Q35" s="155" t="s">
        <v>17</v>
      </c>
      <c r="R35" s="156" t="s">
        <v>17</v>
      </c>
      <c r="S35" s="156" t="s">
        <v>17</v>
      </c>
      <c r="T35" s="155" t="s">
        <v>17</v>
      </c>
      <c r="U35" s="156" t="s">
        <v>17</v>
      </c>
      <c r="V35" s="156" t="s">
        <v>17</v>
      </c>
      <c r="W35" s="155" t="s">
        <v>17</v>
      </c>
      <c r="AC35" s="353" t="s">
        <v>17</v>
      </c>
      <c r="AD35" s="156" t="s">
        <v>17</v>
      </c>
      <c r="AE35" s="159" t="s">
        <v>17</v>
      </c>
      <c r="AF35" s="6" t="s">
        <v>17</v>
      </c>
      <c r="AG35" s="156" t="s">
        <v>17</v>
      </c>
      <c r="AH35" s="155" t="s">
        <v>17</v>
      </c>
      <c r="AI35" s="156" t="s">
        <v>17</v>
      </c>
      <c r="AJ35" s="156" t="s">
        <v>17</v>
      </c>
      <c r="AK35" s="155" t="s">
        <v>17</v>
      </c>
      <c r="AL35" s="156" t="s">
        <v>17</v>
      </c>
      <c r="AM35" s="156" t="s">
        <v>17</v>
      </c>
      <c r="AN35" s="155" t="s">
        <v>17</v>
      </c>
      <c r="AO35" s="93"/>
    </row>
    <row r="36" spans="1:47" ht="14.95" customHeight="1" thickBot="1" x14ac:dyDescent="0.3">
      <c r="A36" s="323" t="s">
        <v>441</v>
      </c>
      <c r="B36" s="329">
        <v>3</v>
      </c>
      <c r="C36" s="383">
        <v>0</v>
      </c>
      <c r="D36" s="384">
        <v>0</v>
      </c>
      <c r="E36" s="332">
        <f t="shared" si="0"/>
        <v>3</v>
      </c>
      <c r="F36" s="311" t="s">
        <v>441</v>
      </c>
      <c r="G36" s="137">
        <v>15</v>
      </c>
      <c r="H36" s="338">
        <v>0</v>
      </c>
      <c r="I36" s="217">
        <v>4</v>
      </c>
      <c r="J36" s="141">
        <f t="shared" si="1"/>
        <v>19</v>
      </c>
      <c r="K36" s="324" t="s">
        <v>441</v>
      </c>
      <c r="L36" s="379">
        <v>2</v>
      </c>
      <c r="M36" s="379">
        <v>3</v>
      </c>
      <c r="N36" s="333">
        <f t="shared" ref="N36" si="19">(L36/M36)*100</f>
        <v>66.666666666666657</v>
      </c>
      <c r="O36" s="156" t="s">
        <v>17</v>
      </c>
      <c r="P36" s="156" t="s">
        <v>17</v>
      </c>
      <c r="Q36" s="155" t="s">
        <v>17</v>
      </c>
      <c r="R36" s="156" t="s">
        <v>17</v>
      </c>
      <c r="S36" s="156" t="s">
        <v>17</v>
      </c>
      <c r="T36" s="155" t="s">
        <v>17</v>
      </c>
      <c r="U36" s="156" t="s">
        <v>17</v>
      </c>
      <c r="V36" s="156" t="s">
        <v>17</v>
      </c>
      <c r="W36" s="155" t="s">
        <v>17</v>
      </c>
      <c r="AC36" s="353" t="s">
        <v>17</v>
      </c>
      <c r="AD36" s="156" t="s">
        <v>17</v>
      </c>
      <c r="AE36" s="159" t="s">
        <v>17</v>
      </c>
      <c r="AF36" s="6" t="s">
        <v>17</v>
      </c>
      <c r="AG36" s="156" t="s">
        <v>17</v>
      </c>
      <c r="AH36" s="155" t="s">
        <v>17</v>
      </c>
      <c r="AI36" s="156" t="s">
        <v>17</v>
      </c>
      <c r="AJ36" s="156" t="s">
        <v>17</v>
      </c>
      <c r="AK36" s="155" t="s">
        <v>17</v>
      </c>
      <c r="AL36" s="156" t="s">
        <v>17</v>
      </c>
      <c r="AM36" s="156" t="s">
        <v>17</v>
      </c>
      <c r="AN36" s="155" t="s">
        <v>17</v>
      </c>
      <c r="AO36" s="93"/>
    </row>
    <row r="37" spans="1:47" ht="14.95" customHeight="1" thickBot="1" x14ac:dyDescent="0.3">
      <c r="A37" s="323" t="s">
        <v>1107</v>
      </c>
      <c r="B37" s="329">
        <v>0</v>
      </c>
      <c r="C37" s="383">
        <v>0</v>
      </c>
      <c r="D37" s="384">
        <v>1</v>
      </c>
      <c r="E37" s="332">
        <f t="shared" si="0"/>
        <v>1</v>
      </c>
      <c r="F37" s="311" t="s">
        <v>1107</v>
      </c>
      <c r="G37" s="137">
        <v>0</v>
      </c>
      <c r="H37" s="338">
        <v>0</v>
      </c>
      <c r="I37" s="217">
        <v>5</v>
      </c>
      <c r="J37" s="141">
        <f t="shared" si="1"/>
        <v>5</v>
      </c>
      <c r="K37" s="324" t="s">
        <v>497</v>
      </c>
      <c r="L37" s="379" t="s">
        <v>17</v>
      </c>
      <c r="M37" s="379" t="s">
        <v>17</v>
      </c>
      <c r="N37" s="333" t="s">
        <v>17</v>
      </c>
      <c r="O37" s="156">
        <v>6</v>
      </c>
      <c r="P37" s="156">
        <v>11</v>
      </c>
      <c r="Q37" s="155">
        <v>100</v>
      </c>
      <c r="R37" s="156" t="s">
        <v>17</v>
      </c>
      <c r="S37" s="156" t="s">
        <v>17</v>
      </c>
      <c r="T37" s="155" t="s">
        <v>17</v>
      </c>
      <c r="U37" s="156" t="s">
        <v>17</v>
      </c>
      <c r="V37" s="156" t="s">
        <v>17</v>
      </c>
      <c r="W37" s="155" t="s">
        <v>17</v>
      </c>
      <c r="AC37" s="353" t="s">
        <v>17</v>
      </c>
      <c r="AD37" s="156" t="s">
        <v>17</v>
      </c>
      <c r="AE37" s="159" t="s">
        <v>17</v>
      </c>
      <c r="AF37" s="6" t="s">
        <v>17</v>
      </c>
      <c r="AG37" s="156" t="s">
        <v>17</v>
      </c>
      <c r="AH37" s="155" t="s">
        <v>17</v>
      </c>
      <c r="AI37" s="156" t="s">
        <v>17</v>
      </c>
      <c r="AJ37" s="156" t="s">
        <v>17</v>
      </c>
      <c r="AK37" s="155" t="s">
        <v>17</v>
      </c>
      <c r="AL37" s="156" t="s">
        <v>17</v>
      </c>
      <c r="AM37" s="156" t="s">
        <v>17</v>
      </c>
      <c r="AN37" s="155" t="s">
        <v>17</v>
      </c>
      <c r="AO37" s="93"/>
    </row>
    <row r="38" spans="1:47" ht="14.95" customHeight="1" thickBot="1" x14ac:dyDescent="0.3">
      <c r="A38" s="323" t="s">
        <v>110</v>
      </c>
      <c r="B38" s="329">
        <v>1</v>
      </c>
      <c r="C38" s="383">
        <v>0</v>
      </c>
      <c r="D38" s="384">
        <v>0</v>
      </c>
      <c r="E38" s="332">
        <f t="shared" si="0"/>
        <v>1</v>
      </c>
      <c r="F38" s="311" t="s">
        <v>110</v>
      </c>
      <c r="G38" s="137">
        <v>5</v>
      </c>
      <c r="H38" s="338">
        <v>0</v>
      </c>
      <c r="I38" s="217">
        <v>0</v>
      </c>
      <c r="J38" s="141">
        <f t="shared" si="1"/>
        <v>5</v>
      </c>
      <c r="K38" s="324" t="s">
        <v>5</v>
      </c>
      <c r="L38" s="379" t="s">
        <v>17</v>
      </c>
      <c r="M38" s="379" t="s">
        <v>17</v>
      </c>
      <c r="N38" s="333" t="s">
        <v>17</v>
      </c>
      <c r="O38" s="156">
        <v>2</v>
      </c>
      <c r="P38" s="156">
        <v>3</v>
      </c>
      <c r="Q38" s="155">
        <v>67</v>
      </c>
      <c r="R38" s="156">
        <v>9</v>
      </c>
      <c r="S38" s="156">
        <v>12</v>
      </c>
      <c r="T38" s="155">
        <v>75</v>
      </c>
      <c r="U38" s="156" t="s">
        <v>17</v>
      </c>
      <c r="V38" s="156" t="s">
        <v>17</v>
      </c>
      <c r="W38" s="155" t="s">
        <v>17</v>
      </c>
      <c r="AC38" s="353" t="s">
        <v>17</v>
      </c>
      <c r="AD38" s="156" t="s">
        <v>17</v>
      </c>
      <c r="AE38" s="155" t="s">
        <v>17</v>
      </c>
      <c r="AF38" s="6" t="s">
        <v>17</v>
      </c>
      <c r="AG38" s="156" t="s">
        <v>17</v>
      </c>
      <c r="AH38" s="155" t="s">
        <v>17</v>
      </c>
      <c r="AI38" s="6" t="s">
        <v>17</v>
      </c>
      <c r="AJ38" s="156" t="s">
        <v>17</v>
      </c>
      <c r="AK38" s="155" t="s">
        <v>17</v>
      </c>
      <c r="AL38" s="156" t="s">
        <v>17</v>
      </c>
      <c r="AM38" s="156" t="s">
        <v>17</v>
      </c>
      <c r="AN38" s="155" t="s">
        <v>17</v>
      </c>
      <c r="AO38" s="93"/>
      <c r="AU38" s="4"/>
    </row>
    <row r="39" spans="1:47" ht="14.95" customHeight="1" thickBot="1" x14ac:dyDescent="0.3">
      <c r="A39" s="323" t="s">
        <v>60</v>
      </c>
      <c r="B39" s="329">
        <v>0</v>
      </c>
      <c r="C39" s="383">
        <v>0</v>
      </c>
      <c r="D39" s="384">
        <v>0</v>
      </c>
      <c r="E39" s="332">
        <f t="shared" ref="E39:E62" si="20">SUM(B39:D39)</f>
        <v>0</v>
      </c>
      <c r="F39" s="311" t="s">
        <v>60</v>
      </c>
      <c r="G39" s="137">
        <v>119</v>
      </c>
      <c r="H39" s="338">
        <v>0</v>
      </c>
      <c r="I39" s="217">
        <v>0</v>
      </c>
      <c r="J39" s="141">
        <f t="shared" ref="J39:J62" si="21">SUM(G39:I39)</f>
        <v>119</v>
      </c>
      <c r="K39" s="324" t="s">
        <v>501</v>
      </c>
      <c r="L39" s="379">
        <v>9</v>
      </c>
      <c r="M39" s="379">
        <v>14</v>
      </c>
      <c r="N39" s="333">
        <f t="shared" ref="N39" si="22">(L39/M39)*100</f>
        <v>64.285714285714292</v>
      </c>
      <c r="O39" s="6">
        <v>8</v>
      </c>
      <c r="P39" s="6">
        <v>9</v>
      </c>
      <c r="Q39" s="159">
        <v>89</v>
      </c>
      <c r="R39" s="6">
        <v>0</v>
      </c>
      <c r="S39" s="6">
        <v>3</v>
      </c>
      <c r="T39" s="159">
        <v>0</v>
      </c>
      <c r="U39" s="6" t="s">
        <v>17</v>
      </c>
      <c r="V39" s="6" t="s">
        <v>17</v>
      </c>
      <c r="W39" s="159" t="s">
        <v>17</v>
      </c>
      <c r="AC39" s="6" t="s">
        <v>17</v>
      </c>
      <c r="AD39" s="6" t="s">
        <v>17</v>
      </c>
      <c r="AE39" s="159" t="s">
        <v>17</v>
      </c>
      <c r="AF39" s="6" t="s">
        <v>17</v>
      </c>
      <c r="AG39" s="6" t="s">
        <v>17</v>
      </c>
      <c r="AH39" s="155" t="s">
        <v>17</v>
      </c>
      <c r="AI39" s="6" t="s">
        <v>17</v>
      </c>
      <c r="AJ39" s="6" t="s">
        <v>17</v>
      </c>
      <c r="AK39" s="155" t="s">
        <v>17</v>
      </c>
      <c r="AL39" s="6" t="s">
        <v>17</v>
      </c>
      <c r="AM39" s="6" t="s">
        <v>17</v>
      </c>
      <c r="AN39" s="155" t="s">
        <v>17</v>
      </c>
      <c r="AU39" s="4"/>
    </row>
    <row r="40" spans="1:47" ht="14.95" customHeight="1" thickBot="1" x14ac:dyDescent="0.3">
      <c r="A40" s="323" t="s">
        <v>365</v>
      </c>
      <c r="B40" s="329">
        <v>5</v>
      </c>
      <c r="C40" s="383">
        <v>0</v>
      </c>
      <c r="D40" s="384">
        <v>0</v>
      </c>
      <c r="E40" s="332">
        <f t="shared" si="20"/>
        <v>5</v>
      </c>
      <c r="F40" s="311" t="s">
        <v>365</v>
      </c>
      <c r="G40" s="137">
        <v>25</v>
      </c>
      <c r="H40" s="338">
        <v>0</v>
      </c>
      <c r="I40" s="217">
        <v>0</v>
      </c>
      <c r="J40" s="141">
        <f t="shared" si="21"/>
        <v>25</v>
      </c>
      <c r="K40" s="507" t="s">
        <v>1159</v>
      </c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260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</row>
    <row r="41" spans="1:47" ht="14.95" customHeight="1" thickBot="1" x14ac:dyDescent="0.3">
      <c r="A41" s="323" t="s">
        <v>565</v>
      </c>
      <c r="B41" s="329">
        <v>4</v>
      </c>
      <c r="C41" s="383">
        <v>3</v>
      </c>
      <c r="D41" s="384">
        <v>2</v>
      </c>
      <c r="E41" s="332">
        <f t="shared" si="20"/>
        <v>9</v>
      </c>
      <c r="F41" s="311" t="s">
        <v>565</v>
      </c>
      <c r="G41" s="137">
        <v>20</v>
      </c>
      <c r="H41" s="338">
        <v>15</v>
      </c>
      <c r="I41" s="217">
        <v>10</v>
      </c>
      <c r="J41" s="141">
        <f t="shared" si="21"/>
        <v>45</v>
      </c>
      <c r="K41" s="33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</row>
    <row r="42" spans="1:47" ht="14.95" customHeight="1" thickBot="1" x14ac:dyDescent="0.3">
      <c r="A42" s="323" t="s">
        <v>712</v>
      </c>
      <c r="B42" s="329">
        <v>6</v>
      </c>
      <c r="C42" s="383">
        <v>0</v>
      </c>
      <c r="D42" s="384">
        <v>1</v>
      </c>
      <c r="E42" s="332">
        <f t="shared" si="20"/>
        <v>7</v>
      </c>
      <c r="F42" s="311" t="s">
        <v>712</v>
      </c>
      <c r="G42" s="137">
        <v>30</v>
      </c>
      <c r="H42" s="338">
        <v>0</v>
      </c>
      <c r="I42" s="216">
        <v>5</v>
      </c>
      <c r="J42" s="138">
        <f t="shared" si="21"/>
        <v>35</v>
      </c>
      <c r="X42" s="95"/>
      <c r="Y42" s="95"/>
      <c r="Z42" s="95"/>
      <c r="AR42" s="63"/>
      <c r="AS42" s="63"/>
      <c r="AT42" s="63"/>
    </row>
    <row r="43" spans="1:47" ht="14.95" thickBot="1" x14ac:dyDescent="0.3">
      <c r="A43" s="323" t="s">
        <v>271</v>
      </c>
      <c r="B43" s="329">
        <v>3</v>
      </c>
      <c r="C43" s="383">
        <v>0</v>
      </c>
      <c r="D43" s="384">
        <v>1</v>
      </c>
      <c r="E43" s="332">
        <f t="shared" si="20"/>
        <v>4</v>
      </c>
      <c r="F43" s="311" t="s">
        <v>271</v>
      </c>
      <c r="G43" s="137">
        <v>15</v>
      </c>
      <c r="H43" s="338">
        <v>0</v>
      </c>
      <c r="I43" s="216">
        <v>5</v>
      </c>
      <c r="J43" s="138">
        <f t="shared" si="21"/>
        <v>20</v>
      </c>
      <c r="X43" s="95"/>
      <c r="Y43" s="95"/>
      <c r="Z43" s="95"/>
      <c r="AM43" s="4"/>
      <c r="AN43" s="4"/>
    </row>
    <row r="44" spans="1:47" ht="14.95" thickBot="1" x14ac:dyDescent="0.3">
      <c r="A44" s="323" t="s">
        <v>733</v>
      </c>
      <c r="B44" s="329">
        <v>0</v>
      </c>
      <c r="C44" s="383">
        <v>0</v>
      </c>
      <c r="D44" s="384">
        <v>0</v>
      </c>
      <c r="E44" s="332">
        <f t="shared" si="20"/>
        <v>0</v>
      </c>
      <c r="F44" s="311" t="s">
        <v>733</v>
      </c>
      <c r="G44" s="137">
        <v>0</v>
      </c>
      <c r="H44" s="338">
        <v>0</v>
      </c>
      <c r="I44" s="216">
        <v>0</v>
      </c>
      <c r="J44" s="138">
        <f t="shared" si="21"/>
        <v>0</v>
      </c>
      <c r="Z44" s="95"/>
    </row>
    <row r="45" spans="1:47" ht="14.95" customHeight="1" thickBot="1" x14ac:dyDescent="0.3">
      <c r="A45" s="323" t="s">
        <v>623</v>
      </c>
      <c r="B45" s="329">
        <v>6</v>
      </c>
      <c r="C45" s="383">
        <v>0</v>
      </c>
      <c r="D45" s="384">
        <v>0</v>
      </c>
      <c r="E45" s="332">
        <f t="shared" si="20"/>
        <v>6</v>
      </c>
      <c r="F45" s="311" t="s">
        <v>623</v>
      </c>
      <c r="G45" s="137">
        <v>30</v>
      </c>
      <c r="H45" s="338">
        <v>0</v>
      </c>
      <c r="I45" s="216">
        <v>0</v>
      </c>
      <c r="J45" s="138">
        <f t="shared" si="21"/>
        <v>30</v>
      </c>
      <c r="Z45" s="95"/>
    </row>
    <row r="46" spans="1:47" ht="14.95" thickBot="1" x14ac:dyDescent="0.3">
      <c r="A46" s="323" t="s">
        <v>567</v>
      </c>
      <c r="B46" s="329">
        <v>0</v>
      </c>
      <c r="C46" s="383">
        <v>0</v>
      </c>
      <c r="D46" s="384">
        <v>0</v>
      </c>
      <c r="E46" s="332">
        <f t="shared" si="20"/>
        <v>0</v>
      </c>
      <c r="F46" s="311" t="s">
        <v>567</v>
      </c>
      <c r="G46" s="137">
        <v>0</v>
      </c>
      <c r="H46" s="338">
        <v>0</v>
      </c>
      <c r="I46" s="216">
        <v>0</v>
      </c>
      <c r="J46" s="138">
        <f t="shared" si="21"/>
        <v>0</v>
      </c>
      <c r="Z46" s="95"/>
    </row>
    <row r="47" spans="1:47" ht="14.95" thickBot="1" x14ac:dyDescent="0.3">
      <c r="A47" s="323" t="s">
        <v>743</v>
      </c>
      <c r="B47" s="329">
        <v>0</v>
      </c>
      <c r="C47" s="383">
        <v>0</v>
      </c>
      <c r="D47" s="384">
        <v>0</v>
      </c>
      <c r="E47" s="332">
        <f t="shared" si="20"/>
        <v>0</v>
      </c>
      <c r="F47" s="311" t="s">
        <v>743</v>
      </c>
      <c r="G47" s="137">
        <v>0</v>
      </c>
      <c r="H47" s="338">
        <v>0</v>
      </c>
      <c r="I47" s="216">
        <v>0</v>
      </c>
      <c r="J47" s="138">
        <f t="shared" si="21"/>
        <v>0</v>
      </c>
    </row>
    <row r="48" spans="1:47" ht="14.95" thickBot="1" x14ac:dyDescent="0.3">
      <c r="A48" s="323" t="s">
        <v>4</v>
      </c>
      <c r="B48" s="329">
        <v>0</v>
      </c>
      <c r="C48" s="383">
        <v>1</v>
      </c>
      <c r="D48" s="384">
        <v>1</v>
      </c>
      <c r="E48" s="332">
        <f t="shared" si="20"/>
        <v>2</v>
      </c>
      <c r="F48" s="311" t="s">
        <v>4</v>
      </c>
      <c r="G48" s="137">
        <v>0</v>
      </c>
      <c r="H48" s="338">
        <v>7</v>
      </c>
      <c r="I48" s="216">
        <v>7</v>
      </c>
      <c r="J48" s="138">
        <f t="shared" si="21"/>
        <v>14</v>
      </c>
    </row>
    <row r="49" spans="1:50" ht="14.95" thickBot="1" x14ac:dyDescent="0.3">
      <c r="A49" s="323" t="s">
        <v>111</v>
      </c>
      <c r="B49" s="329">
        <v>6</v>
      </c>
      <c r="C49" s="383">
        <v>0</v>
      </c>
      <c r="D49" s="384">
        <v>0</v>
      </c>
      <c r="E49" s="332">
        <f t="shared" si="20"/>
        <v>6</v>
      </c>
      <c r="F49" s="311" t="s">
        <v>111</v>
      </c>
      <c r="G49" s="137">
        <v>30</v>
      </c>
      <c r="H49" s="338">
        <v>0</v>
      </c>
      <c r="I49" s="216">
        <v>0</v>
      </c>
      <c r="J49" s="138">
        <f t="shared" si="21"/>
        <v>30</v>
      </c>
    </row>
    <row r="50" spans="1:50" ht="14.95" thickBot="1" x14ac:dyDescent="0.3">
      <c r="A50" s="323" t="s">
        <v>716</v>
      </c>
      <c r="B50" s="329">
        <v>11</v>
      </c>
      <c r="C50" s="383">
        <v>0</v>
      </c>
      <c r="D50" s="384">
        <v>2</v>
      </c>
      <c r="E50" s="332">
        <f t="shared" si="20"/>
        <v>13</v>
      </c>
      <c r="F50" s="311" t="s">
        <v>716</v>
      </c>
      <c r="G50" s="137">
        <v>55</v>
      </c>
      <c r="H50" s="338">
        <v>0</v>
      </c>
      <c r="I50" s="216">
        <v>10</v>
      </c>
      <c r="J50" s="138">
        <f t="shared" si="21"/>
        <v>65</v>
      </c>
      <c r="AI50" s="4"/>
    </row>
    <row r="51" spans="1:50" ht="14.95" customHeight="1" thickBot="1" x14ac:dyDescent="0.3">
      <c r="A51" s="323" t="s">
        <v>499</v>
      </c>
      <c r="B51" s="329">
        <v>0</v>
      </c>
      <c r="C51" s="383">
        <v>0</v>
      </c>
      <c r="D51" s="384">
        <v>2</v>
      </c>
      <c r="E51" s="332">
        <f t="shared" si="20"/>
        <v>2</v>
      </c>
      <c r="F51" s="311" t="s">
        <v>499</v>
      </c>
      <c r="G51" s="137">
        <v>0</v>
      </c>
      <c r="H51" s="338">
        <v>0</v>
      </c>
      <c r="I51" s="216">
        <v>10</v>
      </c>
      <c r="J51" s="138">
        <f t="shared" si="21"/>
        <v>10</v>
      </c>
      <c r="AX51" s="314"/>
    </row>
    <row r="52" spans="1:50" ht="14.95" customHeight="1" thickBot="1" x14ac:dyDescent="0.3">
      <c r="A52" s="323" t="s">
        <v>257</v>
      </c>
      <c r="B52" s="329">
        <v>0</v>
      </c>
      <c r="C52" s="383">
        <v>0</v>
      </c>
      <c r="D52" s="384">
        <v>0</v>
      </c>
      <c r="E52" s="332">
        <f t="shared" si="20"/>
        <v>0</v>
      </c>
      <c r="F52" s="311" t="s">
        <v>257</v>
      </c>
      <c r="G52" s="137">
        <v>0</v>
      </c>
      <c r="H52" s="338">
        <v>0</v>
      </c>
      <c r="I52" s="216">
        <v>0</v>
      </c>
      <c r="J52" s="138">
        <f t="shared" si="21"/>
        <v>0</v>
      </c>
    </row>
    <row r="53" spans="1:50" ht="14.95" thickBot="1" x14ac:dyDescent="0.3">
      <c r="A53" s="323" t="s">
        <v>62</v>
      </c>
      <c r="B53" s="329">
        <v>0</v>
      </c>
      <c r="C53" s="383">
        <v>0</v>
      </c>
      <c r="D53" s="384">
        <v>0</v>
      </c>
      <c r="E53" s="332">
        <f t="shared" si="20"/>
        <v>0</v>
      </c>
      <c r="F53" s="311" t="s">
        <v>62</v>
      </c>
      <c r="G53" s="137">
        <v>0</v>
      </c>
      <c r="H53" s="338">
        <v>0</v>
      </c>
      <c r="I53" s="216">
        <v>0</v>
      </c>
      <c r="J53" s="138">
        <f t="shared" si="21"/>
        <v>0</v>
      </c>
    </row>
    <row r="54" spans="1:50" ht="14.95" customHeight="1" thickBot="1" x14ac:dyDescent="0.3">
      <c r="A54" s="323" t="s">
        <v>112</v>
      </c>
      <c r="B54" s="329">
        <v>1</v>
      </c>
      <c r="C54" s="383">
        <v>1</v>
      </c>
      <c r="D54" s="384">
        <v>2</v>
      </c>
      <c r="E54" s="332">
        <f t="shared" si="20"/>
        <v>4</v>
      </c>
      <c r="F54" s="311" t="s">
        <v>112</v>
      </c>
      <c r="G54" s="137">
        <v>5</v>
      </c>
      <c r="H54" s="338">
        <v>5</v>
      </c>
      <c r="I54" s="216">
        <v>10</v>
      </c>
      <c r="J54" s="138">
        <f t="shared" si="21"/>
        <v>20</v>
      </c>
      <c r="AF54" s="4"/>
      <c r="AG54" s="4"/>
      <c r="AH54" s="4"/>
    </row>
    <row r="55" spans="1:50" ht="14.95" customHeight="1" thickBot="1" x14ac:dyDescent="0.3">
      <c r="A55" s="323" t="s">
        <v>396</v>
      </c>
      <c r="B55" s="329">
        <v>0</v>
      </c>
      <c r="C55" s="383">
        <v>0</v>
      </c>
      <c r="D55" s="384">
        <v>2</v>
      </c>
      <c r="E55" s="332">
        <f t="shared" si="20"/>
        <v>2</v>
      </c>
      <c r="F55" s="311" t="s">
        <v>396</v>
      </c>
      <c r="G55" s="137">
        <v>0</v>
      </c>
      <c r="H55" s="338">
        <v>0</v>
      </c>
      <c r="I55" s="216">
        <v>10</v>
      </c>
      <c r="J55" s="138">
        <f t="shared" si="21"/>
        <v>10</v>
      </c>
    </row>
    <row r="56" spans="1:50" ht="14.95" thickBot="1" x14ac:dyDescent="0.3">
      <c r="A56" s="323" t="s">
        <v>742</v>
      </c>
      <c r="B56" s="329">
        <v>0</v>
      </c>
      <c r="C56" s="383">
        <v>0</v>
      </c>
      <c r="D56" s="384">
        <v>0</v>
      </c>
      <c r="E56" s="332">
        <f t="shared" si="20"/>
        <v>0</v>
      </c>
      <c r="F56" s="311" t="s">
        <v>742</v>
      </c>
      <c r="G56" s="137">
        <v>0</v>
      </c>
      <c r="H56" s="338">
        <v>0</v>
      </c>
      <c r="I56" s="216">
        <v>0</v>
      </c>
      <c r="J56" s="138">
        <f t="shared" si="21"/>
        <v>0</v>
      </c>
    </row>
    <row r="57" spans="1:50" ht="14.95" thickBot="1" x14ac:dyDescent="0.3">
      <c r="A57" s="323" t="s">
        <v>724</v>
      </c>
      <c r="B57" s="329">
        <v>0</v>
      </c>
      <c r="C57" s="383">
        <v>0</v>
      </c>
      <c r="D57" s="384">
        <v>0</v>
      </c>
      <c r="E57" s="332">
        <f t="shared" si="20"/>
        <v>0</v>
      </c>
      <c r="F57" s="311" t="s">
        <v>724</v>
      </c>
      <c r="G57" s="137">
        <v>0</v>
      </c>
      <c r="H57" s="338">
        <v>0</v>
      </c>
      <c r="I57" s="216">
        <v>0</v>
      </c>
      <c r="J57" s="138">
        <f t="shared" si="21"/>
        <v>0</v>
      </c>
    </row>
    <row r="58" spans="1:50" ht="14.95" thickBot="1" x14ac:dyDescent="0.3">
      <c r="A58" s="323" t="s">
        <v>725</v>
      </c>
      <c r="B58" s="329">
        <v>0</v>
      </c>
      <c r="C58" s="383">
        <v>0</v>
      </c>
      <c r="D58" s="384">
        <v>0</v>
      </c>
      <c r="E58" s="332">
        <f t="shared" si="20"/>
        <v>0</v>
      </c>
      <c r="F58" s="311" t="s">
        <v>725</v>
      </c>
      <c r="G58" s="137">
        <v>0</v>
      </c>
      <c r="H58" s="338">
        <v>0</v>
      </c>
      <c r="I58" s="216">
        <v>0</v>
      </c>
      <c r="J58" s="138">
        <f t="shared" si="21"/>
        <v>0</v>
      </c>
    </row>
    <row r="59" spans="1:50" ht="14.95" thickBot="1" x14ac:dyDescent="0.3">
      <c r="A59" s="323" t="s">
        <v>5</v>
      </c>
      <c r="B59" s="329">
        <v>6</v>
      </c>
      <c r="C59" s="383">
        <v>1</v>
      </c>
      <c r="D59" s="384">
        <v>0</v>
      </c>
      <c r="E59" s="332">
        <f t="shared" si="20"/>
        <v>7</v>
      </c>
      <c r="F59" s="311" t="s">
        <v>5</v>
      </c>
      <c r="G59" s="137">
        <v>32</v>
      </c>
      <c r="H59" s="338">
        <v>5</v>
      </c>
      <c r="I59" s="216">
        <v>0</v>
      </c>
      <c r="J59" s="138">
        <f t="shared" si="21"/>
        <v>37</v>
      </c>
    </row>
    <row r="60" spans="1:50" ht="14.95" thickBot="1" x14ac:dyDescent="0.3">
      <c r="A60" s="323" t="s">
        <v>718</v>
      </c>
      <c r="B60" s="329">
        <v>0</v>
      </c>
      <c r="C60" s="383">
        <v>0</v>
      </c>
      <c r="D60" s="384">
        <v>2</v>
      </c>
      <c r="E60" s="332">
        <f t="shared" si="20"/>
        <v>2</v>
      </c>
      <c r="F60" s="311" t="s">
        <v>718</v>
      </c>
      <c r="G60" s="137">
        <v>0</v>
      </c>
      <c r="H60" s="338">
        <v>0</v>
      </c>
      <c r="I60" s="216">
        <v>10</v>
      </c>
      <c r="J60" s="138">
        <f t="shared" si="21"/>
        <v>10</v>
      </c>
    </row>
    <row r="61" spans="1:50" ht="14.95" thickBot="1" x14ac:dyDescent="0.3">
      <c r="A61" s="323" t="s">
        <v>47</v>
      </c>
      <c r="B61" s="329">
        <v>0</v>
      </c>
      <c r="C61" s="383">
        <v>0</v>
      </c>
      <c r="D61" s="384">
        <v>0</v>
      </c>
      <c r="E61" s="332">
        <f t="shared" si="20"/>
        <v>0</v>
      </c>
      <c r="F61" s="311" t="s">
        <v>47</v>
      </c>
      <c r="G61" s="137">
        <v>0</v>
      </c>
      <c r="H61" s="338">
        <v>0</v>
      </c>
      <c r="I61" s="216">
        <v>0</v>
      </c>
      <c r="J61" s="138">
        <f t="shared" si="21"/>
        <v>0</v>
      </c>
    </row>
    <row r="62" spans="1:50" ht="14.95" thickBot="1" x14ac:dyDescent="0.3">
      <c r="A62" s="323" t="s">
        <v>501</v>
      </c>
      <c r="B62" s="329">
        <v>0</v>
      </c>
      <c r="C62" s="383">
        <v>0</v>
      </c>
      <c r="D62" s="384">
        <v>0</v>
      </c>
      <c r="E62" s="332">
        <f t="shared" si="20"/>
        <v>0</v>
      </c>
      <c r="F62" s="311" t="s">
        <v>501</v>
      </c>
      <c r="G62" s="137">
        <v>10</v>
      </c>
      <c r="H62" s="338">
        <v>2</v>
      </c>
      <c r="I62" s="216">
        <v>18</v>
      </c>
      <c r="J62" s="138">
        <f t="shared" si="21"/>
        <v>30</v>
      </c>
    </row>
    <row r="63" spans="1:50" ht="14.95" thickBot="1" x14ac:dyDescent="0.3">
      <c r="A63" s="323" t="s">
        <v>3</v>
      </c>
      <c r="B63" s="329">
        <f>SUM(B3:B62)</f>
        <v>97</v>
      </c>
      <c r="C63" s="383">
        <f>SUM(C3:C62)</f>
        <v>12</v>
      </c>
      <c r="D63" s="384">
        <f>SUM(D3:D62)</f>
        <v>40</v>
      </c>
      <c r="E63" s="332">
        <f>SUM(E3:E62)</f>
        <v>149</v>
      </c>
      <c r="F63" s="311" t="s">
        <v>3</v>
      </c>
      <c r="G63" s="137">
        <f>SUM(G3:G62)</f>
        <v>655</v>
      </c>
      <c r="H63" s="338">
        <f>SUM(H3:H62)</f>
        <v>80</v>
      </c>
      <c r="I63" s="216">
        <f>SUM(I3:I62)</f>
        <v>254</v>
      </c>
      <c r="J63" s="138">
        <f>SUM(J3:J62)</f>
        <v>989</v>
      </c>
    </row>
    <row r="64" spans="1:50" x14ac:dyDescent="0.25">
      <c r="A64" s="477"/>
      <c r="B64" s="478"/>
      <c r="C64" s="478"/>
      <c r="D64" s="478"/>
      <c r="E64" s="478"/>
      <c r="F64" s="478"/>
      <c r="G64" s="478"/>
      <c r="H64" s="478"/>
      <c r="I64" s="35"/>
      <c r="J64" s="35"/>
    </row>
    <row r="65" spans="1:10" ht="14.95" thickBot="1" x14ac:dyDescent="0.3">
      <c r="A65" t="s">
        <v>14</v>
      </c>
      <c r="B65" s="134"/>
      <c r="F65" s="34"/>
      <c r="G65" s="135"/>
      <c r="H65" s="37"/>
      <c r="I65" s="37"/>
      <c r="J65" s="37"/>
    </row>
    <row r="66" spans="1:10" ht="14.95" thickBot="1" x14ac:dyDescent="0.3">
      <c r="A66" s="324" t="s">
        <v>0</v>
      </c>
      <c r="B66" s="380" t="s">
        <v>259</v>
      </c>
      <c r="C66" s="381" t="s">
        <v>35</v>
      </c>
      <c r="D66" s="382" t="s">
        <v>383</v>
      </c>
      <c r="E66" s="328" t="s">
        <v>1</v>
      </c>
      <c r="F66" s="310" t="s">
        <v>2</v>
      </c>
      <c r="G66" s="139" t="s">
        <v>259</v>
      </c>
      <c r="H66" s="337" t="s">
        <v>35</v>
      </c>
      <c r="I66" s="215" t="s">
        <v>383</v>
      </c>
      <c r="J66" s="140" t="s">
        <v>1</v>
      </c>
    </row>
    <row r="67" spans="1:10" ht="14.95" thickBot="1" x14ac:dyDescent="0.3">
      <c r="A67" s="323" t="s">
        <v>534</v>
      </c>
      <c r="B67" s="329">
        <v>13</v>
      </c>
      <c r="C67" s="383">
        <v>1</v>
      </c>
      <c r="D67" s="384">
        <v>0</v>
      </c>
      <c r="E67" s="332">
        <f t="shared" ref="E67:E98" si="23">SUM(B67:D67)</f>
        <v>14</v>
      </c>
      <c r="F67" s="311" t="s">
        <v>60</v>
      </c>
      <c r="G67" s="137">
        <v>119</v>
      </c>
      <c r="H67" s="338">
        <v>0</v>
      </c>
      <c r="I67" s="216">
        <v>0</v>
      </c>
      <c r="J67" s="138">
        <f t="shared" ref="J67:J98" si="24">SUM(G67:I67)</f>
        <v>119</v>
      </c>
    </row>
    <row r="68" spans="1:10" ht="14.95" thickBot="1" x14ac:dyDescent="0.3">
      <c r="A68" s="323" t="s">
        <v>716</v>
      </c>
      <c r="B68" s="329">
        <v>11</v>
      </c>
      <c r="C68" s="383">
        <v>0</v>
      </c>
      <c r="D68" s="384">
        <v>2</v>
      </c>
      <c r="E68" s="332">
        <f t="shared" si="23"/>
        <v>13</v>
      </c>
      <c r="F68" s="311" t="s">
        <v>534</v>
      </c>
      <c r="G68" s="137">
        <v>65</v>
      </c>
      <c r="H68" s="338">
        <v>5</v>
      </c>
      <c r="I68" s="216">
        <v>0</v>
      </c>
      <c r="J68" s="138">
        <f t="shared" si="24"/>
        <v>70</v>
      </c>
    </row>
    <row r="69" spans="1:10" ht="14.95" thickBot="1" x14ac:dyDescent="0.3">
      <c r="A69" s="323" t="s">
        <v>565</v>
      </c>
      <c r="B69" s="329">
        <v>4</v>
      </c>
      <c r="C69" s="383">
        <v>3</v>
      </c>
      <c r="D69" s="384">
        <v>2</v>
      </c>
      <c r="E69" s="332">
        <f t="shared" si="23"/>
        <v>9</v>
      </c>
      <c r="F69" s="311" t="s">
        <v>255</v>
      </c>
      <c r="G69" s="137">
        <v>40</v>
      </c>
      <c r="H69" s="338">
        <v>14</v>
      </c>
      <c r="I69" s="216">
        <v>13</v>
      </c>
      <c r="J69" s="138">
        <f t="shared" si="24"/>
        <v>67</v>
      </c>
    </row>
    <row r="70" spans="1:10" ht="14.95" thickBot="1" x14ac:dyDescent="0.3">
      <c r="A70" s="323" t="s">
        <v>712</v>
      </c>
      <c r="B70" s="329">
        <v>6</v>
      </c>
      <c r="C70" s="383">
        <v>0</v>
      </c>
      <c r="D70" s="384">
        <v>1</v>
      </c>
      <c r="E70" s="332">
        <f t="shared" si="23"/>
        <v>7</v>
      </c>
      <c r="F70" s="311" t="s">
        <v>716</v>
      </c>
      <c r="G70" s="137">
        <v>55</v>
      </c>
      <c r="H70" s="338">
        <v>0</v>
      </c>
      <c r="I70" s="216">
        <v>10</v>
      </c>
      <c r="J70" s="138">
        <f t="shared" si="24"/>
        <v>65</v>
      </c>
    </row>
    <row r="71" spans="1:10" ht="14.95" thickBot="1" x14ac:dyDescent="0.3">
      <c r="A71" s="323" t="s">
        <v>5</v>
      </c>
      <c r="B71" s="329">
        <v>6</v>
      </c>
      <c r="C71" s="383">
        <v>1</v>
      </c>
      <c r="D71" s="384">
        <v>0</v>
      </c>
      <c r="E71" s="332">
        <f t="shared" si="23"/>
        <v>7</v>
      </c>
      <c r="F71" s="311" t="s">
        <v>658</v>
      </c>
      <c r="G71" s="137">
        <v>34</v>
      </c>
      <c r="H71" s="338">
        <v>2</v>
      </c>
      <c r="I71" s="216">
        <v>12</v>
      </c>
      <c r="J71" s="138">
        <f t="shared" si="24"/>
        <v>48</v>
      </c>
    </row>
    <row r="72" spans="1:10" ht="14.95" thickBot="1" x14ac:dyDescent="0.3">
      <c r="A72" s="323" t="s">
        <v>330</v>
      </c>
      <c r="B72" s="329">
        <v>2</v>
      </c>
      <c r="C72" s="383">
        <v>0</v>
      </c>
      <c r="D72" s="384">
        <v>4</v>
      </c>
      <c r="E72" s="332">
        <f t="shared" si="23"/>
        <v>6</v>
      </c>
      <c r="F72" s="311" t="s">
        <v>565</v>
      </c>
      <c r="G72" s="137">
        <v>20</v>
      </c>
      <c r="H72" s="338">
        <v>15</v>
      </c>
      <c r="I72" s="216">
        <v>10</v>
      </c>
      <c r="J72" s="138">
        <f t="shared" si="24"/>
        <v>45</v>
      </c>
    </row>
    <row r="73" spans="1:10" ht="14.95" thickBot="1" x14ac:dyDescent="0.3">
      <c r="A73" s="323" t="s">
        <v>335</v>
      </c>
      <c r="B73" s="329">
        <v>5</v>
      </c>
      <c r="C73" s="383">
        <v>0</v>
      </c>
      <c r="D73" s="384">
        <v>1</v>
      </c>
      <c r="E73" s="332">
        <f t="shared" si="23"/>
        <v>6</v>
      </c>
      <c r="F73" s="311" t="s">
        <v>5</v>
      </c>
      <c r="G73" s="137">
        <v>32</v>
      </c>
      <c r="H73" s="338">
        <v>5</v>
      </c>
      <c r="I73" s="216">
        <v>0</v>
      </c>
      <c r="J73" s="138">
        <f t="shared" si="24"/>
        <v>37</v>
      </c>
    </row>
    <row r="74" spans="1:10" ht="14.95" thickBot="1" x14ac:dyDescent="0.3">
      <c r="A74" s="323" t="s">
        <v>658</v>
      </c>
      <c r="B74" s="329">
        <v>6</v>
      </c>
      <c r="C74" s="383">
        <v>0</v>
      </c>
      <c r="D74" s="384">
        <v>0</v>
      </c>
      <c r="E74" s="332">
        <f t="shared" si="23"/>
        <v>6</v>
      </c>
      <c r="F74" s="311" t="s">
        <v>712</v>
      </c>
      <c r="G74" s="137">
        <v>30</v>
      </c>
      <c r="H74" s="338">
        <v>0</v>
      </c>
      <c r="I74" s="216">
        <v>5</v>
      </c>
      <c r="J74" s="138">
        <f t="shared" si="24"/>
        <v>35</v>
      </c>
    </row>
    <row r="75" spans="1:10" ht="14.95" thickBot="1" x14ac:dyDescent="0.3">
      <c r="A75" s="323" t="s">
        <v>623</v>
      </c>
      <c r="B75" s="329">
        <v>6</v>
      </c>
      <c r="C75" s="383">
        <v>0</v>
      </c>
      <c r="D75" s="384">
        <v>0</v>
      </c>
      <c r="E75" s="332">
        <f t="shared" si="23"/>
        <v>6</v>
      </c>
      <c r="F75" s="311" t="s">
        <v>330</v>
      </c>
      <c r="G75" s="137">
        <v>10</v>
      </c>
      <c r="H75" s="338">
        <v>0</v>
      </c>
      <c r="I75" s="216">
        <v>20</v>
      </c>
      <c r="J75" s="138">
        <f t="shared" si="24"/>
        <v>30</v>
      </c>
    </row>
    <row r="76" spans="1:10" ht="14.95" thickBot="1" x14ac:dyDescent="0.3">
      <c r="A76" s="323" t="s">
        <v>111</v>
      </c>
      <c r="B76" s="329">
        <v>6</v>
      </c>
      <c r="C76" s="383">
        <v>0</v>
      </c>
      <c r="D76" s="384">
        <v>0</v>
      </c>
      <c r="E76" s="332">
        <f t="shared" si="23"/>
        <v>6</v>
      </c>
      <c r="F76" s="311" t="s">
        <v>335</v>
      </c>
      <c r="G76" s="137">
        <v>25</v>
      </c>
      <c r="H76" s="338">
        <v>0</v>
      </c>
      <c r="I76" s="216">
        <v>5</v>
      </c>
      <c r="J76" s="138">
        <f t="shared" si="24"/>
        <v>30</v>
      </c>
    </row>
    <row r="77" spans="1:10" ht="14.95" thickBot="1" x14ac:dyDescent="0.3">
      <c r="A77" s="323" t="s">
        <v>220</v>
      </c>
      <c r="B77" s="329">
        <v>3</v>
      </c>
      <c r="C77" s="383">
        <v>1</v>
      </c>
      <c r="D77" s="384">
        <v>1</v>
      </c>
      <c r="E77" s="332">
        <f t="shared" si="23"/>
        <v>5</v>
      </c>
      <c r="F77" s="311" t="s">
        <v>623</v>
      </c>
      <c r="G77" s="137">
        <v>30</v>
      </c>
      <c r="H77" s="338">
        <v>0</v>
      </c>
      <c r="I77" s="216">
        <v>0</v>
      </c>
      <c r="J77" s="138">
        <f t="shared" si="24"/>
        <v>30</v>
      </c>
    </row>
    <row r="78" spans="1:10" ht="14.95" thickBot="1" x14ac:dyDescent="0.3">
      <c r="A78" s="323" t="s">
        <v>723</v>
      </c>
      <c r="B78" s="329">
        <v>4</v>
      </c>
      <c r="C78" s="383">
        <v>0</v>
      </c>
      <c r="D78" s="384">
        <v>1</v>
      </c>
      <c r="E78" s="332">
        <f t="shared" si="23"/>
        <v>5</v>
      </c>
      <c r="F78" s="311" t="s">
        <v>111</v>
      </c>
      <c r="G78" s="137">
        <v>30</v>
      </c>
      <c r="H78" s="338">
        <v>0</v>
      </c>
      <c r="I78" s="216">
        <v>0</v>
      </c>
      <c r="J78" s="138">
        <f t="shared" si="24"/>
        <v>30</v>
      </c>
    </row>
    <row r="79" spans="1:10" ht="14.95" thickBot="1" x14ac:dyDescent="0.3">
      <c r="A79" s="323" t="s">
        <v>365</v>
      </c>
      <c r="B79" s="329">
        <v>5</v>
      </c>
      <c r="C79" s="383">
        <v>0</v>
      </c>
      <c r="D79" s="384">
        <v>0</v>
      </c>
      <c r="E79" s="332">
        <f t="shared" si="23"/>
        <v>5</v>
      </c>
      <c r="F79" s="311" t="s">
        <v>501</v>
      </c>
      <c r="G79" s="137">
        <v>10</v>
      </c>
      <c r="H79" s="338">
        <v>2</v>
      </c>
      <c r="I79" s="216">
        <v>18</v>
      </c>
      <c r="J79" s="138">
        <f t="shared" si="24"/>
        <v>30</v>
      </c>
    </row>
    <row r="80" spans="1:10" ht="14.95" thickBot="1" x14ac:dyDescent="0.3">
      <c r="A80" s="323" t="s">
        <v>222</v>
      </c>
      <c r="B80" s="329">
        <v>1</v>
      </c>
      <c r="C80" s="383">
        <v>0</v>
      </c>
      <c r="D80" s="384">
        <v>3</v>
      </c>
      <c r="E80" s="332">
        <f t="shared" si="23"/>
        <v>4</v>
      </c>
      <c r="F80" s="311" t="s">
        <v>220</v>
      </c>
      <c r="G80" s="137">
        <v>15</v>
      </c>
      <c r="H80" s="338">
        <v>5</v>
      </c>
      <c r="I80" s="216">
        <v>5</v>
      </c>
      <c r="J80" s="138">
        <f t="shared" si="24"/>
        <v>25</v>
      </c>
    </row>
    <row r="81" spans="1:10" ht="14.95" thickBot="1" x14ac:dyDescent="0.3">
      <c r="A81" s="323" t="s">
        <v>229</v>
      </c>
      <c r="B81" s="329">
        <v>2</v>
      </c>
      <c r="C81" s="383">
        <v>1</v>
      </c>
      <c r="D81" s="384">
        <v>1</v>
      </c>
      <c r="E81" s="332">
        <f t="shared" si="23"/>
        <v>4</v>
      </c>
      <c r="F81" s="311" t="s">
        <v>723</v>
      </c>
      <c r="G81" s="137">
        <v>20</v>
      </c>
      <c r="H81" s="338">
        <v>0</v>
      </c>
      <c r="I81" s="216">
        <v>5</v>
      </c>
      <c r="J81" s="138">
        <f t="shared" si="24"/>
        <v>25</v>
      </c>
    </row>
    <row r="82" spans="1:10" ht="14.95" thickBot="1" x14ac:dyDescent="0.3">
      <c r="A82" s="323" t="s">
        <v>271</v>
      </c>
      <c r="B82" s="329">
        <v>3</v>
      </c>
      <c r="C82" s="383">
        <v>0</v>
      </c>
      <c r="D82" s="384">
        <v>1</v>
      </c>
      <c r="E82" s="332">
        <f t="shared" si="23"/>
        <v>4</v>
      </c>
      <c r="F82" s="311" t="s">
        <v>365</v>
      </c>
      <c r="G82" s="137">
        <v>25</v>
      </c>
      <c r="H82" s="338">
        <v>0</v>
      </c>
      <c r="I82" s="216">
        <v>0</v>
      </c>
      <c r="J82" s="138">
        <f t="shared" si="24"/>
        <v>25</v>
      </c>
    </row>
    <row r="83" spans="1:10" ht="14.95" thickBot="1" x14ac:dyDescent="0.3">
      <c r="A83" s="323" t="s">
        <v>112</v>
      </c>
      <c r="B83" s="329">
        <v>1</v>
      </c>
      <c r="C83" s="383">
        <v>1</v>
      </c>
      <c r="D83" s="384">
        <v>2</v>
      </c>
      <c r="E83" s="332">
        <f t="shared" si="23"/>
        <v>4</v>
      </c>
      <c r="F83" s="311" t="s">
        <v>1009</v>
      </c>
      <c r="G83" s="137">
        <v>0</v>
      </c>
      <c r="H83" s="338">
        <v>0</v>
      </c>
      <c r="I83" s="216">
        <v>21</v>
      </c>
      <c r="J83" s="138">
        <f t="shared" si="24"/>
        <v>21</v>
      </c>
    </row>
    <row r="84" spans="1:10" ht="14.95" thickBot="1" x14ac:dyDescent="0.3">
      <c r="A84" s="323" t="s">
        <v>332</v>
      </c>
      <c r="B84" s="329">
        <v>3</v>
      </c>
      <c r="C84" s="383">
        <v>0</v>
      </c>
      <c r="D84" s="384">
        <v>0</v>
      </c>
      <c r="E84" s="332">
        <f t="shared" si="23"/>
        <v>3</v>
      </c>
      <c r="F84" s="311" t="s">
        <v>222</v>
      </c>
      <c r="G84" s="137">
        <v>5</v>
      </c>
      <c r="H84" s="338">
        <v>0</v>
      </c>
      <c r="I84" s="216">
        <v>15</v>
      </c>
      <c r="J84" s="138">
        <f t="shared" si="24"/>
        <v>20</v>
      </c>
    </row>
    <row r="85" spans="1:10" ht="14.95" thickBot="1" x14ac:dyDescent="0.3">
      <c r="A85" s="323" t="s">
        <v>1009</v>
      </c>
      <c r="B85" s="329">
        <v>0</v>
      </c>
      <c r="C85" s="383">
        <v>0</v>
      </c>
      <c r="D85" s="384">
        <v>3</v>
      </c>
      <c r="E85" s="332">
        <f t="shared" si="23"/>
        <v>3</v>
      </c>
      <c r="F85" s="311" t="s">
        <v>229</v>
      </c>
      <c r="G85" s="137">
        <v>10</v>
      </c>
      <c r="H85" s="338">
        <v>5</v>
      </c>
      <c r="I85" s="216">
        <v>5</v>
      </c>
      <c r="J85" s="138">
        <f t="shared" si="24"/>
        <v>20</v>
      </c>
    </row>
    <row r="86" spans="1:10" ht="14.95" thickBot="1" x14ac:dyDescent="0.3">
      <c r="A86" s="323" t="s">
        <v>540</v>
      </c>
      <c r="B86" s="329">
        <v>0</v>
      </c>
      <c r="C86" s="383">
        <v>0</v>
      </c>
      <c r="D86" s="384">
        <v>3</v>
      </c>
      <c r="E86" s="332">
        <f t="shared" si="23"/>
        <v>3</v>
      </c>
      <c r="F86" s="311" t="s">
        <v>271</v>
      </c>
      <c r="G86" s="137">
        <v>15</v>
      </c>
      <c r="H86" s="338">
        <v>0</v>
      </c>
      <c r="I86" s="216">
        <v>5</v>
      </c>
      <c r="J86" s="138">
        <f t="shared" si="24"/>
        <v>20</v>
      </c>
    </row>
    <row r="87" spans="1:10" ht="14.95" thickBot="1" x14ac:dyDescent="0.3">
      <c r="A87" s="323" t="s">
        <v>269</v>
      </c>
      <c r="B87" s="329">
        <v>1</v>
      </c>
      <c r="C87" s="383">
        <v>2</v>
      </c>
      <c r="D87" s="384">
        <v>0</v>
      </c>
      <c r="E87" s="332">
        <f t="shared" si="23"/>
        <v>3</v>
      </c>
      <c r="F87" s="311" t="s">
        <v>112</v>
      </c>
      <c r="G87" s="137">
        <v>5</v>
      </c>
      <c r="H87" s="338">
        <v>5</v>
      </c>
      <c r="I87" s="216">
        <v>10</v>
      </c>
      <c r="J87" s="138">
        <f t="shared" si="24"/>
        <v>20</v>
      </c>
    </row>
    <row r="88" spans="1:10" ht="14.95" thickBot="1" x14ac:dyDescent="0.3">
      <c r="A88" s="323" t="s">
        <v>441</v>
      </c>
      <c r="B88" s="329">
        <v>3</v>
      </c>
      <c r="C88" s="383">
        <v>0</v>
      </c>
      <c r="D88" s="384">
        <v>0</v>
      </c>
      <c r="E88" s="332">
        <f t="shared" si="23"/>
        <v>3</v>
      </c>
      <c r="F88" s="311" t="s">
        <v>441</v>
      </c>
      <c r="G88" s="137">
        <v>15</v>
      </c>
      <c r="H88" s="338">
        <v>0</v>
      </c>
      <c r="I88" s="216">
        <v>4</v>
      </c>
      <c r="J88" s="138">
        <f t="shared" si="24"/>
        <v>19</v>
      </c>
    </row>
    <row r="89" spans="1:10" ht="14.95" thickBot="1" x14ac:dyDescent="0.3">
      <c r="A89" s="323" t="s">
        <v>729</v>
      </c>
      <c r="B89" s="329">
        <v>0</v>
      </c>
      <c r="C89" s="383">
        <v>0</v>
      </c>
      <c r="D89" s="384">
        <v>2</v>
      </c>
      <c r="E89" s="332">
        <f t="shared" si="23"/>
        <v>2</v>
      </c>
      <c r="F89" s="311" t="s">
        <v>332</v>
      </c>
      <c r="G89" s="137">
        <v>15</v>
      </c>
      <c r="H89" s="338">
        <v>0</v>
      </c>
      <c r="I89" s="216">
        <v>0</v>
      </c>
      <c r="J89" s="138">
        <f t="shared" si="24"/>
        <v>15</v>
      </c>
    </row>
    <row r="90" spans="1:10" ht="14.95" thickBot="1" x14ac:dyDescent="0.3">
      <c r="A90" s="323" t="s">
        <v>255</v>
      </c>
      <c r="B90" s="329">
        <v>1</v>
      </c>
      <c r="C90" s="383">
        <v>0</v>
      </c>
      <c r="D90" s="384">
        <v>1</v>
      </c>
      <c r="E90" s="332">
        <f t="shared" si="23"/>
        <v>2</v>
      </c>
      <c r="F90" s="311" t="s">
        <v>540</v>
      </c>
      <c r="G90" s="137">
        <v>0</v>
      </c>
      <c r="H90" s="338">
        <v>0</v>
      </c>
      <c r="I90" s="216">
        <v>15</v>
      </c>
      <c r="J90" s="138">
        <f t="shared" si="24"/>
        <v>15</v>
      </c>
    </row>
    <row r="91" spans="1:10" ht="14.95" thickBot="1" x14ac:dyDescent="0.3">
      <c r="A91" s="323" t="s">
        <v>627</v>
      </c>
      <c r="B91" s="329">
        <v>1</v>
      </c>
      <c r="C91" s="383">
        <v>1</v>
      </c>
      <c r="D91" s="384">
        <v>0</v>
      </c>
      <c r="E91" s="332">
        <f t="shared" si="23"/>
        <v>2</v>
      </c>
      <c r="F91" s="311" t="s">
        <v>269</v>
      </c>
      <c r="G91" s="137">
        <v>5</v>
      </c>
      <c r="H91" s="338">
        <v>10</v>
      </c>
      <c r="I91" s="216">
        <v>0</v>
      </c>
      <c r="J91" s="138">
        <f t="shared" si="24"/>
        <v>15</v>
      </c>
    </row>
    <row r="92" spans="1:10" ht="14.95" thickBot="1" x14ac:dyDescent="0.3">
      <c r="A92" s="323" t="s">
        <v>943</v>
      </c>
      <c r="B92" s="329">
        <v>1</v>
      </c>
      <c r="C92" s="383">
        <v>0</v>
      </c>
      <c r="D92" s="384">
        <v>1</v>
      </c>
      <c r="E92" s="332">
        <f t="shared" si="23"/>
        <v>2</v>
      </c>
      <c r="F92" s="311" t="s">
        <v>4</v>
      </c>
      <c r="G92" s="137">
        <v>0</v>
      </c>
      <c r="H92" s="338">
        <v>7</v>
      </c>
      <c r="I92" s="216">
        <v>7</v>
      </c>
      <c r="J92" s="138">
        <f t="shared" si="24"/>
        <v>14</v>
      </c>
    </row>
    <row r="93" spans="1:10" ht="14.95" thickBot="1" x14ac:dyDescent="0.3">
      <c r="A93" s="323" t="s">
        <v>747</v>
      </c>
      <c r="B93" s="329">
        <v>0</v>
      </c>
      <c r="C93" s="383">
        <v>0</v>
      </c>
      <c r="D93" s="384">
        <v>2</v>
      </c>
      <c r="E93" s="332">
        <f t="shared" si="23"/>
        <v>2</v>
      </c>
      <c r="F93" s="311" t="s">
        <v>729</v>
      </c>
      <c r="G93" s="137">
        <v>0</v>
      </c>
      <c r="H93" s="338">
        <v>0</v>
      </c>
      <c r="I93" s="216">
        <v>10</v>
      </c>
      <c r="J93" s="138">
        <f t="shared" si="24"/>
        <v>10</v>
      </c>
    </row>
    <row r="94" spans="1:10" ht="14.95" thickBot="1" x14ac:dyDescent="0.3">
      <c r="A94" s="323" t="s">
        <v>109</v>
      </c>
      <c r="B94" s="329">
        <v>1</v>
      </c>
      <c r="C94" s="383">
        <v>0</v>
      </c>
      <c r="D94" s="384">
        <v>1</v>
      </c>
      <c r="E94" s="332">
        <f t="shared" si="23"/>
        <v>2</v>
      </c>
      <c r="F94" s="311" t="s">
        <v>627</v>
      </c>
      <c r="G94" s="137">
        <v>5</v>
      </c>
      <c r="H94" s="338">
        <v>5</v>
      </c>
      <c r="I94" s="216">
        <v>0</v>
      </c>
      <c r="J94" s="138">
        <f t="shared" si="24"/>
        <v>10</v>
      </c>
    </row>
    <row r="95" spans="1:10" ht="14.95" thickBot="1" x14ac:dyDescent="0.3">
      <c r="A95" s="323" t="s">
        <v>4</v>
      </c>
      <c r="B95" s="329">
        <v>0</v>
      </c>
      <c r="C95" s="383">
        <v>1</v>
      </c>
      <c r="D95" s="384">
        <v>1</v>
      </c>
      <c r="E95" s="332">
        <f t="shared" si="23"/>
        <v>2</v>
      </c>
      <c r="F95" s="311" t="s">
        <v>943</v>
      </c>
      <c r="G95" s="137">
        <v>5</v>
      </c>
      <c r="H95" s="338">
        <v>0</v>
      </c>
      <c r="I95" s="216">
        <v>5</v>
      </c>
      <c r="J95" s="138">
        <f t="shared" si="24"/>
        <v>10</v>
      </c>
    </row>
    <row r="96" spans="1:10" ht="14.95" thickBot="1" x14ac:dyDescent="0.3">
      <c r="A96" s="323" t="s">
        <v>499</v>
      </c>
      <c r="B96" s="329">
        <v>0</v>
      </c>
      <c r="C96" s="383">
        <v>0</v>
      </c>
      <c r="D96" s="384">
        <v>2</v>
      </c>
      <c r="E96" s="332">
        <f t="shared" si="23"/>
        <v>2</v>
      </c>
      <c r="F96" s="311" t="s">
        <v>747</v>
      </c>
      <c r="G96" s="137">
        <v>0</v>
      </c>
      <c r="H96" s="338">
        <v>0</v>
      </c>
      <c r="I96" s="216">
        <v>10</v>
      </c>
      <c r="J96" s="138">
        <f t="shared" si="24"/>
        <v>10</v>
      </c>
    </row>
    <row r="97" spans="1:10" ht="14.95" thickBot="1" x14ac:dyDescent="0.3">
      <c r="A97" s="323" t="s">
        <v>396</v>
      </c>
      <c r="B97" s="329">
        <v>0</v>
      </c>
      <c r="C97" s="383">
        <v>0</v>
      </c>
      <c r="D97" s="384">
        <v>2</v>
      </c>
      <c r="E97" s="332">
        <f t="shared" si="23"/>
        <v>2</v>
      </c>
      <c r="F97" s="311" t="s">
        <v>109</v>
      </c>
      <c r="G97" s="137">
        <v>5</v>
      </c>
      <c r="H97" s="338">
        <v>0</v>
      </c>
      <c r="I97" s="216">
        <v>5</v>
      </c>
      <c r="J97" s="138">
        <f t="shared" si="24"/>
        <v>10</v>
      </c>
    </row>
    <row r="98" spans="1:10" ht="14.95" thickBot="1" x14ac:dyDescent="0.3">
      <c r="A98" s="323" t="s">
        <v>718</v>
      </c>
      <c r="B98" s="329">
        <v>0</v>
      </c>
      <c r="C98" s="383">
        <v>0</v>
      </c>
      <c r="D98" s="384">
        <v>2</v>
      </c>
      <c r="E98" s="332">
        <f t="shared" si="23"/>
        <v>2</v>
      </c>
      <c r="F98" s="311" t="s">
        <v>499</v>
      </c>
      <c r="G98" s="137">
        <v>0</v>
      </c>
      <c r="H98" s="338">
        <v>0</v>
      </c>
      <c r="I98" s="217">
        <v>10</v>
      </c>
      <c r="J98" s="141">
        <f t="shared" si="24"/>
        <v>10</v>
      </c>
    </row>
    <row r="99" spans="1:10" ht="14.95" thickBot="1" x14ac:dyDescent="0.3">
      <c r="A99" s="323" t="s">
        <v>312</v>
      </c>
      <c r="B99" s="329">
        <v>1</v>
      </c>
      <c r="C99" s="383">
        <v>0</v>
      </c>
      <c r="D99" s="384">
        <v>0</v>
      </c>
      <c r="E99" s="332">
        <f t="shared" ref="E99:E126" si="25">SUM(B99:D99)</f>
        <v>1</v>
      </c>
      <c r="F99" s="311" t="s">
        <v>396</v>
      </c>
      <c r="G99" s="137">
        <v>0</v>
      </c>
      <c r="H99" s="338">
        <v>0</v>
      </c>
      <c r="I99" s="217">
        <v>10</v>
      </c>
      <c r="J99" s="141">
        <f t="shared" ref="J99:J126" si="26">SUM(G99:I99)</f>
        <v>10</v>
      </c>
    </row>
    <row r="100" spans="1:10" ht="14.95" thickBot="1" x14ac:dyDescent="0.3">
      <c r="A100" s="323" t="s">
        <v>1107</v>
      </c>
      <c r="B100" s="329">
        <v>0</v>
      </c>
      <c r="C100" s="383">
        <v>0</v>
      </c>
      <c r="D100" s="384">
        <v>1</v>
      </c>
      <c r="E100" s="332">
        <f t="shared" si="25"/>
        <v>1</v>
      </c>
      <c r="F100" s="311" t="s">
        <v>718</v>
      </c>
      <c r="G100" s="137">
        <v>0</v>
      </c>
      <c r="H100" s="338">
        <v>0</v>
      </c>
      <c r="I100" s="217">
        <v>10</v>
      </c>
      <c r="J100" s="141">
        <f t="shared" si="26"/>
        <v>10</v>
      </c>
    </row>
    <row r="101" spans="1:10" ht="14.95" thickBot="1" x14ac:dyDescent="0.3">
      <c r="A101" s="323" t="s">
        <v>110</v>
      </c>
      <c r="B101" s="329">
        <v>1</v>
      </c>
      <c r="C101" s="383">
        <v>0</v>
      </c>
      <c r="D101" s="384">
        <v>0</v>
      </c>
      <c r="E101" s="332">
        <f t="shared" si="25"/>
        <v>1</v>
      </c>
      <c r="F101" s="311" t="s">
        <v>312</v>
      </c>
      <c r="G101" s="137">
        <v>5</v>
      </c>
      <c r="H101" s="338">
        <v>0</v>
      </c>
      <c r="I101" s="217">
        <v>0</v>
      </c>
      <c r="J101" s="141">
        <f t="shared" si="26"/>
        <v>5</v>
      </c>
    </row>
    <row r="102" spans="1:10" ht="14.95" thickBot="1" x14ac:dyDescent="0.3">
      <c r="A102" s="323" t="s">
        <v>745</v>
      </c>
      <c r="B102" s="329">
        <v>0</v>
      </c>
      <c r="C102" s="383">
        <v>0</v>
      </c>
      <c r="D102" s="384">
        <v>0</v>
      </c>
      <c r="E102" s="332">
        <f t="shared" si="25"/>
        <v>0</v>
      </c>
      <c r="F102" s="311" t="s">
        <v>1107</v>
      </c>
      <c r="G102" s="137">
        <v>0</v>
      </c>
      <c r="H102" s="338">
        <v>0</v>
      </c>
      <c r="I102" s="217">
        <v>5</v>
      </c>
      <c r="J102" s="141">
        <f t="shared" si="26"/>
        <v>5</v>
      </c>
    </row>
    <row r="103" spans="1:10" ht="14.95" thickBot="1" x14ac:dyDescent="0.3">
      <c r="A103" s="323" t="s">
        <v>710</v>
      </c>
      <c r="B103" s="329">
        <v>0</v>
      </c>
      <c r="C103" s="383">
        <v>0</v>
      </c>
      <c r="D103" s="384">
        <v>0</v>
      </c>
      <c r="E103" s="332">
        <f t="shared" si="25"/>
        <v>0</v>
      </c>
      <c r="F103" s="311" t="s">
        <v>110</v>
      </c>
      <c r="G103" s="137">
        <v>5</v>
      </c>
      <c r="H103" s="338">
        <v>0</v>
      </c>
      <c r="I103" s="217">
        <v>0</v>
      </c>
      <c r="J103" s="141">
        <f t="shared" si="26"/>
        <v>5</v>
      </c>
    </row>
    <row r="104" spans="1:10" ht="14.95" thickBot="1" x14ac:dyDescent="0.3">
      <c r="A104" s="323" t="s">
        <v>1258</v>
      </c>
      <c r="B104" s="329">
        <v>0</v>
      </c>
      <c r="C104" s="383">
        <v>0</v>
      </c>
      <c r="D104" s="384">
        <v>0</v>
      </c>
      <c r="E104" s="332">
        <f t="shared" si="25"/>
        <v>0</v>
      </c>
      <c r="F104" s="311" t="s">
        <v>1258</v>
      </c>
      <c r="G104" s="137">
        <v>0</v>
      </c>
      <c r="H104" s="338">
        <v>0</v>
      </c>
      <c r="I104" s="217">
        <v>4</v>
      </c>
      <c r="J104" s="141">
        <f t="shared" si="26"/>
        <v>4</v>
      </c>
    </row>
    <row r="105" spans="1:10" ht="14.95" thickBot="1" x14ac:dyDescent="0.3">
      <c r="A105" s="323" t="s">
        <v>564</v>
      </c>
      <c r="B105" s="329">
        <v>0</v>
      </c>
      <c r="C105" s="383">
        <v>0</v>
      </c>
      <c r="D105" s="384">
        <v>0</v>
      </c>
      <c r="E105" s="332">
        <f t="shared" si="25"/>
        <v>0</v>
      </c>
      <c r="F105" s="311" t="s">
        <v>745</v>
      </c>
      <c r="G105" s="137">
        <v>0</v>
      </c>
      <c r="H105" s="338">
        <v>0</v>
      </c>
      <c r="I105" s="217">
        <v>0</v>
      </c>
      <c r="J105" s="141">
        <f t="shared" si="26"/>
        <v>0</v>
      </c>
    </row>
    <row r="106" spans="1:10" ht="14.95" thickBot="1" x14ac:dyDescent="0.3">
      <c r="A106" s="323" t="s">
        <v>706</v>
      </c>
      <c r="B106" s="329">
        <v>0</v>
      </c>
      <c r="C106" s="383">
        <v>0</v>
      </c>
      <c r="D106" s="384">
        <v>0</v>
      </c>
      <c r="E106" s="332">
        <f t="shared" si="25"/>
        <v>0</v>
      </c>
      <c r="F106" s="311" t="s">
        <v>710</v>
      </c>
      <c r="G106" s="137">
        <v>0</v>
      </c>
      <c r="H106" s="338">
        <v>0</v>
      </c>
      <c r="I106" s="216">
        <v>0</v>
      </c>
      <c r="J106" s="138">
        <f t="shared" si="26"/>
        <v>0</v>
      </c>
    </row>
    <row r="107" spans="1:10" ht="14.95" thickBot="1" x14ac:dyDescent="0.3">
      <c r="A107" s="323" t="s">
        <v>714</v>
      </c>
      <c r="B107" s="329">
        <v>0</v>
      </c>
      <c r="C107" s="383">
        <v>0</v>
      </c>
      <c r="D107" s="384">
        <v>0</v>
      </c>
      <c r="E107" s="332">
        <f t="shared" si="25"/>
        <v>0</v>
      </c>
      <c r="F107" s="311" t="s">
        <v>564</v>
      </c>
      <c r="G107" s="137">
        <v>0</v>
      </c>
      <c r="H107" s="338">
        <v>0</v>
      </c>
      <c r="I107" s="216">
        <v>0</v>
      </c>
      <c r="J107" s="138">
        <f t="shared" si="26"/>
        <v>0</v>
      </c>
    </row>
    <row r="108" spans="1:10" ht="14.95" thickBot="1" x14ac:dyDescent="0.3">
      <c r="A108" s="323" t="s">
        <v>737</v>
      </c>
      <c r="B108" s="329">
        <v>0</v>
      </c>
      <c r="C108" s="383">
        <v>0</v>
      </c>
      <c r="D108" s="384">
        <v>0</v>
      </c>
      <c r="E108" s="332">
        <f t="shared" si="25"/>
        <v>0</v>
      </c>
      <c r="F108" s="311" t="s">
        <v>706</v>
      </c>
      <c r="G108" s="137">
        <v>0</v>
      </c>
      <c r="H108" s="338">
        <v>0</v>
      </c>
      <c r="I108" s="216">
        <v>0</v>
      </c>
      <c r="J108" s="138">
        <f t="shared" si="26"/>
        <v>0</v>
      </c>
    </row>
    <row r="109" spans="1:10" ht="14.95" thickBot="1" x14ac:dyDescent="0.3">
      <c r="A109" s="323" t="s">
        <v>708</v>
      </c>
      <c r="B109" s="329">
        <v>0</v>
      </c>
      <c r="C109" s="383">
        <v>0</v>
      </c>
      <c r="D109" s="384">
        <v>0</v>
      </c>
      <c r="E109" s="332">
        <f t="shared" si="25"/>
        <v>0</v>
      </c>
      <c r="F109" s="311" t="s">
        <v>714</v>
      </c>
      <c r="G109" s="137">
        <v>0</v>
      </c>
      <c r="H109" s="338">
        <v>0</v>
      </c>
      <c r="I109" s="216">
        <v>0</v>
      </c>
      <c r="J109" s="138">
        <f t="shared" si="26"/>
        <v>0</v>
      </c>
    </row>
    <row r="110" spans="1:10" ht="14.95" thickBot="1" x14ac:dyDescent="0.3">
      <c r="A110" s="323" t="s">
        <v>61</v>
      </c>
      <c r="B110" s="329">
        <v>0</v>
      </c>
      <c r="C110" s="383">
        <v>0</v>
      </c>
      <c r="D110" s="384">
        <v>0</v>
      </c>
      <c r="E110" s="332">
        <f t="shared" si="25"/>
        <v>0</v>
      </c>
      <c r="F110" s="311" t="s">
        <v>737</v>
      </c>
      <c r="G110" s="137">
        <v>0</v>
      </c>
      <c r="H110" s="338">
        <v>0</v>
      </c>
      <c r="I110" s="216">
        <v>0</v>
      </c>
      <c r="J110" s="138">
        <f t="shared" si="26"/>
        <v>0</v>
      </c>
    </row>
    <row r="111" spans="1:10" ht="14.95" thickBot="1" x14ac:dyDescent="0.3">
      <c r="A111" s="323" t="s">
        <v>720</v>
      </c>
      <c r="B111" s="329">
        <v>0</v>
      </c>
      <c r="C111" s="383">
        <v>0</v>
      </c>
      <c r="D111" s="384">
        <v>0</v>
      </c>
      <c r="E111" s="332">
        <f t="shared" si="25"/>
        <v>0</v>
      </c>
      <c r="F111" s="311" t="s">
        <v>708</v>
      </c>
      <c r="G111" s="137">
        <v>0</v>
      </c>
      <c r="H111" s="338">
        <v>0</v>
      </c>
      <c r="I111" s="216">
        <v>0</v>
      </c>
      <c r="J111" s="138">
        <f t="shared" si="26"/>
        <v>0</v>
      </c>
    </row>
    <row r="112" spans="1:10" ht="14.95" thickBot="1" x14ac:dyDescent="0.3">
      <c r="A112" s="323" t="s">
        <v>722</v>
      </c>
      <c r="B112" s="329">
        <v>0</v>
      </c>
      <c r="C112" s="383">
        <v>0</v>
      </c>
      <c r="D112" s="384">
        <v>0</v>
      </c>
      <c r="E112" s="332">
        <f t="shared" si="25"/>
        <v>0</v>
      </c>
      <c r="F112" s="311" t="s">
        <v>61</v>
      </c>
      <c r="G112" s="137">
        <v>0</v>
      </c>
      <c r="H112" s="338">
        <v>0</v>
      </c>
      <c r="I112" s="216">
        <v>0</v>
      </c>
      <c r="J112" s="138">
        <f t="shared" si="26"/>
        <v>0</v>
      </c>
    </row>
    <row r="113" spans="1:10" ht="14.95" thickBot="1" x14ac:dyDescent="0.3">
      <c r="A113" s="323" t="s">
        <v>739</v>
      </c>
      <c r="B113" s="329">
        <v>0</v>
      </c>
      <c r="C113" s="383">
        <v>0</v>
      </c>
      <c r="D113" s="384">
        <v>0</v>
      </c>
      <c r="E113" s="332">
        <f t="shared" si="25"/>
        <v>0</v>
      </c>
      <c r="F113" s="311" t="s">
        <v>720</v>
      </c>
      <c r="G113" s="137">
        <v>0</v>
      </c>
      <c r="H113" s="338">
        <v>0</v>
      </c>
      <c r="I113" s="216">
        <v>0</v>
      </c>
      <c r="J113" s="138">
        <f t="shared" si="26"/>
        <v>0</v>
      </c>
    </row>
    <row r="114" spans="1:10" ht="14.95" thickBot="1" x14ac:dyDescent="0.3">
      <c r="A114" s="323" t="s">
        <v>731</v>
      </c>
      <c r="B114" s="329">
        <v>0</v>
      </c>
      <c r="C114" s="383">
        <v>0</v>
      </c>
      <c r="D114" s="384">
        <v>0</v>
      </c>
      <c r="E114" s="332">
        <f t="shared" si="25"/>
        <v>0</v>
      </c>
      <c r="F114" s="311" t="s">
        <v>722</v>
      </c>
      <c r="G114" s="137">
        <v>0</v>
      </c>
      <c r="H114" s="338">
        <v>0</v>
      </c>
      <c r="I114" s="216">
        <v>0</v>
      </c>
      <c r="J114" s="138">
        <f t="shared" si="26"/>
        <v>0</v>
      </c>
    </row>
    <row r="115" spans="1:10" ht="14.95" thickBot="1" x14ac:dyDescent="0.3">
      <c r="A115" s="323" t="s">
        <v>735</v>
      </c>
      <c r="B115" s="329">
        <v>0</v>
      </c>
      <c r="C115" s="383">
        <v>0</v>
      </c>
      <c r="D115" s="384">
        <v>0</v>
      </c>
      <c r="E115" s="332">
        <f t="shared" si="25"/>
        <v>0</v>
      </c>
      <c r="F115" s="311" t="s">
        <v>739</v>
      </c>
      <c r="G115" s="137">
        <v>0</v>
      </c>
      <c r="H115" s="338">
        <v>0</v>
      </c>
      <c r="I115" s="216">
        <v>0</v>
      </c>
      <c r="J115" s="138">
        <f t="shared" si="26"/>
        <v>0</v>
      </c>
    </row>
    <row r="116" spans="1:10" ht="14.95" thickBot="1" x14ac:dyDescent="0.3">
      <c r="A116" s="323" t="s">
        <v>60</v>
      </c>
      <c r="B116" s="329">
        <v>0</v>
      </c>
      <c r="C116" s="383">
        <v>0</v>
      </c>
      <c r="D116" s="384">
        <v>0</v>
      </c>
      <c r="E116" s="332">
        <f t="shared" si="25"/>
        <v>0</v>
      </c>
      <c r="F116" s="311" t="s">
        <v>731</v>
      </c>
      <c r="G116" s="137">
        <v>0</v>
      </c>
      <c r="H116" s="338">
        <v>0</v>
      </c>
      <c r="I116" s="216">
        <v>0</v>
      </c>
      <c r="J116" s="138">
        <f t="shared" si="26"/>
        <v>0</v>
      </c>
    </row>
    <row r="117" spans="1:10" ht="14.95" thickBot="1" x14ac:dyDescent="0.3">
      <c r="A117" s="323" t="s">
        <v>733</v>
      </c>
      <c r="B117" s="329">
        <v>0</v>
      </c>
      <c r="C117" s="383">
        <v>0</v>
      </c>
      <c r="D117" s="384">
        <v>0</v>
      </c>
      <c r="E117" s="332">
        <f t="shared" si="25"/>
        <v>0</v>
      </c>
      <c r="F117" s="311" t="s">
        <v>735</v>
      </c>
      <c r="G117" s="137">
        <v>0</v>
      </c>
      <c r="H117" s="338">
        <v>0</v>
      </c>
      <c r="I117" s="216">
        <v>0</v>
      </c>
      <c r="J117" s="138">
        <f t="shared" si="26"/>
        <v>0</v>
      </c>
    </row>
    <row r="118" spans="1:10" ht="14.95" thickBot="1" x14ac:dyDescent="0.3">
      <c r="A118" s="323" t="s">
        <v>567</v>
      </c>
      <c r="B118" s="329">
        <v>0</v>
      </c>
      <c r="C118" s="383">
        <v>0</v>
      </c>
      <c r="D118" s="384">
        <v>0</v>
      </c>
      <c r="E118" s="332">
        <f t="shared" si="25"/>
        <v>0</v>
      </c>
      <c r="F118" s="311" t="s">
        <v>733</v>
      </c>
      <c r="G118" s="137">
        <v>0</v>
      </c>
      <c r="H118" s="338">
        <v>0</v>
      </c>
      <c r="I118" s="216">
        <v>0</v>
      </c>
      <c r="J118" s="138">
        <f t="shared" si="26"/>
        <v>0</v>
      </c>
    </row>
    <row r="119" spans="1:10" ht="14.95" thickBot="1" x14ac:dyDescent="0.3">
      <c r="A119" s="323" t="s">
        <v>743</v>
      </c>
      <c r="B119" s="329">
        <v>0</v>
      </c>
      <c r="C119" s="383">
        <v>0</v>
      </c>
      <c r="D119" s="384">
        <v>0</v>
      </c>
      <c r="E119" s="332">
        <f t="shared" si="25"/>
        <v>0</v>
      </c>
      <c r="F119" s="311" t="s">
        <v>567</v>
      </c>
      <c r="G119" s="137">
        <v>0</v>
      </c>
      <c r="H119" s="338">
        <v>0</v>
      </c>
      <c r="I119" s="216">
        <v>0</v>
      </c>
      <c r="J119" s="138">
        <f t="shared" si="26"/>
        <v>0</v>
      </c>
    </row>
    <row r="120" spans="1:10" ht="14.95" thickBot="1" x14ac:dyDescent="0.3">
      <c r="A120" s="323" t="s">
        <v>257</v>
      </c>
      <c r="B120" s="329">
        <v>0</v>
      </c>
      <c r="C120" s="383">
        <v>0</v>
      </c>
      <c r="D120" s="384">
        <v>0</v>
      </c>
      <c r="E120" s="332">
        <f t="shared" si="25"/>
        <v>0</v>
      </c>
      <c r="F120" s="311" t="s">
        <v>743</v>
      </c>
      <c r="G120" s="137">
        <v>0</v>
      </c>
      <c r="H120" s="338">
        <v>0</v>
      </c>
      <c r="I120" s="216">
        <v>0</v>
      </c>
      <c r="J120" s="138">
        <f t="shared" si="26"/>
        <v>0</v>
      </c>
    </row>
    <row r="121" spans="1:10" ht="14.95" thickBot="1" x14ac:dyDescent="0.3">
      <c r="A121" s="323" t="s">
        <v>62</v>
      </c>
      <c r="B121" s="329">
        <v>0</v>
      </c>
      <c r="C121" s="383">
        <v>0</v>
      </c>
      <c r="D121" s="384">
        <v>0</v>
      </c>
      <c r="E121" s="332">
        <f t="shared" si="25"/>
        <v>0</v>
      </c>
      <c r="F121" s="311" t="s">
        <v>257</v>
      </c>
      <c r="G121" s="137">
        <v>0</v>
      </c>
      <c r="H121" s="338">
        <v>0</v>
      </c>
      <c r="I121" s="216">
        <v>0</v>
      </c>
      <c r="J121" s="138">
        <f t="shared" si="26"/>
        <v>0</v>
      </c>
    </row>
    <row r="122" spans="1:10" ht="14.95" thickBot="1" x14ac:dyDescent="0.3">
      <c r="A122" s="323" t="s">
        <v>742</v>
      </c>
      <c r="B122" s="329">
        <v>0</v>
      </c>
      <c r="C122" s="383">
        <v>0</v>
      </c>
      <c r="D122" s="384">
        <v>0</v>
      </c>
      <c r="E122" s="332">
        <f t="shared" si="25"/>
        <v>0</v>
      </c>
      <c r="F122" s="311" t="s">
        <v>62</v>
      </c>
      <c r="G122" s="137">
        <v>0</v>
      </c>
      <c r="H122" s="338">
        <v>0</v>
      </c>
      <c r="I122" s="216">
        <v>0</v>
      </c>
      <c r="J122" s="138">
        <f t="shared" si="26"/>
        <v>0</v>
      </c>
    </row>
    <row r="123" spans="1:10" ht="14.95" thickBot="1" x14ac:dyDescent="0.3">
      <c r="A123" s="323" t="s">
        <v>724</v>
      </c>
      <c r="B123" s="329">
        <v>0</v>
      </c>
      <c r="C123" s="383">
        <v>0</v>
      </c>
      <c r="D123" s="384">
        <v>0</v>
      </c>
      <c r="E123" s="332">
        <f t="shared" si="25"/>
        <v>0</v>
      </c>
      <c r="F123" s="311" t="s">
        <v>742</v>
      </c>
      <c r="G123" s="137">
        <v>0</v>
      </c>
      <c r="H123" s="338">
        <v>0</v>
      </c>
      <c r="I123" s="216">
        <v>0</v>
      </c>
      <c r="J123" s="138">
        <f t="shared" si="26"/>
        <v>0</v>
      </c>
    </row>
    <row r="124" spans="1:10" ht="14.95" thickBot="1" x14ac:dyDescent="0.3">
      <c r="A124" s="323" t="s">
        <v>725</v>
      </c>
      <c r="B124" s="329">
        <v>0</v>
      </c>
      <c r="C124" s="383">
        <v>0</v>
      </c>
      <c r="D124" s="384">
        <v>0</v>
      </c>
      <c r="E124" s="332">
        <f t="shared" si="25"/>
        <v>0</v>
      </c>
      <c r="F124" s="311" t="s">
        <v>724</v>
      </c>
      <c r="G124" s="137">
        <v>0</v>
      </c>
      <c r="H124" s="338">
        <v>0</v>
      </c>
      <c r="I124" s="216">
        <v>0</v>
      </c>
      <c r="J124" s="138">
        <f t="shared" si="26"/>
        <v>0</v>
      </c>
    </row>
    <row r="125" spans="1:10" ht="14.95" thickBot="1" x14ac:dyDescent="0.3">
      <c r="A125" s="323" t="s">
        <v>47</v>
      </c>
      <c r="B125" s="329">
        <v>0</v>
      </c>
      <c r="C125" s="383">
        <v>0</v>
      </c>
      <c r="D125" s="384">
        <v>0</v>
      </c>
      <c r="E125" s="332">
        <f t="shared" si="25"/>
        <v>0</v>
      </c>
      <c r="F125" s="311" t="s">
        <v>725</v>
      </c>
      <c r="G125" s="137">
        <v>0</v>
      </c>
      <c r="H125" s="338">
        <v>0</v>
      </c>
      <c r="I125" s="216">
        <v>0</v>
      </c>
      <c r="J125" s="138">
        <f t="shared" si="26"/>
        <v>0</v>
      </c>
    </row>
    <row r="126" spans="1:10" ht="14.95" thickBot="1" x14ac:dyDescent="0.3">
      <c r="A126" s="323" t="s">
        <v>501</v>
      </c>
      <c r="B126" s="329">
        <v>0</v>
      </c>
      <c r="C126" s="383">
        <v>0</v>
      </c>
      <c r="D126" s="384">
        <v>0</v>
      </c>
      <c r="E126" s="332">
        <f t="shared" si="25"/>
        <v>0</v>
      </c>
      <c r="F126" s="311" t="s">
        <v>47</v>
      </c>
      <c r="G126" s="137">
        <v>0</v>
      </c>
      <c r="H126" s="338">
        <v>0</v>
      </c>
      <c r="I126" s="216">
        <v>0</v>
      </c>
      <c r="J126" s="138">
        <f t="shared" si="26"/>
        <v>0</v>
      </c>
    </row>
    <row r="127" spans="1:10" ht="14.95" thickBot="1" x14ac:dyDescent="0.3">
      <c r="A127" s="323" t="s">
        <v>3</v>
      </c>
      <c r="B127" s="329">
        <f>SUM(B67:B126)</f>
        <v>97</v>
      </c>
      <c r="C127" s="383">
        <f>SUM(C67:C126)</f>
        <v>12</v>
      </c>
      <c r="D127" s="384">
        <f>SUM(D67:D126)</f>
        <v>40</v>
      </c>
      <c r="E127" s="332">
        <f>SUM(E67:E126)</f>
        <v>149</v>
      </c>
      <c r="F127" s="311" t="s">
        <v>3</v>
      </c>
      <c r="G127" s="137">
        <f>SUM(G67:G126)</f>
        <v>655</v>
      </c>
      <c r="H127" s="338">
        <f>SUM(H67:H126)</f>
        <v>80</v>
      </c>
      <c r="I127" s="216">
        <f>SUM(I67:I126)</f>
        <v>254</v>
      </c>
      <c r="J127" s="138">
        <f>SUM(J67:J126)</f>
        <v>989</v>
      </c>
    </row>
    <row r="128" spans="1:10" x14ac:dyDescent="0.25">
      <c r="A128" s="488" t="s">
        <v>42</v>
      </c>
      <c r="B128" s="480"/>
      <c r="C128" s="480"/>
      <c r="D128" s="480"/>
      <c r="E128" s="480"/>
      <c r="F128" s="480"/>
      <c r="G128" s="480"/>
      <c r="H128" s="480"/>
      <c r="I128" s="480"/>
      <c r="J128" s="480"/>
    </row>
  </sheetData>
  <sortState xmlns:xlrd2="http://schemas.microsoft.com/office/spreadsheetml/2017/richdata2" ref="F67:J126">
    <sortCondition descending="1" ref="J67:J126"/>
  </sortState>
  <mergeCells count="51">
    <mergeCell ref="A128:J128"/>
    <mergeCell ref="AL29:AN30"/>
    <mergeCell ref="U29:W30"/>
    <mergeCell ref="A64:H64"/>
    <mergeCell ref="K40:Y40"/>
    <mergeCell ref="AL23:AN24"/>
    <mergeCell ref="O29:Q30"/>
    <mergeCell ref="O23:Q24"/>
    <mergeCell ref="AF23:AH24"/>
    <mergeCell ref="AF29:AH30"/>
    <mergeCell ref="U23:W24"/>
    <mergeCell ref="AI29:AK30"/>
    <mergeCell ref="AI23:AK24"/>
    <mergeCell ref="AC23:AE24"/>
    <mergeCell ref="AC29:AE30"/>
    <mergeCell ref="A1:J1"/>
    <mergeCell ref="K29:K30"/>
    <mergeCell ref="L29:N30"/>
    <mergeCell ref="R1:S2"/>
    <mergeCell ref="K14:K15"/>
    <mergeCell ref="K1:K2"/>
    <mergeCell ref="L1:N2"/>
    <mergeCell ref="K23:K24"/>
    <mergeCell ref="L23:N24"/>
    <mergeCell ref="L14:N15"/>
    <mergeCell ref="R29:T30"/>
    <mergeCell ref="R23:T24"/>
    <mergeCell ref="O1:Q2"/>
    <mergeCell ref="O14:Q15"/>
    <mergeCell ref="W1:Y2"/>
    <mergeCell ref="R14:T15"/>
    <mergeCell ref="AL1:AN2"/>
    <mergeCell ref="AU14:AW15"/>
    <mergeCell ref="AU1:AW2"/>
    <mergeCell ref="T1:V2"/>
    <mergeCell ref="AI1:AK2"/>
    <mergeCell ref="AI14:AK15"/>
    <mergeCell ref="U14:W15"/>
    <mergeCell ref="AO1:AQ2"/>
    <mergeCell ref="AF1:AH2"/>
    <mergeCell ref="AF14:AH15"/>
    <mergeCell ref="AC1:AE2"/>
    <mergeCell ref="AC14:AE15"/>
    <mergeCell ref="AL14:AN15"/>
    <mergeCell ref="AX1:AZ2"/>
    <mergeCell ref="AR14:AT15"/>
    <mergeCell ref="AO14:AQ15"/>
    <mergeCell ref="AR1:AT2"/>
    <mergeCell ref="AR23:AT24"/>
    <mergeCell ref="AU23:AW24"/>
    <mergeCell ref="AO23:AQ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98"/>
  <sheetViews>
    <sheetView topLeftCell="A10" zoomScaleNormal="100" workbookViewId="0">
      <selection activeCell="Q25" sqref="Q25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8" width="5.375" customWidth="1"/>
    <col min="19" max="19" width="5.75" customWidth="1"/>
    <col min="20" max="30" width="5.375" customWidth="1"/>
    <col min="31" max="51" width="5.75" customWidth="1"/>
    <col min="52" max="57" width="5.625" customWidth="1"/>
  </cols>
  <sheetData>
    <row r="1" spans="1:63" ht="14.95" customHeight="1" thickBot="1" x14ac:dyDescent="0.3">
      <c r="A1" s="89" t="s">
        <v>691</v>
      </c>
      <c r="B1" s="65"/>
      <c r="C1" s="65"/>
      <c r="D1" s="65"/>
      <c r="E1" s="65"/>
      <c r="F1" s="65"/>
      <c r="G1" s="65"/>
      <c r="H1" s="65"/>
      <c r="I1" s="65"/>
      <c r="J1" s="66"/>
      <c r="K1" s="465" t="s">
        <v>225</v>
      </c>
      <c r="L1" s="453" t="s">
        <v>53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274</v>
      </c>
      <c r="U1" s="470"/>
      <c r="V1" s="471"/>
      <c r="W1" s="469" t="s">
        <v>698</v>
      </c>
      <c r="X1" s="470"/>
      <c r="Y1" s="471"/>
      <c r="Z1" s="197"/>
      <c r="AA1" s="162"/>
      <c r="AB1" s="469" t="s">
        <v>562</v>
      </c>
      <c r="AC1" s="470"/>
      <c r="AD1" s="471"/>
      <c r="AE1" s="469" t="s">
        <v>463</v>
      </c>
      <c r="AF1" s="470"/>
      <c r="AG1" s="471"/>
      <c r="AH1" s="469" t="s">
        <v>355</v>
      </c>
      <c r="AI1" s="470"/>
      <c r="AJ1" s="471"/>
      <c r="AK1" s="469" t="s">
        <v>261</v>
      </c>
      <c r="AL1" s="470"/>
      <c r="AM1" s="471"/>
      <c r="AN1" s="469" t="s">
        <v>199</v>
      </c>
      <c r="AO1" s="470"/>
      <c r="AP1" s="471"/>
      <c r="AQ1" s="469" t="s">
        <v>92</v>
      </c>
      <c r="AR1" s="470"/>
      <c r="AS1" s="471"/>
      <c r="AT1" s="469" t="s">
        <v>63</v>
      </c>
      <c r="AU1" s="470"/>
      <c r="AV1" s="471"/>
      <c r="AW1" s="469" t="s">
        <v>59</v>
      </c>
      <c r="AX1" s="470"/>
      <c r="AY1" s="471"/>
      <c r="AZ1" s="469" t="s">
        <v>45</v>
      </c>
      <c r="BA1" s="470"/>
      <c r="BB1" s="471"/>
      <c r="BC1" s="469" t="s">
        <v>50</v>
      </c>
      <c r="BD1" s="470"/>
      <c r="BE1" s="471"/>
      <c r="BF1" s="4"/>
      <c r="BG1" s="4"/>
      <c r="BH1" s="4"/>
      <c r="BK1" s="4"/>
    </row>
    <row r="2" spans="1:63" ht="14.95" customHeight="1" thickBot="1" x14ac:dyDescent="0.3">
      <c r="A2" s="108" t="s">
        <v>0</v>
      </c>
      <c r="B2" s="116" t="s">
        <v>259</v>
      </c>
      <c r="C2" s="269" t="s">
        <v>35</v>
      </c>
      <c r="D2" s="237" t="s">
        <v>383</v>
      </c>
      <c r="E2" s="109" t="s">
        <v>1</v>
      </c>
      <c r="F2" s="271" t="s">
        <v>2</v>
      </c>
      <c r="G2" s="306" t="s">
        <v>259</v>
      </c>
      <c r="H2" s="267" t="s">
        <v>35</v>
      </c>
      <c r="I2" s="272" t="s">
        <v>383</v>
      </c>
      <c r="J2" s="107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7"/>
      <c r="AA2" s="162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  <c r="BF2" s="4"/>
      <c r="BG2" s="4"/>
      <c r="BH2" s="4"/>
      <c r="BI2" s="4"/>
      <c r="BJ2" s="4"/>
    </row>
    <row r="3" spans="1:63" ht="14.95" thickBot="1" x14ac:dyDescent="0.3">
      <c r="A3" s="43" t="s">
        <v>268</v>
      </c>
      <c r="B3" s="78">
        <v>0</v>
      </c>
      <c r="C3" s="270">
        <v>0</v>
      </c>
      <c r="D3" s="238">
        <v>0</v>
      </c>
      <c r="E3" s="5">
        <f>SUM(B3:D3)</f>
        <v>0</v>
      </c>
      <c r="F3" s="273" t="s">
        <v>268</v>
      </c>
      <c r="G3" s="307">
        <v>0</v>
      </c>
      <c r="H3" s="268">
        <v>0</v>
      </c>
      <c r="I3" s="274">
        <v>0</v>
      </c>
      <c r="J3" s="77">
        <f>SUM(G3:I3)</f>
        <v>0</v>
      </c>
      <c r="K3" s="221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7" t="s">
        <v>55</v>
      </c>
      <c r="X3" s="7" t="s">
        <v>11</v>
      </c>
      <c r="Y3" s="7" t="s">
        <v>12</v>
      </c>
      <c r="Z3" s="94"/>
      <c r="AA3" s="95"/>
      <c r="AB3" s="150" t="s">
        <v>55</v>
      </c>
      <c r="AC3" s="7" t="s">
        <v>11</v>
      </c>
      <c r="AD3" s="7" t="s">
        <v>12</v>
      </c>
      <c r="AE3" s="150" t="s">
        <v>55</v>
      </c>
      <c r="AF3" s="7" t="s">
        <v>11</v>
      </c>
      <c r="AG3" s="7" t="s">
        <v>12</v>
      </c>
      <c r="AH3" s="150" t="s">
        <v>55</v>
      </c>
      <c r="AI3" s="7" t="s">
        <v>11</v>
      </c>
      <c r="AJ3" s="7" t="s">
        <v>12</v>
      </c>
      <c r="AK3" s="150" t="s">
        <v>55</v>
      </c>
      <c r="AL3" s="7" t="s">
        <v>11</v>
      </c>
      <c r="AM3" s="7" t="s">
        <v>12</v>
      </c>
      <c r="AN3" s="150" t="s">
        <v>55</v>
      </c>
      <c r="AO3" s="7" t="s">
        <v>11</v>
      </c>
      <c r="AP3" s="7" t="s">
        <v>12</v>
      </c>
      <c r="AQ3" s="150" t="s">
        <v>55</v>
      </c>
      <c r="AR3" s="7" t="s">
        <v>11</v>
      </c>
      <c r="AS3" s="7" t="s">
        <v>12</v>
      </c>
      <c r="AT3" s="6" t="s">
        <v>55</v>
      </c>
      <c r="AU3" s="7" t="s">
        <v>11</v>
      </c>
      <c r="AV3" s="7" t="s">
        <v>12</v>
      </c>
      <c r="AW3" s="7" t="s">
        <v>55</v>
      </c>
      <c r="AX3" s="7" t="s">
        <v>11</v>
      </c>
      <c r="AY3" s="7" t="s">
        <v>12</v>
      </c>
      <c r="AZ3" s="7" t="s">
        <v>55</v>
      </c>
      <c r="BA3" s="7" t="s">
        <v>11</v>
      </c>
      <c r="BB3" s="7" t="s">
        <v>12</v>
      </c>
      <c r="BC3" s="7" t="s">
        <v>55</v>
      </c>
      <c r="BD3" s="7" t="s">
        <v>11</v>
      </c>
      <c r="BE3" s="7" t="s">
        <v>12</v>
      </c>
    </row>
    <row r="4" spans="1:63" ht="14.95" thickBot="1" x14ac:dyDescent="0.3">
      <c r="A4" s="43" t="s">
        <v>502</v>
      </c>
      <c r="B4" s="78">
        <v>0</v>
      </c>
      <c r="C4" s="270">
        <v>0</v>
      </c>
      <c r="D4" s="238">
        <v>0</v>
      </c>
      <c r="E4" s="5">
        <f>SUM(B4:D4)</f>
        <v>0</v>
      </c>
      <c r="F4" s="273" t="s">
        <v>502</v>
      </c>
      <c r="G4" s="307">
        <v>0</v>
      </c>
      <c r="H4" s="268">
        <v>0</v>
      </c>
      <c r="I4" s="274">
        <v>0</v>
      </c>
      <c r="J4" s="77">
        <f>SUM(G4:I4)</f>
        <v>0</v>
      </c>
      <c r="K4" s="120" t="s">
        <v>502</v>
      </c>
      <c r="L4" s="41" t="s">
        <v>17</v>
      </c>
      <c r="M4" s="41" t="s">
        <v>17</v>
      </c>
      <c r="N4" s="42" t="s">
        <v>17</v>
      </c>
      <c r="O4" s="90" t="s">
        <v>17</v>
      </c>
      <c r="P4" s="90" t="s">
        <v>17</v>
      </c>
      <c r="Q4" s="91" t="s">
        <v>17</v>
      </c>
      <c r="R4" s="41" t="s">
        <v>22</v>
      </c>
      <c r="S4" s="41">
        <v>4</v>
      </c>
      <c r="T4" s="7" t="s">
        <v>17</v>
      </c>
      <c r="U4" s="7" t="s">
        <v>17</v>
      </c>
      <c r="V4" s="155" t="s">
        <v>17</v>
      </c>
      <c r="W4" s="7" t="s">
        <v>17</v>
      </c>
      <c r="X4" s="7" t="s">
        <v>17</v>
      </c>
      <c r="Y4" s="155" t="s">
        <v>17</v>
      </c>
      <c r="Z4" s="94"/>
      <c r="AA4" s="95"/>
      <c r="AB4" s="150" t="s">
        <v>17</v>
      </c>
      <c r="AC4" s="7" t="s">
        <v>17</v>
      </c>
      <c r="AD4" s="155" t="s">
        <v>17</v>
      </c>
      <c r="AE4" s="150" t="s">
        <v>17</v>
      </c>
      <c r="AF4" s="7" t="s">
        <v>17</v>
      </c>
      <c r="AG4" s="7" t="s">
        <v>17</v>
      </c>
      <c r="AH4" s="150" t="s">
        <v>17</v>
      </c>
      <c r="AI4" s="7" t="s">
        <v>17</v>
      </c>
      <c r="AJ4" s="7" t="s">
        <v>17</v>
      </c>
      <c r="AK4" s="150" t="s">
        <v>17</v>
      </c>
      <c r="AL4" s="7" t="s">
        <v>17</v>
      </c>
      <c r="AM4" s="7" t="s">
        <v>17</v>
      </c>
      <c r="AN4" s="150" t="s">
        <v>17</v>
      </c>
      <c r="AO4" s="7" t="s">
        <v>17</v>
      </c>
      <c r="AP4" s="7" t="s">
        <v>17</v>
      </c>
      <c r="AQ4" s="150" t="s">
        <v>17</v>
      </c>
      <c r="AR4" s="7" t="s">
        <v>17</v>
      </c>
      <c r="AS4" s="7" t="s">
        <v>17</v>
      </c>
      <c r="AT4" s="150" t="s">
        <v>17</v>
      </c>
      <c r="AU4" s="7" t="s">
        <v>17</v>
      </c>
      <c r="AV4" s="7" t="s">
        <v>17</v>
      </c>
      <c r="AW4" s="150" t="s">
        <v>17</v>
      </c>
      <c r="AX4" s="7" t="s">
        <v>17</v>
      </c>
      <c r="AY4" s="7" t="s">
        <v>17</v>
      </c>
      <c r="AZ4" s="150" t="s">
        <v>17</v>
      </c>
      <c r="BA4" s="7" t="s">
        <v>17</v>
      </c>
      <c r="BB4" s="7" t="s">
        <v>17</v>
      </c>
      <c r="BC4" s="150" t="s">
        <v>17</v>
      </c>
      <c r="BD4" s="7" t="s">
        <v>17</v>
      </c>
      <c r="BE4" s="7" t="s">
        <v>17</v>
      </c>
      <c r="BF4" s="4"/>
      <c r="BG4" s="4"/>
      <c r="BH4" s="4"/>
      <c r="BI4" s="4"/>
      <c r="BJ4" s="4"/>
    </row>
    <row r="5" spans="1:63" ht="14.95" thickBot="1" x14ac:dyDescent="0.3">
      <c r="A5" s="43" t="s">
        <v>752</v>
      </c>
      <c r="B5" s="78">
        <v>0</v>
      </c>
      <c r="C5" s="270">
        <v>0</v>
      </c>
      <c r="D5" s="238">
        <v>0</v>
      </c>
      <c r="E5" s="5">
        <f>SUM(B5:D5)</f>
        <v>0</v>
      </c>
      <c r="F5" s="273" t="s">
        <v>752</v>
      </c>
      <c r="G5" s="307">
        <v>0</v>
      </c>
      <c r="H5" s="268">
        <v>0</v>
      </c>
      <c r="I5" s="274">
        <v>0</v>
      </c>
      <c r="J5" s="77">
        <f>SUM(G5:I5)</f>
        <v>0</v>
      </c>
      <c r="K5" s="120" t="s">
        <v>1320</v>
      </c>
      <c r="L5" s="41">
        <v>0</v>
      </c>
      <c r="M5" s="41">
        <v>1</v>
      </c>
      <c r="N5" s="42">
        <f t="shared" ref="N5" si="0">SUM(L5/M5)*100</f>
        <v>0</v>
      </c>
      <c r="O5" s="90" t="s">
        <v>17</v>
      </c>
      <c r="P5" s="90" t="s">
        <v>17</v>
      </c>
      <c r="Q5" s="91" t="s">
        <v>17</v>
      </c>
      <c r="R5" s="41">
        <v>-1</v>
      </c>
      <c r="S5" s="41">
        <v>5</v>
      </c>
      <c r="T5" s="7" t="s">
        <v>17</v>
      </c>
      <c r="U5" s="7" t="s">
        <v>17</v>
      </c>
      <c r="V5" s="155" t="s">
        <v>17</v>
      </c>
      <c r="W5" s="7">
        <v>1</v>
      </c>
      <c r="X5" s="7">
        <v>1</v>
      </c>
      <c r="Y5" s="155">
        <v>100</v>
      </c>
      <c r="Z5" s="94"/>
      <c r="AA5" s="95"/>
      <c r="AB5" s="150">
        <v>25</v>
      </c>
      <c r="AC5" s="7">
        <v>33</v>
      </c>
      <c r="AD5" s="155">
        <v>75.757575757575751</v>
      </c>
      <c r="AE5" s="150" t="s">
        <v>17</v>
      </c>
      <c r="AF5" s="7" t="s">
        <v>17</v>
      </c>
      <c r="AG5" s="7" t="s">
        <v>17</v>
      </c>
      <c r="AH5" s="150" t="s">
        <v>17</v>
      </c>
      <c r="AI5" s="7" t="s">
        <v>17</v>
      </c>
      <c r="AJ5" s="7" t="s">
        <v>17</v>
      </c>
      <c r="AK5" s="150" t="s">
        <v>17</v>
      </c>
      <c r="AL5" s="7" t="s">
        <v>17</v>
      </c>
      <c r="AM5" s="7" t="s">
        <v>17</v>
      </c>
      <c r="AN5" s="150" t="s">
        <v>17</v>
      </c>
      <c r="AO5" s="7" t="s">
        <v>17</v>
      </c>
      <c r="AP5" s="7" t="s">
        <v>17</v>
      </c>
      <c r="AQ5" s="150" t="s">
        <v>17</v>
      </c>
      <c r="AR5" s="7" t="s">
        <v>17</v>
      </c>
      <c r="AS5" s="7" t="s">
        <v>17</v>
      </c>
      <c r="AT5" s="150" t="s">
        <v>17</v>
      </c>
      <c r="AU5" s="7" t="s">
        <v>17</v>
      </c>
      <c r="AV5" s="7" t="s">
        <v>17</v>
      </c>
      <c r="AW5" s="150" t="s">
        <v>17</v>
      </c>
      <c r="AX5" s="7" t="s">
        <v>17</v>
      </c>
      <c r="AY5" s="7" t="s">
        <v>17</v>
      </c>
      <c r="AZ5" s="150" t="s">
        <v>17</v>
      </c>
      <c r="BA5" s="7" t="s">
        <v>17</v>
      </c>
      <c r="BB5" s="7" t="s">
        <v>17</v>
      </c>
      <c r="BC5" s="150" t="s">
        <v>17</v>
      </c>
      <c r="BD5" s="7" t="s">
        <v>17</v>
      </c>
      <c r="BE5" s="7" t="s">
        <v>17</v>
      </c>
      <c r="BF5" s="4"/>
      <c r="BG5" s="4"/>
      <c r="BH5" s="4"/>
      <c r="BI5" s="4"/>
      <c r="BJ5" s="4"/>
    </row>
    <row r="6" spans="1:63" ht="14.95" thickBot="1" x14ac:dyDescent="0.3">
      <c r="A6" s="43" t="s">
        <v>940</v>
      </c>
      <c r="B6" s="78">
        <v>7</v>
      </c>
      <c r="C6" s="270">
        <v>3</v>
      </c>
      <c r="D6" s="238">
        <v>11</v>
      </c>
      <c r="E6" s="5">
        <f>SUM(B6:D6)</f>
        <v>21</v>
      </c>
      <c r="F6" s="273" t="s">
        <v>940</v>
      </c>
      <c r="G6" s="307">
        <v>35</v>
      </c>
      <c r="H6" s="268">
        <v>15</v>
      </c>
      <c r="I6" s="274">
        <v>55</v>
      </c>
      <c r="J6" s="77">
        <f>SUM(G6:I6)</f>
        <v>105</v>
      </c>
      <c r="K6" s="120" t="s">
        <v>252</v>
      </c>
      <c r="L6" s="90">
        <v>25</v>
      </c>
      <c r="M6" s="90">
        <v>31</v>
      </c>
      <c r="N6" s="91">
        <f t="shared" ref="N6" si="1">SUM(L6/M6)*100</f>
        <v>80.645161290322577</v>
      </c>
      <c r="O6" s="90">
        <v>3</v>
      </c>
      <c r="P6" s="90">
        <v>3</v>
      </c>
      <c r="Q6" s="91">
        <f t="shared" ref="Q6" si="2">SUM(O6/P6)*100</f>
        <v>100</v>
      </c>
      <c r="R6" s="41">
        <v>6</v>
      </c>
      <c r="S6" s="41">
        <v>6</v>
      </c>
      <c r="T6" s="7">
        <v>5</v>
      </c>
      <c r="U6" s="7">
        <v>6</v>
      </c>
      <c r="V6" s="155">
        <v>83.333333333333343</v>
      </c>
      <c r="W6" s="7" t="s">
        <v>17</v>
      </c>
      <c r="X6" s="7" t="s">
        <v>17</v>
      </c>
      <c r="Y6" s="155" t="s">
        <v>17</v>
      </c>
      <c r="Z6" s="94"/>
      <c r="AA6" s="95"/>
      <c r="AB6" s="150" t="s">
        <v>17</v>
      </c>
      <c r="AC6" s="7" t="s">
        <v>17</v>
      </c>
      <c r="AD6" s="155" t="s">
        <v>17</v>
      </c>
      <c r="AE6" s="150" t="s">
        <v>17</v>
      </c>
      <c r="AF6" s="7" t="s">
        <v>17</v>
      </c>
      <c r="AG6" s="7" t="s">
        <v>17</v>
      </c>
      <c r="AH6" s="150">
        <v>0</v>
      </c>
      <c r="AI6" s="7">
        <v>2</v>
      </c>
      <c r="AJ6" s="7">
        <f t="shared" ref="AJ6" si="3">SUM(AH6/AI6)*100</f>
        <v>0</v>
      </c>
      <c r="AK6" s="150" t="s">
        <v>17</v>
      </c>
      <c r="AL6" s="7" t="s">
        <v>17</v>
      </c>
      <c r="AM6" s="7" t="s">
        <v>17</v>
      </c>
      <c r="AN6" s="150" t="s">
        <v>17</v>
      </c>
      <c r="AO6" s="7" t="s">
        <v>17</v>
      </c>
      <c r="AP6" s="7" t="s">
        <v>17</v>
      </c>
      <c r="AQ6" s="150" t="s">
        <v>17</v>
      </c>
      <c r="AR6" s="7" t="s">
        <v>17</v>
      </c>
      <c r="AS6" s="7" t="s">
        <v>17</v>
      </c>
      <c r="AT6" s="150" t="s">
        <v>17</v>
      </c>
      <c r="AU6" s="7" t="s">
        <v>17</v>
      </c>
      <c r="AV6" s="7" t="s">
        <v>17</v>
      </c>
      <c r="AW6" s="7" t="s">
        <v>17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  <c r="BD6" s="7" t="s">
        <v>17</v>
      </c>
      <c r="BE6" s="7" t="s">
        <v>17</v>
      </c>
      <c r="BF6" s="4"/>
      <c r="BG6" s="4"/>
      <c r="BH6" s="4"/>
      <c r="BI6" s="4"/>
      <c r="BJ6" s="4"/>
    </row>
    <row r="7" spans="1:63" ht="14.95" thickBot="1" x14ac:dyDescent="0.3">
      <c r="A7" s="43" t="s">
        <v>554</v>
      </c>
      <c r="B7" s="78">
        <v>1</v>
      </c>
      <c r="C7" s="270">
        <v>0</v>
      </c>
      <c r="D7" s="238">
        <v>1</v>
      </c>
      <c r="E7" s="5">
        <f>SUM(B7:D7)</f>
        <v>2</v>
      </c>
      <c r="F7" s="273" t="s">
        <v>554</v>
      </c>
      <c r="G7" s="307">
        <v>5</v>
      </c>
      <c r="H7" s="268">
        <v>0</v>
      </c>
      <c r="I7" s="274">
        <v>5</v>
      </c>
      <c r="J7" s="77">
        <f>SUM(G7:I7)</f>
        <v>10</v>
      </c>
      <c r="K7" s="120" t="s">
        <v>526</v>
      </c>
      <c r="L7" s="41" t="s">
        <v>17</v>
      </c>
      <c r="M7" s="41" t="s">
        <v>17</v>
      </c>
      <c r="N7" s="42" t="s">
        <v>17</v>
      </c>
      <c r="O7" s="90" t="s">
        <v>17</v>
      </c>
      <c r="P7" s="90" t="s">
        <v>17</v>
      </c>
      <c r="Q7" s="91" t="s">
        <v>17</v>
      </c>
      <c r="R7" s="41" t="s">
        <v>22</v>
      </c>
      <c r="S7" s="41">
        <v>5</v>
      </c>
      <c r="T7" s="7" t="s">
        <v>17</v>
      </c>
      <c r="U7" s="7" t="s">
        <v>17</v>
      </c>
      <c r="V7" s="155" t="s">
        <v>17</v>
      </c>
      <c r="W7" s="7" t="s">
        <v>17</v>
      </c>
      <c r="X7" s="7" t="s">
        <v>17</v>
      </c>
      <c r="Y7" s="155" t="s">
        <v>17</v>
      </c>
      <c r="Z7" s="94"/>
      <c r="AA7" s="95"/>
      <c r="AB7" s="150" t="s">
        <v>17</v>
      </c>
      <c r="AC7" s="7" t="s">
        <v>17</v>
      </c>
      <c r="AD7" s="155" t="s">
        <v>17</v>
      </c>
      <c r="AE7" s="150" t="s">
        <v>17</v>
      </c>
      <c r="AF7" s="7" t="s">
        <v>17</v>
      </c>
      <c r="AG7" s="7" t="s">
        <v>17</v>
      </c>
      <c r="AH7" s="150" t="s">
        <v>17</v>
      </c>
      <c r="AI7" s="7" t="s">
        <v>17</v>
      </c>
      <c r="AJ7" s="7" t="s">
        <v>17</v>
      </c>
      <c r="AK7" s="150" t="s">
        <v>17</v>
      </c>
      <c r="AL7" s="7" t="s">
        <v>17</v>
      </c>
      <c r="AM7" s="7" t="s">
        <v>17</v>
      </c>
      <c r="AN7" s="150" t="s">
        <v>17</v>
      </c>
      <c r="AO7" s="7" t="s">
        <v>17</v>
      </c>
      <c r="AP7" s="7" t="s">
        <v>17</v>
      </c>
      <c r="AQ7" s="150" t="s">
        <v>17</v>
      </c>
      <c r="AR7" s="7" t="s">
        <v>17</v>
      </c>
      <c r="AS7" s="7" t="s">
        <v>17</v>
      </c>
      <c r="AT7" s="150" t="s">
        <v>17</v>
      </c>
      <c r="AU7" s="7" t="s">
        <v>17</v>
      </c>
      <c r="AV7" s="7" t="s">
        <v>17</v>
      </c>
      <c r="AW7" s="150" t="s">
        <v>17</v>
      </c>
      <c r="AX7" s="7" t="s">
        <v>17</v>
      </c>
      <c r="AY7" s="7" t="s">
        <v>17</v>
      </c>
      <c r="AZ7" s="150" t="s">
        <v>17</v>
      </c>
      <c r="BA7" s="7" t="s">
        <v>17</v>
      </c>
      <c r="BB7" s="7" t="s">
        <v>17</v>
      </c>
      <c r="BC7" s="150" t="s">
        <v>17</v>
      </c>
      <c r="BD7" s="7" t="s">
        <v>17</v>
      </c>
      <c r="BE7" s="7" t="s">
        <v>17</v>
      </c>
      <c r="BF7" s="4"/>
      <c r="BG7" s="4"/>
      <c r="BH7" s="4"/>
      <c r="BI7" s="4"/>
      <c r="BJ7" s="4"/>
    </row>
    <row r="8" spans="1:63" ht="14.95" thickBot="1" x14ac:dyDescent="0.3">
      <c r="A8" s="43" t="s">
        <v>184</v>
      </c>
      <c r="B8" s="78">
        <v>1</v>
      </c>
      <c r="C8" s="270">
        <v>0</v>
      </c>
      <c r="D8" s="238">
        <v>1</v>
      </c>
      <c r="E8" s="5">
        <f t="shared" ref="E8:E47" si="4">SUM(B8:D8)</f>
        <v>2</v>
      </c>
      <c r="F8" s="273" t="s">
        <v>184</v>
      </c>
      <c r="G8" s="307">
        <v>5</v>
      </c>
      <c r="H8" s="268">
        <v>0</v>
      </c>
      <c r="I8" s="274">
        <v>5</v>
      </c>
      <c r="J8" s="77">
        <f t="shared" ref="J8:J47" si="5">SUM(G8:I8)</f>
        <v>10</v>
      </c>
      <c r="K8" s="15" t="s">
        <v>18</v>
      </c>
      <c r="L8" s="41">
        <v>25</v>
      </c>
      <c r="M8" s="41">
        <v>37</v>
      </c>
      <c r="N8" s="42">
        <f t="shared" ref="N8:N9" si="6">SUM(L8/M8)*100</f>
        <v>67.567567567567565</v>
      </c>
      <c r="O8" s="90">
        <v>0</v>
      </c>
      <c r="P8" s="90">
        <v>1</v>
      </c>
      <c r="Q8" s="91">
        <f t="shared" ref="Q8" si="7">SUM(O8/P8)*100</f>
        <v>0</v>
      </c>
      <c r="R8" s="90">
        <v>-1</v>
      </c>
      <c r="S8" s="90">
        <v>-1</v>
      </c>
      <c r="T8" s="7">
        <v>59</v>
      </c>
      <c r="U8" s="7">
        <v>78</v>
      </c>
      <c r="V8" s="155">
        <v>75.641025641025635</v>
      </c>
      <c r="W8" s="7">
        <v>15</v>
      </c>
      <c r="X8" s="7">
        <v>18</v>
      </c>
      <c r="Y8" s="155">
        <v>83.333333333333343</v>
      </c>
      <c r="Z8" s="94"/>
      <c r="AA8" s="95"/>
      <c r="AB8" s="150">
        <v>18</v>
      </c>
      <c r="AC8" s="7">
        <v>25</v>
      </c>
      <c r="AD8" s="155">
        <f t="shared" ref="AD8:AD9" si="8">SUM(AB8/AC8)*100</f>
        <v>72</v>
      </c>
      <c r="AE8" s="150" t="s">
        <v>17</v>
      </c>
      <c r="AF8" s="7" t="s">
        <v>17</v>
      </c>
      <c r="AG8" s="7" t="s">
        <v>17</v>
      </c>
      <c r="AH8" s="150" t="s">
        <v>17</v>
      </c>
      <c r="AI8" s="7" t="s">
        <v>17</v>
      </c>
      <c r="AJ8" s="7" t="s">
        <v>17</v>
      </c>
      <c r="AK8" s="150" t="s">
        <v>17</v>
      </c>
      <c r="AL8" s="7" t="s">
        <v>17</v>
      </c>
      <c r="AM8" s="7" t="s">
        <v>17</v>
      </c>
      <c r="AN8" s="150">
        <v>2</v>
      </c>
      <c r="AO8" s="7">
        <v>7</v>
      </c>
      <c r="AP8" s="155">
        <f t="shared" ref="AP8" si="9">SUM(AN8/AO8)*100</f>
        <v>28.571428571428569</v>
      </c>
      <c r="AQ8" s="150">
        <v>27</v>
      </c>
      <c r="AR8" s="7">
        <v>36</v>
      </c>
      <c r="AS8" s="155">
        <f>SUM(AQ8/AR8)*100</f>
        <v>75</v>
      </c>
      <c r="AT8" s="150">
        <v>3</v>
      </c>
      <c r="AU8" s="7">
        <v>6</v>
      </c>
      <c r="AV8" s="155">
        <f>SUM(AT8/AU8)*100</f>
        <v>50</v>
      </c>
      <c r="AW8" s="7">
        <v>44</v>
      </c>
      <c r="AX8" s="7">
        <v>56</v>
      </c>
      <c r="AY8" s="155">
        <f>SUM(AW8/AX8)*100</f>
        <v>78.571428571428569</v>
      </c>
      <c r="AZ8" s="7">
        <v>14</v>
      </c>
      <c r="BA8" s="7">
        <v>22</v>
      </c>
      <c r="BB8" s="155">
        <f>SUM(AZ8/BA8)*100</f>
        <v>63.636363636363633</v>
      </c>
      <c r="BC8" s="7">
        <v>1</v>
      </c>
      <c r="BD8" s="7">
        <v>1</v>
      </c>
      <c r="BE8" s="7">
        <v>100</v>
      </c>
      <c r="BF8" s="4"/>
      <c r="BG8" s="4"/>
      <c r="BH8" s="4"/>
      <c r="BI8" s="4"/>
      <c r="BJ8" s="4"/>
    </row>
    <row r="9" spans="1:63" ht="14.95" thickBot="1" x14ac:dyDescent="0.3">
      <c r="A9" s="43" t="s">
        <v>754</v>
      </c>
      <c r="B9" s="78">
        <v>0</v>
      </c>
      <c r="C9" s="270">
        <v>0</v>
      </c>
      <c r="D9" s="238">
        <v>0</v>
      </c>
      <c r="E9" s="5">
        <f t="shared" si="4"/>
        <v>0</v>
      </c>
      <c r="F9" s="273" t="s">
        <v>754</v>
      </c>
      <c r="G9" s="307">
        <v>0</v>
      </c>
      <c r="H9" s="268">
        <v>0</v>
      </c>
      <c r="I9" s="274">
        <v>0</v>
      </c>
      <c r="J9" s="77">
        <f t="shared" si="5"/>
        <v>0</v>
      </c>
      <c r="K9" s="92" t="s">
        <v>546</v>
      </c>
      <c r="L9" s="41">
        <v>3</v>
      </c>
      <c r="M9" s="41">
        <v>4</v>
      </c>
      <c r="N9" s="42">
        <f t="shared" si="6"/>
        <v>75</v>
      </c>
      <c r="O9" s="90" t="s">
        <v>17</v>
      </c>
      <c r="P9" s="90" t="s">
        <v>17</v>
      </c>
      <c r="Q9" s="91" t="s">
        <v>17</v>
      </c>
      <c r="R9" s="90">
        <v>3</v>
      </c>
      <c r="S9" s="90">
        <v>1</v>
      </c>
      <c r="T9" s="7">
        <v>2</v>
      </c>
      <c r="U9" s="7">
        <v>8</v>
      </c>
      <c r="V9" s="155">
        <v>25</v>
      </c>
      <c r="W9" s="7">
        <v>13</v>
      </c>
      <c r="X9" s="7">
        <v>17</v>
      </c>
      <c r="Y9" s="155">
        <v>76.470588235294116</v>
      </c>
      <c r="Z9" s="94"/>
      <c r="AA9" s="95"/>
      <c r="AB9" s="150">
        <v>3</v>
      </c>
      <c r="AC9" s="7">
        <v>7</v>
      </c>
      <c r="AD9" s="155">
        <f t="shared" si="8"/>
        <v>42.857142857142854</v>
      </c>
      <c r="AE9" s="150">
        <v>5</v>
      </c>
      <c r="AF9" s="7">
        <v>8</v>
      </c>
      <c r="AG9" s="155">
        <f>SUM(AE9/AF9)*100</f>
        <v>62.5</v>
      </c>
      <c r="AH9" s="150">
        <v>3</v>
      </c>
      <c r="AI9" s="7">
        <v>5</v>
      </c>
      <c r="AJ9" s="7">
        <f t="shared" ref="AJ9" si="10">SUM(AH9/AI9)*100</f>
        <v>60</v>
      </c>
      <c r="AK9" s="150" t="s">
        <v>17</v>
      </c>
      <c r="AL9" s="7" t="s">
        <v>17</v>
      </c>
      <c r="AM9" s="7" t="s">
        <v>17</v>
      </c>
      <c r="AN9" s="150" t="s">
        <v>17</v>
      </c>
      <c r="AO9" s="7" t="s">
        <v>17</v>
      </c>
      <c r="AP9" s="7" t="s">
        <v>17</v>
      </c>
      <c r="AQ9" s="150" t="s">
        <v>17</v>
      </c>
      <c r="AR9" s="7" t="s">
        <v>17</v>
      </c>
      <c r="AS9" s="7" t="s">
        <v>17</v>
      </c>
      <c r="AT9" s="150" t="s">
        <v>17</v>
      </c>
      <c r="AU9" s="7" t="s">
        <v>17</v>
      </c>
      <c r="AV9" s="7" t="s">
        <v>17</v>
      </c>
      <c r="AW9" s="7" t="s">
        <v>17</v>
      </c>
      <c r="AX9" s="7" t="s">
        <v>17</v>
      </c>
      <c r="AY9" s="7" t="s">
        <v>17</v>
      </c>
      <c r="AZ9" s="7" t="s">
        <v>17</v>
      </c>
      <c r="BA9" s="7" t="s">
        <v>17</v>
      </c>
      <c r="BB9" s="7" t="s">
        <v>17</v>
      </c>
      <c r="BC9" s="7" t="s">
        <v>17</v>
      </c>
      <c r="BD9" s="7" t="s">
        <v>17</v>
      </c>
      <c r="BE9" s="7" t="s">
        <v>17</v>
      </c>
    </row>
    <row r="10" spans="1:63" ht="17" customHeight="1" thickBot="1" x14ac:dyDescent="0.3">
      <c r="A10" s="43" t="s">
        <v>635</v>
      </c>
      <c r="B10" s="78">
        <v>0</v>
      </c>
      <c r="C10" s="270">
        <v>0</v>
      </c>
      <c r="D10" s="238">
        <v>0</v>
      </c>
      <c r="E10" s="5">
        <f t="shared" si="4"/>
        <v>0</v>
      </c>
      <c r="F10" s="273" t="s">
        <v>635</v>
      </c>
      <c r="G10" s="307">
        <v>0</v>
      </c>
      <c r="H10" s="268">
        <v>0</v>
      </c>
      <c r="I10" s="274">
        <v>0</v>
      </c>
      <c r="J10" s="77">
        <f t="shared" si="5"/>
        <v>0</v>
      </c>
      <c r="K10" s="57"/>
      <c r="AQ10" s="4"/>
      <c r="AR10" s="4"/>
      <c r="AS10" s="4"/>
      <c r="AU10" s="4"/>
      <c r="AV10" s="4"/>
    </row>
    <row r="11" spans="1:63" ht="14.95" customHeight="1" thickBot="1" x14ac:dyDescent="0.3">
      <c r="A11" s="43" t="s">
        <v>536</v>
      </c>
      <c r="B11" s="78">
        <v>5</v>
      </c>
      <c r="C11" s="270">
        <v>1</v>
      </c>
      <c r="D11" s="238">
        <v>0</v>
      </c>
      <c r="E11" s="5">
        <f t="shared" si="4"/>
        <v>6</v>
      </c>
      <c r="F11" s="273" t="s">
        <v>536</v>
      </c>
      <c r="G11" s="307">
        <v>25</v>
      </c>
      <c r="H11" s="268">
        <v>5</v>
      </c>
      <c r="I11" s="274">
        <v>0</v>
      </c>
      <c r="J11" s="77">
        <f t="shared" si="5"/>
        <v>30</v>
      </c>
      <c r="K11" s="463" t="s">
        <v>226</v>
      </c>
      <c r="L11" s="453" t="s">
        <v>16</v>
      </c>
      <c r="M11" s="467"/>
      <c r="N11" s="454"/>
      <c r="O11" s="469" t="s">
        <v>267</v>
      </c>
      <c r="P11" s="470"/>
      <c r="Q11" s="471"/>
      <c r="R11" s="469" t="s">
        <v>698</v>
      </c>
      <c r="S11" s="470"/>
      <c r="T11" s="471"/>
      <c r="U11" s="469" t="s">
        <v>562</v>
      </c>
      <c r="V11" s="470"/>
      <c r="W11" s="471"/>
      <c r="X11" s="162"/>
      <c r="Y11" s="162"/>
      <c r="Z11" s="162"/>
      <c r="AB11" s="469" t="s">
        <v>463</v>
      </c>
      <c r="AC11" s="470"/>
      <c r="AD11" s="471"/>
      <c r="AE11" s="469" t="s">
        <v>355</v>
      </c>
      <c r="AF11" s="470"/>
      <c r="AG11" s="471"/>
      <c r="AH11" s="469" t="s">
        <v>260</v>
      </c>
      <c r="AI11" s="470"/>
      <c r="AJ11" s="471"/>
      <c r="AK11" s="469" t="s">
        <v>199</v>
      </c>
      <c r="AL11" s="470"/>
      <c r="AM11" s="471"/>
      <c r="AN11" s="469" t="s">
        <v>92</v>
      </c>
      <c r="AO11" s="470"/>
      <c r="AP11" s="471"/>
      <c r="AQ11" s="469" t="s">
        <v>63</v>
      </c>
      <c r="AR11" s="470"/>
      <c r="AS11" s="471"/>
      <c r="AT11" s="469" t="s">
        <v>59</v>
      </c>
      <c r="AU11" s="470"/>
      <c r="AV11" s="471"/>
      <c r="AW11" s="469" t="s">
        <v>49</v>
      </c>
      <c r="AX11" s="470"/>
      <c r="AY11" s="471"/>
      <c r="AZ11" s="63"/>
      <c r="BA11" s="63"/>
    </row>
    <row r="12" spans="1:63" ht="14.95" customHeight="1" thickBot="1" x14ac:dyDescent="0.3">
      <c r="A12" s="43" t="s">
        <v>568</v>
      </c>
      <c r="B12" s="78">
        <v>3</v>
      </c>
      <c r="C12" s="270">
        <v>0</v>
      </c>
      <c r="D12" s="238">
        <v>4</v>
      </c>
      <c r="E12" s="5">
        <f t="shared" ref="E12" si="11">SUM(B12:D12)</f>
        <v>7</v>
      </c>
      <c r="F12" s="273" t="s">
        <v>568</v>
      </c>
      <c r="G12" s="307">
        <v>15</v>
      </c>
      <c r="H12" s="268">
        <v>0</v>
      </c>
      <c r="I12" s="274">
        <v>20</v>
      </c>
      <c r="J12" s="77">
        <f t="shared" ref="J12" si="12">SUM(G12:I12)</f>
        <v>35</v>
      </c>
      <c r="K12" s="464"/>
      <c r="L12" s="455"/>
      <c r="M12" s="468"/>
      <c r="N12" s="456"/>
      <c r="O12" s="472"/>
      <c r="P12" s="473"/>
      <c r="Q12" s="474"/>
      <c r="R12" s="472"/>
      <c r="S12" s="473"/>
      <c r="T12" s="474"/>
      <c r="U12" s="472"/>
      <c r="V12" s="473"/>
      <c r="W12" s="474"/>
      <c r="X12" s="162"/>
      <c r="Y12" s="162"/>
      <c r="Z12" s="162"/>
      <c r="AB12" s="472"/>
      <c r="AC12" s="473"/>
      <c r="AD12" s="474"/>
      <c r="AE12" s="472"/>
      <c r="AF12" s="473"/>
      <c r="AG12" s="474"/>
      <c r="AH12" s="472"/>
      <c r="AI12" s="473"/>
      <c r="AJ12" s="474"/>
      <c r="AK12" s="472"/>
      <c r="AL12" s="473"/>
      <c r="AM12" s="474"/>
      <c r="AN12" s="472"/>
      <c r="AO12" s="473"/>
      <c r="AP12" s="474"/>
      <c r="AQ12" s="472"/>
      <c r="AR12" s="473"/>
      <c r="AS12" s="474"/>
      <c r="AT12" s="472"/>
      <c r="AU12" s="473"/>
      <c r="AV12" s="474"/>
      <c r="AW12" s="472"/>
      <c r="AX12" s="473"/>
      <c r="AY12" s="474"/>
      <c r="AZ12" s="63"/>
      <c r="BA12" s="63"/>
      <c r="BG12" s="4"/>
      <c r="BH12" s="4"/>
      <c r="BI12" s="4"/>
      <c r="BJ12" s="4"/>
      <c r="BK12" s="4"/>
    </row>
    <row r="13" spans="1:63" ht="14.95" customHeight="1" thickBot="1" x14ac:dyDescent="0.3">
      <c r="A13" s="43" t="s">
        <v>397</v>
      </c>
      <c r="B13" s="78">
        <v>2</v>
      </c>
      <c r="C13" s="270">
        <v>2</v>
      </c>
      <c r="D13" s="238">
        <v>3</v>
      </c>
      <c r="E13" s="5">
        <f t="shared" si="4"/>
        <v>7</v>
      </c>
      <c r="F13" s="273" t="s">
        <v>397</v>
      </c>
      <c r="G13" s="307">
        <v>10</v>
      </c>
      <c r="H13" s="268">
        <v>10</v>
      </c>
      <c r="I13" s="274">
        <v>15</v>
      </c>
      <c r="J13" s="77">
        <f t="shared" si="5"/>
        <v>35</v>
      </c>
      <c r="K13" s="263" t="s">
        <v>25</v>
      </c>
      <c r="L13" s="3" t="s">
        <v>55</v>
      </c>
      <c r="M13" s="3" t="s">
        <v>11</v>
      </c>
      <c r="N13" s="3" t="s">
        <v>12</v>
      </c>
      <c r="O13" s="7" t="s">
        <v>55</v>
      </c>
      <c r="P13" s="7" t="s">
        <v>11</v>
      </c>
      <c r="Q13" s="7" t="s">
        <v>12</v>
      </c>
      <c r="R13" s="7" t="s">
        <v>55</v>
      </c>
      <c r="S13" s="7" t="s">
        <v>11</v>
      </c>
      <c r="T13" s="7" t="s">
        <v>12</v>
      </c>
      <c r="U13" s="7" t="s">
        <v>55</v>
      </c>
      <c r="V13" s="7" t="s">
        <v>11</v>
      </c>
      <c r="W13" s="7" t="s">
        <v>12</v>
      </c>
      <c r="AB13" s="150" t="s">
        <v>55</v>
      </c>
      <c r="AC13" s="7" t="s">
        <v>11</v>
      </c>
      <c r="AD13" s="7" t="s">
        <v>12</v>
      </c>
      <c r="AE13" s="150" t="s">
        <v>55</v>
      </c>
      <c r="AF13" s="7" t="s">
        <v>11</v>
      </c>
      <c r="AG13" s="7" t="s">
        <v>12</v>
      </c>
      <c r="AH13" s="150" t="s">
        <v>55</v>
      </c>
      <c r="AI13" s="7" t="s">
        <v>11</v>
      </c>
      <c r="AJ13" s="7" t="s">
        <v>12</v>
      </c>
      <c r="AK13" s="150" t="s">
        <v>55</v>
      </c>
      <c r="AL13" s="7" t="s">
        <v>11</v>
      </c>
      <c r="AM13" s="7" t="s">
        <v>12</v>
      </c>
      <c r="AN13" s="150" t="s">
        <v>55</v>
      </c>
      <c r="AO13" s="7" t="s">
        <v>11</v>
      </c>
      <c r="AP13" s="7" t="s">
        <v>12</v>
      </c>
      <c r="AQ13" s="150" t="s">
        <v>55</v>
      </c>
      <c r="AR13" s="7" t="s">
        <v>11</v>
      </c>
      <c r="AS13" s="7" t="s">
        <v>12</v>
      </c>
      <c r="AT13" s="150" t="s">
        <v>55</v>
      </c>
      <c r="AU13" s="7" t="s">
        <v>11</v>
      </c>
      <c r="AV13" s="7" t="s">
        <v>12</v>
      </c>
      <c r="AW13" s="150" t="s">
        <v>55</v>
      </c>
      <c r="AX13" s="7" t="s">
        <v>11</v>
      </c>
      <c r="AY13" s="7" t="s">
        <v>12</v>
      </c>
      <c r="AZ13" s="63"/>
      <c r="BA13" s="63"/>
      <c r="BG13" s="4"/>
      <c r="BH13" s="4"/>
      <c r="BI13" s="4"/>
      <c r="BJ13" s="4"/>
      <c r="BK13" s="4"/>
    </row>
    <row r="14" spans="1:63" ht="14.95" customHeight="1" thickBot="1" x14ac:dyDescent="0.3">
      <c r="A14" s="43" t="s">
        <v>749</v>
      </c>
      <c r="B14" s="78">
        <v>0</v>
      </c>
      <c r="C14" s="270">
        <v>0</v>
      </c>
      <c r="D14" s="238">
        <v>0</v>
      </c>
      <c r="E14" s="5">
        <f t="shared" si="4"/>
        <v>0</v>
      </c>
      <c r="F14" s="273" t="s">
        <v>251</v>
      </c>
      <c r="G14" s="307">
        <v>0</v>
      </c>
      <c r="H14" s="268">
        <v>0</v>
      </c>
      <c r="I14" s="274">
        <v>0</v>
      </c>
      <c r="J14" s="77">
        <f t="shared" si="5"/>
        <v>0</v>
      </c>
      <c r="K14" s="120" t="s">
        <v>1320</v>
      </c>
      <c r="L14" s="90">
        <v>1</v>
      </c>
      <c r="M14" s="90">
        <v>3</v>
      </c>
      <c r="N14" s="91">
        <f t="shared" ref="N14" si="13">SUM(L14/M14)*100</f>
        <v>33.333333333333329</v>
      </c>
      <c r="O14" s="7" t="s">
        <v>17</v>
      </c>
      <c r="P14" s="7" t="s">
        <v>17</v>
      </c>
      <c r="Q14" s="155" t="s">
        <v>17</v>
      </c>
      <c r="R14" s="7" t="s">
        <v>17</v>
      </c>
      <c r="S14" s="7" t="s">
        <v>17</v>
      </c>
      <c r="T14" s="155" t="s">
        <v>17</v>
      </c>
      <c r="U14" s="7" t="s">
        <v>17</v>
      </c>
      <c r="V14" s="7" t="s">
        <v>17</v>
      </c>
      <c r="W14" s="155" t="s">
        <v>17</v>
      </c>
      <c r="AB14" s="6" t="s">
        <v>17</v>
      </c>
      <c r="AC14" s="7" t="s">
        <v>17</v>
      </c>
      <c r="AD14" s="155" t="s">
        <v>17</v>
      </c>
      <c r="AE14" s="7" t="s">
        <v>17</v>
      </c>
      <c r="AF14" s="7" t="s">
        <v>17</v>
      </c>
      <c r="AG14" s="155" t="s">
        <v>17</v>
      </c>
      <c r="AH14" s="7" t="s">
        <v>17</v>
      </c>
      <c r="AI14" s="7" t="s">
        <v>17</v>
      </c>
      <c r="AJ14" s="155" t="s">
        <v>17</v>
      </c>
      <c r="AK14" s="7" t="s">
        <v>17</v>
      </c>
      <c r="AL14" s="7" t="s">
        <v>17</v>
      </c>
      <c r="AM14" s="155" t="s">
        <v>17</v>
      </c>
      <c r="AN14" s="7" t="s">
        <v>17</v>
      </c>
      <c r="AO14" s="7" t="s">
        <v>17</v>
      </c>
      <c r="AP14" s="155" t="s">
        <v>17</v>
      </c>
      <c r="AQ14" s="7" t="s">
        <v>17</v>
      </c>
      <c r="AR14" s="7" t="s">
        <v>17</v>
      </c>
      <c r="AS14" s="155" t="s">
        <v>17</v>
      </c>
      <c r="AT14" s="7" t="s">
        <v>17</v>
      </c>
      <c r="AU14" s="7" t="s">
        <v>17</v>
      </c>
      <c r="AV14" s="155" t="s">
        <v>17</v>
      </c>
      <c r="AW14" s="7" t="s">
        <v>17</v>
      </c>
      <c r="AX14" s="7" t="s">
        <v>17</v>
      </c>
      <c r="AY14" s="155" t="s">
        <v>17</v>
      </c>
      <c r="AZ14" s="63"/>
      <c r="BA14" s="63"/>
      <c r="BG14" s="4"/>
      <c r="BH14" s="4"/>
      <c r="BI14" s="4"/>
      <c r="BJ14" s="4"/>
      <c r="BK14" s="4"/>
    </row>
    <row r="15" spans="1:63" ht="14.95" customHeight="1" thickBot="1" x14ac:dyDescent="0.3">
      <c r="A15" s="43" t="s">
        <v>569</v>
      </c>
      <c r="B15" s="78">
        <v>1</v>
      </c>
      <c r="C15" s="270">
        <v>1</v>
      </c>
      <c r="D15" s="238">
        <v>1</v>
      </c>
      <c r="E15" s="5">
        <f t="shared" ref="E15" si="14">SUM(B15:D15)</f>
        <v>3</v>
      </c>
      <c r="F15" s="273" t="s">
        <v>569</v>
      </c>
      <c r="G15" s="307">
        <v>5</v>
      </c>
      <c r="H15" s="268">
        <v>5</v>
      </c>
      <c r="I15" s="274">
        <v>5</v>
      </c>
      <c r="J15" s="77">
        <f t="shared" ref="J15" si="15">SUM(G15:I15)</f>
        <v>15</v>
      </c>
      <c r="K15" s="120" t="s">
        <v>252</v>
      </c>
      <c r="L15" s="90">
        <v>3</v>
      </c>
      <c r="M15" s="90">
        <v>4</v>
      </c>
      <c r="N15" s="91">
        <f t="shared" ref="N15" si="16">SUM(L15/M15)*100</f>
        <v>75</v>
      </c>
      <c r="O15" s="7" t="s">
        <v>17</v>
      </c>
      <c r="P15" s="7" t="s">
        <v>17</v>
      </c>
      <c r="Q15" s="155" t="s">
        <v>17</v>
      </c>
      <c r="R15" s="7" t="s">
        <v>17</v>
      </c>
      <c r="S15" s="7" t="s">
        <v>17</v>
      </c>
      <c r="T15" s="155" t="s">
        <v>17</v>
      </c>
      <c r="U15" s="7" t="s">
        <v>17</v>
      </c>
      <c r="V15" s="7" t="s">
        <v>17</v>
      </c>
      <c r="W15" s="155" t="s">
        <v>17</v>
      </c>
      <c r="AB15" s="150" t="s">
        <v>17</v>
      </c>
      <c r="AC15" s="7" t="s">
        <v>17</v>
      </c>
      <c r="AD15" s="155" t="s">
        <v>17</v>
      </c>
      <c r="AE15" s="7" t="s">
        <v>17</v>
      </c>
      <c r="AF15" s="7" t="s">
        <v>17</v>
      </c>
      <c r="AG15" s="155" t="s">
        <v>17</v>
      </c>
      <c r="AH15" s="7" t="s">
        <v>17</v>
      </c>
      <c r="AI15" s="7" t="s">
        <v>17</v>
      </c>
      <c r="AJ15" s="155" t="s">
        <v>17</v>
      </c>
      <c r="AK15" s="7" t="s">
        <v>17</v>
      </c>
      <c r="AL15" s="7" t="s">
        <v>17</v>
      </c>
      <c r="AM15" s="155" t="s">
        <v>17</v>
      </c>
      <c r="AN15" s="7" t="s">
        <v>17</v>
      </c>
      <c r="AO15" s="7" t="s">
        <v>17</v>
      </c>
      <c r="AP15" s="155" t="s">
        <v>17</v>
      </c>
      <c r="AQ15" s="7" t="s">
        <v>17</v>
      </c>
      <c r="AR15" s="7" t="s">
        <v>17</v>
      </c>
      <c r="AS15" s="155" t="s">
        <v>17</v>
      </c>
      <c r="AT15" s="7" t="s">
        <v>17</v>
      </c>
      <c r="AU15" s="7" t="s">
        <v>17</v>
      </c>
      <c r="AV15" s="155" t="s">
        <v>17</v>
      </c>
      <c r="AW15" s="7" t="s">
        <v>17</v>
      </c>
      <c r="AX15" s="7" t="s">
        <v>17</v>
      </c>
      <c r="AY15" s="155" t="s">
        <v>17</v>
      </c>
      <c r="AZ15" s="63"/>
      <c r="BA15" s="63"/>
      <c r="BF15" s="4"/>
      <c r="BG15" s="4"/>
      <c r="BH15" s="4"/>
    </row>
    <row r="16" spans="1:63" ht="14.95" customHeight="1" thickBot="1" x14ac:dyDescent="0.3">
      <c r="A16" s="43" t="s">
        <v>570</v>
      </c>
      <c r="B16" s="78">
        <v>2</v>
      </c>
      <c r="C16" s="270">
        <v>0</v>
      </c>
      <c r="D16" s="238">
        <v>0</v>
      </c>
      <c r="E16" s="5">
        <f t="shared" ref="E16" si="17">SUM(B16:D16)</f>
        <v>2</v>
      </c>
      <c r="F16" s="273" t="s">
        <v>570</v>
      </c>
      <c r="G16" s="307">
        <v>10</v>
      </c>
      <c r="H16" s="268">
        <v>2</v>
      </c>
      <c r="I16" s="274">
        <v>12</v>
      </c>
      <c r="J16" s="77">
        <f t="shared" ref="J16" si="18">SUM(G16:I16)</f>
        <v>24</v>
      </c>
      <c r="K16" s="15" t="s">
        <v>18</v>
      </c>
      <c r="L16" s="41">
        <v>4</v>
      </c>
      <c r="M16" s="41">
        <v>6</v>
      </c>
      <c r="N16" s="42">
        <f t="shared" ref="N16:N17" si="19">SUM(L16/M16)*100</f>
        <v>66.666666666666657</v>
      </c>
      <c r="O16" s="7">
        <v>17</v>
      </c>
      <c r="P16" s="7">
        <v>21</v>
      </c>
      <c r="Q16" s="7">
        <v>80.952380952380949</v>
      </c>
      <c r="R16" s="7">
        <v>2</v>
      </c>
      <c r="S16" s="7">
        <v>2</v>
      </c>
      <c r="T16" s="7">
        <v>100</v>
      </c>
      <c r="U16" s="7">
        <v>2</v>
      </c>
      <c r="V16" s="7">
        <v>2</v>
      </c>
      <c r="W16" s="7">
        <f t="shared" ref="W16" si="20">SUM(U16/V16)*100</f>
        <v>100</v>
      </c>
      <c r="AB16" s="150" t="s">
        <v>17</v>
      </c>
      <c r="AC16" s="7" t="s">
        <v>17</v>
      </c>
      <c r="AD16" s="7" t="s">
        <v>17</v>
      </c>
      <c r="AE16" s="150" t="s">
        <v>17</v>
      </c>
      <c r="AF16" s="7" t="s">
        <v>17</v>
      </c>
      <c r="AG16" s="7" t="s">
        <v>17</v>
      </c>
      <c r="AH16" s="150" t="s">
        <v>17</v>
      </c>
      <c r="AI16" s="7" t="s">
        <v>17</v>
      </c>
      <c r="AJ16" s="7" t="s">
        <v>17</v>
      </c>
      <c r="AK16" s="150" t="s">
        <v>17</v>
      </c>
      <c r="AL16" s="7" t="s">
        <v>17</v>
      </c>
      <c r="AM16" s="7" t="s">
        <v>17</v>
      </c>
      <c r="AN16" s="150">
        <v>4</v>
      </c>
      <c r="AO16" s="7">
        <v>5</v>
      </c>
      <c r="AP16" s="155">
        <f>SUM(AN16/AO16)*100</f>
        <v>80</v>
      </c>
      <c r="AQ16" s="150">
        <v>5</v>
      </c>
      <c r="AR16" s="7">
        <v>8</v>
      </c>
      <c r="AS16" s="155">
        <f>SUM(AQ16/AR16)*100</f>
        <v>62.5</v>
      </c>
      <c r="AT16" s="6" t="s">
        <v>17</v>
      </c>
      <c r="AU16" s="7" t="s">
        <v>17</v>
      </c>
      <c r="AV16" s="7" t="s">
        <v>17</v>
      </c>
      <c r="AW16" s="150">
        <v>8</v>
      </c>
      <c r="AX16" s="7">
        <v>9</v>
      </c>
      <c r="AY16" s="155">
        <f>SUM(AW16/AX16)*100</f>
        <v>88.888888888888886</v>
      </c>
      <c r="AZ16" s="63"/>
      <c r="BA16" s="63"/>
    </row>
    <row r="17" spans="1:63" ht="14.95" customHeight="1" thickBot="1" x14ac:dyDescent="0.3">
      <c r="A17" s="43" t="s">
        <v>252</v>
      </c>
      <c r="B17" s="78">
        <v>6</v>
      </c>
      <c r="C17" s="270">
        <v>1</v>
      </c>
      <c r="D17" s="238">
        <v>8</v>
      </c>
      <c r="E17" s="5">
        <f t="shared" si="4"/>
        <v>15</v>
      </c>
      <c r="F17" s="273" t="s">
        <v>252</v>
      </c>
      <c r="G17" s="307">
        <v>86</v>
      </c>
      <c r="H17" s="268">
        <v>11</v>
      </c>
      <c r="I17" s="274">
        <v>103</v>
      </c>
      <c r="J17" s="77">
        <f t="shared" si="5"/>
        <v>200</v>
      </c>
      <c r="K17" s="193" t="s">
        <v>546</v>
      </c>
      <c r="L17" s="41">
        <v>1</v>
      </c>
      <c r="M17" s="41">
        <v>1</v>
      </c>
      <c r="N17" s="42">
        <f t="shared" si="19"/>
        <v>100</v>
      </c>
      <c r="O17" s="7" t="s">
        <v>17</v>
      </c>
      <c r="P17" s="7" t="s">
        <v>17</v>
      </c>
      <c r="Q17" s="7" t="s">
        <v>17</v>
      </c>
      <c r="R17" s="7">
        <v>2</v>
      </c>
      <c r="S17" s="7">
        <v>2</v>
      </c>
      <c r="T17" s="7">
        <v>100</v>
      </c>
      <c r="U17" s="7" t="s">
        <v>17</v>
      </c>
      <c r="V17" s="7" t="s">
        <v>17</v>
      </c>
      <c r="W17" s="7" t="s">
        <v>17</v>
      </c>
      <c r="AB17" s="6">
        <v>1</v>
      </c>
      <c r="AC17" s="6">
        <v>1</v>
      </c>
      <c r="AD17" s="159">
        <f t="shared" ref="AD17" si="21">SUM(AB17/AC17)*100</f>
        <v>100</v>
      </c>
      <c r="AE17" s="6">
        <v>1</v>
      </c>
      <c r="AF17" s="6">
        <v>1</v>
      </c>
      <c r="AG17" s="159">
        <f t="shared" ref="AG17" si="22">SUM(AE17/AF17)*100</f>
        <v>100</v>
      </c>
      <c r="AH17" s="6" t="s">
        <v>17</v>
      </c>
      <c r="AI17" s="7" t="s">
        <v>17</v>
      </c>
      <c r="AJ17" s="7" t="s">
        <v>17</v>
      </c>
      <c r="AK17" s="150" t="s">
        <v>17</v>
      </c>
      <c r="AL17" s="7" t="s">
        <v>17</v>
      </c>
      <c r="AM17" s="7" t="s">
        <v>17</v>
      </c>
      <c r="AN17" s="150" t="s">
        <v>17</v>
      </c>
      <c r="AO17" s="7" t="s">
        <v>17</v>
      </c>
      <c r="AP17" s="7" t="s">
        <v>17</v>
      </c>
      <c r="AQ17" s="150" t="s">
        <v>17</v>
      </c>
      <c r="AR17" s="7" t="s">
        <v>17</v>
      </c>
      <c r="AS17" s="7" t="s">
        <v>17</v>
      </c>
      <c r="AT17" s="6" t="s">
        <v>17</v>
      </c>
      <c r="AU17" s="7" t="s">
        <v>17</v>
      </c>
      <c r="AV17" s="7" t="s">
        <v>17</v>
      </c>
      <c r="AW17" s="7" t="s">
        <v>17</v>
      </c>
      <c r="AX17" s="7" t="s">
        <v>17</v>
      </c>
      <c r="AY17" s="7" t="s">
        <v>17</v>
      </c>
      <c r="AZ17" s="63"/>
      <c r="BA17" s="63"/>
      <c r="BG17" s="4"/>
      <c r="BH17" s="4"/>
    </row>
    <row r="18" spans="1:63" ht="14.95" customHeight="1" thickBot="1" x14ac:dyDescent="0.3">
      <c r="A18" s="43" t="s">
        <v>273</v>
      </c>
      <c r="B18" s="78">
        <v>1</v>
      </c>
      <c r="C18" s="270">
        <v>0</v>
      </c>
      <c r="D18" s="238">
        <v>1</v>
      </c>
      <c r="E18" s="5">
        <f t="shared" si="4"/>
        <v>2</v>
      </c>
      <c r="F18" s="273" t="s">
        <v>273</v>
      </c>
      <c r="G18" s="307">
        <v>5</v>
      </c>
      <c r="H18" s="268">
        <v>0</v>
      </c>
      <c r="I18" s="274">
        <v>5</v>
      </c>
      <c r="J18" s="77">
        <f t="shared" si="5"/>
        <v>10</v>
      </c>
      <c r="K18" s="58"/>
      <c r="L18" s="59"/>
      <c r="M18" s="59"/>
      <c r="N18" s="60"/>
      <c r="O18" s="163"/>
      <c r="P18" s="163"/>
      <c r="Q18" s="163"/>
      <c r="R18" s="63"/>
      <c r="S18" s="63"/>
      <c r="T18" s="63"/>
      <c r="U18" s="63"/>
      <c r="V18" s="63"/>
      <c r="W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O18" s="4"/>
      <c r="AP18" s="4"/>
      <c r="AQ18" s="4"/>
      <c r="AT18" s="4"/>
      <c r="BC18" s="88"/>
      <c r="BD18" s="4"/>
      <c r="BE18" s="4"/>
    </row>
    <row r="19" spans="1:63" ht="14.95" customHeight="1" thickBot="1" x14ac:dyDescent="0.3">
      <c r="A19" s="43" t="s">
        <v>384</v>
      </c>
      <c r="B19" s="78">
        <v>1</v>
      </c>
      <c r="C19" s="270">
        <v>0</v>
      </c>
      <c r="D19" s="238">
        <v>0</v>
      </c>
      <c r="E19" s="5">
        <f t="shared" si="4"/>
        <v>1</v>
      </c>
      <c r="F19" s="273" t="s">
        <v>384</v>
      </c>
      <c r="G19" s="307">
        <v>5</v>
      </c>
      <c r="H19" s="268">
        <v>0</v>
      </c>
      <c r="I19" s="274">
        <v>0</v>
      </c>
      <c r="J19" s="77">
        <f t="shared" si="5"/>
        <v>5</v>
      </c>
      <c r="K19" s="511" t="s">
        <v>227</v>
      </c>
      <c r="L19" s="469" t="s">
        <v>16</v>
      </c>
      <c r="M19" s="470"/>
      <c r="N19" s="471"/>
      <c r="O19" s="469" t="s">
        <v>267</v>
      </c>
      <c r="P19" s="470"/>
      <c r="Q19" s="471"/>
      <c r="R19" s="469" t="s">
        <v>698</v>
      </c>
      <c r="S19" s="470"/>
      <c r="T19" s="471"/>
      <c r="U19" s="469" t="s">
        <v>562</v>
      </c>
      <c r="V19" s="470"/>
      <c r="W19" s="471"/>
      <c r="AB19" s="469" t="s">
        <v>463</v>
      </c>
      <c r="AC19" s="470"/>
      <c r="AD19" s="471"/>
      <c r="AE19" s="469" t="s">
        <v>355</v>
      </c>
      <c r="AF19" s="470"/>
      <c r="AG19" s="471"/>
      <c r="AH19" s="469" t="s">
        <v>261</v>
      </c>
      <c r="AI19" s="470"/>
      <c r="AJ19" s="471"/>
      <c r="AK19" s="469" t="s">
        <v>199</v>
      </c>
      <c r="AL19" s="470"/>
      <c r="AM19" s="471"/>
      <c r="AN19" s="469" t="s">
        <v>92</v>
      </c>
      <c r="AO19" s="470"/>
      <c r="AP19" s="471"/>
      <c r="AQ19" s="469" t="s">
        <v>63</v>
      </c>
      <c r="AR19" s="470"/>
      <c r="AS19" s="471"/>
      <c r="AT19" s="469" t="s">
        <v>68</v>
      </c>
      <c r="AU19" s="470"/>
      <c r="AV19" s="471"/>
      <c r="AW19" s="469" t="s">
        <v>49</v>
      </c>
      <c r="AX19" s="470"/>
      <c r="AY19" s="471"/>
      <c r="AZ19" s="63"/>
      <c r="BA19" s="63"/>
    </row>
    <row r="20" spans="1:63" ht="14.95" customHeight="1" thickBot="1" x14ac:dyDescent="0.3">
      <c r="A20" s="43" t="s">
        <v>527</v>
      </c>
      <c r="B20" s="78">
        <v>1</v>
      </c>
      <c r="C20" s="270">
        <v>0</v>
      </c>
      <c r="D20" s="238">
        <v>0</v>
      </c>
      <c r="E20" s="5">
        <f t="shared" si="4"/>
        <v>1</v>
      </c>
      <c r="F20" s="273" t="s">
        <v>527</v>
      </c>
      <c r="G20" s="307">
        <v>5</v>
      </c>
      <c r="H20" s="268">
        <v>0</v>
      </c>
      <c r="I20" s="274">
        <v>0</v>
      </c>
      <c r="J20" s="77">
        <f t="shared" si="5"/>
        <v>5</v>
      </c>
      <c r="K20" s="512"/>
      <c r="L20" s="472"/>
      <c r="M20" s="473"/>
      <c r="N20" s="474"/>
      <c r="O20" s="472"/>
      <c r="P20" s="473"/>
      <c r="Q20" s="474"/>
      <c r="R20" s="472"/>
      <c r="S20" s="473"/>
      <c r="T20" s="474"/>
      <c r="U20" s="472"/>
      <c r="V20" s="473"/>
      <c r="W20" s="474"/>
      <c r="AB20" s="472"/>
      <c r="AC20" s="473"/>
      <c r="AD20" s="474"/>
      <c r="AE20" s="472"/>
      <c r="AF20" s="473"/>
      <c r="AG20" s="474"/>
      <c r="AH20" s="472"/>
      <c r="AI20" s="473"/>
      <c r="AJ20" s="474"/>
      <c r="AK20" s="472"/>
      <c r="AL20" s="473"/>
      <c r="AM20" s="474"/>
      <c r="AN20" s="472"/>
      <c r="AO20" s="473"/>
      <c r="AP20" s="474"/>
      <c r="AQ20" s="472"/>
      <c r="AR20" s="473"/>
      <c r="AS20" s="474"/>
      <c r="AT20" s="472"/>
      <c r="AU20" s="473"/>
      <c r="AV20" s="474"/>
      <c r="AW20" s="472"/>
      <c r="AX20" s="473"/>
      <c r="AY20" s="474"/>
      <c r="AZ20" s="63"/>
      <c r="BA20" s="63"/>
      <c r="BG20" s="4"/>
      <c r="BH20" s="4"/>
    </row>
    <row r="21" spans="1:63" ht="14.95" customHeight="1" thickBot="1" x14ac:dyDescent="0.3">
      <c r="A21" s="43" t="s">
        <v>526</v>
      </c>
      <c r="B21" s="78">
        <v>0</v>
      </c>
      <c r="C21" s="270">
        <v>0</v>
      </c>
      <c r="D21" s="238">
        <v>0</v>
      </c>
      <c r="E21" s="5">
        <f t="shared" si="4"/>
        <v>0</v>
      </c>
      <c r="F21" s="273" t="s">
        <v>526</v>
      </c>
      <c r="G21" s="307">
        <v>0</v>
      </c>
      <c r="H21" s="268">
        <v>0</v>
      </c>
      <c r="I21" s="274">
        <v>0</v>
      </c>
      <c r="J21" s="77">
        <f t="shared" si="5"/>
        <v>0</v>
      </c>
      <c r="K21" s="257" t="s">
        <v>25</v>
      </c>
      <c r="L21" s="7" t="s">
        <v>55</v>
      </c>
      <c r="M21" s="7" t="s">
        <v>11</v>
      </c>
      <c r="N21" s="7" t="s">
        <v>12</v>
      </c>
      <c r="O21" s="7" t="s">
        <v>55</v>
      </c>
      <c r="P21" s="7" t="s">
        <v>11</v>
      </c>
      <c r="Q21" s="7" t="s">
        <v>12</v>
      </c>
      <c r="R21" s="7" t="s">
        <v>55</v>
      </c>
      <c r="S21" s="7" t="s">
        <v>11</v>
      </c>
      <c r="T21" s="7" t="s">
        <v>12</v>
      </c>
      <c r="U21" s="150" t="s">
        <v>55</v>
      </c>
      <c r="V21" s="7" t="s">
        <v>11</v>
      </c>
      <c r="W21" s="7" t="s">
        <v>12</v>
      </c>
      <c r="AB21" s="150" t="s">
        <v>55</v>
      </c>
      <c r="AC21" s="7" t="s">
        <v>11</v>
      </c>
      <c r="AD21" s="7" t="s">
        <v>12</v>
      </c>
      <c r="AE21" s="150" t="s">
        <v>55</v>
      </c>
      <c r="AF21" s="7" t="s">
        <v>11</v>
      </c>
      <c r="AG21" s="7" t="s">
        <v>12</v>
      </c>
      <c r="AH21" s="150" t="s">
        <v>55</v>
      </c>
      <c r="AI21" s="7" t="s">
        <v>11</v>
      </c>
      <c r="AJ21" s="7" t="s">
        <v>12</v>
      </c>
      <c r="AK21" s="150" t="s">
        <v>55</v>
      </c>
      <c r="AL21" s="7" t="s">
        <v>11</v>
      </c>
      <c r="AM21" s="7" t="s">
        <v>12</v>
      </c>
      <c r="AN21" s="150" t="s">
        <v>55</v>
      </c>
      <c r="AO21" s="7" t="s">
        <v>11</v>
      </c>
      <c r="AP21" s="7" t="s">
        <v>12</v>
      </c>
      <c r="AQ21" s="150" t="s">
        <v>55</v>
      </c>
      <c r="AR21" s="7" t="s">
        <v>11</v>
      </c>
      <c r="AS21" s="7" t="s">
        <v>12</v>
      </c>
      <c r="AT21" s="150" t="s">
        <v>55</v>
      </c>
      <c r="AU21" s="7" t="s">
        <v>11</v>
      </c>
      <c r="AV21" s="7" t="s">
        <v>12</v>
      </c>
      <c r="AW21" s="150" t="s">
        <v>55</v>
      </c>
      <c r="AX21" s="7" t="s">
        <v>11</v>
      </c>
      <c r="AY21" s="7" t="s">
        <v>12</v>
      </c>
      <c r="AZ21" s="63"/>
      <c r="BA21" s="63"/>
      <c r="BF21" s="4"/>
    </row>
    <row r="22" spans="1:63" ht="14.95" customHeight="1" thickBot="1" x14ac:dyDescent="0.3">
      <c r="A22" s="43" t="s">
        <v>675</v>
      </c>
      <c r="B22" s="78">
        <v>0</v>
      </c>
      <c r="C22" s="270">
        <v>0</v>
      </c>
      <c r="D22" s="238">
        <v>0</v>
      </c>
      <c r="E22" s="5">
        <f t="shared" si="4"/>
        <v>0</v>
      </c>
      <c r="F22" s="273" t="s">
        <v>675</v>
      </c>
      <c r="G22" s="307">
        <v>0</v>
      </c>
      <c r="H22" s="268">
        <v>0</v>
      </c>
      <c r="I22" s="274">
        <v>0</v>
      </c>
      <c r="J22" s="77">
        <f t="shared" si="5"/>
        <v>0</v>
      </c>
      <c r="K22" s="120" t="s">
        <v>1320</v>
      </c>
      <c r="L22" s="7" t="s">
        <v>17</v>
      </c>
      <c r="M22" s="7" t="s">
        <v>17</v>
      </c>
      <c r="N22" s="7" t="s">
        <v>17</v>
      </c>
      <c r="O22" s="7" t="s">
        <v>17</v>
      </c>
      <c r="P22" s="7" t="s">
        <v>17</v>
      </c>
      <c r="Q22" s="155" t="s">
        <v>17</v>
      </c>
      <c r="R22" s="7" t="s">
        <v>17</v>
      </c>
      <c r="S22" s="7" t="s">
        <v>17</v>
      </c>
      <c r="T22" s="155" t="s">
        <v>17</v>
      </c>
      <c r="U22" s="7">
        <v>4</v>
      </c>
      <c r="V22" s="7">
        <v>5</v>
      </c>
      <c r="W22" s="155">
        <v>80</v>
      </c>
      <c r="AB22" s="150" t="s">
        <v>17</v>
      </c>
      <c r="AC22" s="7" t="s">
        <v>17</v>
      </c>
      <c r="AD22" s="7" t="s">
        <v>17</v>
      </c>
      <c r="AE22" s="150" t="s">
        <v>17</v>
      </c>
      <c r="AF22" s="7" t="s">
        <v>17</v>
      </c>
      <c r="AG22" s="7" t="s">
        <v>17</v>
      </c>
      <c r="AH22" s="150" t="s">
        <v>17</v>
      </c>
      <c r="AI22" s="7" t="s">
        <v>17</v>
      </c>
      <c r="AJ22" s="7" t="s">
        <v>17</v>
      </c>
      <c r="AK22" s="150" t="s">
        <v>17</v>
      </c>
      <c r="AL22" s="7" t="s">
        <v>17</v>
      </c>
      <c r="AM22" s="7" t="s">
        <v>17</v>
      </c>
      <c r="AN22" s="150" t="s">
        <v>17</v>
      </c>
      <c r="AO22" s="7" t="s">
        <v>17</v>
      </c>
      <c r="AP22" s="7" t="s">
        <v>17</v>
      </c>
      <c r="AQ22" s="150" t="s">
        <v>17</v>
      </c>
      <c r="AR22" s="7" t="s">
        <v>17</v>
      </c>
      <c r="AS22" s="7" t="s">
        <v>17</v>
      </c>
      <c r="AT22" s="150" t="s">
        <v>17</v>
      </c>
      <c r="AU22" s="7" t="s">
        <v>17</v>
      </c>
      <c r="AV22" s="7" t="s">
        <v>17</v>
      </c>
      <c r="AW22" s="150" t="s">
        <v>17</v>
      </c>
      <c r="AX22" s="7" t="s">
        <v>17</v>
      </c>
      <c r="AY22" s="7" t="s">
        <v>17</v>
      </c>
      <c r="AZ22" s="63"/>
      <c r="BA22" s="63"/>
      <c r="BI22" s="4"/>
    </row>
    <row r="23" spans="1:63" ht="14.95" customHeight="1" thickBot="1" x14ac:dyDescent="0.3">
      <c r="A23" s="43" t="s">
        <v>186</v>
      </c>
      <c r="B23" s="78">
        <v>0</v>
      </c>
      <c r="C23" s="270">
        <v>0</v>
      </c>
      <c r="D23" s="238">
        <v>0</v>
      </c>
      <c r="E23" s="5">
        <f t="shared" si="4"/>
        <v>0</v>
      </c>
      <c r="F23" s="273" t="s">
        <v>186</v>
      </c>
      <c r="G23" s="307">
        <v>0</v>
      </c>
      <c r="H23" s="268">
        <v>0</v>
      </c>
      <c r="I23" s="274">
        <v>0</v>
      </c>
      <c r="J23" s="77">
        <f t="shared" si="5"/>
        <v>0</v>
      </c>
      <c r="K23" s="15" t="s">
        <v>18</v>
      </c>
      <c r="L23" s="7" t="s">
        <v>17</v>
      </c>
      <c r="M23" s="7" t="s">
        <v>17</v>
      </c>
      <c r="N23" s="7" t="s">
        <v>17</v>
      </c>
      <c r="O23" s="7" t="s">
        <v>17</v>
      </c>
      <c r="P23" s="7" t="s">
        <v>17</v>
      </c>
      <c r="Q23" s="7" t="s">
        <v>17</v>
      </c>
      <c r="R23" s="7" t="s">
        <v>17</v>
      </c>
      <c r="S23" s="7" t="s">
        <v>17</v>
      </c>
      <c r="T23" s="7" t="s">
        <v>17</v>
      </c>
      <c r="U23" s="150" t="s">
        <v>17</v>
      </c>
      <c r="V23" s="7" t="s">
        <v>17</v>
      </c>
      <c r="W23" s="7" t="s">
        <v>17</v>
      </c>
      <c r="AB23" s="150" t="s">
        <v>17</v>
      </c>
      <c r="AC23" s="7" t="s">
        <v>17</v>
      </c>
      <c r="AD23" s="7" t="s">
        <v>17</v>
      </c>
      <c r="AE23" s="150" t="s">
        <v>17</v>
      </c>
      <c r="AF23" s="7" t="s">
        <v>17</v>
      </c>
      <c r="AG23" s="7" t="s">
        <v>17</v>
      </c>
      <c r="AH23" s="150" t="s">
        <v>17</v>
      </c>
      <c r="AI23" s="7" t="s">
        <v>17</v>
      </c>
      <c r="AJ23" s="7" t="s">
        <v>17</v>
      </c>
      <c r="AK23" s="150" t="s">
        <v>17</v>
      </c>
      <c r="AL23" s="150" t="s">
        <v>17</v>
      </c>
      <c r="AM23" s="7" t="s">
        <v>17</v>
      </c>
      <c r="AN23" s="7" t="s">
        <v>17</v>
      </c>
      <c r="AO23" s="150" t="s">
        <v>17</v>
      </c>
      <c r="AP23" s="150" t="s">
        <v>17</v>
      </c>
      <c r="AQ23" s="150" t="s">
        <v>17</v>
      </c>
      <c r="AR23" s="7" t="s">
        <v>17</v>
      </c>
      <c r="AS23" s="7" t="s">
        <v>17</v>
      </c>
      <c r="AT23" s="150">
        <v>20</v>
      </c>
      <c r="AU23" s="7">
        <v>25</v>
      </c>
      <c r="AV23" s="155">
        <f>SUM(AT23/AU23)*100</f>
        <v>80</v>
      </c>
      <c r="AW23" s="7" t="s">
        <v>17</v>
      </c>
      <c r="AX23" s="7" t="s">
        <v>17</v>
      </c>
      <c r="AY23" s="7" t="s">
        <v>17</v>
      </c>
      <c r="AZ23" s="63"/>
      <c r="BA23" s="63"/>
      <c r="BG23" s="4"/>
      <c r="BH23" s="4"/>
      <c r="BJ23" s="4"/>
      <c r="BK23" s="4"/>
    </row>
    <row r="24" spans="1:63" ht="14.95" customHeight="1" thickBot="1" x14ac:dyDescent="0.3">
      <c r="A24" s="43" t="s">
        <v>1323</v>
      </c>
      <c r="B24" s="78">
        <v>1</v>
      </c>
      <c r="C24" s="270">
        <v>0</v>
      </c>
      <c r="D24" s="238">
        <v>0</v>
      </c>
      <c r="E24" s="5">
        <f t="shared" si="4"/>
        <v>1</v>
      </c>
      <c r="F24" s="273" t="s">
        <v>1323</v>
      </c>
      <c r="G24" s="307">
        <v>5</v>
      </c>
      <c r="H24" s="268">
        <v>0</v>
      </c>
      <c r="I24" s="274">
        <v>0</v>
      </c>
      <c r="J24" s="77">
        <f t="shared" si="5"/>
        <v>5</v>
      </c>
      <c r="K24" s="193" t="s">
        <v>546</v>
      </c>
      <c r="L24" s="7" t="s">
        <v>17</v>
      </c>
      <c r="M24" s="7" t="s">
        <v>17</v>
      </c>
      <c r="N24" s="7" t="s">
        <v>17</v>
      </c>
      <c r="O24" s="7" t="s">
        <v>17</v>
      </c>
      <c r="P24" s="7" t="s">
        <v>17</v>
      </c>
      <c r="Q24" s="7" t="s">
        <v>17</v>
      </c>
      <c r="R24" s="7" t="s">
        <v>17</v>
      </c>
      <c r="S24" s="7" t="s">
        <v>17</v>
      </c>
      <c r="T24" s="7" t="s">
        <v>17</v>
      </c>
      <c r="U24" s="150" t="s">
        <v>17</v>
      </c>
      <c r="V24" s="7" t="s">
        <v>17</v>
      </c>
      <c r="W24" s="7" t="s">
        <v>17</v>
      </c>
      <c r="AB24" s="150" t="s">
        <v>17</v>
      </c>
      <c r="AC24" s="7" t="s">
        <v>17</v>
      </c>
      <c r="AD24" s="7" t="s">
        <v>17</v>
      </c>
      <c r="AE24" s="150" t="s">
        <v>17</v>
      </c>
      <c r="AF24" s="7" t="s">
        <v>17</v>
      </c>
      <c r="AG24" s="7" t="s">
        <v>17</v>
      </c>
      <c r="AH24" s="150" t="s">
        <v>17</v>
      </c>
      <c r="AI24" s="7" t="s">
        <v>17</v>
      </c>
      <c r="AJ24" s="7" t="s">
        <v>17</v>
      </c>
      <c r="AK24" s="150" t="s">
        <v>17</v>
      </c>
      <c r="AL24" s="150" t="s">
        <v>17</v>
      </c>
      <c r="AM24" s="7" t="s">
        <v>17</v>
      </c>
      <c r="AN24" s="7" t="s">
        <v>17</v>
      </c>
      <c r="AO24" s="7" t="s">
        <v>17</v>
      </c>
      <c r="AP24" s="7" t="s">
        <v>17</v>
      </c>
      <c r="AQ24" s="150" t="s">
        <v>17</v>
      </c>
      <c r="AR24" s="7" t="s">
        <v>17</v>
      </c>
      <c r="AS24" s="7" t="s">
        <v>17</v>
      </c>
      <c r="AT24" s="6" t="s">
        <v>17</v>
      </c>
      <c r="AU24" s="7" t="s">
        <v>17</v>
      </c>
      <c r="AV24" s="7" t="s">
        <v>17</v>
      </c>
      <c r="AW24" s="7" t="s">
        <v>17</v>
      </c>
      <c r="AX24" s="7" t="s">
        <v>17</v>
      </c>
      <c r="AY24" s="7" t="s">
        <v>17</v>
      </c>
      <c r="AZ24" s="63"/>
      <c r="BA24" s="63"/>
      <c r="BG24" s="4"/>
      <c r="BH24" s="4"/>
      <c r="BI24" s="4"/>
      <c r="BJ24" s="4"/>
    </row>
    <row r="25" spans="1:63" ht="14.95" customHeight="1" thickBot="1" x14ac:dyDescent="0.3">
      <c r="A25" s="43" t="s">
        <v>1325</v>
      </c>
      <c r="B25" s="78">
        <v>3</v>
      </c>
      <c r="C25" s="270">
        <v>0</v>
      </c>
      <c r="D25" s="238">
        <v>0</v>
      </c>
      <c r="E25" s="5">
        <f t="shared" si="4"/>
        <v>3</v>
      </c>
      <c r="F25" s="273" t="s">
        <v>1325</v>
      </c>
      <c r="G25" s="307">
        <v>15</v>
      </c>
      <c r="H25" s="268">
        <v>0</v>
      </c>
      <c r="I25" s="274">
        <v>0</v>
      </c>
      <c r="J25" s="77">
        <f t="shared" si="5"/>
        <v>15</v>
      </c>
      <c r="K25" s="58"/>
      <c r="L25" s="59"/>
      <c r="M25" s="59"/>
      <c r="N25" s="60"/>
      <c r="O25" s="163"/>
      <c r="P25" s="163"/>
      <c r="Q25" s="163"/>
      <c r="R25" s="63"/>
      <c r="S25" s="63"/>
      <c r="T25" s="63"/>
      <c r="U25" s="63"/>
      <c r="V25" s="63"/>
      <c r="W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O25" s="4"/>
      <c r="AP25" s="4"/>
      <c r="AQ25" s="4"/>
      <c r="AT25" s="4"/>
      <c r="BD25" s="4"/>
      <c r="BE25" s="4"/>
      <c r="BG25" s="4"/>
      <c r="BH25" s="4"/>
    </row>
    <row r="26" spans="1:63" ht="14.95" customHeight="1" thickBot="1" x14ac:dyDescent="0.3">
      <c r="A26" s="43" t="s">
        <v>665</v>
      </c>
      <c r="B26" s="78">
        <v>0</v>
      </c>
      <c r="C26" s="270">
        <v>0</v>
      </c>
      <c r="D26" s="238">
        <v>0</v>
      </c>
      <c r="E26" s="5">
        <f t="shared" si="4"/>
        <v>0</v>
      </c>
      <c r="F26" s="273" t="s">
        <v>665</v>
      </c>
      <c r="G26" s="307">
        <v>0</v>
      </c>
      <c r="H26" s="268">
        <v>0</v>
      </c>
      <c r="I26" s="274">
        <v>0</v>
      </c>
      <c r="J26" s="77">
        <f t="shared" si="5"/>
        <v>0</v>
      </c>
      <c r="K26" s="499" t="s">
        <v>93</v>
      </c>
      <c r="L26" s="513" t="s">
        <v>16</v>
      </c>
      <c r="M26" s="514"/>
      <c r="N26" s="515"/>
      <c r="O26" s="469" t="s">
        <v>267</v>
      </c>
      <c r="P26" s="470"/>
      <c r="Q26" s="471"/>
      <c r="R26" s="469" t="s">
        <v>698</v>
      </c>
      <c r="S26" s="470"/>
      <c r="T26" s="471"/>
      <c r="U26" s="469" t="s">
        <v>562</v>
      </c>
      <c r="V26" s="470"/>
      <c r="W26" s="471"/>
      <c r="AB26" s="469" t="s">
        <v>355</v>
      </c>
      <c r="AC26" s="470"/>
      <c r="AD26" s="471"/>
      <c r="AE26" s="469" t="s">
        <v>261</v>
      </c>
      <c r="AF26" s="470"/>
      <c r="AG26" s="471"/>
      <c r="AH26" s="469" t="s">
        <v>199</v>
      </c>
      <c r="AI26" s="470"/>
      <c r="AJ26" s="471"/>
      <c r="AK26" s="469" t="s">
        <v>92</v>
      </c>
      <c r="AL26" s="470"/>
      <c r="AM26" s="471"/>
      <c r="AN26" s="469" t="s">
        <v>59</v>
      </c>
      <c r="AO26" s="470"/>
      <c r="AP26" s="471"/>
      <c r="AQ26" s="469" t="s">
        <v>45</v>
      </c>
      <c r="AR26" s="470"/>
      <c r="AS26" s="471"/>
      <c r="AT26" s="63"/>
      <c r="AU26" s="63"/>
      <c r="AV26" s="63"/>
      <c r="AW26" s="63"/>
      <c r="AX26" s="63"/>
    </row>
    <row r="27" spans="1:63" ht="14.95" customHeight="1" thickBot="1" x14ac:dyDescent="0.3">
      <c r="A27" s="43" t="s">
        <v>436</v>
      </c>
      <c r="B27" s="78">
        <v>0</v>
      </c>
      <c r="C27" s="270">
        <v>0</v>
      </c>
      <c r="D27" s="238">
        <v>0</v>
      </c>
      <c r="E27" s="5">
        <f t="shared" si="4"/>
        <v>0</v>
      </c>
      <c r="F27" s="273" t="s">
        <v>436</v>
      </c>
      <c r="G27" s="307">
        <v>0</v>
      </c>
      <c r="H27" s="268">
        <v>0</v>
      </c>
      <c r="I27" s="274">
        <v>0</v>
      </c>
      <c r="J27" s="77">
        <f t="shared" si="5"/>
        <v>0</v>
      </c>
      <c r="K27" s="500"/>
      <c r="L27" s="516"/>
      <c r="M27" s="517"/>
      <c r="N27" s="518"/>
      <c r="O27" s="472"/>
      <c r="P27" s="473"/>
      <c r="Q27" s="474"/>
      <c r="R27" s="472"/>
      <c r="S27" s="473"/>
      <c r="T27" s="474"/>
      <c r="U27" s="472"/>
      <c r="V27" s="473"/>
      <c r="W27" s="474"/>
      <c r="AB27" s="472"/>
      <c r="AC27" s="473"/>
      <c r="AD27" s="474"/>
      <c r="AE27" s="472"/>
      <c r="AF27" s="473"/>
      <c r="AG27" s="474"/>
      <c r="AH27" s="472"/>
      <c r="AI27" s="473"/>
      <c r="AJ27" s="474"/>
      <c r="AK27" s="472"/>
      <c r="AL27" s="473"/>
      <c r="AM27" s="474"/>
      <c r="AN27" s="472"/>
      <c r="AO27" s="473"/>
      <c r="AP27" s="474"/>
      <c r="AQ27" s="472"/>
      <c r="AR27" s="473"/>
      <c r="AS27" s="474"/>
      <c r="AT27" s="63"/>
      <c r="AU27" s="63"/>
      <c r="AV27" s="63"/>
      <c r="AW27" s="63"/>
      <c r="AX27" s="63"/>
    </row>
    <row r="28" spans="1:63" ht="14.95" customHeight="1" thickBot="1" x14ac:dyDescent="0.3">
      <c r="A28" s="43" t="s">
        <v>173</v>
      </c>
      <c r="B28" s="78">
        <v>0</v>
      </c>
      <c r="C28" s="270">
        <v>0</v>
      </c>
      <c r="D28" s="238">
        <v>0</v>
      </c>
      <c r="E28" s="5">
        <f t="shared" si="4"/>
        <v>0</v>
      </c>
      <c r="F28" s="273" t="s">
        <v>173</v>
      </c>
      <c r="G28" s="307">
        <v>0</v>
      </c>
      <c r="H28" s="268">
        <v>0</v>
      </c>
      <c r="I28" s="274">
        <v>0</v>
      </c>
      <c r="J28" s="77">
        <f t="shared" si="5"/>
        <v>0</v>
      </c>
      <c r="K28" s="224" t="s">
        <v>25</v>
      </c>
      <c r="L28" s="165" t="s">
        <v>55</v>
      </c>
      <c r="M28" s="165" t="s">
        <v>11</v>
      </c>
      <c r="N28" s="165" t="s">
        <v>12</v>
      </c>
      <c r="O28" s="7" t="s">
        <v>55</v>
      </c>
      <c r="P28" s="7" t="s">
        <v>11</v>
      </c>
      <c r="Q28" s="7" t="s">
        <v>12</v>
      </c>
      <c r="R28" s="7" t="s">
        <v>55</v>
      </c>
      <c r="S28" s="7" t="s">
        <v>11</v>
      </c>
      <c r="T28" s="7" t="s">
        <v>12</v>
      </c>
      <c r="U28" s="7" t="s">
        <v>55</v>
      </c>
      <c r="V28" s="7" t="s">
        <v>11</v>
      </c>
      <c r="W28" s="7" t="s">
        <v>12</v>
      </c>
      <c r="AB28" s="150" t="s">
        <v>55</v>
      </c>
      <c r="AC28" s="7" t="s">
        <v>11</v>
      </c>
      <c r="AD28" s="7" t="s">
        <v>12</v>
      </c>
      <c r="AE28" s="150" t="s">
        <v>55</v>
      </c>
      <c r="AF28" s="7" t="s">
        <v>11</v>
      </c>
      <c r="AG28" s="7" t="s">
        <v>12</v>
      </c>
      <c r="AH28" s="150" t="s">
        <v>55</v>
      </c>
      <c r="AI28" s="7" t="s">
        <v>11</v>
      </c>
      <c r="AJ28" s="7" t="s">
        <v>12</v>
      </c>
      <c r="AK28" s="150" t="s">
        <v>55</v>
      </c>
      <c r="AL28" s="7" t="s">
        <v>11</v>
      </c>
      <c r="AM28" s="7" t="s">
        <v>12</v>
      </c>
      <c r="AN28" s="150" t="s">
        <v>55</v>
      </c>
      <c r="AO28" s="7" t="s">
        <v>11</v>
      </c>
      <c r="AP28" s="7" t="s">
        <v>12</v>
      </c>
      <c r="AQ28" s="6" t="s">
        <v>55</v>
      </c>
      <c r="AR28" s="7" t="s">
        <v>11</v>
      </c>
      <c r="AS28" s="7" t="s">
        <v>12</v>
      </c>
      <c r="AT28" s="63"/>
      <c r="AU28" s="63"/>
      <c r="AV28" s="63"/>
      <c r="AW28" s="63"/>
      <c r="AX28" s="63"/>
    </row>
    <row r="29" spans="1:63" ht="14.95" customHeight="1" thickBot="1" x14ac:dyDescent="0.3">
      <c r="A29" s="43" t="s">
        <v>431</v>
      </c>
      <c r="B29" s="78">
        <v>0</v>
      </c>
      <c r="C29" s="270">
        <v>0</v>
      </c>
      <c r="D29" s="238">
        <v>0</v>
      </c>
      <c r="E29" s="5">
        <f t="shared" si="4"/>
        <v>0</v>
      </c>
      <c r="F29" s="273" t="s">
        <v>431</v>
      </c>
      <c r="G29" s="307">
        <v>0</v>
      </c>
      <c r="H29" s="268">
        <v>0</v>
      </c>
      <c r="I29" s="274">
        <v>0</v>
      </c>
      <c r="J29" s="77">
        <f t="shared" si="5"/>
        <v>0</v>
      </c>
      <c r="K29" s="120" t="s">
        <v>502</v>
      </c>
      <c r="L29" s="41" t="s">
        <v>17</v>
      </c>
      <c r="M29" s="41" t="s">
        <v>17</v>
      </c>
      <c r="N29" s="42" t="s">
        <v>17</v>
      </c>
      <c r="O29" s="7" t="s">
        <v>17</v>
      </c>
      <c r="P29" s="7" t="s">
        <v>17</v>
      </c>
      <c r="Q29" s="155" t="s">
        <v>17</v>
      </c>
      <c r="R29" s="7">
        <v>4</v>
      </c>
      <c r="S29" s="7">
        <v>4</v>
      </c>
      <c r="T29" s="155">
        <v>100</v>
      </c>
      <c r="U29" s="7" t="s">
        <v>17</v>
      </c>
      <c r="V29" s="7" t="s">
        <v>17</v>
      </c>
      <c r="W29" s="155" t="s">
        <v>17</v>
      </c>
      <c r="AB29" s="150" t="s">
        <v>17</v>
      </c>
      <c r="AC29" s="7" t="s">
        <v>17</v>
      </c>
      <c r="AD29" s="155" t="s">
        <v>17</v>
      </c>
      <c r="AE29" s="6" t="s">
        <v>17</v>
      </c>
      <c r="AF29" s="7" t="s">
        <v>17</v>
      </c>
      <c r="AG29" s="155" t="s">
        <v>17</v>
      </c>
      <c r="AH29" s="6" t="s">
        <v>17</v>
      </c>
      <c r="AI29" s="7" t="s">
        <v>17</v>
      </c>
      <c r="AJ29" s="155" t="s">
        <v>17</v>
      </c>
      <c r="AK29" s="7" t="s">
        <v>17</v>
      </c>
      <c r="AL29" s="7" t="s">
        <v>17</v>
      </c>
      <c r="AM29" s="155" t="s">
        <v>17</v>
      </c>
      <c r="AN29" s="7" t="s">
        <v>17</v>
      </c>
      <c r="AO29" s="7" t="s">
        <v>17</v>
      </c>
      <c r="AP29" s="155" t="s">
        <v>17</v>
      </c>
      <c r="AQ29" s="7" t="s">
        <v>17</v>
      </c>
      <c r="AR29" s="7" t="s">
        <v>17</v>
      </c>
      <c r="AS29" s="155" t="s">
        <v>17</v>
      </c>
      <c r="AT29" s="63"/>
      <c r="AU29" s="63"/>
      <c r="AV29" s="63"/>
      <c r="AW29" s="63"/>
      <c r="AX29" s="63"/>
    </row>
    <row r="30" spans="1:63" ht="14.95" customHeight="1" thickBot="1" x14ac:dyDescent="0.3">
      <c r="A30" s="43" t="s">
        <v>4</v>
      </c>
      <c r="B30" s="78">
        <v>0</v>
      </c>
      <c r="C30" s="270">
        <v>0</v>
      </c>
      <c r="D30" s="238">
        <v>1</v>
      </c>
      <c r="E30" s="5">
        <f t="shared" si="4"/>
        <v>1</v>
      </c>
      <c r="F30" s="273" t="s">
        <v>4</v>
      </c>
      <c r="G30" s="307">
        <v>0</v>
      </c>
      <c r="H30" s="268">
        <v>0</v>
      </c>
      <c r="I30" s="274">
        <v>7</v>
      </c>
      <c r="J30" s="77">
        <f t="shared" si="5"/>
        <v>7</v>
      </c>
      <c r="K30" s="120" t="s">
        <v>1321</v>
      </c>
      <c r="L30" s="41">
        <v>6</v>
      </c>
      <c r="M30" s="41">
        <v>9</v>
      </c>
      <c r="N30" s="42">
        <f t="shared" ref="N30:N31" si="23">SUM(L30/M30)*100</f>
        <v>66.666666666666657</v>
      </c>
      <c r="O30" s="7">
        <v>9</v>
      </c>
      <c r="P30" s="7">
        <v>11</v>
      </c>
      <c r="Q30" s="155">
        <v>81.818181818181827</v>
      </c>
      <c r="R30" s="7">
        <v>8</v>
      </c>
      <c r="S30" s="7">
        <v>8</v>
      </c>
      <c r="T30" s="155">
        <v>100</v>
      </c>
      <c r="U30" s="7">
        <v>0</v>
      </c>
      <c r="V30" s="7">
        <v>3</v>
      </c>
      <c r="W30" s="155">
        <v>0</v>
      </c>
      <c r="AB30" s="6" t="s">
        <v>17</v>
      </c>
      <c r="AC30" s="7" t="s">
        <v>17</v>
      </c>
      <c r="AD30" s="155" t="s">
        <v>17</v>
      </c>
      <c r="AE30" s="7" t="s">
        <v>17</v>
      </c>
      <c r="AF30" s="7" t="s">
        <v>17</v>
      </c>
      <c r="AG30" s="155" t="s">
        <v>17</v>
      </c>
      <c r="AH30" s="7" t="s">
        <v>17</v>
      </c>
      <c r="AI30" s="7" t="s">
        <v>17</v>
      </c>
      <c r="AJ30" s="155" t="s">
        <v>17</v>
      </c>
      <c r="AK30" s="7" t="s">
        <v>17</v>
      </c>
      <c r="AL30" s="7" t="s">
        <v>17</v>
      </c>
      <c r="AM30" s="155" t="s">
        <v>17</v>
      </c>
      <c r="AN30" s="7" t="s">
        <v>17</v>
      </c>
      <c r="AO30" s="7" t="s">
        <v>17</v>
      </c>
      <c r="AP30" s="155" t="s">
        <v>17</v>
      </c>
      <c r="AQ30" s="7" t="s">
        <v>17</v>
      </c>
      <c r="AR30" s="7" t="s">
        <v>17</v>
      </c>
      <c r="AS30" s="155" t="s">
        <v>17</v>
      </c>
      <c r="AT30" s="63"/>
      <c r="AU30" s="63"/>
      <c r="AV30" s="63"/>
      <c r="AW30" s="63"/>
      <c r="AX30" s="63"/>
    </row>
    <row r="31" spans="1:63" ht="14.95" customHeight="1" thickBot="1" x14ac:dyDescent="0.3">
      <c r="A31" s="43" t="s">
        <v>756</v>
      </c>
      <c r="B31" s="78">
        <v>5</v>
      </c>
      <c r="C31" s="270">
        <v>0</v>
      </c>
      <c r="D31" s="238">
        <v>4</v>
      </c>
      <c r="E31" s="5">
        <f t="shared" si="4"/>
        <v>9</v>
      </c>
      <c r="F31" s="275" t="s">
        <v>756</v>
      </c>
      <c r="G31" s="307">
        <v>25</v>
      </c>
      <c r="H31" s="268">
        <v>0</v>
      </c>
      <c r="I31" s="274">
        <v>20</v>
      </c>
      <c r="J31" s="77">
        <f t="shared" ref="J31" si="24">SUM(G31:I31)</f>
        <v>45</v>
      </c>
      <c r="K31" s="15" t="s">
        <v>252</v>
      </c>
      <c r="L31" s="41">
        <v>31</v>
      </c>
      <c r="M31" s="41">
        <v>36</v>
      </c>
      <c r="N31" s="42">
        <f t="shared" si="23"/>
        <v>86.111111111111114</v>
      </c>
      <c r="O31" s="7" t="s">
        <v>17</v>
      </c>
      <c r="P31" s="7" t="s">
        <v>17</v>
      </c>
      <c r="Q31" s="155" t="s">
        <v>17</v>
      </c>
      <c r="R31" s="7" t="s">
        <v>17</v>
      </c>
      <c r="S31" s="7" t="s">
        <v>17</v>
      </c>
      <c r="T31" s="155" t="s">
        <v>17</v>
      </c>
      <c r="U31" s="7">
        <v>6</v>
      </c>
      <c r="V31" s="7">
        <v>7</v>
      </c>
      <c r="W31" s="155">
        <f t="shared" ref="W31" si="25">SUM(U31/V31)*100</f>
        <v>85.714285714285708</v>
      </c>
      <c r="AB31" s="150" t="s">
        <v>17</v>
      </c>
      <c r="AC31" s="7" t="s">
        <v>17</v>
      </c>
      <c r="AD31" s="7" t="s">
        <v>17</v>
      </c>
      <c r="AE31" s="6" t="s">
        <v>17</v>
      </c>
      <c r="AF31" s="7" t="s">
        <v>17</v>
      </c>
      <c r="AG31" s="7" t="s">
        <v>17</v>
      </c>
      <c r="AH31" s="6" t="s">
        <v>17</v>
      </c>
      <c r="AI31" s="7" t="s">
        <v>17</v>
      </c>
      <c r="AJ31" s="7" t="s">
        <v>17</v>
      </c>
      <c r="AK31" s="7" t="s">
        <v>17</v>
      </c>
      <c r="AL31" s="7" t="s">
        <v>17</v>
      </c>
      <c r="AM31" s="7" t="s">
        <v>17</v>
      </c>
      <c r="AN31" s="6" t="s">
        <v>17</v>
      </c>
      <c r="AO31" s="6" t="s">
        <v>17</v>
      </c>
      <c r="AP31" s="6" t="s">
        <v>17</v>
      </c>
      <c r="AQ31" s="6" t="s">
        <v>17</v>
      </c>
      <c r="AR31" s="6" t="s">
        <v>17</v>
      </c>
      <c r="AS31" s="6" t="s">
        <v>17</v>
      </c>
      <c r="AT31" s="63"/>
      <c r="AU31" s="63"/>
      <c r="AV31" s="63"/>
      <c r="AW31" s="63"/>
      <c r="AX31" s="63"/>
    </row>
    <row r="32" spans="1:63" ht="14.95" customHeight="1" thickBot="1" x14ac:dyDescent="0.3">
      <c r="A32" s="43" t="s">
        <v>751</v>
      </c>
      <c r="B32" s="78">
        <v>1</v>
      </c>
      <c r="C32" s="270">
        <v>0</v>
      </c>
      <c r="D32" s="238">
        <v>0</v>
      </c>
      <c r="E32" s="5">
        <f t="shared" si="4"/>
        <v>1</v>
      </c>
      <c r="F32" s="273" t="s">
        <v>751</v>
      </c>
      <c r="G32" s="307">
        <v>5</v>
      </c>
      <c r="H32" s="268">
        <v>0</v>
      </c>
      <c r="I32" s="274">
        <v>0</v>
      </c>
      <c r="J32" s="77">
        <f t="shared" si="5"/>
        <v>5</v>
      </c>
      <c r="K32" s="120" t="s">
        <v>526</v>
      </c>
      <c r="L32" s="41" t="s">
        <v>17</v>
      </c>
      <c r="M32" s="41" t="s">
        <v>17</v>
      </c>
      <c r="N32" s="42" t="s">
        <v>17</v>
      </c>
      <c r="O32" s="7">
        <v>0</v>
      </c>
      <c r="P32" s="7">
        <v>1</v>
      </c>
      <c r="Q32" s="155">
        <v>0</v>
      </c>
      <c r="R32" s="7">
        <v>21</v>
      </c>
      <c r="S32" s="7">
        <v>23</v>
      </c>
      <c r="T32" s="155">
        <v>91.304347826086953</v>
      </c>
      <c r="U32" s="7" t="s">
        <v>17</v>
      </c>
      <c r="V32" s="7" t="s">
        <v>17</v>
      </c>
      <c r="W32" s="155" t="s">
        <v>17</v>
      </c>
      <c r="AB32" s="150" t="s">
        <v>17</v>
      </c>
      <c r="AC32" s="7" t="s">
        <v>17</v>
      </c>
      <c r="AD32" s="155" t="s">
        <v>17</v>
      </c>
      <c r="AE32" s="6" t="s">
        <v>17</v>
      </c>
      <c r="AF32" s="7" t="s">
        <v>17</v>
      </c>
      <c r="AG32" s="155" t="s">
        <v>17</v>
      </c>
      <c r="AH32" s="6" t="s">
        <v>17</v>
      </c>
      <c r="AI32" s="7" t="s">
        <v>17</v>
      </c>
      <c r="AJ32" s="155" t="s">
        <v>17</v>
      </c>
      <c r="AK32" s="7" t="s">
        <v>17</v>
      </c>
      <c r="AL32" s="7" t="s">
        <v>17</v>
      </c>
      <c r="AM32" s="155" t="s">
        <v>17</v>
      </c>
      <c r="AN32" s="7" t="s">
        <v>17</v>
      </c>
      <c r="AO32" s="7" t="s">
        <v>17</v>
      </c>
      <c r="AP32" s="155" t="s">
        <v>17</v>
      </c>
      <c r="AQ32" s="7" t="s">
        <v>17</v>
      </c>
      <c r="AR32" s="7" t="s">
        <v>17</v>
      </c>
      <c r="AS32" s="155" t="s">
        <v>17</v>
      </c>
      <c r="AT32" s="63"/>
      <c r="AU32" s="63"/>
      <c r="AV32" s="63"/>
      <c r="AW32" s="63"/>
      <c r="AX32" s="63"/>
    </row>
    <row r="33" spans="1:50" ht="14.95" customHeight="1" thickBot="1" x14ac:dyDescent="0.3">
      <c r="A33" s="43" t="s">
        <v>613</v>
      </c>
      <c r="B33" s="78">
        <v>1</v>
      </c>
      <c r="C33" s="270">
        <v>0</v>
      </c>
      <c r="D33" s="238">
        <v>3</v>
      </c>
      <c r="E33" s="5">
        <f t="shared" si="4"/>
        <v>4</v>
      </c>
      <c r="F33" s="273" t="s">
        <v>613</v>
      </c>
      <c r="G33" s="307">
        <v>5</v>
      </c>
      <c r="H33" s="268">
        <v>0</v>
      </c>
      <c r="I33" s="274">
        <v>15</v>
      </c>
      <c r="J33" s="77">
        <f t="shared" si="5"/>
        <v>20</v>
      </c>
      <c r="K33" s="15" t="s">
        <v>546</v>
      </c>
      <c r="L33" s="41">
        <v>3</v>
      </c>
      <c r="M33" s="41">
        <v>6</v>
      </c>
      <c r="N33" s="42">
        <f t="shared" ref="N33" si="26">SUM(L33/M33)*100</f>
        <v>50</v>
      </c>
      <c r="O33" s="7">
        <v>5</v>
      </c>
      <c r="P33" s="7">
        <v>6</v>
      </c>
      <c r="Q33" s="155">
        <v>83.333333333333343</v>
      </c>
      <c r="R33" s="7" t="s">
        <v>17</v>
      </c>
      <c r="S33" s="7" t="s">
        <v>17</v>
      </c>
      <c r="T33" s="155" t="s">
        <v>17</v>
      </c>
      <c r="U33" s="7" t="s">
        <v>17</v>
      </c>
      <c r="V33" s="7" t="s">
        <v>17</v>
      </c>
      <c r="W33" s="155" t="s">
        <v>17</v>
      </c>
      <c r="AB33" s="150">
        <v>1</v>
      </c>
      <c r="AC33" s="7">
        <v>2</v>
      </c>
      <c r="AD33" s="7">
        <f>(AB33/AC33)*100</f>
        <v>50</v>
      </c>
      <c r="AE33" s="150">
        <v>4</v>
      </c>
      <c r="AF33" s="7">
        <v>6</v>
      </c>
      <c r="AG33" s="155">
        <f>SUM(AE33/AF33)*100</f>
        <v>66.666666666666657</v>
      </c>
      <c r="AH33" s="150" t="s">
        <v>17</v>
      </c>
      <c r="AI33" s="7" t="s">
        <v>17</v>
      </c>
      <c r="AJ33" s="7" t="s">
        <v>17</v>
      </c>
      <c r="AK33" s="150" t="s">
        <v>17</v>
      </c>
      <c r="AL33" s="7" t="s">
        <v>17</v>
      </c>
      <c r="AM33" s="7" t="s">
        <v>17</v>
      </c>
      <c r="AN33" s="150" t="s">
        <v>17</v>
      </c>
      <c r="AO33" s="7" t="s">
        <v>17</v>
      </c>
      <c r="AP33" s="7" t="s">
        <v>17</v>
      </c>
      <c r="AQ33" s="6" t="s">
        <v>17</v>
      </c>
      <c r="AR33" s="7" t="s">
        <v>17</v>
      </c>
      <c r="AS33" s="7" t="s">
        <v>17</v>
      </c>
      <c r="AT33" s="63"/>
      <c r="AU33" s="63"/>
      <c r="AV33" s="63"/>
      <c r="AW33" s="63"/>
      <c r="AX33" s="63"/>
    </row>
    <row r="34" spans="1:50" ht="14.95" customHeight="1" thickBot="1" x14ac:dyDescent="0.3">
      <c r="A34" s="43" t="s">
        <v>523</v>
      </c>
      <c r="B34" s="78">
        <v>0</v>
      </c>
      <c r="C34" s="270">
        <v>0</v>
      </c>
      <c r="D34" s="238">
        <v>1</v>
      </c>
      <c r="E34" s="5">
        <f t="shared" si="4"/>
        <v>1</v>
      </c>
      <c r="F34" s="273" t="s">
        <v>523</v>
      </c>
      <c r="G34" s="307">
        <v>0</v>
      </c>
      <c r="H34" s="268">
        <v>0</v>
      </c>
      <c r="I34" s="274">
        <v>5</v>
      </c>
      <c r="J34" s="77">
        <f t="shared" si="5"/>
        <v>5</v>
      </c>
      <c r="K34" s="15" t="s">
        <v>18</v>
      </c>
      <c r="L34" s="41" t="s">
        <v>17</v>
      </c>
      <c r="M34" s="41" t="s">
        <v>17</v>
      </c>
      <c r="N34" s="42" t="s">
        <v>17</v>
      </c>
      <c r="O34" s="7">
        <v>14</v>
      </c>
      <c r="P34" s="7">
        <v>18</v>
      </c>
      <c r="Q34" s="155">
        <v>77.777777777777786</v>
      </c>
      <c r="R34" s="7" t="s">
        <v>17</v>
      </c>
      <c r="S34" s="7" t="s">
        <v>17</v>
      </c>
      <c r="T34" s="155" t="s">
        <v>17</v>
      </c>
      <c r="U34" s="7" t="s">
        <v>17</v>
      </c>
      <c r="V34" s="7" t="s">
        <v>17</v>
      </c>
      <c r="W34" s="155" t="s">
        <v>17</v>
      </c>
      <c r="AB34" s="150" t="s">
        <v>17</v>
      </c>
      <c r="AC34" s="7" t="s">
        <v>17</v>
      </c>
      <c r="AD34" s="7" t="s">
        <v>17</v>
      </c>
      <c r="AE34" s="150" t="s">
        <v>17</v>
      </c>
      <c r="AF34" s="7" t="s">
        <v>17</v>
      </c>
      <c r="AG34" s="7" t="s">
        <v>17</v>
      </c>
      <c r="AH34" s="150" t="s">
        <v>17</v>
      </c>
      <c r="AI34" s="7" t="s">
        <v>17</v>
      </c>
      <c r="AJ34" s="7" t="s">
        <v>17</v>
      </c>
      <c r="AK34" s="150" t="s">
        <v>17</v>
      </c>
      <c r="AL34" s="7" t="s">
        <v>17</v>
      </c>
      <c r="AM34" s="7" t="s">
        <v>17</v>
      </c>
      <c r="AN34" s="150" t="s">
        <v>17</v>
      </c>
      <c r="AO34" s="7" t="s">
        <v>17</v>
      </c>
      <c r="AP34" s="7" t="s">
        <v>17</v>
      </c>
      <c r="AQ34" s="6">
        <v>6</v>
      </c>
      <c r="AR34" s="7">
        <v>14</v>
      </c>
      <c r="AS34" s="155">
        <f>SUM(AQ34/AR34)*100</f>
        <v>42.857142857142854</v>
      </c>
      <c r="AT34" s="63"/>
      <c r="AU34" s="63"/>
      <c r="AV34" s="63"/>
      <c r="AW34" s="4"/>
      <c r="AX34" s="4"/>
    </row>
    <row r="35" spans="1:50" ht="14.95" customHeight="1" thickBot="1" x14ac:dyDescent="0.3">
      <c r="A35" s="43" t="s">
        <v>546</v>
      </c>
      <c r="B35" s="78">
        <v>2</v>
      </c>
      <c r="C35" s="270">
        <v>0</v>
      </c>
      <c r="D35" s="238">
        <v>2</v>
      </c>
      <c r="E35" s="5">
        <f t="shared" si="4"/>
        <v>4</v>
      </c>
      <c r="F35" s="273" t="s">
        <v>546</v>
      </c>
      <c r="G35" s="307">
        <v>16</v>
      </c>
      <c r="H35" s="268">
        <v>2</v>
      </c>
      <c r="I35" s="274">
        <v>16</v>
      </c>
      <c r="J35" s="77">
        <f t="shared" si="5"/>
        <v>34</v>
      </c>
      <c r="K35" s="509" t="s">
        <v>1162</v>
      </c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480"/>
      <c r="Y35" s="480"/>
      <c r="AN35" s="4"/>
      <c r="AO35" s="4"/>
      <c r="AP35" s="4"/>
      <c r="AQ35" s="4"/>
      <c r="AR35" s="4"/>
    </row>
    <row r="36" spans="1:50" ht="14.95" customHeight="1" thickBot="1" x14ac:dyDescent="0.3">
      <c r="A36" s="43" t="s">
        <v>18</v>
      </c>
      <c r="B36" s="78">
        <v>1</v>
      </c>
      <c r="C36" s="270">
        <v>0</v>
      </c>
      <c r="D36" s="238">
        <v>0</v>
      </c>
      <c r="E36" s="5">
        <f t="shared" si="4"/>
        <v>1</v>
      </c>
      <c r="F36" s="273" t="s">
        <v>18</v>
      </c>
      <c r="G36" s="307">
        <v>61</v>
      </c>
      <c r="H36" s="268">
        <v>8</v>
      </c>
      <c r="I36" s="274">
        <v>0</v>
      </c>
      <c r="J36" s="77">
        <f t="shared" si="5"/>
        <v>69</v>
      </c>
      <c r="K36" s="479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N36" s="4"/>
      <c r="AO36" s="4"/>
      <c r="AP36" s="4"/>
    </row>
    <row r="37" spans="1:50" ht="14.95" customHeight="1" thickBot="1" x14ac:dyDescent="0.3">
      <c r="A37" s="43" t="s">
        <v>218</v>
      </c>
      <c r="B37" s="78">
        <v>0</v>
      </c>
      <c r="C37" s="270">
        <v>0</v>
      </c>
      <c r="D37" s="238">
        <v>0</v>
      </c>
      <c r="E37" s="5">
        <f t="shared" si="4"/>
        <v>0</v>
      </c>
      <c r="F37" s="273" t="s">
        <v>218</v>
      </c>
      <c r="G37" s="307">
        <v>0</v>
      </c>
      <c r="H37" s="268">
        <v>0</v>
      </c>
      <c r="I37" s="274">
        <v>0</v>
      </c>
      <c r="J37" s="77">
        <f t="shared" si="5"/>
        <v>0</v>
      </c>
      <c r="K37" s="479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AN37" s="4"/>
      <c r="AO37" s="4"/>
      <c r="AP37" s="4"/>
    </row>
    <row r="38" spans="1:50" ht="14.95" customHeight="1" thickBot="1" x14ac:dyDescent="0.3">
      <c r="A38" s="43" t="s">
        <v>39</v>
      </c>
      <c r="B38" s="78">
        <v>1</v>
      </c>
      <c r="C38" s="270">
        <v>0</v>
      </c>
      <c r="D38" s="238">
        <v>2</v>
      </c>
      <c r="E38" s="5">
        <f t="shared" si="4"/>
        <v>3</v>
      </c>
      <c r="F38" s="273" t="s">
        <v>39</v>
      </c>
      <c r="G38" s="307">
        <v>5</v>
      </c>
      <c r="H38" s="268">
        <v>0</v>
      </c>
      <c r="I38" s="274">
        <v>10</v>
      </c>
      <c r="J38" s="77">
        <f t="shared" si="5"/>
        <v>15</v>
      </c>
      <c r="Z38" t="s">
        <v>25</v>
      </c>
      <c r="AB38" t="s">
        <v>25</v>
      </c>
    </row>
    <row r="39" spans="1:50" ht="14.95" customHeight="1" thickBot="1" x14ac:dyDescent="0.3">
      <c r="A39" s="43" t="s">
        <v>478</v>
      </c>
      <c r="B39" s="78">
        <v>0</v>
      </c>
      <c r="C39" s="270">
        <v>0</v>
      </c>
      <c r="D39" s="238">
        <v>1</v>
      </c>
      <c r="E39" s="5">
        <f t="shared" si="4"/>
        <v>1</v>
      </c>
      <c r="F39" s="273" t="s">
        <v>478</v>
      </c>
      <c r="G39" s="307">
        <v>0</v>
      </c>
      <c r="H39" s="268">
        <v>0</v>
      </c>
      <c r="I39" s="274">
        <v>5</v>
      </c>
      <c r="J39" s="77">
        <f t="shared" si="5"/>
        <v>5</v>
      </c>
    </row>
    <row r="40" spans="1:50" ht="14.95" customHeight="1" thickBot="1" x14ac:dyDescent="0.3">
      <c r="A40" s="43" t="s">
        <v>1154</v>
      </c>
      <c r="B40" s="78">
        <v>1</v>
      </c>
      <c r="C40" s="270">
        <v>0</v>
      </c>
      <c r="D40" s="238">
        <v>1</v>
      </c>
      <c r="E40" s="5">
        <f t="shared" si="4"/>
        <v>2</v>
      </c>
      <c r="F40" s="273" t="s">
        <v>1154</v>
      </c>
      <c r="G40" s="307">
        <v>5</v>
      </c>
      <c r="H40" s="268">
        <v>0</v>
      </c>
      <c r="I40" s="274">
        <v>5</v>
      </c>
      <c r="J40" s="77">
        <f t="shared" si="5"/>
        <v>10</v>
      </c>
      <c r="AQ40" s="4"/>
      <c r="AR40" s="4"/>
    </row>
    <row r="41" spans="1:50" ht="14.95" customHeight="1" thickBot="1" x14ac:dyDescent="0.3">
      <c r="A41" s="43" t="s">
        <v>394</v>
      </c>
      <c r="B41" s="78">
        <v>1</v>
      </c>
      <c r="C41" s="270">
        <v>1</v>
      </c>
      <c r="D41" s="238">
        <v>1</v>
      </c>
      <c r="E41" s="5">
        <f t="shared" si="4"/>
        <v>3</v>
      </c>
      <c r="F41" s="273" t="s">
        <v>394</v>
      </c>
      <c r="G41" s="307">
        <v>5</v>
      </c>
      <c r="H41" s="268">
        <v>5</v>
      </c>
      <c r="I41" s="274">
        <v>5</v>
      </c>
      <c r="J41" s="77">
        <f t="shared" si="5"/>
        <v>15</v>
      </c>
    </row>
    <row r="42" spans="1:50" ht="14.95" customHeight="1" thickBot="1" x14ac:dyDescent="0.3">
      <c r="A42" s="43" t="s">
        <v>208</v>
      </c>
      <c r="B42" s="78">
        <v>1</v>
      </c>
      <c r="C42" s="270">
        <v>0</v>
      </c>
      <c r="D42" s="238">
        <v>1</v>
      </c>
      <c r="E42" s="5">
        <f t="shared" si="4"/>
        <v>2</v>
      </c>
      <c r="F42" s="273" t="s">
        <v>208</v>
      </c>
      <c r="G42" s="307">
        <v>5</v>
      </c>
      <c r="H42" s="268">
        <v>0</v>
      </c>
      <c r="I42" s="274">
        <v>5</v>
      </c>
      <c r="J42" s="77">
        <f t="shared" si="5"/>
        <v>10</v>
      </c>
      <c r="AN42" s="4"/>
      <c r="AO42" s="4"/>
      <c r="AP42" s="4"/>
    </row>
    <row r="43" spans="1:50" ht="14.95" customHeight="1" thickBot="1" x14ac:dyDescent="0.3">
      <c r="A43" s="43" t="s">
        <v>571</v>
      </c>
      <c r="B43" s="78">
        <v>1</v>
      </c>
      <c r="C43" s="270">
        <v>1</v>
      </c>
      <c r="D43" s="238">
        <v>0</v>
      </c>
      <c r="E43" s="5">
        <f t="shared" si="4"/>
        <v>2</v>
      </c>
      <c r="F43" s="273" t="s">
        <v>571</v>
      </c>
      <c r="G43" s="307">
        <v>5</v>
      </c>
      <c r="H43" s="268">
        <v>5</v>
      </c>
      <c r="I43" s="274">
        <v>0</v>
      </c>
      <c r="J43" s="77">
        <f t="shared" si="5"/>
        <v>10</v>
      </c>
    </row>
    <row r="44" spans="1:50" ht="14.95" customHeight="1" thickBot="1" x14ac:dyDescent="0.3">
      <c r="A44" s="43" t="s">
        <v>640</v>
      </c>
      <c r="B44" s="78">
        <v>0</v>
      </c>
      <c r="C44" s="270">
        <v>1</v>
      </c>
      <c r="D44" s="238">
        <v>0</v>
      </c>
      <c r="E44" s="5">
        <f t="shared" si="4"/>
        <v>1</v>
      </c>
      <c r="F44" s="273" t="s">
        <v>640</v>
      </c>
      <c r="G44" s="307">
        <v>0</v>
      </c>
      <c r="H44" s="268">
        <v>5</v>
      </c>
      <c r="I44" s="274">
        <v>0</v>
      </c>
      <c r="J44" s="77">
        <f t="shared" si="5"/>
        <v>5</v>
      </c>
      <c r="AQ44" s="4"/>
      <c r="AR44" s="4"/>
    </row>
    <row r="45" spans="1:50" ht="14.95" customHeight="1" thickBot="1" x14ac:dyDescent="0.3">
      <c r="A45" s="43" t="s">
        <v>27</v>
      </c>
      <c r="B45" s="78">
        <v>1</v>
      </c>
      <c r="C45" s="270">
        <v>0</v>
      </c>
      <c r="D45" s="238">
        <v>0</v>
      </c>
      <c r="E45" s="5">
        <f t="shared" si="4"/>
        <v>1</v>
      </c>
      <c r="F45" s="273" t="s">
        <v>27</v>
      </c>
      <c r="G45" s="307">
        <v>5</v>
      </c>
      <c r="H45" s="268">
        <v>0</v>
      </c>
      <c r="I45" s="274">
        <v>0</v>
      </c>
      <c r="J45" s="77">
        <f t="shared" si="5"/>
        <v>5</v>
      </c>
      <c r="AQ45" s="4"/>
      <c r="AR45" s="4"/>
    </row>
    <row r="46" spans="1:50" ht="14.95" customHeight="1" thickBot="1" x14ac:dyDescent="0.3">
      <c r="A46" s="43" t="s">
        <v>204</v>
      </c>
      <c r="B46" s="78">
        <v>4</v>
      </c>
      <c r="C46" s="270">
        <v>2</v>
      </c>
      <c r="D46" s="238">
        <v>4</v>
      </c>
      <c r="E46" s="5">
        <f t="shared" si="4"/>
        <v>10</v>
      </c>
      <c r="F46" s="273" t="s">
        <v>204</v>
      </c>
      <c r="G46" s="307">
        <v>20</v>
      </c>
      <c r="H46" s="268">
        <v>10</v>
      </c>
      <c r="I46" s="274">
        <v>20</v>
      </c>
      <c r="J46" s="77">
        <f t="shared" si="5"/>
        <v>50</v>
      </c>
      <c r="AN46" s="4"/>
      <c r="AO46" s="4"/>
      <c r="AP46" s="4"/>
    </row>
    <row r="47" spans="1:50" ht="14.95" customHeight="1" thickBot="1" x14ac:dyDescent="0.3">
      <c r="A47" s="43" t="s">
        <v>33</v>
      </c>
      <c r="B47" s="78">
        <v>2</v>
      </c>
      <c r="C47" s="270">
        <v>0</v>
      </c>
      <c r="D47" s="238">
        <v>0</v>
      </c>
      <c r="E47" s="5">
        <f t="shared" si="4"/>
        <v>2</v>
      </c>
      <c r="F47" s="273" t="s">
        <v>33</v>
      </c>
      <c r="G47" s="307">
        <v>10</v>
      </c>
      <c r="H47" s="268">
        <v>0</v>
      </c>
      <c r="I47" s="274">
        <v>0</v>
      </c>
      <c r="J47" s="77">
        <f t="shared" si="5"/>
        <v>10</v>
      </c>
      <c r="AN47" s="4"/>
      <c r="AO47" s="4"/>
      <c r="AP47" s="4"/>
      <c r="AQ47" s="4"/>
      <c r="AR47" s="4"/>
    </row>
    <row r="48" spans="1:50" ht="14.95" thickBot="1" x14ac:dyDescent="0.3">
      <c r="A48" s="43" t="s">
        <v>3</v>
      </c>
      <c r="B48" s="78">
        <f>SUM(B3:B47)</f>
        <v>57</v>
      </c>
      <c r="C48" s="270">
        <f>SUM(C3:C47)</f>
        <v>13</v>
      </c>
      <c r="D48" s="238">
        <f>SUM(D3:D47)</f>
        <v>51</v>
      </c>
      <c r="E48" s="5">
        <f>SUM(E3:E47)</f>
        <v>121</v>
      </c>
      <c r="F48" s="273" t="s">
        <v>3</v>
      </c>
      <c r="G48" s="307">
        <f>SUM(G3:G47)</f>
        <v>403</v>
      </c>
      <c r="H48" s="268">
        <f>SUM(H3:H47)</f>
        <v>83</v>
      </c>
      <c r="I48" s="274">
        <f>SUM(I3:I47)</f>
        <v>338</v>
      </c>
      <c r="J48" s="77">
        <f>SUM(J3:J47)</f>
        <v>824</v>
      </c>
      <c r="AQ48" s="4"/>
      <c r="AR48" s="4"/>
    </row>
    <row r="49" spans="1:10" ht="16.3" x14ac:dyDescent="0.25">
      <c r="A49" s="477"/>
      <c r="B49" s="478"/>
      <c r="C49" s="478"/>
      <c r="D49" s="478"/>
      <c r="E49" s="478"/>
      <c r="F49" s="478"/>
      <c r="G49" s="478"/>
      <c r="H49" s="478"/>
      <c r="I49" s="39"/>
      <c r="J49" s="40"/>
    </row>
    <row r="50" spans="1:10" ht="14.95" thickBot="1" x14ac:dyDescent="0.3">
      <c r="A50" t="s">
        <v>14</v>
      </c>
      <c r="B50" s="134"/>
      <c r="F50" s="72"/>
      <c r="G50" s="135"/>
      <c r="H50" s="72"/>
      <c r="I50" s="72"/>
      <c r="J50" s="72"/>
    </row>
    <row r="51" spans="1:10" ht="14.95" thickBot="1" x14ac:dyDescent="0.3">
      <c r="A51" s="108" t="s">
        <v>0</v>
      </c>
      <c r="B51" s="116" t="s">
        <v>259</v>
      </c>
      <c r="C51" s="269" t="s">
        <v>35</v>
      </c>
      <c r="D51" s="237" t="s">
        <v>383</v>
      </c>
      <c r="E51" s="109" t="s">
        <v>1</v>
      </c>
      <c r="F51" s="271" t="s">
        <v>2</v>
      </c>
      <c r="G51" s="306" t="s">
        <v>259</v>
      </c>
      <c r="H51" s="267" t="s">
        <v>35</v>
      </c>
      <c r="I51" s="272" t="s">
        <v>383</v>
      </c>
      <c r="J51" s="107" t="s">
        <v>1</v>
      </c>
    </row>
    <row r="52" spans="1:10" ht="14.95" thickBot="1" x14ac:dyDescent="0.3">
      <c r="A52" s="43" t="s">
        <v>940</v>
      </c>
      <c r="B52" s="78">
        <v>7</v>
      </c>
      <c r="C52" s="270">
        <v>3</v>
      </c>
      <c r="D52" s="238">
        <v>11</v>
      </c>
      <c r="E52" s="5">
        <f t="shared" ref="E52:E96" si="27">SUM(B52:D52)</f>
        <v>21</v>
      </c>
      <c r="F52" s="273" t="s">
        <v>252</v>
      </c>
      <c r="G52" s="307">
        <v>86</v>
      </c>
      <c r="H52" s="268">
        <v>11</v>
      </c>
      <c r="I52" s="274">
        <v>103</v>
      </c>
      <c r="J52" s="77">
        <f t="shared" ref="J52:J96" si="28">SUM(G52:I52)</f>
        <v>200</v>
      </c>
    </row>
    <row r="53" spans="1:10" ht="14.95" thickBot="1" x14ac:dyDescent="0.3">
      <c r="A53" s="43" t="s">
        <v>252</v>
      </c>
      <c r="B53" s="78">
        <v>6</v>
      </c>
      <c r="C53" s="270">
        <v>1</v>
      </c>
      <c r="D53" s="238">
        <v>8</v>
      </c>
      <c r="E53" s="5">
        <f t="shared" si="27"/>
        <v>15</v>
      </c>
      <c r="F53" s="273" t="s">
        <v>940</v>
      </c>
      <c r="G53" s="307">
        <v>35</v>
      </c>
      <c r="H53" s="268">
        <v>15</v>
      </c>
      <c r="I53" s="274">
        <v>55</v>
      </c>
      <c r="J53" s="77">
        <f t="shared" si="28"/>
        <v>105</v>
      </c>
    </row>
    <row r="54" spans="1:10" ht="14.95" thickBot="1" x14ac:dyDescent="0.3">
      <c r="A54" s="43" t="s">
        <v>204</v>
      </c>
      <c r="B54" s="78">
        <v>4</v>
      </c>
      <c r="C54" s="270">
        <v>2</v>
      </c>
      <c r="D54" s="238">
        <v>4</v>
      </c>
      <c r="E54" s="5">
        <f t="shared" si="27"/>
        <v>10</v>
      </c>
      <c r="F54" s="273" t="s">
        <v>18</v>
      </c>
      <c r="G54" s="307">
        <v>61</v>
      </c>
      <c r="H54" s="268">
        <v>8</v>
      </c>
      <c r="I54" s="274">
        <v>0</v>
      </c>
      <c r="J54" s="77">
        <f t="shared" si="28"/>
        <v>69</v>
      </c>
    </row>
    <row r="55" spans="1:10" ht="14.95" thickBot="1" x14ac:dyDescent="0.3">
      <c r="A55" s="43" t="s">
        <v>756</v>
      </c>
      <c r="B55" s="78">
        <v>5</v>
      </c>
      <c r="C55" s="270">
        <v>0</v>
      </c>
      <c r="D55" s="238">
        <v>4</v>
      </c>
      <c r="E55" s="5">
        <f t="shared" si="27"/>
        <v>9</v>
      </c>
      <c r="F55" s="273" t="s">
        <v>204</v>
      </c>
      <c r="G55" s="307">
        <v>20</v>
      </c>
      <c r="H55" s="268">
        <v>10</v>
      </c>
      <c r="I55" s="274">
        <v>20</v>
      </c>
      <c r="J55" s="77">
        <f t="shared" si="28"/>
        <v>50</v>
      </c>
    </row>
    <row r="56" spans="1:10" ht="14.95" thickBot="1" x14ac:dyDescent="0.3">
      <c r="A56" s="43" t="s">
        <v>568</v>
      </c>
      <c r="B56" s="78">
        <v>3</v>
      </c>
      <c r="C56" s="270">
        <v>0</v>
      </c>
      <c r="D56" s="238">
        <v>4</v>
      </c>
      <c r="E56" s="5">
        <f t="shared" si="27"/>
        <v>7</v>
      </c>
      <c r="F56" s="273" t="s">
        <v>756</v>
      </c>
      <c r="G56" s="307">
        <v>25</v>
      </c>
      <c r="H56" s="268">
        <v>0</v>
      </c>
      <c r="I56" s="274">
        <v>20</v>
      </c>
      <c r="J56" s="77">
        <f t="shared" si="28"/>
        <v>45</v>
      </c>
    </row>
    <row r="57" spans="1:10" ht="14.95" thickBot="1" x14ac:dyDescent="0.3">
      <c r="A57" s="43" t="s">
        <v>397</v>
      </c>
      <c r="B57" s="78">
        <v>2</v>
      </c>
      <c r="C57" s="270">
        <v>2</v>
      </c>
      <c r="D57" s="238">
        <v>3</v>
      </c>
      <c r="E57" s="5">
        <f t="shared" si="27"/>
        <v>7</v>
      </c>
      <c r="F57" s="273" t="s">
        <v>568</v>
      </c>
      <c r="G57" s="307">
        <v>15</v>
      </c>
      <c r="H57" s="268">
        <v>0</v>
      </c>
      <c r="I57" s="274">
        <v>20</v>
      </c>
      <c r="J57" s="77">
        <f t="shared" si="28"/>
        <v>35</v>
      </c>
    </row>
    <row r="58" spans="1:10" ht="14.95" thickBot="1" x14ac:dyDescent="0.3">
      <c r="A58" s="43" t="s">
        <v>536</v>
      </c>
      <c r="B58" s="78">
        <v>5</v>
      </c>
      <c r="C58" s="270">
        <v>1</v>
      </c>
      <c r="D58" s="238">
        <v>0</v>
      </c>
      <c r="E58" s="5">
        <f t="shared" si="27"/>
        <v>6</v>
      </c>
      <c r="F58" s="273" t="s">
        <v>397</v>
      </c>
      <c r="G58" s="307">
        <v>10</v>
      </c>
      <c r="H58" s="268">
        <v>10</v>
      </c>
      <c r="I58" s="274">
        <v>15</v>
      </c>
      <c r="J58" s="77">
        <f t="shared" si="28"/>
        <v>35</v>
      </c>
    </row>
    <row r="59" spans="1:10" ht="14.95" thickBot="1" x14ac:dyDescent="0.3">
      <c r="A59" s="43" t="s">
        <v>613</v>
      </c>
      <c r="B59" s="78">
        <v>1</v>
      </c>
      <c r="C59" s="270">
        <v>0</v>
      </c>
      <c r="D59" s="238">
        <v>3</v>
      </c>
      <c r="E59" s="5">
        <f t="shared" si="27"/>
        <v>4</v>
      </c>
      <c r="F59" s="273" t="s">
        <v>546</v>
      </c>
      <c r="G59" s="307">
        <v>16</v>
      </c>
      <c r="H59" s="268">
        <v>2</v>
      </c>
      <c r="I59" s="274">
        <v>16</v>
      </c>
      <c r="J59" s="77">
        <f t="shared" si="28"/>
        <v>34</v>
      </c>
    </row>
    <row r="60" spans="1:10" ht="14.95" thickBot="1" x14ac:dyDescent="0.3">
      <c r="A60" s="43" t="s">
        <v>546</v>
      </c>
      <c r="B60" s="78">
        <v>2</v>
      </c>
      <c r="C60" s="270">
        <v>0</v>
      </c>
      <c r="D60" s="238">
        <v>2</v>
      </c>
      <c r="E60" s="5">
        <f t="shared" si="27"/>
        <v>4</v>
      </c>
      <c r="F60" s="273" t="s">
        <v>536</v>
      </c>
      <c r="G60" s="307">
        <v>25</v>
      </c>
      <c r="H60" s="268">
        <v>5</v>
      </c>
      <c r="I60" s="274">
        <v>0</v>
      </c>
      <c r="J60" s="77">
        <f t="shared" si="28"/>
        <v>30</v>
      </c>
    </row>
    <row r="61" spans="1:10" ht="14.95" thickBot="1" x14ac:dyDescent="0.3">
      <c r="A61" s="43" t="s">
        <v>569</v>
      </c>
      <c r="B61" s="78">
        <v>1</v>
      </c>
      <c r="C61" s="270">
        <v>1</v>
      </c>
      <c r="D61" s="238">
        <v>1</v>
      </c>
      <c r="E61" s="5">
        <f t="shared" si="27"/>
        <v>3</v>
      </c>
      <c r="F61" s="273" t="s">
        <v>570</v>
      </c>
      <c r="G61" s="307">
        <v>10</v>
      </c>
      <c r="H61" s="268">
        <v>2</v>
      </c>
      <c r="I61" s="274">
        <v>12</v>
      </c>
      <c r="J61" s="77">
        <f t="shared" si="28"/>
        <v>24</v>
      </c>
    </row>
    <row r="62" spans="1:10" ht="14.95" thickBot="1" x14ac:dyDescent="0.3">
      <c r="A62" s="43" t="s">
        <v>1325</v>
      </c>
      <c r="B62" s="78">
        <v>3</v>
      </c>
      <c r="C62" s="270">
        <v>0</v>
      </c>
      <c r="D62" s="238">
        <v>0</v>
      </c>
      <c r="E62" s="5">
        <f t="shared" si="27"/>
        <v>3</v>
      </c>
      <c r="F62" s="273" t="s">
        <v>613</v>
      </c>
      <c r="G62" s="307">
        <v>5</v>
      </c>
      <c r="H62" s="268">
        <v>0</v>
      </c>
      <c r="I62" s="274">
        <v>15</v>
      </c>
      <c r="J62" s="77">
        <f t="shared" si="28"/>
        <v>20</v>
      </c>
    </row>
    <row r="63" spans="1:10" ht="14.95" thickBot="1" x14ac:dyDescent="0.3">
      <c r="A63" s="43" t="s">
        <v>39</v>
      </c>
      <c r="B63" s="78">
        <v>1</v>
      </c>
      <c r="C63" s="270">
        <v>0</v>
      </c>
      <c r="D63" s="238">
        <v>2</v>
      </c>
      <c r="E63" s="5">
        <f t="shared" si="27"/>
        <v>3</v>
      </c>
      <c r="F63" s="273" t="s">
        <v>569</v>
      </c>
      <c r="G63" s="307">
        <v>5</v>
      </c>
      <c r="H63" s="268">
        <v>5</v>
      </c>
      <c r="I63" s="274">
        <v>5</v>
      </c>
      <c r="J63" s="77">
        <f t="shared" si="28"/>
        <v>15</v>
      </c>
    </row>
    <row r="64" spans="1:10" ht="14.95" thickBot="1" x14ac:dyDescent="0.3">
      <c r="A64" s="43" t="s">
        <v>394</v>
      </c>
      <c r="B64" s="78">
        <v>1</v>
      </c>
      <c r="C64" s="270">
        <v>1</v>
      </c>
      <c r="D64" s="238">
        <v>1</v>
      </c>
      <c r="E64" s="5">
        <f t="shared" si="27"/>
        <v>3</v>
      </c>
      <c r="F64" s="273" t="s">
        <v>1325</v>
      </c>
      <c r="G64" s="307">
        <v>15</v>
      </c>
      <c r="H64" s="268">
        <v>0</v>
      </c>
      <c r="I64" s="274">
        <v>0</v>
      </c>
      <c r="J64" s="77">
        <f t="shared" si="28"/>
        <v>15</v>
      </c>
    </row>
    <row r="65" spans="1:10" ht="14.95" thickBot="1" x14ac:dyDescent="0.3">
      <c r="A65" s="43" t="s">
        <v>554</v>
      </c>
      <c r="B65" s="78">
        <v>1</v>
      </c>
      <c r="C65" s="270">
        <v>0</v>
      </c>
      <c r="D65" s="238">
        <v>1</v>
      </c>
      <c r="E65" s="5">
        <f t="shared" si="27"/>
        <v>2</v>
      </c>
      <c r="F65" s="273" t="s">
        <v>39</v>
      </c>
      <c r="G65" s="307">
        <v>5</v>
      </c>
      <c r="H65" s="268">
        <v>0</v>
      </c>
      <c r="I65" s="274">
        <v>10</v>
      </c>
      <c r="J65" s="77">
        <f t="shared" si="28"/>
        <v>15</v>
      </c>
    </row>
    <row r="66" spans="1:10" ht="14.95" thickBot="1" x14ac:dyDescent="0.3">
      <c r="A66" s="43" t="s">
        <v>184</v>
      </c>
      <c r="B66" s="78">
        <v>1</v>
      </c>
      <c r="C66" s="270">
        <v>0</v>
      </c>
      <c r="D66" s="238">
        <v>1</v>
      </c>
      <c r="E66" s="5">
        <f t="shared" si="27"/>
        <v>2</v>
      </c>
      <c r="F66" s="273" t="s">
        <v>394</v>
      </c>
      <c r="G66" s="307">
        <v>5</v>
      </c>
      <c r="H66" s="268">
        <v>5</v>
      </c>
      <c r="I66" s="274">
        <v>5</v>
      </c>
      <c r="J66" s="77">
        <f t="shared" si="28"/>
        <v>15</v>
      </c>
    </row>
    <row r="67" spans="1:10" ht="14.95" thickBot="1" x14ac:dyDescent="0.3">
      <c r="A67" s="43" t="s">
        <v>570</v>
      </c>
      <c r="B67" s="78">
        <v>2</v>
      </c>
      <c r="C67" s="270">
        <v>0</v>
      </c>
      <c r="D67" s="238">
        <v>0</v>
      </c>
      <c r="E67" s="5">
        <f t="shared" si="27"/>
        <v>2</v>
      </c>
      <c r="F67" s="273" t="s">
        <v>554</v>
      </c>
      <c r="G67" s="307">
        <v>5</v>
      </c>
      <c r="H67" s="268">
        <v>0</v>
      </c>
      <c r="I67" s="274">
        <v>5</v>
      </c>
      <c r="J67" s="77">
        <f t="shared" si="28"/>
        <v>10</v>
      </c>
    </row>
    <row r="68" spans="1:10" ht="14.95" thickBot="1" x14ac:dyDescent="0.3">
      <c r="A68" s="43" t="s">
        <v>273</v>
      </c>
      <c r="B68" s="78">
        <v>1</v>
      </c>
      <c r="C68" s="270">
        <v>0</v>
      </c>
      <c r="D68" s="238">
        <v>1</v>
      </c>
      <c r="E68" s="5">
        <f t="shared" si="27"/>
        <v>2</v>
      </c>
      <c r="F68" s="273" t="s">
        <v>184</v>
      </c>
      <c r="G68" s="307">
        <v>5</v>
      </c>
      <c r="H68" s="268">
        <v>0</v>
      </c>
      <c r="I68" s="274">
        <v>5</v>
      </c>
      <c r="J68" s="77">
        <f t="shared" si="28"/>
        <v>10</v>
      </c>
    </row>
    <row r="69" spans="1:10" ht="14.95" thickBot="1" x14ac:dyDescent="0.3">
      <c r="A69" s="43" t="s">
        <v>1154</v>
      </c>
      <c r="B69" s="78">
        <v>1</v>
      </c>
      <c r="C69" s="270">
        <v>0</v>
      </c>
      <c r="D69" s="238">
        <v>1</v>
      </c>
      <c r="E69" s="5">
        <f t="shared" si="27"/>
        <v>2</v>
      </c>
      <c r="F69" s="273" t="s">
        <v>273</v>
      </c>
      <c r="G69" s="307">
        <v>5</v>
      </c>
      <c r="H69" s="268">
        <v>0</v>
      </c>
      <c r="I69" s="274">
        <v>5</v>
      </c>
      <c r="J69" s="77">
        <f t="shared" si="28"/>
        <v>10</v>
      </c>
    </row>
    <row r="70" spans="1:10" ht="14.95" thickBot="1" x14ac:dyDescent="0.3">
      <c r="A70" s="43" t="s">
        <v>208</v>
      </c>
      <c r="B70" s="78">
        <v>1</v>
      </c>
      <c r="C70" s="270">
        <v>0</v>
      </c>
      <c r="D70" s="238">
        <v>1</v>
      </c>
      <c r="E70" s="5">
        <f t="shared" si="27"/>
        <v>2</v>
      </c>
      <c r="F70" s="273" t="s">
        <v>1154</v>
      </c>
      <c r="G70" s="307">
        <v>5</v>
      </c>
      <c r="H70" s="268">
        <v>0</v>
      </c>
      <c r="I70" s="274">
        <v>5</v>
      </c>
      <c r="J70" s="77">
        <f t="shared" si="28"/>
        <v>10</v>
      </c>
    </row>
    <row r="71" spans="1:10" ht="14.95" thickBot="1" x14ac:dyDescent="0.3">
      <c r="A71" s="43" t="s">
        <v>571</v>
      </c>
      <c r="B71" s="78">
        <v>1</v>
      </c>
      <c r="C71" s="270">
        <v>1</v>
      </c>
      <c r="D71" s="238">
        <v>0</v>
      </c>
      <c r="E71" s="5">
        <f t="shared" si="27"/>
        <v>2</v>
      </c>
      <c r="F71" s="273" t="s">
        <v>208</v>
      </c>
      <c r="G71" s="307">
        <v>5</v>
      </c>
      <c r="H71" s="268">
        <v>0</v>
      </c>
      <c r="I71" s="274">
        <v>5</v>
      </c>
      <c r="J71" s="77">
        <f t="shared" si="28"/>
        <v>10</v>
      </c>
    </row>
    <row r="72" spans="1:10" ht="14.95" thickBot="1" x14ac:dyDescent="0.3">
      <c r="A72" s="43" t="s">
        <v>33</v>
      </c>
      <c r="B72" s="78">
        <v>2</v>
      </c>
      <c r="C72" s="270">
        <v>0</v>
      </c>
      <c r="D72" s="238">
        <v>0</v>
      </c>
      <c r="E72" s="5">
        <f t="shared" si="27"/>
        <v>2</v>
      </c>
      <c r="F72" s="273" t="s">
        <v>571</v>
      </c>
      <c r="G72" s="307">
        <v>5</v>
      </c>
      <c r="H72" s="268">
        <v>5</v>
      </c>
      <c r="I72" s="274">
        <v>0</v>
      </c>
      <c r="J72" s="77">
        <f t="shared" si="28"/>
        <v>10</v>
      </c>
    </row>
    <row r="73" spans="1:10" ht="14.95" thickBot="1" x14ac:dyDescent="0.3">
      <c r="A73" s="43" t="s">
        <v>384</v>
      </c>
      <c r="B73" s="78">
        <v>1</v>
      </c>
      <c r="C73" s="270">
        <v>0</v>
      </c>
      <c r="D73" s="238">
        <v>0</v>
      </c>
      <c r="E73" s="5">
        <f t="shared" si="27"/>
        <v>1</v>
      </c>
      <c r="F73" s="273" t="s">
        <v>33</v>
      </c>
      <c r="G73" s="307">
        <v>10</v>
      </c>
      <c r="H73" s="268">
        <v>0</v>
      </c>
      <c r="I73" s="274">
        <v>0</v>
      </c>
      <c r="J73" s="77">
        <f t="shared" si="28"/>
        <v>10</v>
      </c>
    </row>
    <row r="74" spans="1:10" ht="14.95" thickBot="1" x14ac:dyDescent="0.3">
      <c r="A74" s="43" t="s">
        <v>527</v>
      </c>
      <c r="B74" s="78">
        <v>1</v>
      </c>
      <c r="C74" s="270">
        <v>0</v>
      </c>
      <c r="D74" s="238">
        <v>0</v>
      </c>
      <c r="E74" s="5">
        <f t="shared" si="27"/>
        <v>1</v>
      </c>
      <c r="F74" s="273" t="s">
        <v>4</v>
      </c>
      <c r="G74" s="307">
        <v>0</v>
      </c>
      <c r="H74" s="268">
        <v>0</v>
      </c>
      <c r="I74" s="274">
        <v>7</v>
      </c>
      <c r="J74" s="77">
        <f t="shared" si="28"/>
        <v>7</v>
      </c>
    </row>
    <row r="75" spans="1:10" ht="14.95" thickBot="1" x14ac:dyDescent="0.3">
      <c r="A75" s="43" t="s">
        <v>1323</v>
      </c>
      <c r="B75" s="78">
        <v>1</v>
      </c>
      <c r="C75" s="270">
        <v>0</v>
      </c>
      <c r="D75" s="238">
        <v>0</v>
      </c>
      <c r="E75" s="5">
        <f t="shared" si="27"/>
        <v>1</v>
      </c>
      <c r="F75" s="273" t="s">
        <v>384</v>
      </c>
      <c r="G75" s="307">
        <v>5</v>
      </c>
      <c r="H75" s="268">
        <v>0</v>
      </c>
      <c r="I75" s="274">
        <v>0</v>
      </c>
      <c r="J75" s="77">
        <f t="shared" si="28"/>
        <v>5</v>
      </c>
    </row>
    <row r="76" spans="1:10" ht="14.95" thickBot="1" x14ac:dyDescent="0.3">
      <c r="A76" s="43" t="s">
        <v>4</v>
      </c>
      <c r="B76" s="78">
        <v>0</v>
      </c>
      <c r="C76" s="270">
        <v>0</v>
      </c>
      <c r="D76" s="238">
        <v>1</v>
      </c>
      <c r="E76" s="5">
        <f t="shared" si="27"/>
        <v>1</v>
      </c>
      <c r="F76" s="273" t="s">
        <v>527</v>
      </c>
      <c r="G76" s="307">
        <v>5</v>
      </c>
      <c r="H76" s="268">
        <v>0</v>
      </c>
      <c r="I76" s="274">
        <v>0</v>
      </c>
      <c r="J76" s="77">
        <f t="shared" si="28"/>
        <v>5</v>
      </c>
    </row>
    <row r="77" spans="1:10" ht="14.95" thickBot="1" x14ac:dyDescent="0.3">
      <c r="A77" s="43" t="s">
        <v>751</v>
      </c>
      <c r="B77" s="78">
        <v>1</v>
      </c>
      <c r="C77" s="270">
        <v>0</v>
      </c>
      <c r="D77" s="238">
        <v>0</v>
      </c>
      <c r="E77" s="5">
        <f t="shared" si="27"/>
        <v>1</v>
      </c>
      <c r="F77" s="273" t="s">
        <v>1323</v>
      </c>
      <c r="G77" s="307">
        <v>5</v>
      </c>
      <c r="H77" s="268">
        <v>0</v>
      </c>
      <c r="I77" s="274">
        <v>0</v>
      </c>
      <c r="J77" s="77">
        <f t="shared" si="28"/>
        <v>5</v>
      </c>
    </row>
    <row r="78" spans="1:10" ht="14.95" thickBot="1" x14ac:dyDescent="0.3">
      <c r="A78" s="43" t="s">
        <v>523</v>
      </c>
      <c r="B78" s="78">
        <v>0</v>
      </c>
      <c r="C78" s="270">
        <v>0</v>
      </c>
      <c r="D78" s="238">
        <v>1</v>
      </c>
      <c r="E78" s="5">
        <f t="shared" si="27"/>
        <v>1</v>
      </c>
      <c r="F78" s="273" t="s">
        <v>751</v>
      </c>
      <c r="G78" s="307">
        <v>5</v>
      </c>
      <c r="H78" s="268">
        <v>0</v>
      </c>
      <c r="I78" s="274">
        <v>0</v>
      </c>
      <c r="J78" s="77">
        <f t="shared" si="28"/>
        <v>5</v>
      </c>
    </row>
    <row r="79" spans="1:10" ht="14.95" thickBot="1" x14ac:dyDescent="0.3">
      <c r="A79" s="43" t="s">
        <v>18</v>
      </c>
      <c r="B79" s="78">
        <v>1</v>
      </c>
      <c r="C79" s="270">
        <v>0</v>
      </c>
      <c r="D79" s="238">
        <v>0</v>
      </c>
      <c r="E79" s="5">
        <f t="shared" si="27"/>
        <v>1</v>
      </c>
      <c r="F79" s="273" t="s">
        <v>523</v>
      </c>
      <c r="G79" s="307">
        <v>0</v>
      </c>
      <c r="H79" s="268">
        <v>0</v>
      </c>
      <c r="I79" s="274">
        <v>5</v>
      </c>
      <c r="J79" s="77">
        <f t="shared" si="28"/>
        <v>5</v>
      </c>
    </row>
    <row r="80" spans="1:10" ht="14.95" thickBot="1" x14ac:dyDescent="0.3">
      <c r="A80" s="43" t="s">
        <v>478</v>
      </c>
      <c r="B80" s="78">
        <v>0</v>
      </c>
      <c r="C80" s="270">
        <v>0</v>
      </c>
      <c r="D80" s="238">
        <v>1</v>
      </c>
      <c r="E80" s="5">
        <f t="shared" si="27"/>
        <v>1</v>
      </c>
      <c r="F80" s="275" t="s">
        <v>478</v>
      </c>
      <c r="G80" s="307">
        <v>0</v>
      </c>
      <c r="H80" s="268">
        <v>0</v>
      </c>
      <c r="I80" s="274">
        <v>5</v>
      </c>
      <c r="J80" s="77">
        <f t="shared" si="28"/>
        <v>5</v>
      </c>
    </row>
    <row r="81" spans="1:10" ht="14.95" thickBot="1" x14ac:dyDescent="0.3">
      <c r="A81" s="43" t="s">
        <v>640</v>
      </c>
      <c r="B81" s="78">
        <v>0</v>
      </c>
      <c r="C81" s="270">
        <v>1</v>
      </c>
      <c r="D81" s="238">
        <v>0</v>
      </c>
      <c r="E81" s="5">
        <f t="shared" si="27"/>
        <v>1</v>
      </c>
      <c r="F81" s="273" t="s">
        <v>640</v>
      </c>
      <c r="G81" s="307">
        <v>0</v>
      </c>
      <c r="H81" s="268">
        <v>5</v>
      </c>
      <c r="I81" s="274">
        <v>0</v>
      </c>
      <c r="J81" s="77">
        <f t="shared" si="28"/>
        <v>5</v>
      </c>
    </row>
    <row r="82" spans="1:10" ht="14.95" thickBot="1" x14ac:dyDescent="0.3">
      <c r="A82" s="43" t="s">
        <v>27</v>
      </c>
      <c r="B82" s="78">
        <v>1</v>
      </c>
      <c r="C82" s="270">
        <v>0</v>
      </c>
      <c r="D82" s="238">
        <v>0</v>
      </c>
      <c r="E82" s="5">
        <f t="shared" si="27"/>
        <v>1</v>
      </c>
      <c r="F82" s="273" t="s">
        <v>27</v>
      </c>
      <c r="G82" s="307">
        <v>5</v>
      </c>
      <c r="H82" s="268">
        <v>0</v>
      </c>
      <c r="I82" s="274">
        <v>0</v>
      </c>
      <c r="J82" s="77">
        <f t="shared" si="28"/>
        <v>5</v>
      </c>
    </row>
    <row r="83" spans="1:10" ht="14.95" thickBot="1" x14ac:dyDescent="0.3">
      <c r="A83" s="43" t="s">
        <v>268</v>
      </c>
      <c r="B83" s="78">
        <v>0</v>
      </c>
      <c r="C83" s="270">
        <v>0</v>
      </c>
      <c r="D83" s="238">
        <v>0</v>
      </c>
      <c r="E83" s="5">
        <f t="shared" si="27"/>
        <v>0</v>
      </c>
      <c r="F83" s="273" t="s">
        <v>268</v>
      </c>
      <c r="G83" s="307">
        <v>0</v>
      </c>
      <c r="H83" s="268">
        <v>0</v>
      </c>
      <c r="I83" s="274">
        <v>0</v>
      </c>
      <c r="J83" s="77">
        <f t="shared" si="28"/>
        <v>0</v>
      </c>
    </row>
    <row r="84" spans="1:10" ht="14.95" thickBot="1" x14ac:dyDescent="0.3">
      <c r="A84" s="43" t="s">
        <v>502</v>
      </c>
      <c r="B84" s="78">
        <v>0</v>
      </c>
      <c r="C84" s="270">
        <v>0</v>
      </c>
      <c r="D84" s="238">
        <v>0</v>
      </c>
      <c r="E84" s="5">
        <f t="shared" si="27"/>
        <v>0</v>
      </c>
      <c r="F84" s="273" t="s">
        <v>502</v>
      </c>
      <c r="G84" s="307">
        <v>0</v>
      </c>
      <c r="H84" s="268">
        <v>0</v>
      </c>
      <c r="I84" s="274">
        <v>0</v>
      </c>
      <c r="J84" s="77">
        <f t="shared" si="28"/>
        <v>0</v>
      </c>
    </row>
    <row r="85" spans="1:10" ht="14.95" thickBot="1" x14ac:dyDescent="0.3">
      <c r="A85" s="43" t="s">
        <v>752</v>
      </c>
      <c r="B85" s="78">
        <v>0</v>
      </c>
      <c r="C85" s="270">
        <v>0</v>
      </c>
      <c r="D85" s="238">
        <v>0</v>
      </c>
      <c r="E85" s="5">
        <f t="shared" si="27"/>
        <v>0</v>
      </c>
      <c r="F85" s="273" t="s">
        <v>752</v>
      </c>
      <c r="G85" s="307">
        <v>0</v>
      </c>
      <c r="H85" s="268">
        <v>0</v>
      </c>
      <c r="I85" s="274">
        <v>0</v>
      </c>
      <c r="J85" s="77">
        <f t="shared" si="28"/>
        <v>0</v>
      </c>
    </row>
    <row r="86" spans="1:10" ht="14.95" thickBot="1" x14ac:dyDescent="0.3">
      <c r="A86" s="43" t="s">
        <v>754</v>
      </c>
      <c r="B86" s="78">
        <v>0</v>
      </c>
      <c r="C86" s="270">
        <v>0</v>
      </c>
      <c r="D86" s="238">
        <v>0</v>
      </c>
      <c r="E86" s="5">
        <f t="shared" si="27"/>
        <v>0</v>
      </c>
      <c r="F86" s="273" t="s">
        <v>754</v>
      </c>
      <c r="G86" s="307">
        <v>0</v>
      </c>
      <c r="H86" s="268">
        <v>0</v>
      </c>
      <c r="I86" s="274">
        <v>0</v>
      </c>
      <c r="J86" s="77">
        <f t="shared" si="28"/>
        <v>0</v>
      </c>
    </row>
    <row r="87" spans="1:10" ht="14.95" thickBot="1" x14ac:dyDescent="0.3">
      <c r="A87" s="43" t="s">
        <v>635</v>
      </c>
      <c r="B87" s="78">
        <v>0</v>
      </c>
      <c r="C87" s="270">
        <v>0</v>
      </c>
      <c r="D87" s="238">
        <v>0</v>
      </c>
      <c r="E87" s="5">
        <f t="shared" si="27"/>
        <v>0</v>
      </c>
      <c r="F87" s="273" t="s">
        <v>635</v>
      </c>
      <c r="G87" s="307">
        <v>0</v>
      </c>
      <c r="H87" s="268">
        <v>0</v>
      </c>
      <c r="I87" s="274">
        <v>0</v>
      </c>
      <c r="J87" s="77">
        <f t="shared" si="28"/>
        <v>0</v>
      </c>
    </row>
    <row r="88" spans="1:10" ht="14.95" thickBot="1" x14ac:dyDescent="0.3">
      <c r="A88" s="43" t="s">
        <v>749</v>
      </c>
      <c r="B88" s="78">
        <v>0</v>
      </c>
      <c r="C88" s="270">
        <v>0</v>
      </c>
      <c r="D88" s="238">
        <v>0</v>
      </c>
      <c r="E88" s="5">
        <f t="shared" si="27"/>
        <v>0</v>
      </c>
      <c r="F88" s="273" t="s">
        <v>251</v>
      </c>
      <c r="G88" s="307">
        <v>0</v>
      </c>
      <c r="H88" s="268">
        <v>0</v>
      </c>
      <c r="I88" s="274">
        <v>0</v>
      </c>
      <c r="J88" s="77">
        <f t="shared" si="28"/>
        <v>0</v>
      </c>
    </row>
    <row r="89" spans="1:10" ht="14.95" thickBot="1" x14ac:dyDescent="0.3">
      <c r="A89" s="43" t="s">
        <v>526</v>
      </c>
      <c r="B89" s="78">
        <v>0</v>
      </c>
      <c r="C89" s="270">
        <v>0</v>
      </c>
      <c r="D89" s="238">
        <v>0</v>
      </c>
      <c r="E89" s="5">
        <f t="shared" si="27"/>
        <v>0</v>
      </c>
      <c r="F89" s="273" t="s">
        <v>526</v>
      </c>
      <c r="G89" s="307">
        <v>0</v>
      </c>
      <c r="H89" s="268">
        <v>0</v>
      </c>
      <c r="I89" s="274">
        <v>0</v>
      </c>
      <c r="J89" s="77">
        <f t="shared" si="28"/>
        <v>0</v>
      </c>
    </row>
    <row r="90" spans="1:10" ht="14.95" thickBot="1" x14ac:dyDescent="0.3">
      <c r="A90" s="43" t="s">
        <v>675</v>
      </c>
      <c r="B90" s="78">
        <v>0</v>
      </c>
      <c r="C90" s="270">
        <v>0</v>
      </c>
      <c r="D90" s="238">
        <v>0</v>
      </c>
      <c r="E90" s="5">
        <f t="shared" si="27"/>
        <v>0</v>
      </c>
      <c r="F90" s="273" t="s">
        <v>675</v>
      </c>
      <c r="G90" s="307">
        <v>0</v>
      </c>
      <c r="H90" s="268">
        <v>0</v>
      </c>
      <c r="I90" s="274">
        <v>0</v>
      </c>
      <c r="J90" s="77">
        <f t="shared" si="28"/>
        <v>0</v>
      </c>
    </row>
    <row r="91" spans="1:10" ht="14.95" thickBot="1" x14ac:dyDescent="0.3">
      <c r="A91" s="43" t="s">
        <v>186</v>
      </c>
      <c r="B91" s="78">
        <v>0</v>
      </c>
      <c r="C91" s="270">
        <v>0</v>
      </c>
      <c r="D91" s="238">
        <v>0</v>
      </c>
      <c r="E91" s="5">
        <f t="shared" si="27"/>
        <v>0</v>
      </c>
      <c r="F91" s="273" t="s">
        <v>186</v>
      </c>
      <c r="G91" s="307">
        <v>0</v>
      </c>
      <c r="H91" s="268">
        <v>0</v>
      </c>
      <c r="I91" s="274">
        <v>0</v>
      </c>
      <c r="J91" s="77">
        <f t="shared" si="28"/>
        <v>0</v>
      </c>
    </row>
    <row r="92" spans="1:10" ht="14.95" thickBot="1" x14ac:dyDescent="0.3">
      <c r="A92" s="43" t="s">
        <v>665</v>
      </c>
      <c r="B92" s="78">
        <v>0</v>
      </c>
      <c r="C92" s="270">
        <v>0</v>
      </c>
      <c r="D92" s="238">
        <v>0</v>
      </c>
      <c r="E92" s="5">
        <f t="shared" si="27"/>
        <v>0</v>
      </c>
      <c r="F92" s="273" t="s">
        <v>665</v>
      </c>
      <c r="G92" s="307">
        <v>0</v>
      </c>
      <c r="H92" s="268">
        <v>0</v>
      </c>
      <c r="I92" s="274">
        <v>0</v>
      </c>
      <c r="J92" s="77">
        <f t="shared" si="28"/>
        <v>0</v>
      </c>
    </row>
    <row r="93" spans="1:10" ht="14.95" thickBot="1" x14ac:dyDescent="0.3">
      <c r="A93" s="43" t="s">
        <v>436</v>
      </c>
      <c r="B93" s="78">
        <v>0</v>
      </c>
      <c r="C93" s="270">
        <v>0</v>
      </c>
      <c r="D93" s="238">
        <v>0</v>
      </c>
      <c r="E93" s="5">
        <f t="shared" si="27"/>
        <v>0</v>
      </c>
      <c r="F93" s="273" t="s">
        <v>436</v>
      </c>
      <c r="G93" s="307">
        <v>0</v>
      </c>
      <c r="H93" s="268">
        <v>0</v>
      </c>
      <c r="I93" s="274">
        <v>0</v>
      </c>
      <c r="J93" s="77">
        <f t="shared" si="28"/>
        <v>0</v>
      </c>
    </row>
    <row r="94" spans="1:10" ht="14.95" thickBot="1" x14ac:dyDescent="0.3">
      <c r="A94" s="43" t="s">
        <v>173</v>
      </c>
      <c r="B94" s="78">
        <v>0</v>
      </c>
      <c r="C94" s="270">
        <v>0</v>
      </c>
      <c r="D94" s="238">
        <v>0</v>
      </c>
      <c r="E94" s="5">
        <f t="shared" si="27"/>
        <v>0</v>
      </c>
      <c r="F94" s="273" t="s">
        <v>173</v>
      </c>
      <c r="G94" s="307">
        <v>0</v>
      </c>
      <c r="H94" s="268">
        <v>0</v>
      </c>
      <c r="I94" s="274">
        <v>0</v>
      </c>
      <c r="J94" s="77">
        <f t="shared" si="28"/>
        <v>0</v>
      </c>
    </row>
    <row r="95" spans="1:10" ht="14.3" customHeight="1" thickBot="1" x14ac:dyDescent="0.3">
      <c r="A95" s="43" t="s">
        <v>431</v>
      </c>
      <c r="B95" s="78">
        <v>0</v>
      </c>
      <c r="C95" s="270">
        <v>0</v>
      </c>
      <c r="D95" s="238">
        <v>0</v>
      </c>
      <c r="E95" s="5">
        <f t="shared" si="27"/>
        <v>0</v>
      </c>
      <c r="F95" s="273" t="s">
        <v>431</v>
      </c>
      <c r="G95" s="307">
        <v>0</v>
      </c>
      <c r="H95" s="268">
        <v>0</v>
      </c>
      <c r="I95" s="274">
        <v>0</v>
      </c>
      <c r="J95" s="77">
        <f t="shared" si="28"/>
        <v>0</v>
      </c>
    </row>
    <row r="96" spans="1:10" ht="14.95" thickBot="1" x14ac:dyDescent="0.3">
      <c r="A96" s="43" t="s">
        <v>218</v>
      </c>
      <c r="B96" s="78">
        <v>0</v>
      </c>
      <c r="C96" s="270">
        <v>0</v>
      </c>
      <c r="D96" s="238">
        <v>0</v>
      </c>
      <c r="E96" s="5">
        <f t="shared" si="27"/>
        <v>0</v>
      </c>
      <c r="F96" s="273" t="s">
        <v>218</v>
      </c>
      <c r="G96" s="307">
        <v>0</v>
      </c>
      <c r="H96" s="268">
        <v>0</v>
      </c>
      <c r="I96" s="274">
        <v>0</v>
      </c>
      <c r="J96" s="77">
        <f t="shared" si="28"/>
        <v>0</v>
      </c>
    </row>
    <row r="97" spans="1:10" ht="14.3" customHeight="1" thickBot="1" x14ac:dyDescent="0.3">
      <c r="A97" s="43" t="s">
        <v>3</v>
      </c>
      <c r="B97" s="78">
        <f>SUM(B52:B96)</f>
        <v>57</v>
      </c>
      <c r="C97" s="270">
        <f>SUM(C52:C96)</f>
        <v>13</v>
      </c>
      <c r="D97" s="238">
        <f>SUM(D52:D96)</f>
        <v>51</v>
      </c>
      <c r="E97" s="5">
        <f>SUM(E52:E96)</f>
        <v>121</v>
      </c>
      <c r="F97" s="273" t="s">
        <v>3</v>
      </c>
      <c r="G97" s="307">
        <f>SUM(G52:G96)</f>
        <v>403</v>
      </c>
      <c r="H97" s="268">
        <f>SUM(H52:H96)</f>
        <v>83</v>
      </c>
      <c r="I97" s="274">
        <f>SUM(I52:I96)</f>
        <v>338</v>
      </c>
      <c r="J97" s="77">
        <f>SUM(J52:J96)</f>
        <v>824</v>
      </c>
    </row>
    <row r="98" spans="1:10" x14ac:dyDescent="0.25">
      <c r="A98" s="488" t="s">
        <v>42</v>
      </c>
      <c r="B98" s="480"/>
      <c r="C98" s="480"/>
      <c r="D98" s="480"/>
      <c r="E98" s="480"/>
      <c r="F98" s="480"/>
      <c r="G98" s="480"/>
      <c r="H98" s="480"/>
      <c r="I98" s="480"/>
      <c r="J98" s="480"/>
    </row>
  </sheetData>
  <sortState xmlns:xlrd2="http://schemas.microsoft.com/office/spreadsheetml/2017/richdata2" ref="F52:J96">
    <sortCondition descending="1" ref="J52:J96"/>
  </sortState>
  <mergeCells count="58">
    <mergeCell ref="L11:N12"/>
    <mergeCell ref="O11:Q12"/>
    <mergeCell ref="A49:H49"/>
    <mergeCell ref="K37:Y37"/>
    <mergeCell ref="U11:W12"/>
    <mergeCell ref="L26:N27"/>
    <mergeCell ref="T1:V2"/>
    <mergeCell ref="AH1:AJ2"/>
    <mergeCell ref="R11:T12"/>
    <mergeCell ref="W1:Y2"/>
    <mergeCell ref="R1:S2"/>
    <mergeCell ref="AB1:AD2"/>
    <mergeCell ref="AQ26:AS27"/>
    <mergeCell ref="U26:W27"/>
    <mergeCell ref="AT19:AV20"/>
    <mergeCell ref="AQ11:AS12"/>
    <mergeCell ref="AN26:AP27"/>
    <mergeCell ref="AK26:AM27"/>
    <mergeCell ref="AH26:AJ27"/>
    <mergeCell ref="AN11:AP12"/>
    <mergeCell ref="AB26:AD27"/>
    <mergeCell ref="AH11:AJ12"/>
    <mergeCell ref="BC1:BE2"/>
    <mergeCell ref="AZ1:BB2"/>
    <mergeCell ref="AW1:AY2"/>
    <mergeCell ref="AT1:AV2"/>
    <mergeCell ref="AK1:AM2"/>
    <mergeCell ref="AN1:AP2"/>
    <mergeCell ref="AQ1:AS2"/>
    <mergeCell ref="AW11:AY12"/>
    <mergeCell ref="AT11:AV12"/>
    <mergeCell ref="O19:Q20"/>
    <mergeCell ref="AH19:AJ20"/>
    <mergeCell ref="R19:T20"/>
    <mergeCell ref="AW19:AY20"/>
    <mergeCell ref="U19:W20"/>
    <mergeCell ref="AK19:AM20"/>
    <mergeCell ref="AN19:AP20"/>
    <mergeCell ref="AQ19:AS20"/>
    <mergeCell ref="AB11:AD12"/>
    <mergeCell ref="AB19:AD20"/>
    <mergeCell ref="AK11:AM12"/>
    <mergeCell ref="A98:J98"/>
    <mergeCell ref="AE1:AG2"/>
    <mergeCell ref="AE11:AG12"/>
    <mergeCell ref="AE19:AG20"/>
    <mergeCell ref="AE26:AG27"/>
    <mergeCell ref="K36:Z36"/>
    <mergeCell ref="K35:Y35"/>
    <mergeCell ref="R26:T27"/>
    <mergeCell ref="O26:Q27"/>
    <mergeCell ref="K26:K27"/>
    <mergeCell ref="K1:K2"/>
    <mergeCell ref="L1:N2"/>
    <mergeCell ref="O1:Q2"/>
    <mergeCell ref="K19:K20"/>
    <mergeCell ref="L19:N20"/>
    <mergeCell ref="K11:K12"/>
  </mergeCells>
  <pageMargins left="0.7" right="0.7" top="0.75" bottom="0.75" header="0.3" footer="0.3"/>
  <pageSetup paperSize="9" orientation="portrait" r:id="rId1"/>
  <ignoredErrors>
    <ignoredError sqref="E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08"/>
  <sheetViews>
    <sheetView zoomScaleNormal="100" workbookViewId="0">
      <selection activeCell="A4" sqref="A4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8" width="5.375" customWidth="1"/>
    <col min="19" max="19" width="5.75" customWidth="1"/>
    <col min="20" max="31" width="5.375" customWidth="1"/>
    <col min="32" max="52" width="5.75" customWidth="1"/>
    <col min="53" max="58" width="5.625" customWidth="1"/>
  </cols>
  <sheetData>
    <row r="1" spans="1:65" ht="14.95" customHeight="1" thickBot="1" x14ac:dyDescent="0.3">
      <c r="A1" s="519" t="s">
        <v>692</v>
      </c>
      <c r="B1" s="520"/>
      <c r="C1" s="520"/>
      <c r="D1" s="520"/>
      <c r="E1" s="520"/>
      <c r="F1" s="520"/>
      <c r="G1" s="520"/>
      <c r="H1" s="520"/>
      <c r="I1" s="520"/>
      <c r="J1" s="521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62"/>
      <c r="AA1" s="312"/>
      <c r="AB1" s="313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49</v>
      </c>
      <c r="BB1" s="470"/>
      <c r="BC1" s="471"/>
      <c r="BD1" s="469" t="s">
        <v>54</v>
      </c>
      <c r="BE1" s="470"/>
      <c r="BF1" s="471"/>
      <c r="BH1" s="4"/>
      <c r="BI1" s="4"/>
      <c r="BJ1" s="4"/>
      <c r="BM1" s="4"/>
    </row>
    <row r="2" spans="1:65" ht="14.95" customHeight="1" thickBot="1" x14ac:dyDescent="0.3">
      <c r="A2" s="113" t="s">
        <v>0</v>
      </c>
      <c r="B2" s="178" t="s">
        <v>259</v>
      </c>
      <c r="C2" s="342" t="s">
        <v>36</v>
      </c>
      <c r="D2" s="242" t="s">
        <v>383</v>
      </c>
      <c r="E2" s="114" t="s">
        <v>1</v>
      </c>
      <c r="F2" s="115" t="s">
        <v>2</v>
      </c>
      <c r="G2" s="176" t="s">
        <v>259</v>
      </c>
      <c r="H2" s="340" t="s">
        <v>36</v>
      </c>
      <c r="I2" s="243" t="s">
        <v>383</v>
      </c>
      <c r="J2" s="107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312"/>
      <c r="AA2" s="312"/>
      <c r="AB2" s="313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</row>
    <row r="3" spans="1:65" ht="14.95" customHeight="1" thickBot="1" x14ac:dyDescent="0.3">
      <c r="A3" s="44" t="s">
        <v>78</v>
      </c>
      <c r="B3" s="179">
        <v>0</v>
      </c>
      <c r="C3" s="339">
        <v>1</v>
      </c>
      <c r="D3" s="244">
        <v>0</v>
      </c>
      <c r="E3" s="61">
        <f>SUM(B3:D3)</f>
        <v>1</v>
      </c>
      <c r="F3" s="75" t="s">
        <v>78</v>
      </c>
      <c r="G3" s="177">
        <v>0</v>
      </c>
      <c r="H3" s="341">
        <v>5</v>
      </c>
      <c r="I3" s="245">
        <v>0</v>
      </c>
      <c r="J3" s="77">
        <f>SUM(G3:I3)</f>
        <v>5</v>
      </c>
      <c r="K3" s="221" t="s">
        <v>25</v>
      </c>
      <c r="L3" s="3" t="s">
        <v>55</v>
      </c>
      <c r="M3" s="3" t="s">
        <v>11</v>
      </c>
      <c r="N3" s="3" t="s">
        <v>12</v>
      </c>
      <c r="O3" s="164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150" t="s">
        <v>55</v>
      </c>
      <c r="U3" s="7" t="s">
        <v>11</v>
      </c>
      <c r="V3" s="7" t="s">
        <v>12</v>
      </c>
      <c r="W3" s="150" t="s">
        <v>55</v>
      </c>
      <c r="X3" s="7" t="s">
        <v>11</v>
      </c>
      <c r="Y3" s="7" t="s">
        <v>12</v>
      </c>
      <c r="Z3" s="95"/>
      <c r="AA3" s="95"/>
      <c r="AB3" s="199"/>
      <c r="AC3" s="150" t="s">
        <v>55</v>
      </c>
      <c r="AD3" s="7" t="s">
        <v>11</v>
      </c>
      <c r="AE3" s="7" t="s">
        <v>12</v>
      </c>
      <c r="AF3" s="85" t="s">
        <v>55</v>
      </c>
      <c r="AG3" s="80" t="s">
        <v>11</v>
      </c>
      <c r="AH3" s="80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  <c r="BD3" s="7" t="s">
        <v>55</v>
      </c>
      <c r="BE3" s="7" t="s">
        <v>11</v>
      </c>
      <c r="BF3" s="7" t="s">
        <v>12</v>
      </c>
    </row>
    <row r="4" spans="1:65" ht="14.95" customHeight="1" thickBot="1" x14ac:dyDescent="0.3">
      <c r="A4" s="44" t="s">
        <v>1069</v>
      </c>
      <c r="B4" s="179">
        <v>0</v>
      </c>
      <c r="C4" s="339">
        <v>0</v>
      </c>
      <c r="D4" s="244">
        <v>1</v>
      </c>
      <c r="E4" s="61">
        <f>SUM(B4:D4)</f>
        <v>1</v>
      </c>
      <c r="F4" s="75" t="s">
        <v>1069</v>
      </c>
      <c r="G4" s="177">
        <v>0</v>
      </c>
      <c r="H4" s="341">
        <v>0</v>
      </c>
      <c r="I4" s="245">
        <v>5</v>
      </c>
      <c r="J4" s="77">
        <f>SUM(G4:I4)</f>
        <v>5</v>
      </c>
      <c r="K4" s="51" t="s">
        <v>78</v>
      </c>
      <c r="L4" s="14">
        <v>0</v>
      </c>
      <c r="M4" s="14">
        <v>1</v>
      </c>
      <c r="N4" s="149">
        <f t="shared" ref="N4" si="0">SUM(L4/M4)*100</f>
        <v>0</v>
      </c>
      <c r="O4" s="14">
        <v>0</v>
      </c>
      <c r="P4" s="14">
        <v>1</v>
      </c>
      <c r="Q4" s="149">
        <f t="shared" ref="Q4" si="1">SUM(O4/P4)*100</f>
        <v>0</v>
      </c>
      <c r="R4" s="14">
        <v>-1</v>
      </c>
      <c r="S4" s="14">
        <v>-1</v>
      </c>
      <c r="T4" s="150" t="s">
        <v>17</v>
      </c>
      <c r="U4" s="7" t="s">
        <v>17</v>
      </c>
      <c r="V4" s="155" t="s">
        <v>17</v>
      </c>
      <c r="W4" s="150" t="s">
        <v>17</v>
      </c>
      <c r="X4" s="7" t="s">
        <v>17</v>
      </c>
      <c r="Y4" s="155" t="s">
        <v>17</v>
      </c>
      <c r="Z4" s="95"/>
      <c r="AA4" s="95"/>
      <c r="AB4" s="199"/>
      <c r="AC4" s="85" t="s">
        <v>17</v>
      </c>
      <c r="AD4" s="80" t="s">
        <v>17</v>
      </c>
      <c r="AE4" s="173" t="s">
        <v>17</v>
      </c>
      <c r="AF4" s="85" t="s">
        <v>17</v>
      </c>
      <c r="AG4" s="80" t="s">
        <v>17</v>
      </c>
      <c r="AH4" s="173" t="s">
        <v>17</v>
      </c>
      <c r="AI4" s="150" t="s">
        <v>17</v>
      </c>
      <c r="AJ4" s="7" t="s">
        <v>17</v>
      </c>
      <c r="AK4" s="7" t="s">
        <v>17</v>
      </c>
      <c r="AL4" s="150" t="s">
        <v>17</v>
      </c>
      <c r="AM4" s="7" t="s">
        <v>17</v>
      </c>
      <c r="AN4" s="7" t="s">
        <v>17</v>
      </c>
      <c r="AO4" s="150" t="s">
        <v>17</v>
      </c>
      <c r="AP4" s="7" t="s">
        <v>17</v>
      </c>
      <c r="AQ4" s="7" t="s">
        <v>17</v>
      </c>
      <c r="AR4" s="150" t="s">
        <v>17</v>
      </c>
      <c r="AS4" s="7" t="s">
        <v>17</v>
      </c>
      <c r="AT4" s="7" t="s">
        <v>17</v>
      </c>
      <c r="AU4" s="6" t="s">
        <v>17</v>
      </c>
      <c r="AV4" s="7" t="s">
        <v>17</v>
      </c>
      <c r="AW4" s="7" t="s">
        <v>17</v>
      </c>
      <c r="AX4" s="7" t="s">
        <v>17</v>
      </c>
      <c r="AY4" s="7" t="s">
        <v>17</v>
      </c>
      <c r="AZ4" s="7" t="s">
        <v>17</v>
      </c>
      <c r="BA4" s="7" t="s">
        <v>17</v>
      </c>
      <c r="BB4" s="7" t="s">
        <v>17</v>
      </c>
      <c r="BC4" s="7" t="s">
        <v>17</v>
      </c>
      <c r="BD4" s="7" t="s">
        <v>17</v>
      </c>
      <c r="BE4" s="7" t="s">
        <v>17</v>
      </c>
      <c r="BF4" s="7" t="s">
        <v>17</v>
      </c>
    </row>
    <row r="5" spans="1:65" ht="14.95" customHeight="1" thickBot="1" x14ac:dyDescent="0.3">
      <c r="A5" s="44" t="s">
        <v>254</v>
      </c>
      <c r="B5" s="179">
        <v>0</v>
      </c>
      <c r="C5" s="339">
        <v>0</v>
      </c>
      <c r="D5" s="244">
        <v>0</v>
      </c>
      <c r="E5" s="61">
        <f t="shared" ref="E5:E53" si="2">SUM(B5:D5)</f>
        <v>0</v>
      </c>
      <c r="F5" s="75" t="s">
        <v>254</v>
      </c>
      <c r="G5" s="177">
        <v>0</v>
      </c>
      <c r="H5" s="341">
        <v>0</v>
      </c>
      <c r="I5" s="245">
        <v>0</v>
      </c>
      <c r="J5" s="77">
        <f t="shared" ref="J5:J53" si="3">SUM(G5:I5)</f>
        <v>0</v>
      </c>
      <c r="K5" s="99" t="s">
        <v>779</v>
      </c>
      <c r="L5" s="61">
        <v>4</v>
      </c>
      <c r="M5" s="61">
        <v>6</v>
      </c>
      <c r="N5" s="25">
        <f t="shared" ref="N5" si="4">SUM(L5/M5)*100</f>
        <v>66.666666666666657</v>
      </c>
      <c r="O5" s="14" t="s">
        <v>17</v>
      </c>
      <c r="P5" s="14" t="s">
        <v>17</v>
      </c>
      <c r="Q5" s="149" t="s">
        <v>17</v>
      </c>
      <c r="R5" s="61">
        <v>1</v>
      </c>
      <c r="S5" s="61">
        <v>1</v>
      </c>
      <c r="T5" s="80" t="s">
        <v>17</v>
      </c>
      <c r="U5" s="80" t="s">
        <v>17</v>
      </c>
      <c r="V5" s="80" t="s">
        <v>17</v>
      </c>
      <c r="W5" s="7">
        <v>10</v>
      </c>
      <c r="X5" s="7">
        <v>10</v>
      </c>
      <c r="Y5" s="7">
        <v>100</v>
      </c>
      <c r="Z5" s="95"/>
      <c r="AA5" s="95"/>
      <c r="AB5" s="199"/>
      <c r="AC5" s="7">
        <v>43</v>
      </c>
      <c r="AD5" s="7">
        <v>46</v>
      </c>
      <c r="AE5" s="7">
        <v>93</v>
      </c>
      <c r="AF5" s="80" t="s">
        <v>17</v>
      </c>
      <c r="AG5" s="80" t="s">
        <v>17</v>
      </c>
      <c r="AH5" s="80" t="s">
        <v>17</v>
      </c>
      <c r="AI5" s="150" t="s">
        <v>17</v>
      </c>
      <c r="AJ5" s="7" t="s">
        <v>17</v>
      </c>
      <c r="AK5" s="7" t="s">
        <v>17</v>
      </c>
      <c r="AL5" s="150">
        <v>52</v>
      </c>
      <c r="AM5" s="7">
        <v>61</v>
      </c>
      <c r="AN5" s="7">
        <v>85</v>
      </c>
      <c r="AO5" s="150">
        <v>21</v>
      </c>
      <c r="AP5" s="7">
        <v>27</v>
      </c>
      <c r="AQ5" s="7">
        <v>78</v>
      </c>
      <c r="AR5" s="150">
        <v>40</v>
      </c>
      <c r="AS5" s="7">
        <v>47</v>
      </c>
      <c r="AT5" s="7">
        <v>85</v>
      </c>
      <c r="AU5" s="150">
        <v>26</v>
      </c>
      <c r="AV5" s="7">
        <v>32</v>
      </c>
      <c r="AW5" s="7">
        <v>81</v>
      </c>
      <c r="AX5" s="7">
        <v>21</v>
      </c>
      <c r="AY5" s="7">
        <v>27</v>
      </c>
      <c r="AZ5" s="7">
        <v>78</v>
      </c>
      <c r="BA5" s="7" t="s">
        <v>17</v>
      </c>
      <c r="BB5" s="7" t="s">
        <v>17</v>
      </c>
      <c r="BC5" s="7" t="s">
        <v>17</v>
      </c>
      <c r="BD5" s="7" t="s">
        <v>17</v>
      </c>
      <c r="BE5" s="7" t="s">
        <v>17</v>
      </c>
      <c r="BF5" s="7" t="s">
        <v>17</v>
      </c>
    </row>
    <row r="6" spans="1:65" ht="14.95" customHeight="1" thickBot="1" x14ac:dyDescent="0.3">
      <c r="A6" s="44" t="s">
        <v>1253</v>
      </c>
      <c r="B6" s="179">
        <v>0</v>
      </c>
      <c r="C6" s="339">
        <v>0</v>
      </c>
      <c r="D6" s="244">
        <v>1</v>
      </c>
      <c r="E6" s="61">
        <f t="shared" si="2"/>
        <v>1</v>
      </c>
      <c r="F6" s="75" t="s">
        <v>1253</v>
      </c>
      <c r="G6" s="177">
        <v>0</v>
      </c>
      <c r="H6" s="341">
        <v>0</v>
      </c>
      <c r="I6" s="245">
        <v>5</v>
      </c>
      <c r="J6" s="77">
        <f t="shared" ref="J6" si="5">SUM(G6:I6)</f>
        <v>5</v>
      </c>
      <c r="K6" s="51" t="s">
        <v>637</v>
      </c>
      <c r="L6" s="14">
        <v>1</v>
      </c>
      <c r="M6" s="14">
        <v>3</v>
      </c>
      <c r="N6" s="149">
        <f t="shared" ref="N6" si="6">SUM(L6/M6)*100</f>
        <v>33.333333333333329</v>
      </c>
      <c r="O6" s="14" t="s">
        <v>17</v>
      </c>
      <c r="P6" s="14" t="s">
        <v>17</v>
      </c>
      <c r="Q6" s="149" t="s">
        <v>17</v>
      </c>
      <c r="R6" s="14">
        <v>-2</v>
      </c>
      <c r="S6" s="14">
        <v>-2</v>
      </c>
      <c r="T6" s="7">
        <v>5</v>
      </c>
      <c r="U6" s="7">
        <v>10</v>
      </c>
      <c r="V6" s="155">
        <v>50</v>
      </c>
      <c r="W6" s="7">
        <v>4</v>
      </c>
      <c r="X6" s="7">
        <v>7</v>
      </c>
      <c r="Y6" s="155">
        <v>57.142857142857139</v>
      </c>
      <c r="Z6" s="95"/>
      <c r="AA6" s="95"/>
      <c r="AB6" s="158"/>
      <c r="AC6" s="7">
        <v>1</v>
      </c>
      <c r="AD6" s="7">
        <v>1</v>
      </c>
      <c r="AE6" s="155">
        <f>SUM(AC6/AD6)*100</f>
        <v>100</v>
      </c>
      <c r="AF6" s="7">
        <v>2</v>
      </c>
      <c r="AG6" s="155">
        <v>2</v>
      </c>
      <c r="AH6" s="80">
        <v>100</v>
      </c>
      <c r="AI6" s="150" t="s">
        <v>17</v>
      </c>
      <c r="AJ6" s="7" t="s">
        <v>17</v>
      </c>
      <c r="AK6" s="7" t="s">
        <v>17</v>
      </c>
      <c r="AL6" s="150" t="s">
        <v>17</v>
      </c>
      <c r="AM6" s="7" t="s">
        <v>17</v>
      </c>
      <c r="AN6" s="7" t="s">
        <v>17</v>
      </c>
      <c r="AO6" s="150" t="s">
        <v>17</v>
      </c>
      <c r="AP6" s="7" t="s">
        <v>17</v>
      </c>
      <c r="AQ6" s="7" t="s">
        <v>17</v>
      </c>
      <c r="AR6" s="150" t="s">
        <v>17</v>
      </c>
      <c r="AS6" s="7" t="s">
        <v>17</v>
      </c>
      <c r="AT6" s="7" t="s">
        <v>17</v>
      </c>
      <c r="AU6" s="6" t="s">
        <v>17</v>
      </c>
      <c r="AV6" s="7" t="s">
        <v>17</v>
      </c>
      <c r="AW6" s="7" t="s">
        <v>17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  <c r="BD6" s="7" t="s">
        <v>17</v>
      </c>
      <c r="BE6" s="7" t="s">
        <v>17</v>
      </c>
      <c r="BF6" s="7" t="s">
        <v>17</v>
      </c>
    </row>
    <row r="7" spans="1:65" ht="14.95" customHeight="1" thickBot="1" x14ac:dyDescent="0.3">
      <c r="A7" s="44" t="s">
        <v>774</v>
      </c>
      <c r="B7" s="179">
        <v>3</v>
      </c>
      <c r="C7" s="339">
        <v>0</v>
      </c>
      <c r="D7" s="244">
        <v>0</v>
      </c>
      <c r="E7" s="61">
        <f t="shared" si="2"/>
        <v>3</v>
      </c>
      <c r="F7" s="75" t="s">
        <v>774</v>
      </c>
      <c r="G7" s="177">
        <v>23</v>
      </c>
      <c r="H7" s="341">
        <v>0</v>
      </c>
      <c r="I7" s="245">
        <v>0</v>
      </c>
      <c r="J7" s="77">
        <f t="shared" si="3"/>
        <v>23</v>
      </c>
      <c r="K7" s="51" t="s">
        <v>203</v>
      </c>
      <c r="L7" s="14">
        <v>15</v>
      </c>
      <c r="M7" s="14">
        <v>18</v>
      </c>
      <c r="N7" s="149">
        <f t="shared" ref="N7:N8" si="7">SUM(L7/M7)*100</f>
        <v>83.333333333333343</v>
      </c>
      <c r="O7" s="14" t="s">
        <v>17</v>
      </c>
      <c r="P7" s="14" t="s">
        <v>17</v>
      </c>
      <c r="Q7" s="149" t="s">
        <v>17</v>
      </c>
      <c r="R7" s="14">
        <v>2</v>
      </c>
      <c r="S7" s="14">
        <v>-1</v>
      </c>
      <c r="T7" s="150">
        <v>20</v>
      </c>
      <c r="U7" s="7">
        <v>29</v>
      </c>
      <c r="V7" s="155">
        <v>68.965517241379317</v>
      </c>
      <c r="W7" s="150">
        <v>2</v>
      </c>
      <c r="X7" s="7">
        <v>2</v>
      </c>
      <c r="Y7" s="155">
        <v>100</v>
      </c>
      <c r="Z7" s="95"/>
      <c r="AA7" s="95"/>
      <c r="AB7" s="199"/>
      <c r="AC7" s="150">
        <v>3</v>
      </c>
      <c r="AD7" s="7">
        <v>5</v>
      </c>
      <c r="AE7" s="155">
        <f t="shared" ref="AE7" si="8">(AC7/AD7)*100</f>
        <v>60</v>
      </c>
      <c r="AF7" s="85">
        <v>16</v>
      </c>
      <c r="AG7" s="80">
        <v>17</v>
      </c>
      <c r="AH7" s="173">
        <f t="shared" ref="AH7" si="9">(AF7/AG7)*100</f>
        <v>94.117647058823522</v>
      </c>
      <c r="AI7" s="150" t="s">
        <v>17</v>
      </c>
      <c r="AJ7" s="7" t="s">
        <v>17</v>
      </c>
      <c r="AK7" s="7" t="s">
        <v>17</v>
      </c>
      <c r="AL7" s="150" t="s">
        <v>17</v>
      </c>
      <c r="AM7" s="7" t="s">
        <v>17</v>
      </c>
      <c r="AN7" s="7" t="s">
        <v>17</v>
      </c>
      <c r="AO7" s="150" t="s">
        <v>17</v>
      </c>
      <c r="AP7" s="7" t="s">
        <v>17</v>
      </c>
      <c r="AQ7" s="7" t="s">
        <v>17</v>
      </c>
      <c r="AR7" s="150" t="s">
        <v>17</v>
      </c>
      <c r="AS7" s="7" t="s">
        <v>17</v>
      </c>
      <c r="AT7" s="7" t="s">
        <v>17</v>
      </c>
      <c r="AU7" s="6" t="s">
        <v>17</v>
      </c>
      <c r="AV7" s="7" t="s">
        <v>17</v>
      </c>
      <c r="AW7" s="7" t="s">
        <v>17</v>
      </c>
      <c r="AX7" s="7" t="s">
        <v>17</v>
      </c>
      <c r="AY7" s="7" t="s">
        <v>17</v>
      </c>
      <c r="AZ7" s="7" t="s">
        <v>17</v>
      </c>
      <c r="BA7" s="7" t="s">
        <v>17</v>
      </c>
      <c r="BB7" s="7" t="s">
        <v>17</v>
      </c>
      <c r="BC7" s="7" t="s">
        <v>17</v>
      </c>
      <c r="BD7" s="7" t="s">
        <v>17</v>
      </c>
      <c r="BE7" s="7" t="s">
        <v>17</v>
      </c>
      <c r="BF7" s="7" t="s">
        <v>17</v>
      </c>
    </row>
    <row r="8" spans="1:65" ht="14.95" customHeight="1" thickBot="1" x14ac:dyDescent="0.3">
      <c r="A8" s="44" t="s">
        <v>307</v>
      </c>
      <c r="B8" s="179">
        <v>1</v>
      </c>
      <c r="C8" s="339">
        <v>0</v>
      </c>
      <c r="D8" s="244">
        <v>0</v>
      </c>
      <c r="E8" s="61">
        <f t="shared" si="2"/>
        <v>1</v>
      </c>
      <c r="F8" s="75" t="s">
        <v>307</v>
      </c>
      <c r="G8" s="177">
        <v>7</v>
      </c>
      <c r="H8" s="341">
        <v>2</v>
      </c>
      <c r="I8" s="245">
        <v>12</v>
      </c>
      <c r="J8" s="77">
        <f t="shared" si="3"/>
        <v>21</v>
      </c>
      <c r="K8" s="51" t="s">
        <v>317</v>
      </c>
      <c r="L8" s="14">
        <v>44</v>
      </c>
      <c r="M8" s="14">
        <v>62</v>
      </c>
      <c r="N8" s="149">
        <f t="shared" si="7"/>
        <v>70.967741935483872</v>
      </c>
      <c r="O8" s="14">
        <v>3</v>
      </c>
      <c r="P8" s="14">
        <v>6</v>
      </c>
      <c r="Q8" s="149">
        <f t="shared" ref="Q8" si="10">SUM(O8/P8)*100</f>
        <v>50</v>
      </c>
      <c r="R8" s="14">
        <v>2</v>
      </c>
      <c r="S8" s="14">
        <v>2</v>
      </c>
      <c r="T8" s="85">
        <v>19</v>
      </c>
      <c r="U8" s="80">
        <v>22</v>
      </c>
      <c r="V8" s="173">
        <v>86.36363636363636</v>
      </c>
      <c r="W8" s="85">
        <v>22</v>
      </c>
      <c r="X8" s="80">
        <v>32</v>
      </c>
      <c r="Y8" s="173">
        <v>68.75</v>
      </c>
      <c r="Z8" s="95"/>
      <c r="AA8" s="95"/>
      <c r="AB8" s="199"/>
      <c r="AC8" s="85" t="s">
        <v>17</v>
      </c>
      <c r="AD8" s="80" t="s">
        <v>17</v>
      </c>
      <c r="AE8" s="173" t="s">
        <v>17</v>
      </c>
      <c r="AF8" s="85" t="s">
        <v>17</v>
      </c>
      <c r="AG8" s="80" t="s">
        <v>17</v>
      </c>
      <c r="AH8" s="173" t="s">
        <v>17</v>
      </c>
      <c r="AI8" s="85" t="s">
        <v>17</v>
      </c>
      <c r="AJ8" s="80" t="s">
        <v>17</v>
      </c>
      <c r="AK8" s="173" t="s">
        <v>17</v>
      </c>
      <c r="AL8" s="85" t="s">
        <v>17</v>
      </c>
      <c r="AM8" s="80" t="s">
        <v>17</v>
      </c>
      <c r="AN8" s="173" t="s">
        <v>17</v>
      </c>
      <c r="AO8" s="85" t="s">
        <v>17</v>
      </c>
      <c r="AP8" s="80" t="s">
        <v>17</v>
      </c>
      <c r="AQ8" s="173" t="s">
        <v>17</v>
      </c>
      <c r="AR8" s="85" t="s">
        <v>17</v>
      </c>
      <c r="AS8" s="80" t="s">
        <v>17</v>
      </c>
      <c r="AT8" s="173" t="s">
        <v>17</v>
      </c>
      <c r="AU8" s="85" t="s">
        <v>17</v>
      </c>
      <c r="AV8" s="80" t="s">
        <v>17</v>
      </c>
      <c r="AW8" s="173" t="s">
        <v>17</v>
      </c>
      <c r="AX8" s="85" t="s">
        <v>17</v>
      </c>
      <c r="AY8" s="80" t="s">
        <v>17</v>
      </c>
      <c r="AZ8" s="173" t="s">
        <v>17</v>
      </c>
      <c r="BA8" s="85" t="s">
        <v>17</v>
      </c>
      <c r="BB8" s="80" t="s">
        <v>17</v>
      </c>
      <c r="BC8" s="173" t="s">
        <v>17</v>
      </c>
      <c r="BD8" s="85" t="s">
        <v>17</v>
      </c>
      <c r="BE8" s="80" t="s">
        <v>17</v>
      </c>
      <c r="BF8" s="173" t="s">
        <v>17</v>
      </c>
    </row>
    <row r="9" spans="1:65" ht="14.95" customHeight="1" thickBot="1" x14ac:dyDescent="0.3">
      <c r="A9" s="44" t="s">
        <v>433</v>
      </c>
      <c r="B9" s="179">
        <v>7</v>
      </c>
      <c r="C9" s="339">
        <v>0</v>
      </c>
      <c r="D9" s="244">
        <v>0</v>
      </c>
      <c r="E9" s="61">
        <f t="shared" si="2"/>
        <v>7</v>
      </c>
      <c r="F9" s="74" t="s">
        <v>433</v>
      </c>
      <c r="G9" s="177">
        <v>35</v>
      </c>
      <c r="H9" s="341">
        <v>0</v>
      </c>
      <c r="I9" s="245">
        <v>0</v>
      </c>
      <c r="J9" s="77">
        <f t="shared" si="3"/>
        <v>35</v>
      </c>
      <c r="K9" s="51" t="s">
        <v>178</v>
      </c>
      <c r="L9" s="14" t="s">
        <v>17</v>
      </c>
      <c r="M9" s="14" t="s">
        <v>17</v>
      </c>
      <c r="N9" s="149" t="s">
        <v>17</v>
      </c>
      <c r="O9" s="14" t="s">
        <v>17</v>
      </c>
      <c r="P9" s="14" t="s">
        <v>17</v>
      </c>
      <c r="Q9" s="149" t="s">
        <v>17</v>
      </c>
      <c r="R9" s="14">
        <v>-1</v>
      </c>
      <c r="S9" s="14">
        <v>-1</v>
      </c>
      <c r="T9" s="150" t="s">
        <v>17</v>
      </c>
      <c r="U9" s="7" t="s">
        <v>17</v>
      </c>
      <c r="V9" s="155" t="s">
        <v>17</v>
      </c>
      <c r="W9" s="150" t="s">
        <v>17</v>
      </c>
      <c r="X9" s="7" t="s">
        <v>17</v>
      </c>
      <c r="Y9" s="155" t="s">
        <v>17</v>
      </c>
      <c r="Z9" s="95"/>
      <c r="AA9" s="95"/>
      <c r="AB9" s="199"/>
      <c r="AC9" s="150">
        <v>0</v>
      </c>
      <c r="AD9" s="7">
        <v>1</v>
      </c>
      <c r="AE9" s="155">
        <f t="shared" ref="AE9" si="11">(AC9/AD9)*100</f>
        <v>0</v>
      </c>
      <c r="AF9" s="85" t="s">
        <v>17</v>
      </c>
      <c r="AG9" s="80" t="s">
        <v>17</v>
      </c>
      <c r="AH9" s="173" t="s">
        <v>17</v>
      </c>
      <c r="AI9" s="150" t="s">
        <v>17</v>
      </c>
      <c r="AJ9" s="7" t="s">
        <v>17</v>
      </c>
      <c r="AK9" s="7" t="s">
        <v>17</v>
      </c>
      <c r="AL9" s="150" t="s">
        <v>17</v>
      </c>
      <c r="AM9" s="7" t="s">
        <v>17</v>
      </c>
      <c r="AN9" s="7" t="s">
        <v>17</v>
      </c>
      <c r="AO9" s="150" t="s">
        <v>17</v>
      </c>
      <c r="AP9" s="7" t="s">
        <v>17</v>
      </c>
      <c r="AQ9" s="7" t="s">
        <v>17</v>
      </c>
      <c r="AR9" s="150" t="s">
        <v>17</v>
      </c>
      <c r="AS9" s="7" t="s">
        <v>17</v>
      </c>
      <c r="AT9" s="7" t="s">
        <v>17</v>
      </c>
      <c r="AU9" s="6" t="s">
        <v>17</v>
      </c>
      <c r="AV9" s="7" t="s">
        <v>17</v>
      </c>
      <c r="AW9" s="7" t="s">
        <v>17</v>
      </c>
      <c r="AX9" s="7" t="s">
        <v>17</v>
      </c>
      <c r="AY9" s="7" t="s">
        <v>17</v>
      </c>
      <c r="AZ9" s="7" t="s">
        <v>17</v>
      </c>
      <c r="BA9" s="7" t="s">
        <v>17</v>
      </c>
      <c r="BB9" s="7" t="s">
        <v>17</v>
      </c>
      <c r="BC9" s="7" t="s">
        <v>17</v>
      </c>
      <c r="BD9" s="7" t="s">
        <v>17</v>
      </c>
      <c r="BE9" s="7" t="s">
        <v>17</v>
      </c>
      <c r="BF9" s="7" t="s">
        <v>17</v>
      </c>
    </row>
    <row r="10" spans="1:65" ht="14.95" customHeight="1" thickBot="1" x14ac:dyDescent="0.3">
      <c r="A10" s="44" t="s">
        <v>203</v>
      </c>
      <c r="B10" s="179">
        <v>2</v>
      </c>
      <c r="C10" s="339">
        <v>1</v>
      </c>
      <c r="D10" s="244">
        <v>1</v>
      </c>
      <c r="E10" s="61">
        <f t="shared" si="2"/>
        <v>4</v>
      </c>
      <c r="F10" s="74" t="s">
        <v>203</v>
      </c>
      <c r="G10" s="177">
        <v>44</v>
      </c>
      <c r="H10" s="341">
        <v>14</v>
      </c>
      <c r="I10" s="245">
        <v>13</v>
      </c>
      <c r="J10" s="77">
        <f t="shared" si="3"/>
        <v>71</v>
      </c>
      <c r="K10" s="51" t="s">
        <v>679</v>
      </c>
      <c r="L10" s="14">
        <v>0</v>
      </c>
      <c r="M10" s="14">
        <v>2</v>
      </c>
      <c r="N10" s="149">
        <f t="shared" ref="N10" si="12">SUM(L10/M10)*100</f>
        <v>0</v>
      </c>
      <c r="O10" s="14" t="s">
        <v>17</v>
      </c>
      <c r="P10" s="14" t="s">
        <v>17</v>
      </c>
      <c r="Q10" s="149" t="s">
        <v>17</v>
      </c>
      <c r="R10" s="14">
        <v>-2</v>
      </c>
      <c r="S10" s="14">
        <v>-2</v>
      </c>
      <c r="T10" s="150">
        <v>5</v>
      </c>
      <c r="U10" s="7">
        <v>6</v>
      </c>
      <c r="V10" s="155">
        <v>83.333333333333343</v>
      </c>
      <c r="W10" s="150">
        <v>3</v>
      </c>
      <c r="X10" s="7">
        <v>4</v>
      </c>
      <c r="Y10" s="155">
        <v>75</v>
      </c>
      <c r="Z10" s="95"/>
      <c r="AA10" s="95"/>
      <c r="AB10" s="199"/>
      <c r="AC10" s="85" t="s">
        <v>17</v>
      </c>
      <c r="AD10" s="80" t="s">
        <v>17</v>
      </c>
      <c r="AE10" s="173" t="s">
        <v>17</v>
      </c>
      <c r="AF10" s="85" t="s">
        <v>17</v>
      </c>
      <c r="AG10" s="80" t="s">
        <v>17</v>
      </c>
      <c r="AH10" s="173" t="s">
        <v>17</v>
      </c>
      <c r="AI10" s="85" t="s">
        <v>17</v>
      </c>
      <c r="AJ10" s="80" t="s">
        <v>17</v>
      </c>
      <c r="AK10" s="173" t="s">
        <v>17</v>
      </c>
      <c r="AL10" s="85" t="s">
        <v>17</v>
      </c>
      <c r="AM10" s="80" t="s">
        <v>17</v>
      </c>
      <c r="AN10" s="173" t="s">
        <v>17</v>
      </c>
      <c r="AO10" s="85" t="s">
        <v>17</v>
      </c>
      <c r="AP10" s="80" t="s">
        <v>17</v>
      </c>
      <c r="AQ10" s="173" t="s">
        <v>17</v>
      </c>
      <c r="AR10" s="85" t="s">
        <v>17</v>
      </c>
      <c r="AS10" s="80" t="s">
        <v>17</v>
      </c>
      <c r="AT10" s="173" t="s">
        <v>17</v>
      </c>
      <c r="AU10" s="85" t="s">
        <v>17</v>
      </c>
      <c r="AV10" s="80" t="s">
        <v>17</v>
      </c>
      <c r="AW10" s="173" t="s">
        <v>17</v>
      </c>
      <c r="AX10" s="85" t="s">
        <v>17</v>
      </c>
      <c r="AY10" s="80" t="s">
        <v>17</v>
      </c>
      <c r="AZ10" s="173" t="s">
        <v>17</v>
      </c>
      <c r="BA10" s="85" t="s">
        <v>17</v>
      </c>
      <c r="BB10" s="80" t="s">
        <v>17</v>
      </c>
      <c r="BC10" s="173" t="s">
        <v>17</v>
      </c>
      <c r="BD10" s="85" t="s">
        <v>17</v>
      </c>
      <c r="BE10" s="80" t="s">
        <v>17</v>
      </c>
      <c r="BF10" s="173" t="s">
        <v>17</v>
      </c>
    </row>
    <row r="11" spans="1:65" ht="14.95" customHeight="1" thickBot="1" x14ac:dyDescent="0.3">
      <c r="A11" s="44" t="s">
        <v>1149</v>
      </c>
      <c r="B11" s="179">
        <v>0</v>
      </c>
      <c r="C11" s="339">
        <v>1</v>
      </c>
      <c r="D11" s="244">
        <v>0</v>
      </c>
      <c r="E11" s="61">
        <f t="shared" si="2"/>
        <v>1</v>
      </c>
      <c r="F11" s="75" t="s">
        <v>1149</v>
      </c>
      <c r="G11" s="177">
        <v>0</v>
      </c>
      <c r="H11" s="341">
        <v>5</v>
      </c>
      <c r="I11" s="245">
        <v>0</v>
      </c>
      <c r="J11" s="77">
        <f t="shared" si="3"/>
        <v>5</v>
      </c>
      <c r="K11" s="51" t="s">
        <v>29</v>
      </c>
      <c r="L11" s="14" t="s">
        <v>17</v>
      </c>
      <c r="M11" s="14" t="s">
        <v>17</v>
      </c>
      <c r="N11" s="149" t="s">
        <v>17</v>
      </c>
      <c r="O11" s="14" t="s">
        <v>17</v>
      </c>
      <c r="P11" s="14" t="s">
        <v>17</v>
      </c>
      <c r="Q11" s="149" t="s">
        <v>17</v>
      </c>
      <c r="R11" s="61">
        <v>2</v>
      </c>
      <c r="S11" s="61">
        <v>-1</v>
      </c>
      <c r="T11" s="150" t="s">
        <v>17</v>
      </c>
      <c r="U11" s="7" t="s">
        <v>17</v>
      </c>
      <c r="V11" s="155" t="s">
        <v>17</v>
      </c>
      <c r="W11" s="150" t="s">
        <v>17</v>
      </c>
      <c r="X11" s="7" t="s">
        <v>17</v>
      </c>
      <c r="Y11" s="155" t="s">
        <v>17</v>
      </c>
      <c r="Z11" s="95"/>
      <c r="AA11" s="95"/>
      <c r="AB11" s="199"/>
      <c r="AC11" s="150" t="s">
        <v>17</v>
      </c>
      <c r="AD11" s="7" t="s">
        <v>17</v>
      </c>
      <c r="AE11" s="155" t="s">
        <v>17</v>
      </c>
      <c r="AF11" s="85">
        <v>2</v>
      </c>
      <c r="AG11" s="80">
        <v>2</v>
      </c>
      <c r="AH11" s="173">
        <f t="shared" ref="AH11" si="13">(AF11/AG11)*100</f>
        <v>100</v>
      </c>
      <c r="AI11" s="150" t="s">
        <v>17</v>
      </c>
      <c r="AJ11" s="7" t="s">
        <v>17</v>
      </c>
      <c r="AK11" s="7" t="s">
        <v>17</v>
      </c>
      <c r="AL11" s="150" t="s">
        <v>17</v>
      </c>
      <c r="AM11" s="7" t="s">
        <v>17</v>
      </c>
      <c r="AN11" s="7" t="s">
        <v>17</v>
      </c>
      <c r="AO11" s="150" t="s">
        <v>17</v>
      </c>
      <c r="AP11" s="7" t="s">
        <v>17</v>
      </c>
      <c r="AQ11" s="7" t="s">
        <v>17</v>
      </c>
      <c r="AR11" s="150" t="s">
        <v>17</v>
      </c>
      <c r="AS11" s="7" t="s">
        <v>17</v>
      </c>
      <c r="AT11" s="7" t="s">
        <v>17</v>
      </c>
      <c r="AU11" s="6" t="s">
        <v>17</v>
      </c>
      <c r="AV11" s="7" t="s">
        <v>17</v>
      </c>
      <c r="AW11" s="7" t="s">
        <v>17</v>
      </c>
      <c r="AX11" s="7" t="s">
        <v>17</v>
      </c>
      <c r="AY11" s="7" t="s">
        <v>17</v>
      </c>
      <c r="AZ11" s="7" t="s">
        <v>17</v>
      </c>
      <c r="BA11" s="7" t="s">
        <v>17</v>
      </c>
      <c r="BB11" s="7" t="s">
        <v>17</v>
      </c>
      <c r="BC11" s="7" t="s">
        <v>17</v>
      </c>
      <c r="BD11" s="7" t="s">
        <v>17</v>
      </c>
      <c r="BE11" s="7" t="s">
        <v>17</v>
      </c>
      <c r="BF11" s="7" t="s">
        <v>17</v>
      </c>
    </row>
    <row r="12" spans="1:65" ht="14.95" customHeight="1" thickBot="1" x14ac:dyDescent="0.3">
      <c r="A12" s="44" t="s">
        <v>427</v>
      </c>
      <c r="B12" s="179">
        <v>5</v>
      </c>
      <c r="C12" s="339">
        <v>2</v>
      </c>
      <c r="D12" s="244">
        <v>0</v>
      </c>
      <c r="E12" s="61">
        <f t="shared" si="2"/>
        <v>7</v>
      </c>
      <c r="F12" s="75" t="s">
        <v>427</v>
      </c>
      <c r="G12" s="177">
        <v>25</v>
      </c>
      <c r="H12" s="341">
        <v>10</v>
      </c>
      <c r="I12" s="245">
        <v>0</v>
      </c>
      <c r="J12" s="77">
        <f t="shared" si="3"/>
        <v>35</v>
      </c>
      <c r="K12" s="51" t="s">
        <v>771</v>
      </c>
      <c r="L12" s="14" t="s">
        <v>17</v>
      </c>
      <c r="M12" s="14" t="s">
        <v>17</v>
      </c>
      <c r="N12" s="149" t="s">
        <v>17</v>
      </c>
      <c r="O12" s="14" t="s">
        <v>17</v>
      </c>
      <c r="P12" s="14" t="s">
        <v>17</v>
      </c>
      <c r="Q12" s="149" t="s">
        <v>17</v>
      </c>
      <c r="R12" s="61" t="s">
        <v>22</v>
      </c>
      <c r="S12" s="61">
        <v>-1</v>
      </c>
      <c r="T12" s="150" t="s">
        <v>17</v>
      </c>
      <c r="U12" s="7" t="s">
        <v>17</v>
      </c>
      <c r="V12" s="155" t="s">
        <v>17</v>
      </c>
      <c r="W12" s="150" t="s">
        <v>17</v>
      </c>
      <c r="X12" s="7" t="s">
        <v>17</v>
      </c>
      <c r="Y12" s="155" t="s">
        <v>17</v>
      </c>
      <c r="Z12" s="95"/>
      <c r="AA12" s="95"/>
      <c r="AB12" s="199"/>
      <c r="AC12" s="150" t="s">
        <v>17</v>
      </c>
      <c r="AD12" s="7" t="s">
        <v>17</v>
      </c>
      <c r="AE12" s="155" t="s">
        <v>17</v>
      </c>
      <c r="AF12" s="150" t="s">
        <v>17</v>
      </c>
      <c r="AG12" s="7" t="s">
        <v>17</v>
      </c>
      <c r="AH12" s="7" t="s">
        <v>17</v>
      </c>
      <c r="AI12" s="150" t="s">
        <v>17</v>
      </c>
      <c r="AJ12" s="7" t="s">
        <v>17</v>
      </c>
      <c r="AK12" s="7" t="s">
        <v>17</v>
      </c>
      <c r="AL12" s="150" t="s">
        <v>17</v>
      </c>
      <c r="AM12" s="7" t="s">
        <v>17</v>
      </c>
      <c r="AN12" s="7" t="s">
        <v>17</v>
      </c>
      <c r="AO12" s="150" t="s">
        <v>17</v>
      </c>
      <c r="AP12" s="7" t="s">
        <v>17</v>
      </c>
      <c r="AQ12" s="7" t="s">
        <v>17</v>
      </c>
      <c r="AR12" s="150" t="s">
        <v>17</v>
      </c>
      <c r="AS12" s="7" t="s">
        <v>17</v>
      </c>
      <c r="AT12" s="7" t="s">
        <v>17</v>
      </c>
      <c r="AU12" s="6" t="s">
        <v>17</v>
      </c>
      <c r="AV12" s="7" t="s">
        <v>17</v>
      </c>
      <c r="AW12" s="7" t="s">
        <v>17</v>
      </c>
      <c r="AX12" s="7" t="s">
        <v>17</v>
      </c>
      <c r="AY12" s="7" t="s">
        <v>17</v>
      </c>
      <c r="AZ12" s="7" t="s">
        <v>17</v>
      </c>
      <c r="BA12" s="7" t="s">
        <v>17</v>
      </c>
      <c r="BB12" s="7" t="s">
        <v>17</v>
      </c>
      <c r="BC12" s="7" t="s">
        <v>17</v>
      </c>
      <c r="BD12" s="7" t="s">
        <v>17</v>
      </c>
      <c r="BE12" s="7" t="s">
        <v>17</v>
      </c>
      <c r="BF12" s="7" t="s">
        <v>17</v>
      </c>
    </row>
    <row r="13" spans="1:65" ht="14.95" customHeight="1" thickBot="1" x14ac:dyDescent="0.3">
      <c r="A13" s="44" t="s">
        <v>1221</v>
      </c>
      <c r="B13" s="179">
        <v>0</v>
      </c>
      <c r="C13" s="339">
        <v>0</v>
      </c>
      <c r="D13" s="244">
        <v>1</v>
      </c>
      <c r="E13" s="61">
        <f t="shared" si="2"/>
        <v>1</v>
      </c>
      <c r="F13" s="75" t="s">
        <v>1221</v>
      </c>
      <c r="G13" s="177">
        <v>0</v>
      </c>
      <c r="H13" s="341">
        <v>0</v>
      </c>
      <c r="I13" s="245">
        <v>5</v>
      </c>
      <c r="J13" s="77">
        <f t="shared" si="3"/>
        <v>5</v>
      </c>
      <c r="K13" s="51" t="s">
        <v>5</v>
      </c>
      <c r="L13" s="14">
        <v>3</v>
      </c>
      <c r="M13" s="14">
        <v>5</v>
      </c>
      <c r="N13" s="149">
        <f t="shared" ref="N13" si="14">SUM(L13/M13)*100</f>
        <v>60</v>
      </c>
      <c r="O13" s="14" t="s">
        <v>17</v>
      </c>
      <c r="P13" s="14" t="s">
        <v>17</v>
      </c>
      <c r="Q13" s="149" t="s">
        <v>17</v>
      </c>
      <c r="R13" s="61">
        <v>-1</v>
      </c>
      <c r="S13" s="61">
        <v>-1</v>
      </c>
      <c r="T13" s="150" t="s">
        <v>17</v>
      </c>
      <c r="U13" s="7" t="s">
        <v>17</v>
      </c>
      <c r="V13" s="155" t="s">
        <v>17</v>
      </c>
      <c r="W13" s="150" t="s">
        <v>17</v>
      </c>
      <c r="X13" s="7" t="s">
        <v>17</v>
      </c>
      <c r="Y13" s="155" t="s">
        <v>17</v>
      </c>
      <c r="Z13" s="95"/>
      <c r="AA13" s="95"/>
      <c r="AB13" s="199"/>
      <c r="AC13" s="150">
        <v>3</v>
      </c>
      <c r="AD13" s="7">
        <v>4</v>
      </c>
      <c r="AE13" s="155">
        <v>75</v>
      </c>
      <c r="AF13" s="150" t="s">
        <v>17</v>
      </c>
      <c r="AG13" s="7" t="s">
        <v>17</v>
      </c>
      <c r="AH13" s="7" t="s">
        <v>17</v>
      </c>
      <c r="AI13" s="150" t="s">
        <v>17</v>
      </c>
      <c r="AJ13" s="7" t="s">
        <v>17</v>
      </c>
      <c r="AK13" s="7" t="s">
        <v>17</v>
      </c>
      <c r="AL13" s="150" t="s">
        <v>17</v>
      </c>
      <c r="AM13" s="7" t="s">
        <v>17</v>
      </c>
      <c r="AN13" s="7" t="s">
        <v>17</v>
      </c>
      <c r="AO13" s="150" t="s">
        <v>17</v>
      </c>
      <c r="AP13" s="7" t="s">
        <v>17</v>
      </c>
      <c r="AQ13" s="7" t="s">
        <v>17</v>
      </c>
      <c r="AR13" s="150" t="s">
        <v>17</v>
      </c>
      <c r="AS13" s="7" t="s">
        <v>17</v>
      </c>
      <c r="AT13" s="7" t="s">
        <v>17</v>
      </c>
      <c r="AU13" s="6" t="s">
        <v>17</v>
      </c>
      <c r="AV13" s="7" t="s">
        <v>17</v>
      </c>
      <c r="AW13" s="7" t="s">
        <v>17</v>
      </c>
      <c r="AX13" s="7" t="s">
        <v>17</v>
      </c>
      <c r="AY13" s="7" t="s">
        <v>17</v>
      </c>
      <c r="AZ13" s="7" t="s">
        <v>17</v>
      </c>
      <c r="BA13" s="7" t="s">
        <v>17</v>
      </c>
      <c r="BB13" s="7" t="s">
        <v>17</v>
      </c>
      <c r="BC13" s="7" t="s">
        <v>17</v>
      </c>
      <c r="BD13" s="7" t="s">
        <v>17</v>
      </c>
      <c r="BE13" s="7" t="s">
        <v>17</v>
      </c>
      <c r="BF13" s="7" t="s">
        <v>17</v>
      </c>
    </row>
    <row r="14" spans="1:65" ht="14.95" customHeight="1" thickBot="1" x14ac:dyDescent="0.3">
      <c r="A14" s="44" t="s">
        <v>317</v>
      </c>
      <c r="B14" s="179">
        <v>6</v>
      </c>
      <c r="C14" s="339">
        <v>1</v>
      </c>
      <c r="D14" s="244">
        <v>0</v>
      </c>
      <c r="E14" s="61">
        <f t="shared" si="2"/>
        <v>7</v>
      </c>
      <c r="F14" s="75" t="s">
        <v>317</v>
      </c>
      <c r="G14" s="177">
        <v>124</v>
      </c>
      <c r="H14" s="341">
        <v>29</v>
      </c>
      <c r="I14" s="245">
        <v>0</v>
      </c>
      <c r="J14" s="77">
        <f t="shared" si="3"/>
        <v>153</v>
      </c>
      <c r="K14" s="48"/>
      <c r="L14" s="57"/>
    </row>
    <row r="15" spans="1:65" ht="14.95" customHeight="1" thickBot="1" x14ac:dyDescent="0.3">
      <c r="A15" s="44" t="s">
        <v>178</v>
      </c>
      <c r="B15" s="179">
        <v>0</v>
      </c>
      <c r="C15" s="339">
        <v>1</v>
      </c>
      <c r="D15" s="244">
        <v>0</v>
      </c>
      <c r="E15" s="61">
        <f t="shared" si="2"/>
        <v>1</v>
      </c>
      <c r="F15" s="75" t="s">
        <v>178</v>
      </c>
      <c r="G15" s="177">
        <v>0</v>
      </c>
      <c r="H15" s="341">
        <v>5</v>
      </c>
      <c r="I15" s="245">
        <v>0</v>
      </c>
      <c r="J15" s="77">
        <f t="shared" si="3"/>
        <v>5</v>
      </c>
      <c r="K15" s="463" t="s">
        <v>226</v>
      </c>
      <c r="L15" s="469" t="s">
        <v>16</v>
      </c>
      <c r="M15" s="470"/>
      <c r="N15" s="471"/>
      <c r="O15" s="457" t="s">
        <v>267</v>
      </c>
      <c r="P15" s="458"/>
      <c r="Q15" s="459"/>
      <c r="R15" s="469" t="s">
        <v>698</v>
      </c>
      <c r="S15" s="470"/>
      <c r="T15" s="471"/>
      <c r="U15" s="457" t="s">
        <v>562</v>
      </c>
      <c r="V15" s="458"/>
      <c r="W15" s="459"/>
      <c r="X15" s="162"/>
      <c r="Y15" s="162"/>
      <c r="Z15" s="162"/>
      <c r="AC15" s="457" t="s">
        <v>463</v>
      </c>
      <c r="AD15" s="458"/>
      <c r="AE15" s="459"/>
      <c r="AF15" s="469" t="s">
        <v>355</v>
      </c>
      <c r="AG15" s="470"/>
      <c r="AH15" s="471"/>
      <c r="AI15" s="469" t="s">
        <v>260</v>
      </c>
      <c r="AJ15" s="470"/>
      <c r="AK15" s="471"/>
      <c r="AL15" s="469" t="s">
        <v>199</v>
      </c>
      <c r="AM15" s="470"/>
      <c r="AN15" s="471"/>
      <c r="AO15" s="469" t="s">
        <v>92</v>
      </c>
      <c r="AP15" s="470"/>
      <c r="AQ15" s="471"/>
      <c r="AR15" s="469" t="s">
        <v>63</v>
      </c>
      <c r="AS15" s="470"/>
      <c r="AT15" s="471"/>
      <c r="AU15" s="469" t="s">
        <v>59</v>
      </c>
      <c r="AV15" s="470"/>
      <c r="AW15" s="471"/>
      <c r="AX15" s="469" t="s">
        <v>45</v>
      </c>
      <c r="AY15" s="470"/>
      <c r="AZ15" s="471"/>
    </row>
    <row r="16" spans="1:65" ht="14.95" customHeight="1" thickBot="1" x14ac:dyDescent="0.3">
      <c r="A16" s="44" t="s">
        <v>30</v>
      </c>
      <c r="B16" s="179">
        <v>0</v>
      </c>
      <c r="C16" s="339">
        <v>0</v>
      </c>
      <c r="D16" s="244">
        <v>0</v>
      </c>
      <c r="E16" s="61">
        <f t="shared" si="2"/>
        <v>0</v>
      </c>
      <c r="F16" s="75" t="s">
        <v>30</v>
      </c>
      <c r="G16" s="177">
        <v>0</v>
      </c>
      <c r="H16" s="341">
        <v>0</v>
      </c>
      <c r="I16" s="245">
        <v>0</v>
      </c>
      <c r="J16" s="77">
        <f t="shared" si="3"/>
        <v>0</v>
      </c>
      <c r="K16" s="464"/>
      <c r="L16" s="472"/>
      <c r="M16" s="473"/>
      <c r="N16" s="474"/>
      <c r="O16" s="460"/>
      <c r="P16" s="461"/>
      <c r="Q16" s="462"/>
      <c r="R16" s="472"/>
      <c r="S16" s="473"/>
      <c r="T16" s="474"/>
      <c r="U16" s="460"/>
      <c r="V16" s="461"/>
      <c r="W16" s="462"/>
      <c r="X16" s="162"/>
      <c r="Y16" s="162"/>
      <c r="Z16" s="162"/>
      <c r="AC16" s="460"/>
      <c r="AD16" s="461"/>
      <c r="AE16" s="462"/>
      <c r="AF16" s="472"/>
      <c r="AG16" s="473"/>
      <c r="AH16" s="474"/>
      <c r="AI16" s="472"/>
      <c r="AJ16" s="473"/>
      <c r="AK16" s="474"/>
      <c r="AL16" s="472"/>
      <c r="AM16" s="473"/>
      <c r="AN16" s="474"/>
      <c r="AO16" s="472"/>
      <c r="AP16" s="473"/>
      <c r="AQ16" s="474"/>
      <c r="AR16" s="472"/>
      <c r="AS16" s="473"/>
      <c r="AT16" s="474"/>
      <c r="AU16" s="472"/>
      <c r="AV16" s="473"/>
      <c r="AW16" s="474"/>
      <c r="AX16" s="472"/>
      <c r="AY16" s="473"/>
      <c r="AZ16" s="474"/>
    </row>
    <row r="17" spans="1:52" ht="14.95" customHeight="1" thickBot="1" x14ac:dyDescent="0.3">
      <c r="A17" s="44" t="s">
        <v>70</v>
      </c>
      <c r="B17" s="179">
        <v>1</v>
      </c>
      <c r="C17" s="339">
        <v>0</v>
      </c>
      <c r="D17" s="244">
        <v>1</v>
      </c>
      <c r="E17" s="61">
        <f t="shared" si="2"/>
        <v>2</v>
      </c>
      <c r="F17" s="75" t="s">
        <v>70</v>
      </c>
      <c r="G17" s="177">
        <v>5</v>
      </c>
      <c r="H17" s="341">
        <v>0</v>
      </c>
      <c r="I17" s="245">
        <v>5</v>
      </c>
      <c r="J17" s="77">
        <f t="shared" si="3"/>
        <v>10</v>
      </c>
      <c r="K17" s="263" t="s">
        <v>25</v>
      </c>
      <c r="L17" s="7" t="s">
        <v>55</v>
      </c>
      <c r="M17" s="7" t="s">
        <v>11</v>
      </c>
      <c r="N17" s="7" t="s">
        <v>12</v>
      </c>
      <c r="O17" s="80" t="s">
        <v>55</v>
      </c>
      <c r="P17" s="80" t="s">
        <v>11</v>
      </c>
      <c r="Q17" s="80" t="s">
        <v>12</v>
      </c>
      <c r="R17" s="80" t="s">
        <v>55</v>
      </c>
      <c r="S17" s="80" t="s">
        <v>11</v>
      </c>
      <c r="T17" s="80" t="s">
        <v>12</v>
      </c>
      <c r="U17" s="80" t="s">
        <v>55</v>
      </c>
      <c r="V17" s="80" t="s">
        <v>11</v>
      </c>
      <c r="W17" s="80" t="s">
        <v>12</v>
      </c>
      <c r="AC17" s="85" t="s">
        <v>55</v>
      </c>
      <c r="AD17" s="80" t="s">
        <v>11</v>
      </c>
      <c r="AE17" s="80" t="s">
        <v>12</v>
      </c>
      <c r="AF17" s="150" t="s">
        <v>55</v>
      </c>
      <c r="AG17" s="7" t="s">
        <v>11</v>
      </c>
      <c r="AH17" s="7" t="s">
        <v>12</v>
      </c>
      <c r="AI17" s="150" t="s">
        <v>55</v>
      </c>
      <c r="AJ17" s="7" t="s">
        <v>11</v>
      </c>
      <c r="AK17" s="7" t="s">
        <v>12</v>
      </c>
      <c r="AL17" s="150" t="s">
        <v>55</v>
      </c>
      <c r="AM17" s="7" t="s">
        <v>11</v>
      </c>
      <c r="AN17" s="7" t="s">
        <v>12</v>
      </c>
      <c r="AO17" s="150" t="s">
        <v>55</v>
      </c>
      <c r="AP17" s="7" t="s">
        <v>11</v>
      </c>
      <c r="AQ17" s="7" t="s">
        <v>12</v>
      </c>
      <c r="AR17" s="150" t="s">
        <v>55</v>
      </c>
      <c r="AS17" s="7" t="s">
        <v>11</v>
      </c>
      <c r="AT17" s="7" t="s">
        <v>12</v>
      </c>
      <c r="AU17" s="150" t="s">
        <v>55</v>
      </c>
      <c r="AV17" s="7" t="s">
        <v>11</v>
      </c>
      <c r="AW17" s="7" t="s">
        <v>12</v>
      </c>
      <c r="AX17" s="150" t="s">
        <v>13</v>
      </c>
      <c r="AY17" s="7" t="s">
        <v>11</v>
      </c>
      <c r="AZ17" s="7" t="s">
        <v>12</v>
      </c>
    </row>
    <row r="18" spans="1:52" ht="14.95" customHeight="1" thickBot="1" x14ac:dyDescent="0.3">
      <c r="A18" s="44" t="s">
        <v>391</v>
      </c>
      <c r="B18" s="179">
        <v>6</v>
      </c>
      <c r="C18" s="339">
        <v>1</v>
      </c>
      <c r="D18" s="244">
        <v>0</v>
      </c>
      <c r="E18" s="61">
        <f t="shared" si="2"/>
        <v>7</v>
      </c>
      <c r="F18" s="75" t="s">
        <v>391</v>
      </c>
      <c r="G18" s="177">
        <v>30</v>
      </c>
      <c r="H18" s="341">
        <v>5</v>
      </c>
      <c r="I18" s="245">
        <v>0</v>
      </c>
      <c r="J18" s="77">
        <f t="shared" si="3"/>
        <v>35</v>
      </c>
      <c r="K18" s="99" t="s">
        <v>779</v>
      </c>
      <c r="L18" s="7" t="s">
        <v>17</v>
      </c>
      <c r="M18" s="7" t="s">
        <v>17</v>
      </c>
      <c r="N18" s="7" t="s">
        <v>17</v>
      </c>
      <c r="O18" s="150" t="s">
        <v>17</v>
      </c>
      <c r="P18" s="7" t="s">
        <v>17</v>
      </c>
      <c r="Q18" s="155" t="s">
        <v>17</v>
      </c>
      <c r="R18" s="150" t="s">
        <v>17</v>
      </c>
      <c r="S18" s="7" t="s">
        <v>17</v>
      </c>
      <c r="T18" s="155" t="s">
        <v>17</v>
      </c>
      <c r="U18" s="80">
        <v>3</v>
      </c>
      <c r="V18" s="80">
        <v>4</v>
      </c>
      <c r="W18" s="80">
        <v>75</v>
      </c>
      <c r="AC18" s="150" t="s">
        <v>17</v>
      </c>
      <c r="AD18" s="7" t="s">
        <v>17</v>
      </c>
      <c r="AE18" s="155" t="s">
        <v>17</v>
      </c>
      <c r="AF18" s="150" t="s">
        <v>17</v>
      </c>
      <c r="AG18" s="7" t="s">
        <v>17</v>
      </c>
      <c r="AH18" s="155" t="s">
        <v>17</v>
      </c>
      <c r="AI18" s="150">
        <v>17</v>
      </c>
      <c r="AJ18" s="7">
        <v>21</v>
      </c>
      <c r="AK18" s="7">
        <v>81</v>
      </c>
      <c r="AL18" s="150" t="s">
        <v>17</v>
      </c>
      <c r="AM18" s="7" t="s">
        <v>17</v>
      </c>
      <c r="AN18" s="155" t="s">
        <v>17</v>
      </c>
      <c r="AO18" s="150" t="s">
        <v>17</v>
      </c>
      <c r="AP18" s="7" t="s">
        <v>17</v>
      </c>
      <c r="AQ18" s="155" t="s">
        <v>17</v>
      </c>
      <c r="AR18" s="150" t="s">
        <v>17</v>
      </c>
      <c r="AS18" s="7" t="s">
        <v>17</v>
      </c>
      <c r="AT18" s="155" t="s">
        <v>17</v>
      </c>
      <c r="AU18" s="150" t="s">
        <v>17</v>
      </c>
      <c r="AV18" s="7" t="s">
        <v>17</v>
      </c>
      <c r="AW18" s="155" t="s">
        <v>17</v>
      </c>
      <c r="AX18" s="150" t="s">
        <v>17</v>
      </c>
      <c r="AY18" s="7" t="s">
        <v>17</v>
      </c>
      <c r="AZ18" s="155" t="s">
        <v>17</v>
      </c>
    </row>
    <row r="19" spans="1:52" ht="14.95" customHeight="1" thickBot="1" x14ac:dyDescent="0.3">
      <c r="A19" s="44" t="s">
        <v>1298</v>
      </c>
      <c r="B19" s="179">
        <v>5</v>
      </c>
      <c r="C19" s="339">
        <v>0</v>
      </c>
      <c r="D19" s="244">
        <v>1</v>
      </c>
      <c r="E19" s="61">
        <f t="shared" si="2"/>
        <v>6</v>
      </c>
      <c r="F19" s="75" t="s">
        <v>1298</v>
      </c>
      <c r="G19" s="177">
        <v>25</v>
      </c>
      <c r="H19" s="341">
        <v>0</v>
      </c>
      <c r="I19" s="245">
        <v>5</v>
      </c>
      <c r="J19" s="77">
        <f t="shared" si="3"/>
        <v>30</v>
      </c>
      <c r="K19" s="51" t="s">
        <v>637</v>
      </c>
      <c r="L19" s="7" t="s">
        <v>17</v>
      </c>
      <c r="M19" s="7" t="s">
        <v>17</v>
      </c>
      <c r="N19" s="155" t="s">
        <v>17</v>
      </c>
      <c r="O19" s="7" t="s">
        <v>17</v>
      </c>
      <c r="P19" s="7" t="s">
        <v>17</v>
      </c>
      <c r="Q19" s="155" t="s">
        <v>17</v>
      </c>
      <c r="R19" s="7">
        <v>10</v>
      </c>
      <c r="S19" s="7">
        <v>10</v>
      </c>
      <c r="T19" s="155">
        <v>100</v>
      </c>
      <c r="U19" s="7">
        <v>1</v>
      </c>
      <c r="V19" s="7">
        <v>1</v>
      </c>
      <c r="W19" s="155">
        <f>SUM(U19/V19)*100</f>
        <v>100</v>
      </c>
      <c r="AC19" s="150">
        <v>1</v>
      </c>
      <c r="AD19" s="7">
        <v>1</v>
      </c>
      <c r="AE19" s="155">
        <f>SUM(AC19/AD19)*100</f>
        <v>100</v>
      </c>
      <c r="AF19" s="150" t="s">
        <v>17</v>
      </c>
      <c r="AG19" s="7" t="s">
        <v>17</v>
      </c>
      <c r="AH19" s="155" t="s">
        <v>17</v>
      </c>
      <c r="AI19" s="150" t="s">
        <v>17</v>
      </c>
      <c r="AJ19" s="7" t="s">
        <v>17</v>
      </c>
      <c r="AK19" s="155" t="s">
        <v>17</v>
      </c>
      <c r="AL19" s="150" t="s">
        <v>17</v>
      </c>
      <c r="AM19" s="7" t="s">
        <v>17</v>
      </c>
      <c r="AN19" s="155" t="s">
        <v>17</v>
      </c>
      <c r="AO19" s="150" t="s">
        <v>17</v>
      </c>
      <c r="AP19" s="7" t="s">
        <v>17</v>
      </c>
      <c r="AQ19" s="155" t="s">
        <v>17</v>
      </c>
      <c r="AR19" s="150" t="s">
        <v>17</v>
      </c>
      <c r="AS19" s="7" t="s">
        <v>17</v>
      </c>
      <c r="AT19" s="155" t="s">
        <v>17</v>
      </c>
      <c r="AU19" s="150" t="s">
        <v>17</v>
      </c>
      <c r="AV19" s="7" t="s">
        <v>17</v>
      </c>
      <c r="AW19" s="155" t="s">
        <v>17</v>
      </c>
      <c r="AX19" s="150" t="s">
        <v>17</v>
      </c>
      <c r="AY19" s="7" t="s">
        <v>17</v>
      </c>
      <c r="AZ19" s="155" t="s">
        <v>17</v>
      </c>
    </row>
    <row r="20" spans="1:52" ht="14.95" customHeight="1" thickBot="1" x14ac:dyDescent="0.3">
      <c r="A20" s="44" t="s">
        <v>764</v>
      </c>
      <c r="B20" s="179">
        <v>0</v>
      </c>
      <c r="C20" s="339">
        <v>0</v>
      </c>
      <c r="D20" s="244">
        <v>2</v>
      </c>
      <c r="E20" s="61">
        <f t="shared" si="2"/>
        <v>2</v>
      </c>
      <c r="F20" s="75" t="s">
        <v>764</v>
      </c>
      <c r="G20" s="177">
        <v>0</v>
      </c>
      <c r="H20" s="341">
        <v>0</v>
      </c>
      <c r="I20" s="245">
        <v>10</v>
      </c>
      <c r="J20" s="77">
        <f t="shared" si="3"/>
        <v>10</v>
      </c>
      <c r="K20" s="51" t="s">
        <v>203</v>
      </c>
      <c r="L20" s="7" t="s">
        <v>17</v>
      </c>
      <c r="M20" s="7" t="s">
        <v>17</v>
      </c>
      <c r="N20" s="155" t="s">
        <v>17</v>
      </c>
      <c r="O20" s="7" t="s">
        <v>17</v>
      </c>
      <c r="P20" s="7" t="s">
        <v>17</v>
      </c>
      <c r="Q20" s="155" t="s">
        <v>17</v>
      </c>
      <c r="R20" s="80">
        <v>4</v>
      </c>
      <c r="S20" s="80">
        <v>6</v>
      </c>
      <c r="T20" s="173">
        <v>66.666666666666657</v>
      </c>
      <c r="U20" s="80" t="s">
        <v>17</v>
      </c>
      <c r="V20" s="80" t="s">
        <v>17</v>
      </c>
      <c r="W20" s="173" t="s">
        <v>17</v>
      </c>
      <c r="AC20" s="85">
        <v>6</v>
      </c>
      <c r="AD20" s="80">
        <v>6</v>
      </c>
      <c r="AE20" s="173">
        <f t="shared" ref="AE20" si="15">(AC20/AD20)*100</f>
        <v>100</v>
      </c>
      <c r="AF20" s="150" t="s">
        <v>17</v>
      </c>
      <c r="AG20" s="7" t="s">
        <v>17</v>
      </c>
      <c r="AH20" s="155" t="s">
        <v>17</v>
      </c>
      <c r="AI20" s="150">
        <v>3</v>
      </c>
      <c r="AJ20" s="7">
        <v>5</v>
      </c>
      <c r="AK20" s="155">
        <f>SUM(AI20/AJ20)*100</f>
        <v>60</v>
      </c>
      <c r="AL20" s="150" t="s">
        <v>17</v>
      </c>
      <c r="AM20" s="7" t="s">
        <v>17</v>
      </c>
      <c r="AN20" s="7" t="s">
        <v>17</v>
      </c>
      <c r="AO20" s="150" t="s">
        <v>17</v>
      </c>
      <c r="AP20" s="7" t="s">
        <v>17</v>
      </c>
      <c r="AQ20" s="7" t="s">
        <v>17</v>
      </c>
      <c r="AR20" s="150" t="s">
        <v>17</v>
      </c>
      <c r="AS20" s="7" t="s">
        <v>17</v>
      </c>
      <c r="AT20" s="7" t="s">
        <v>17</v>
      </c>
      <c r="AU20" s="150" t="s">
        <v>17</v>
      </c>
      <c r="AV20" s="7" t="s">
        <v>17</v>
      </c>
      <c r="AW20" s="7" t="s">
        <v>17</v>
      </c>
      <c r="AX20" s="150">
        <v>6</v>
      </c>
      <c r="AY20" s="7">
        <v>9</v>
      </c>
      <c r="AZ20" s="155">
        <f>SUM(AX20/AY20)*100</f>
        <v>66.666666666666657</v>
      </c>
    </row>
    <row r="21" spans="1:52" ht="14.95" customHeight="1" thickBot="1" x14ac:dyDescent="0.3">
      <c r="A21" s="44" t="s">
        <v>677</v>
      </c>
      <c r="B21" s="179">
        <v>1</v>
      </c>
      <c r="C21" s="339">
        <v>1</v>
      </c>
      <c r="D21" s="244">
        <v>0</v>
      </c>
      <c r="E21" s="61">
        <f t="shared" si="2"/>
        <v>2</v>
      </c>
      <c r="F21" s="75" t="s">
        <v>677</v>
      </c>
      <c r="G21" s="177">
        <v>5</v>
      </c>
      <c r="H21" s="341">
        <v>5</v>
      </c>
      <c r="I21" s="245">
        <v>0</v>
      </c>
      <c r="J21" s="77">
        <f t="shared" si="3"/>
        <v>10</v>
      </c>
      <c r="K21" s="51" t="s">
        <v>317</v>
      </c>
      <c r="L21" s="7" t="s">
        <v>17</v>
      </c>
      <c r="M21" s="7" t="s">
        <v>17</v>
      </c>
      <c r="N21" s="155" t="s">
        <v>17</v>
      </c>
      <c r="O21" s="7" t="s">
        <v>17</v>
      </c>
      <c r="P21" s="7" t="s">
        <v>17</v>
      </c>
      <c r="Q21" s="155" t="s">
        <v>17</v>
      </c>
      <c r="R21" s="80">
        <v>1</v>
      </c>
      <c r="S21" s="80">
        <v>4</v>
      </c>
      <c r="T21" s="173">
        <v>25</v>
      </c>
      <c r="U21" s="80" t="s">
        <v>17</v>
      </c>
      <c r="V21" s="80" t="s">
        <v>17</v>
      </c>
      <c r="W21" s="173" t="s">
        <v>17</v>
      </c>
      <c r="AC21" s="85" t="s">
        <v>17</v>
      </c>
      <c r="AD21" s="80" t="s">
        <v>17</v>
      </c>
      <c r="AE21" s="173" t="s">
        <v>17</v>
      </c>
      <c r="AF21" s="98" t="s">
        <v>17</v>
      </c>
      <c r="AG21" s="80" t="s">
        <v>17</v>
      </c>
      <c r="AH21" s="173" t="s">
        <v>17</v>
      </c>
      <c r="AI21" s="98" t="s">
        <v>17</v>
      </c>
      <c r="AJ21" s="80" t="s">
        <v>17</v>
      </c>
      <c r="AK21" s="173" t="s">
        <v>17</v>
      </c>
      <c r="AL21" s="80" t="s">
        <v>17</v>
      </c>
      <c r="AM21" s="80" t="s">
        <v>17</v>
      </c>
      <c r="AN21" s="173" t="s">
        <v>17</v>
      </c>
      <c r="AO21" s="80" t="s">
        <v>17</v>
      </c>
      <c r="AP21" s="80" t="s">
        <v>17</v>
      </c>
      <c r="AQ21" s="173" t="s">
        <v>17</v>
      </c>
      <c r="AR21" s="80" t="s">
        <v>17</v>
      </c>
      <c r="AS21" s="80" t="s">
        <v>17</v>
      </c>
      <c r="AT21" s="173" t="s">
        <v>17</v>
      </c>
      <c r="AU21" s="80" t="s">
        <v>17</v>
      </c>
      <c r="AV21" s="80" t="s">
        <v>17</v>
      </c>
      <c r="AW21" s="173" t="s">
        <v>17</v>
      </c>
      <c r="AX21" s="80" t="s">
        <v>17</v>
      </c>
      <c r="AY21" s="80" t="s">
        <v>17</v>
      </c>
      <c r="AZ21" s="173" t="s">
        <v>17</v>
      </c>
    </row>
    <row r="22" spans="1:52" ht="14.95" customHeight="1" thickBot="1" x14ac:dyDescent="0.3">
      <c r="A22" s="44" t="s">
        <v>1311</v>
      </c>
      <c r="B22" s="179">
        <v>0</v>
      </c>
      <c r="C22" s="339">
        <v>0</v>
      </c>
      <c r="D22" s="244">
        <v>0</v>
      </c>
      <c r="E22" s="61">
        <f t="shared" si="2"/>
        <v>0</v>
      </c>
      <c r="F22" s="75" t="s">
        <v>1311</v>
      </c>
      <c r="G22" s="177">
        <v>0</v>
      </c>
      <c r="H22" s="341">
        <v>0</v>
      </c>
      <c r="I22" s="245">
        <v>0</v>
      </c>
      <c r="J22" s="77">
        <f t="shared" si="3"/>
        <v>0</v>
      </c>
      <c r="K22" s="51" t="s">
        <v>29</v>
      </c>
      <c r="L22" s="7" t="s">
        <v>17</v>
      </c>
      <c r="M22" s="7" t="s">
        <v>17</v>
      </c>
      <c r="N22" s="155" t="s">
        <v>17</v>
      </c>
      <c r="O22" s="7" t="s">
        <v>17</v>
      </c>
      <c r="P22" s="7" t="s">
        <v>17</v>
      </c>
      <c r="Q22" s="155" t="s">
        <v>17</v>
      </c>
      <c r="R22" s="80" t="s">
        <v>17</v>
      </c>
      <c r="S22" s="80" t="s">
        <v>17</v>
      </c>
      <c r="T22" s="173" t="s">
        <v>17</v>
      </c>
      <c r="U22" s="80" t="s">
        <v>17</v>
      </c>
      <c r="V22" s="80" t="s">
        <v>17</v>
      </c>
      <c r="W22" s="173" t="s">
        <v>17</v>
      </c>
      <c r="AC22" s="85">
        <v>0</v>
      </c>
      <c r="AD22" s="80">
        <v>1</v>
      </c>
      <c r="AE22" s="173">
        <f t="shared" ref="AE22" si="16">(AC22/AD22)*100</f>
        <v>0</v>
      </c>
      <c r="AF22" s="150" t="s">
        <v>17</v>
      </c>
      <c r="AG22" s="7" t="s">
        <v>17</v>
      </c>
      <c r="AH22" s="7" t="s">
        <v>17</v>
      </c>
      <c r="AI22" s="150" t="s">
        <v>17</v>
      </c>
      <c r="AJ22" s="7" t="s">
        <v>17</v>
      </c>
      <c r="AK22" s="7" t="s">
        <v>17</v>
      </c>
      <c r="AL22" s="150" t="s">
        <v>17</v>
      </c>
      <c r="AM22" s="7" t="s">
        <v>17</v>
      </c>
      <c r="AN22" s="7" t="s">
        <v>17</v>
      </c>
      <c r="AO22" s="150" t="s">
        <v>17</v>
      </c>
      <c r="AP22" s="7" t="s">
        <v>17</v>
      </c>
      <c r="AQ22" s="7" t="s">
        <v>17</v>
      </c>
      <c r="AR22" s="150" t="s">
        <v>17</v>
      </c>
      <c r="AS22" s="7" t="s">
        <v>17</v>
      </c>
      <c r="AT22" s="7" t="s">
        <v>17</v>
      </c>
      <c r="AU22" s="150" t="s">
        <v>17</v>
      </c>
      <c r="AV22" s="7" t="s">
        <v>17</v>
      </c>
      <c r="AW22" s="7" t="s">
        <v>17</v>
      </c>
      <c r="AX22" s="7" t="s">
        <v>17</v>
      </c>
      <c r="AY22" s="7" t="s">
        <v>17</v>
      </c>
      <c r="AZ22" s="7" t="s">
        <v>17</v>
      </c>
    </row>
    <row r="23" spans="1:52" ht="14.95" customHeight="1" thickBot="1" x14ac:dyDescent="0.3">
      <c r="A23" s="44" t="s">
        <v>275</v>
      </c>
      <c r="B23" s="179">
        <v>2</v>
      </c>
      <c r="C23" s="339">
        <v>0</v>
      </c>
      <c r="D23" s="244">
        <v>0</v>
      </c>
      <c r="E23" s="61">
        <f t="shared" si="2"/>
        <v>2</v>
      </c>
      <c r="F23" s="75" t="s">
        <v>275</v>
      </c>
      <c r="G23" s="177">
        <v>10</v>
      </c>
      <c r="H23" s="341">
        <v>0</v>
      </c>
      <c r="I23" s="245">
        <v>0</v>
      </c>
      <c r="J23" s="77">
        <f t="shared" si="3"/>
        <v>10</v>
      </c>
      <c r="K23" s="51" t="s">
        <v>1314</v>
      </c>
      <c r="L23" s="7" t="s">
        <v>17</v>
      </c>
      <c r="M23" s="7" t="s">
        <v>17</v>
      </c>
      <c r="N23" s="155" t="s">
        <v>17</v>
      </c>
      <c r="O23" s="7" t="s">
        <v>17</v>
      </c>
      <c r="P23" s="7" t="s">
        <v>17</v>
      </c>
      <c r="Q23" s="155" t="s">
        <v>17</v>
      </c>
      <c r="R23" s="80" t="s">
        <v>17</v>
      </c>
      <c r="S23" s="80" t="s">
        <v>17</v>
      </c>
      <c r="T23" s="173" t="s">
        <v>17</v>
      </c>
      <c r="U23" s="80">
        <v>1</v>
      </c>
      <c r="V23" s="80">
        <v>3</v>
      </c>
      <c r="W23" s="173">
        <v>33</v>
      </c>
      <c r="AC23" s="150" t="s">
        <v>17</v>
      </c>
      <c r="AD23" s="7" t="s">
        <v>17</v>
      </c>
      <c r="AE23" s="7" t="s">
        <v>17</v>
      </c>
      <c r="AF23" s="150" t="s">
        <v>17</v>
      </c>
      <c r="AG23" s="7" t="s">
        <v>17</v>
      </c>
      <c r="AH23" s="7" t="s">
        <v>17</v>
      </c>
      <c r="AI23" s="150" t="s">
        <v>17</v>
      </c>
      <c r="AJ23" s="7" t="s">
        <v>17</v>
      </c>
      <c r="AK23" s="7" t="s">
        <v>17</v>
      </c>
      <c r="AL23" s="150" t="s">
        <v>17</v>
      </c>
      <c r="AM23" s="7" t="s">
        <v>17</v>
      </c>
      <c r="AN23" s="7" t="s">
        <v>17</v>
      </c>
      <c r="AO23" s="150" t="s">
        <v>17</v>
      </c>
      <c r="AP23" s="7" t="s">
        <v>17</v>
      </c>
      <c r="AQ23" s="7" t="s">
        <v>17</v>
      </c>
      <c r="AR23" s="150" t="s">
        <v>17</v>
      </c>
      <c r="AS23" s="7" t="s">
        <v>17</v>
      </c>
      <c r="AT23" s="7" t="s">
        <v>17</v>
      </c>
      <c r="AU23" s="150" t="s">
        <v>17</v>
      </c>
      <c r="AV23" s="7" t="s">
        <v>17</v>
      </c>
      <c r="AW23" s="7" t="s">
        <v>17</v>
      </c>
      <c r="AX23" s="7" t="s">
        <v>17</v>
      </c>
      <c r="AY23" s="7" t="s">
        <v>17</v>
      </c>
      <c r="AZ23" s="7" t="s">
        <v>17</v>
      </c>
    </row>
    <row r="24" spans="1:52" ht="14.95" customHeight="1" thickBot="1" x14ac:dyDescent="0.3">
      <c r="A24" s="44" t="s">
        <v>760</v>
      </c>
      <c r="B24" s="179">
        <v>0</v>
      </c>
      <c r="C24" s="339">
        <v>0</v>
      </c>
      <c r="D24" s="244">
        <v>0</v>
      </c>
      <c r="E24" s="61">
        <f t="shared" si="2"/>
        <v>0</v>
      </c>
      <c r="F24" s="75" t="s">
        <v>760</v>
      </c>
      <c r="G24" s="177">
        <v>0</v>
      </c>
      <c r="H24" s="341">
        <v>0</v>
      </c>
      <c r="I24" s="245">
        <v>0</v>
      </c>
      <c r="J24" s="77">
        <f t="shared" si="3"/>
        <v>0</v>
      </c>
    </row>
    <row r="25" spans="1:52" ht="14.95" customHeight="1" thickBot="1" x14ac:dyDescent="0.3">
      <c r="A25" s="44" t="s">
        <v>228</v>
      </c>
      <c r="B25" s="179">
        <v>5</v>
      </c>
      <c r="C25" s="339">
        <v>1</v>
      </c>
      <c r="D25" s="244">
        <v>0</v>
      </c>
      <c r="E25" s="61">
        <f t="shared" si="2"/>
        <v>6</v>
      </c>
      <c r="F25" s="75" t="s">
        <v>228</v>
      </c>
      <c r="G25" s="177">
        <v>25</v>
      </c>
      <c r="H25" s="341">
        <v>5</v>
      </c>
      <c r="I25" s="245">
        <v>0</v>
      </c>
      <c r="J25" s="77">
        <f t="shared" si="3"/>
        <v>30</v>
      </c>
      <c r="K25" s="475" t="s">
        <v>227</v>
      </c>
      <c r="L25" s="453" t="s">
        <v>16</v>
      </c>
      <c r="M25" s="467"/>
      <c r="N25" s="454"/>
      <c r="O25" s="469" t="s">
        <v>267</v>
      </c>
      <c r="P25" s="470"/>
      <c r="Q25" s="471"/>
      <c r="R25" s="457" t="s">
        <v>698</v>
      </c>
      <c r="S25" s="458"/>
      <c r="T25" s="459"/>
      <c r="U25" s="457" t="s">
        <v>562</v>
      </c>
      <c r="V25" s="458"/>
      <c r="W25" s="459"/>
      <c r="AC25" s="457" t="s">
        <v>463</v>
      </c>
      <c r="AD25" s="458"/>
      <c r="AE25" s="459"/>
      <c r="AF25" s="469" t="s">
        <v>355</v>
      </c>
      <c r="AG25" s="470"/>
      <c r="AH25" s="471"/>
      <c r="AI25" s="469" t="s">
        <v>260</v>
      </c>
      <c r="AJ25" s="470"/>
      <c r="AK25" s="471"/>
      <c r="AL25" s="469" t="s">
        <v>199</v>
      </c>
      <c r="AM25" s="470"/>
      <c r="AN25" s="471"/>
      <c r="AO25" s="469" t="s">
        <v>92</v>
      </c>
      <c r="AP25" s="470"/>
      <c r="AQ25" s="471"/>
      <c r="AR25" s="469" t="s">
        <v>63</v>
      </c>
      <c r="AS25" s="470"/>
      <c r="AT25" s="471"/>
      <c r="AU25" s="469" t="s">
        <v>59</v>
      </c>
      <c r="AV25" s="470"/>
      <c r="AW25" s="471"/>
      <c r="AX25" s="469" t="s">
        <v>45</v>
      </c>
      <c r="AY25" s="470"/>
      <c r="AZ25" s="471"/>
    </row>
    <row r="26" spans="1:52" ht="14.95" customHeight="1" thickBot="1" x14ac:dyDescent="0.3">
      <c r="A26" s="44" t="s">
        <v>573</v>
      </c>
      <c r="B26" s="179">
        <v>4</v>
      </c>
      <c r="C26" s="339">
        <v>0</v>
      </c>
      <c r="D26" s="244">
        <v>1</v>
      </c>
      <c r="E26" s="61">
        <v>0</v>
      </c>
      <c r="F26" s="75" t="s">
        <v>573</v>
      </c>
      <c r="G26" s="177">
        <v>20</v>
      </c>
      <c r="H26" s="341">
        <v>0</v>
      </c>
      <c r="I26" s="245">
        <v>5</v>
      </c>
      <c r="J26" s="77">
        <f t="shared" ref="J26" si="17">SUM(G26:I26)</f>
        <v>25</v>
      </c>
      <c r="K26" s="476"/>
      <c r="L26" s="455"/>
      <c r="M26" s="468"/>
      <c r="N26" s="456"/>
      <c r="O26" s="472"/>
      <c r="P26" s="473"/>
      <c r="Q26" s="474"/>
      <c r="R26" s="460"/>
      <c r="S26" s="461"/>
      <c r="T26" s="462"/>
      <c r="U26" s="460"/>
      <c r="V26" s="461"/>
      <c r="W26" s="462"/>
      <c r="AC26" s="460"/>
      <c r="AD26" s="461"/>
      <c r="AE26" s="462"/>
      <c r="AF26" s="472"/>
      <c r="AG26" s="473"/>
      <c r="AH26" s="474"/>
      <c r="AI26" s="472"/>
      <c r="AJ26" s="473"/>
      <c r="AK26" s="474"/>
      <c r="AL26" s="472"/>
      <c r="AM26" s="473"/>
      <c r="AN26" s="474"/>
      <c r="AO26" s="472"/>
      <c r="AP26" s="473"/>
      <c r="AQ26" s="474"/>
      <c r="AR26" s="472"/>
      <c r="AS26" s="473"/>
      <c r="AT26" s="474"/>
      <c r="AU26" s="472"/>
      <c r="AV26" s="473"/>
      <c r="AW26" s="474"/>
      <c r="AX26" s="472"/>
      <c r="AY26" s="473"/>
      <c r="AZ26" s="474"/>
    </row>
    <row r="27" spans="1:52" ht="14.95" customHeight="1" thickBot="1" x14ac:dyDescent="0.3">
      <c r="A27" s="44" t="s">
        <v>438</v>
      </c>
      <c r="B27" s="179">
        <v>0</v>
      </c>
      <c r="C27" s="339">
        <v>0</v>
      </c>
      <c r="D27" s="244">
        <v>2</v>
      </c>
      <c r="E27" s="61">
        <f t="shared" si="2"/>
        <v>2</v>
      </c>
      <c r="F27" s="75" t="s">
        <v>438</v>
      </c>
      <c r="G27" s="177">
        <v>0</v>
      </c>
      <c r="H27" s="341">
        <v>0</v>
      </c>
      <c r="I27" s="245">
        <v>10</v>
      </c>
      <c r="J27" s="77">
        <f t="shared" si="3"/>
        <v>10</v>
      </c>
      <c r="K27" s="298" t="s">
        <v>25</v>
      </c>
      <c r="L27" s="3" t="s">
        <v>55</v>
      </c>
      <c r="M27" s="3" t="s">
        <v>11</v>
      </c>
      <c r="N27" s="3" t="s">
        <v>12</v>
      </c>
      <c r="O27" s="7" t="s">
        <v>55</v>
      </c>
      <c r="P27" s="7" t="s">
        <v>11</v>
      </c>
      <c r="Q27" s="7" t="s">
        <v>12</v>
      </c>
      <c r="R27" s="80" t="s">
        <v>55</v>
      </c>
      <c r="S27" s="80" t="s">
        <v>11</v>
      </c>
      <c r="T27" s="80" t="s">
        <v>12</v>
      </c>
      <c r="U27" s="80" t="s">
        <v>55</v>
      </c>
      <c r="V27" s="80" t="s">
        <v>11</v>
      </c>
      <c r="W27" s="80" t="s">
        <v>12</v>
      </c>
      <c r="AC27" s="85" t="s">
        <v>55</v>
      </c>
      <c r="AD27" s="80" t="s">
        <v>11</v>
      </c>
      <c r="AE27" s="80" t="s">
        <v>12</v>
      </c>
      <c r="AF27" s="150" t="s">
        <v>55</v>
      </c>
      <c r="AG27" s="7" t="s">
        <v>11</v>
      </c>
      <c r="AH27" s="7" t="s">
        <v>12</v>
      </c>
      <c r="AI27" s="150" t="s">
        <v>55</v>
      </c>
      <c r="AJ27" s="7" t="s">
        <v>11</v>
      </c>
      <c r="AK27" s="7" t="s">
        <v>12</v>
      </c>
      <c r="AL27" s="150" t="s">
        <v>55</v>
      </c>
      <c r="AM27" s="7" t="s">
        <v>11</v>
      </c>
      <c r="AN27" s="7" t="s">
        <v>12</v>
      </c>
      <c r="AO27" s="150" t="s">
        <v>55</v>
      </c>
      <c r="AP27" s="7" t="s">
        <v>11</v>
      </c>
      <c r="AQ27" s="7" t="s">
        <v>12</v>
      </c>
      <c r="AR27" s="150" t="s">
        <v>55</v>
      </c>
      <c r="AS27" s="7" t="s">
        <v>11</v>
      </c>
      <c r="AT27" s="7" t="s">
        <v>12</v>
      </c>
      <c r="AU27" s="150" t="s">
        <v>55</v>
      </c>
      <c r="AV27" s="7" t="s">
        <v>11</v>
      </c>
      <c r="AW27" s="7" t="s">
        <v>12</v>
      </c>
      <c r="AX27" s="150" t="s">
        <v>13</v>
      </c>
      <c r="AY27" s="7" t="s">
        <v>11</v>
      </c>
      <c r="AZ27" s="7" t="s">
        <v>12</v>
      </c>
    </row>
    <row r="28" spans="1:52" ht="14.95" customHeight="1" thickBot="1" x14ac:dyDescent="0.3">
      <c r="A28" s="44" t="s">
        <v>767</v>
      </c>
      <c r="B28" s="179">
        <v>0</v>
      </c>
      <c r="C28" s="339">
        <v>0</v>
      </c>
      <c r="D28" s="244">
        <v>1</v>
      </c>
      <c r="E28" s="61">
        <f t="shared" ref="E28" si="18">SUM(B28:D28)</f>
        <v>1</v>
      </c>
      <c r="F28" s="75" t="s">
        <v>767</v>
      </c>
      <c r="G28" s="177">
        <v>0</v>
      </c>
      <c r="H28" s="341">
        <v>0</v>
      </c>
      <c r="I28" s="245">
        <v>5</v>
      </c>
      <c r="J28" s="77">
        <f t="shared" ref="J28" si="19">SUM(G28:I28)</f>
        <v>5</v>
      </c>
      <c r="K28" s="99" t="s">
        <v>779</v>
      </c>
      <c r="L28" s="61" t="s">
        <v>17</v>
      </c>
      <c r="M28" s="61" t="s">
        <v>17</v>
      </c>
      <c r="N28" s="61" t="s">
        <v>17</v>
      </c>
      <c r="O28" s="150" t="s">
        <v>17</v>
      </c>
      <c r="P28" s="7" t="s">
        <v>17</v>
      </c>
      <c r="Q28" s="7" t="s">
        <v>17</v>
      </c>
      <c r="R28" s="150" t="s">
        <v>17</v>
      </c>
      <c r="S28" s="7" t="s">
        <v>17</v>
      </c>
      <c r="T28" s="7" t="s">
        <v>17</v>
      </c>
      <c r="U28" s="150" t="s">
        <v>17</v>
      </c>
      <c r="V28" s="7" t="s">
        <v>17</v>
      </c>
      <c r="W28" s="7" t="s">
        <v>17</v>
      </c>
      <c r="AC28" s="150" t="s">
        <v>17</v>
      </c>
      <c r="AD28" s="7" t="s">
        <v>17</v>
      </c>
      <c r="AE28" s="7" t="s">
        <v>17</v>
      </c>
      <c r="AF28" s="150" t="s">
        <v>17</v>
      </c>
      <c r="AG28" s="7" t="s">
        <v>17</v>
      </c>
      <c r="AH28" s="7" t="s">
        <v>17</v>
      </c>
      <c r="AI28" s="150" t="s">
        <v>17</v>
      </c>
      <c r="AJ28" s="7" t="s">
        <v>17</v>
      </c>
      <c r="AK28" s="7" t="s">
        <v>17</v>
      </c>
      <c r="AL28" s="150">
        <v>5</v>
      </c>
      <c r="AM28" s="7">
        <v>9</v>
      </c>
      <c r="AN28" s="7">
        <v>56</v>
      </c>
      <c r="AO28" s="150">
        <v>5</v>
      </c>
      <c r="AP28" s="7">
        <v>6</v>
      </c>
      <c r="AQ28" s="7">
        <v>83</v>
      </c>
      <c r="AR28" s="150">
        <v>7</v>
      </c>
      <c r="AS28" s="7">
        <v>12</v>
      </c>
      <c r="AT28" s="7">
        <v>58</v>
      </c>
      <c r="AU28" s="150">
        <v>22</v>
      </c>
      <c r="AV28" s="7">
        <v>25</v>
      </c>
      <c r="AW28" s="7">
        <v>88</v>
      </c>
      <c r="AX28" s="150" t="s">
        <v>17</v>
      </c>
      <c r="AY28" s="7" t="s">
        <v>17</v>
      </c>
      <c r="AZ28" s="155" t="s">
        <v>17</v>
      </c>
    </row>
    <row r="29" spans="1:52" ht="14.95" customHeight="1" thickBot="1" x14ac:dyDescent="0.3">
      <c r="A29" s="44" t="s">
        <v>423</v>
      </c>
      <c r="B29" s="179">
        <v>0</v>
      </c>
      <c r="C29" s="339">
        <v>2</v>
      </c>
      <c r="D29" s="244">
        <v>0</v>
      </c>
      <c r="E29" s="61">
        <f t="shared" si="2"/>
        <v>2</v>
      </c>
      <c r="F29" s="75" t="s">
        <v>423</v>
      </c>
      <c r="G29" s="177">
        <v>0</v>
      </c>
      <c r="H29" s="341">
        <v>10</v>
      </c>
      <c r="I29" s="245">
        <v>0</v>
      </c>
      <c r="J29" s="77">
        <f t="shared" si="3"/>
        <v>10</v>
      </c>
      <c r="K29" s="51" t="s">
        <v>637</v>
      </c>
      <c r="L29" s="14">
        <v>1</v>
      </c>
      <c r="M29" s="14">
        <v>1</v>
      </c>
      <c r="N29" s="149">
        <f t="shared" ref="N29" si="20">SUM(L29/M29)*100</f>
        <v>100</v>
      </c>
      <c r="O29" s="150" t="s">
        <v>17</v>
      </c>
      <c r="P29" s="7" t="s">
        <v>17</v>
      </c>
      <c r="Q29" s="7" t="s">
        <v>17</v>
      </c>
      <c r="R29" s="150" t="s">
        <v>17</v>
      </c>
      <c r="S29" s="7" t="s">
        <v>17</v>
      </c>
      <c r="T29" s="7" t="s">
        <v>17</v>
      </c>
      <c r="U29" s="150" t="s">
        <v>17</v>
      </c>
      <c r="V29" s="7" t="s">
        <v>17</v>
      </c>
      <c r="W29" s="7" t="s">
        <v>17</v>
      </c>
      <c r="AC29" s="150" t="s">
        <v>17</v>
      </c>
      <c r="AD29" s="7" t="s">
        <v>17</v>
      </c>
      <c r="AE29" s="7" t="s">
        <v>17</v>
      </c>
      <c r="AF29" s="150" t="s">
        <v>17</v>
      </c>
      <c r="AG29" s="7" t="s">
        <v>17</v>
      </c>
      <c r="AH29" s="155" t="s">
        <v>17</v>
      </c>
      <c r="AI29" s="150" t="s">
        <v>17</v>
      </c>
      <c r="AJ29" s="7" t="s">
        <v>17</v>
      </c>
      <c r="AK29" s="155" t="s">
        <v>17</v>
      </c>
      <c r="AL29" s="150" t="s">
        <v>17</v>
      </c>
      <c r="AM29" s="7" t="s">
        <v>17</v>
      </c>
      <c r="AN29" s="155" t="s">
        <v>17</v>
      </c>
      <c r="AO29" s="150" t="s">
        <v>17</v>
      </c>
      <c r="AP29" s="7" t="s">
        <v>17</v>
      </c>
      <c r="AQ29" s="155" t="s">
        <v>17</v>
      </c>
      <c r="AR29" s="150" t="s">
        <v>17</v>
      </c>
      <c r="AS29" s="7" t="s">
        <v>17</v>
      </c>
      <c r="AT29" s="155" t="s">
        <v>17</v>
      </c>
      <c r="AU29" s="150" t="s">
        <v>17</v>
      </c>
      <c r="AV29" s="7" t="s">
        <v>17</v>
      </c>
      <c r="AW29" s="155" t="s">
        <v>17</v>
      </c>
      <c r="AX29" s="150" t="s">
        <v>17</v>
      </c>
      <c r="AY29" s="7" t="s">
        <v>17</v>
      </c>
      <c r="AZ29" s="155" t="s">
        <v>17</v>
      </c>
    </row>
    <row r="30" spans="1:52" ht="14.95" customHeight="1" thickBot="1" x14ac:dyDescent="0.3">
      <c r="A30" s="44" t="s">
        <v>1076</v>
      </c>
      <c r="B30" s="179">
        <v>0</v>
      </c>
      <c r="C30" s="339">
        <v>0</v>
      </c>
      <c r="D30" s="244">
        <v>1</v>
      </c>
      <c r="E30" s="61">
        <f t="shared" si="2"/>
        <v>1</v>
      </c>
      <c r="F30" s="75" t="s">
        <v>1076</v>
      </c>
      <c r="G30" s="177">
        <v>0</v>
      </c>
      <c r="H30" s="341">
        <v>0</v>
      </c>
      <c r="I30" s="245">
        <v>5</v>
      </c>
      <c r="J30" s="77">
        <f t="shared" si="3"/>
        <v>5</v>
      </c>
      <c r="K30" s="51" t="s">
        <v>203</v>
      </c>
      <c r="L30" s="14">
        <v>4</v>
      </c>
      <c r="M30" s="14">
        <v>4</v>
      </c>
      <c r="N30" s="25">
        <f t="shared" ref="N30" si="21">SUM(L30/M30)*100</f>
        <v>100</v>
      </c>
      <c r="O30" s="7">
        <v>5</v>
      </c>
      <c r="P30" s="7">
        <v>5</v>
      </c>
      <c r="Q30" s="155">
        <v>100</v>
      </c>
      <c r="R30" s="7" t="s">
        <v>17</v>
      </c>
      <c r="S30" s="7" t="s">
        <v>17</v>
      </c>
      <c r="T30" s="155" t="s">
        <v>17</v>
      </c>
      <c r="U30" s="7">
        <v>1</v>
      </c>
      <c r="V30" s="7">
        <v>2</v>
      </c>
      <c r="W30" s="155">
        <f t="shared" ref="W30" si="22">(U30/V30)*100</f>
        <v>50</v>
      </c>
      <c r="AC30" s="85" t="s">
        <v>17</v>
      </c>
      <c r="AD30" s="80" t="s">
        <v>17</v>
      </c>
      <c r="AE30" s="173" t="s">
        <v>17</v>
      </c>
      <c r="AF30" s="150" t="s">
        <v>17</v>
      </c>
      <c r="AG30" s="7" t="s">
        <v>17</v>
      </c>
      <c r="AH30" s="155" t="s">
        <v>17</v>
      </c>
      <c r="AI30" s="150" t="s">
        <v>17</v>
      </c>
      <c r="AJ30" s="7" t="s">
        <v>17</v>
      </c>
      <c r="AK30" s="155" t="s">
        <v>17</v>
      </c>
      <c r="AL30" s="150">
        <v>21</v>
      </c>
      <c r="AM30" s="7">
        <v>25</v>
      </c>
      <c r="AN30" s="155">
        <f>SUM(AL30/AM30)*100</f>
        <v>84</v>
      </c>
      <c r="AO30" s="150">
        <v>11</v>
      </c>
      <c r="AP30" s="7">
        <v>13</v>
      </c>
      <c r="AQ30" s="155">
        <f>SUM(AO30/AP30)*100</f>
        <v>84.615384615384613</v>
      </c>
      <c r="AR30" s="150">
        <v>11</v>
      </c>
      <c r="AS30" s="7">
        <v>18</v>
      </c>
      <c r="AT30" s="155">
        <f>SUM(AR30/AS30)*100</f>
        <v>61.111111111111114</v>
      </c>
      <c r="AU30" s="150">
        <v>13</v>
      </c>
      <c r="AV30" s="7">
        <v>18</v>
      </c>
      <c r="AW30" s="155">
        <f>SUM(AU30/AV30)*100</f>
        <v>72.222222222222214</v>
      </c>
      <c r="AX30" s="7" t="s">
        <v>17</v>
      </c>
      <c r="AY30" s="7" t="s">
        <v>17</v>
      </c>
      <c r="AZ30" s="7" t="s">
        <v>17</v>
      </c>
    </row>
    <row r="31" spans="1:52" ht="14.95" customHeight="1" thickBot="1" x14ac:dyDescent="0.3">
      <c r="A31" s="44" t="s">
        <v>663</v>
      </c>
      <c r="B31" s="179">
        <v>7</v>
      </c>
      <c r="C31" s="339">
        <v>0</v>
      </c>
      <c r="D31" s="244">
        <v>0</v>
      </c>
      <c r="E31" s="61">
        <f t="shared" si="2"/>
        <v>7</v>
      </c>
      <c r="F31" s="75" t="s">
        <v>663</v>
      </c>
      <c r="G31" s="177">
        <v>35</v>
      </c>
      <c r="H31" s="341">
        <v>0</v>
      </c>
      <c r="I31" s="245">
        <v>0</v>
      </c>
      <c r="J31" s="77">
        <f t="shared" si="3"/>
        <v>35</v>
      </c>
      <c r="K31" s="51" t="s">
        <v>317</v>
      </c>
      <c r="L31" s="14">
        <v>11</v>
      </c>
      <c r="M31" s="14">
        <v>15</v>
      </c>
      <c r="N31" s="25">
        <f t="shared" ref="N31" si="23">SUM(L31/M31)*100</f>
        <v>73.333333333333329</v>
      </c>
      <c r="O31" s="7">
        <v>19</v>
      </c>
      <c r="P31" s="7">
        <v>24</v>
      </c>
      <c r="Q31" s="155">
        <v>79.166666666666657</v>
      </c>
      <c r="R31" s="7" t="s">
        <v>17</v>
      </c>
      <c r="S31" s="7" t="s">
        <v>17</v>
      </c>
      <c r="T31" s="155" t="s">
        <v>17</v>
      </c>
      <c r="U31" s="7" t="s">
        <v>17</v>
      </c>
      <c r="V31" s="7" t="s">
        <v>17</v>
      </c>
      <c r="W31" s="155" t="s">
        <v>17</v>
      </c>
      <c r="AC31" s="150" t="s">
        <v>17</v>
      </c>
      <c r="AD31" s="7" t="s">
        <v>17</v>
      </c>
      <c r="AE31" s="155" t="s">
        <v>17</v>
      </c>
      <c r="AF31" s="6" t="s">
        <v>17</v>
      </c>
      <c r="AG31" s="7" t="s">
        <v>17</v>
      </c>
      <c r="AH31" s="155" t="s">
        <v>17</v>
      </c>
      <c r="AI31" s="7" t="s">
        <v>17</v>
      </c>
      <c r="AJ31" s="7" t="s">
        <v>17</v>
      </c>
      <c r="AK31" s="155" t="s">
        <v>17</v>
      </c>
      <c r="AL31" s="7" t="s">
        <v>17</v>
      </c>
      <c r="AM31" s="7" t="s">
        <v>17</v>
      </c>
      <c r="AN31" s="155" t="s">
        <v>17</v>
      </c>
      <c r="AO31" s="7" t="s">
        <v>17</v>
      </c>
      <c r="AP31" s="7" t="s">
        <v>17</v>
      </c>
      <c r="AQ31" s="155" t="s">
        <v>17</v>
      </c>
      <c r="AR31" s="7" t="s">
        <v>17</v>
      </c>
      <c r="AS31" s="7" t="s">
        <v>17</v>
      </c>
      <c r="AT31" s="155" t="s">
        <v>17</v>
      </c>
      <c r="AU31" s="7" t="s">
        <v>17</v>
      </c>
      <c r="AV31" s="7" t="s">
        <v>17</v>
      </c>
      <c r="AW31" s="155" t="s">
        <v>17</v>
      </c>
      <c r="AX31" s="7" t="s">
        <v>17</v>
      </c>
      <c r="AY31" s="7" t="s">
        <v>17</v>
      </c>
      <c r="AZ31" s="155" t="s">
        <v>17</v>
      </c>
    </row>
    <row r="32" spans="1:52" ht="14.95" customHeight="1" thickBot="1" x14ac:dyDescent="0.3">
      <c r="A32" s="44" t="s">
        <v>57</v>
      </c>
      <c r="B32" s="179">
        <v>1</v>
      </c>
      <c r="C32" s="339">
        <v>1</v>
      </c>
      <c r="D32" s="244">
        <v>0</v>
      </c>
      <c r="E32" s="61">
        <f t="shared" si="2"/>
        <v>2</v>
      </c>
      <c r="F32" s="75" t="s">
        <v>57</v>
      </c>
      <c r="G32" s="177">
        <v>5</v>
      </c>
      <c r="H32" s="341">
        <v>5</v>
      </c>
      <c r="I32" s="245">
        <v>0</v>
      </c>
      <c r="J32" s="77">
        <f t="shared" si="3"/>
        <v>10</v>
      </c>
      <c r="K32" s="51" t="s">
        <v>679</v>
      </c>
      <c r="L32" s="14" t="s">
        <v>17</v>
      </c>
      <c r="M32" s="14" t="s">
        <v>17</v>
      </c>
      <c r="N32" s="25" t="s">
        <v>17</v>
      </c>
      <c r="O32" s="7">
        <v>2</v>
      </c>
      <c r="P32" s="7">
        <v>2</v>
      </c>
      <c r="Q32" s="155">
        <v>100</v>
      </c>
      <c r="R32" s="7" t="s">
        <v>17</v>
      </c>
      <c r="S32" s="7" t="s">
        <v>17</v>
      </c>
      <c r="T32" s="155" t="s">
        <v>17</v>
      </c>
      <c r="U32" s="7" t="s">
        <v>17</v>
      </c>
      <c r="V32" s="7" t="s">
        <v>17</v>
      </c>
      <c r="W32" s="155" t="s">
        <v>17</v>
      </c>
      <c r="AC32" s="150" t="s">
        <v>17</v>
      </c>
      <c r="AD32" s="7" t="s">
        <v>17</v>
      </c>
      <c r="AE32" s="155" t="s">
        <v>17</v>
      </c>
      <c r="AF32" s="6" t="s">
        <v>17</v>
      </c>
      <c r="AG32" s="7" t="s">
        <v>17</v>
      </c>
      <c r="AH32" s="155" t="s">
        <v>17</v>
      </c>
      <c r="AI32" s="7" t="s">
        <v>17</v>
      </c>
      <c r="AJ32" s="7" t="s">
        <v>17</v>
      </c>
      <c r="AK32" s="155" t="s">
        <v>17</v>
      </c>
      <c r="AL32" s="7" t="s">
        <v>17</v>
      </c>
      <c r="AM32" s="7" t="s">
        <v>17</v>
      </c>
      <c r="AN32" s="155" t="s">
        <v>17</v>
      </c>
      <c r="AO32" s="7" t="s">
        <v>17</v>
      </c>
      <c r="AP32" s="7" t="s">
        <v>17</v>
      </c>
      <c r="AQ32" s="155" t="s">
        <v>17</v>
      </c>
      <c r="AR32" s="7" t="s">
        <v>17</v>
      </c>
      <c r="AS32" s="7" t="s">
        <v>17</v>
      </c>
      <c r="AT32" s="155" t="s">
        <v>17</v>
      </c>
      <c r="AU32" s="7" t="s">
        <v>17</v>
      </c>
      <c r="AV32" s="7" t="s">
        <v>17</v>
      </c>
      <c r="AW32" s="155" t="s">
        <v>17</v>
      </c>
      <c r="AX32" s="7" t="s">
        <v>17</v>
      </c>
      <c r="AY32" s="7" t="s">
        <v>17</v>
      </c>
      <c r="AZ32" s="155" t="s">
        <v>17</v>
      </c>
    </row>
    <row r="33" spans="1:52" ht="14.95" customHeight="1" thickBot="1" x14ac:dyDescent="0.3">
      <c r="A33" s="44" t="s">
        <v>769</v>
      </c>
      <c r="B33" s="179">
        <v>0</v>
      </c>
      <c r="C33" s="339">
        <v>0</v>
      </c>
      <c r="D33" s="244">
        <v>0</v>
      </c>
      <c r="E33" s="61">
        <f t="shared" si="2"/>
        <v>0</v>
      </c>
      <c r="F33" s="75" t="s">
        <v>769</v>
      </c>
      <c r="G33" s="177">
        <v>0</v>
      </c>
      <c r="H33" s="341">
        <v>0</v>
      </c>
      <c r="I33" s="245">
        <v>0</v>
      </c>
      <c r="J33" s="77">
        <f t="shared" si="3"/>
        <v>0</v>
      </c>
      <c r="K33" s="51" t="s">
        <v>771</v>
      </c>
      <c r="L33" s="14">
        <v>1</v>
      </c>
      <c r="M33" s="14">
        <v>2</v>
      </c>
      <c r="N33" s="149">
        <f t="shared" ref="N33" si="24">SUM(L33/M33)*100</f>
        <v>50</v>
      </c>
      <c r="O33" s="7" t="s">
        <v>17</v>
      </c>
      <c r="P33" s="7" t="s">
        <v>17</v>
      </c>
      <c r="Q33" s="155" t="s">
        <v>17</v>
      </c>
      <c r="R33" s="7" t="s">
        <v>17</v>
      </c>
      <c r="S33" s="7" t="s">
        <v>17</v>
      </c>
      <c r="T33" s="155" t="s">
        <v>17</v>
      </c>
      <c r="U33" s="7" t="s">
        <v>17</v>
      </c>
      <c r="V33" s="7" t="s">
        <v>17</v>
      </c>
      <c r="W33" s="155" t="s">
        <v>17</v>
      </c>
      <c r="AC33" s="85" t="s">
        <v>17</v>
      </c>
      <c r="AD33" s="80" t="s">
        <v>17</v>
      </c>
      <c r="AE33" s="173" t="s">
        <v>17</v>
      </c>
      <c r="AF33" s="150" t="s">
        <v>17</v>
      </c>
      <c r="AG33" s="7" t="s">
        <v>17</v>
      </c>
      <c r="AH33" s="155" t="s">
        <v>17</v>
      </c>
      <c r="AI33" s="150" t="s">
        <v>17</v>
      </c>
      <c r="AJ33" s="7" t="s">
        <v>17</v>
      </c>
      <c r="AK33" s="155" t="s">
        <v>17</v>
      </c>
      <c r="AL33" s="6" t="s">
        <v>17</v>
      </c>
      <c r="AM33" s="7" t="s">
        <v>17</v>
      </c>
      <c r="AN33" s="7" t="s">
        <v>17</v>
      </c>
      <c r="AO33" s="6" t="s">
        <v>17</v>
      </c>
      <c r="AP33" s="7" t="s">
        <v>17</v>
      </c>
      <c r="AQ33" s="7" t="s">
        <v>17</v>
      </c>
      <c r="AR33" s="7" t="s">
        <v>17</v>
      </c>
      <c r="AS33" s="7" t="s">
        <v>17</v>
      </c>
      <c r="AT33" s="7" t="s">
        <v>17</v>
      </c>
      <c r="AU33" s="7" t="s">
        <v>17</v>
      </c>
      <c r="AV33" s="7" t="s">
        <v>17</v>
      </c>
      <c r="AW33" s="7" t="s">
        <v>17</v>
      </c>
      <c r="AX33" s="7" t="s">
        <v>17</v>
      </c>
      <c r="AY33" s="7" t="s">
        <v>17</v>
      </c>
      <c r="AZ33" s="7" t="s">
        <v>17</v>
      </c>
    </row>
    <row r="34" spans="1:52" ht="14.95" customHeight="1" thickBot="1" x14ac:dyDescent="0.3">
      <c r="A34" s="44" t="s">
        <v>32</v>
      </c>
      <c r="B34" s="179">
        <v>0</v>
      </c>
      <c r="C34" s="339">
        <v>0</v>
      </c>
      <c r="D34" s="244">
        <v>0</v>
      </c>
      <c r="E34" s="61">
        <f t="shared" si="2"/>
        <v>0</v>
      </c>
      <c r="F34" s="75" t="s">
        <v>32</v>
      </c>
      <c r="G34" s="177">
        <v>0</v>
      </c>
      <c r="H34" s="341">
        <v>0</v>
      </c>
      <c r="I34" s="245">
        <v>0</v>
      </c>
      <c r="J34" s="77">
        <f t="shared" si="3"/>
        <v>0</v>
      </c>
      <c r="AC34" t="s">
        <v>25</v>
      </c>
    </row>
    <row r="35" spans="1:52" ht="14.95" customHeight="1" thickBot="1" x14ac:dyDescent="0.3">
      <c r="A35" s="44" t="s">
        <v>649</v>
      </c>
      <c r="B35" s="179">
        <v>1</v>
      </c>
      <c r="C35" s="339">
        <v>0</v>
      </c>
      <c r="D35" s="244">
        <v>0</v>
      </c>
      <c r="E35" s="61">
        <f t="shared" si="2"/>
        <v>1</v>
      </c>
      <c r="F35" s="75" t="s">
        <v>649</v>
      </c>
      <c r="G35" s="177">
        <v>5</v>
      </c>
      <c r="H35" s="341">
        <v>0</v>
      </c>
      <c r="I35" s="245">
        <v>0</v>
      </c>
      <c r="J35" s="77">
        <f t="shared" si="3"/>
        <v>5</v>
      </c>
      <c r="K35" s="499" t="s">
        <v>93</v>
      </c>
      <c r="L35" s="453" t="s">
        <v>16</v>
      </c>
      <c r="M35" s="467"/>
      <c r="N35" s="454"/>
      <c r="O35" s="469" t="s">
        <v>267</v>
      </c>
      <c r="P35" s="470"/>
      <c r="Q35" s="471"/>
      <c r="R35" s="457" t="s">
        <v>698</v>
      </c>
      <c r="S35" s="458"/>
      <c r="T35" s="459"/>
      <c r="U35" s="469" t="s">
        <v>562</v>
      </c>
      <c r="V35" s="470"/>
      <c r="W35" s="471"/>
      <c r="AC35" s="469" t="s">
        <v>355</v>
      </c>
      <c r="AD35" s="470"/>
      <c r="AE35" s="471"/>
      <c r="AF35" s="469" t="s">
        <v>260</v>
      </c>
      <c r="AG35" s="470"/>
      <c r="AH35" s="471"/>
      <c r="AI35" s="469" t="s">
        <v>199</v>
      </c>
      <c r="AJ35" s="470"/>
      <c r="AK35" s="471"/>
      <c r="AL35" s="469" t="s">
        <v>92</v>
      </c>
      <c r="AM35" s="470"/>
      <c r="AN35" s="471"/>
      <c r="AO35" s="469" t="s">
        <v>59</v>
      </c>
      <c r="AP35" s="470"/>
      <c r="AQ35" s="471"/>
      <c r="AR35" s="469" t="s">
        <v>45</v>
      </c>
      <c r="AS35" s="470"/>
      <c r="AT35" s="471"/>
    </row>
    <row r="36" spans="1:52" ht="14.95" customHeight="1" thickBot="1" x14ac:dyDescent="0.3">
      <c r="A36" s="44" t="s">
        <v>29</v>
      </c>
      <c r="B36" s="179">
        <v>0</v>
      </c>
      <c r="C36" s="339">
        <v>2</v>
      </c>
      <c r="D36" s="244">
        <v>0</v>
      </c>
      <c r="E36" s="61">
        <f t="shared" si="2"/>
        <v>2</v>
      </c>
      <c r="F36" s="75" t="s">
        <v>29</v>
      </c>
      <c r="G36" s="177">
        <v>0</v>
      </c>
      <c r="H36" s="341">
        <v>10</v>
      </c>
      <c r="I36" s="245">
        <v>0</v>
      </c>
      <c r="J36" s="77">
        <f t="shared" si="3"/>
        <v>10</v>
      </c>
      <c r="K36" s="500"/>
      <c r="L36" s="455"/>
      <c r="M36" s="468"/>
      <c r="N36" s="456"/>
      <c r="O36" s="472"/>
      <c r="P36" s="473"/>
      <c r="Q36" s="474"/>
      <c r="R36" s="460"/>
      <c r="S36" s="461"/>
      <c r="T36" s="462"/>
      <c r="U36" s="472"/>
      <c r="V36" s="473"/>
      <c r="W36" s="474"/>
      <c r="AC36" s="472"/>
      <c r="AD36" s="473"/>
      <c r="AE36" s="474"/>
      <c r="AF36" s="472"/>
      <c r="AG36" s="473"/>
      <c r="AH36" s="474"/>
      <c r="AI36" s="472"/>
      <c r="AJ36" s="473"/>
      <c r="AK36" s="474"/>
      <c r="AL36" s="472"/>
      <c r="AM36" s="473"/>
      <c r="AN36" s="474"/>
      <c r="AO36" s="472"/>
      <c r="AP36" s="473"/>
      <c r="AQ36" s="474"/>
      <c r="AR36" s="472"/>
      <c r="AS36" s="473"/>
      <c r="AT36" s="474"/>
    </row>
    <row r="37" spans="1:52" ht="14.95" customHeight="1" thickBot="1" x14ac:dyDescent="0.3">
      <c r="A37" s="44" t="s">
        <v>1071</v>
      </c>
      <c r="B37" s="179">
        <v>0</v>
      </c>
      <c r="C37" s="339">
        <v>0</v>
      </c>
      <c r="D37" s="244">
        <v>1</v>
      </c>
      <c r="E37" s="61">
        <f t="shared" si="2"/>
        <v>1</v>
      </c>
      <c r="F37" s="75" t="s">
        <v>1071</v>
      </c>
      <c r="G37" s="177">
        <v>0</v>
      </c>
      <c r="H37" s="341">
        <v>0</v>
      </c>
      <c r="I37" s="245">
        <v>5</v>
      </c>
      <c r="J37" s="77">
        <f t="shared" si="3"/>
        <v>5</v>
      </c>
      <c r="K37" s="224" t="s">
        <v>25</v>
      </c>
      <c r="L37" s="160" t="s">
        <v>55</v>
      </c>
      <c r="M37" s="3" t="s">
        <v>11</v>
      </c>
      <c r="N37" s="3" t="s">
        <v>12</v>
      </c>
      <c r="O37" s="150" t="s">
        <v>55</v>
      </c>
      <c r="P37" s="7" t="s">
        <v>11</v>
      </c>
      <c r="Q37" s="7" t="s">
        <v>12</v>
      </c>
      <c r="R37" s="150" t="s">
        <v>55</v>
      </c>
      <c r="S37" s="7" t="s">
        <v>11</v>
      </c>
      <c r="T37" s="7" t="s">
        <v>12</v>
      </c>
      <c r="U37" s="150" t="s">
        <v>55</v>
      </c>
      <c r="V37" s="7" t="s">
        <v>11</v>
      </c>
      <c r="W37" s="7" t="s">
        <v>12</v>
      </c>
      <c r="AC37" s="150" t="s">
        <v>55</v>
      </c>
      <c r="AD37" s="7" t="s">
        <v>11</v>
      </c>
      <c r="AE37" s="7" t="s">
        <v>12</v>
      </c>
      <c r="AF37" s="150" t="s">
        <v>55</v>
      </c>
      <c r="AG37" s="7" t="s">
        <v>11</v>
      </c>
      <c r="AH37" s="7" t="s">
        <v>12</v>
      </c>
      <c r="AI37" s="6" t="s">
        <v>55</v>
      </c>
      <c r="AJ37" s="7" t="s">
        <v>11</v>
      </c>
      <c r="AK37" s="7" t="s">
        <v>12</v>
      </c>
      <c r="AL37" s="150" t="s">
        <v>55</v>
      </c>
      <c r="AM37" s="7" t="s">
        <v>11</v>
      </c>
      <c r="AN37" s="7" t="s">
        <v>12</v>
      </c>
      <c r="AO37" s="150" t="s">
        <v>55</v>
      </c>
      <c r="AP37" s="7" t="s">
        <v>11</v>
      </c>
      <c r="AQ37" s="7" t="s">
        <v>12</v>
      </c>
      <c r="AR37" s="150" t="s">
        <v>55</v>
      </c>
      <c r="AS37" s="7" t="s">
        <v>11</v>
      </c>
      <c r="AT37" s="7" t="s">
        <v>12</v>
      </c>
    </row>
    <row r="38" spans="1:52" ht="14.95" customHeight="1" thickBot="1" x14ac:dyDescent="0.3">
      <c r="A38" s="44" t="s">
        <v>4</v>
      </c>
      <c r="B38" s="179">
        <v>1</v>
      </c>
      <c r="C38" s="339">
        <v>0</v>
      </c>
      <c r="D38" s="244">
        <v>1</v>
      </c>
      <c r="E38" s="61">
        <f t="shared" si="2"/>
        <v>2</v>
      </c>
      <c r="F38" s="75" t="s">
        <v>4</v>
      </c>
      <c r="G38" s="177">
        <v>7</v>
      </c>
      <c r="H38" s="341">
        <v>0</v>
      </c>
      <c r="I38" s="245">
        <v>7</v>
      </c>
      <c r="J38" s="77">
        <f t="shared" si="3"/>
        <v>14</v>
      </c>
      <c r="K38" s="51" t="s">
        <v>637</v>
      </c>
      <c r="L38" s="61">
        <v>5</v>
      </c>
      <c r="M38" s="61">
        <v>6</v>
      </c>
      <c r="N38" s="25">
        <f t="shared" ref="N38" si="25">SUM(L38/M38)*100</f>
        <v>83.333333333333343</v>
      </c>
      <c r="O38" s="7">
        <v>7</v>
      </c>
      <c r="P38" s="7">
        <v>13</v>
      </c>
      <c r="Q38" s="155">
        <v>53.846153846153847</v>
      </c>
      <c r="R38" s="7">
        <v>5</v>
      </c>
      <c r="S38" s="7">
        <v>7</v>
      </c>
      <c r="T38" s="155">
        <v>71.428571428571431</v>
      </c>
      <c r="U38" s="7">
        <v>1</v>
      </c>
      <c r="V38" s="7">
        <v>1</v>
      </c>
      <c r="W38" s="155">
        <f>SUM(U38/V38)*100</f>
        <v>100</v>
      </c>
      <c r="AC38" s="150" t="s">
        <v>17</v>
      </c>
      <c r="AD38" s="7" t="s">
        <v>17</v>
      </c>
      <c r="AE38" s="7" t="s">
        <v>17</v>
      </c>
      <c r="AF38" s="150"/>
      <c r="AG38" s="7"/>
      <c r="AH38" s="7"/>
      <c r="AI38" s="6"/>
      <c r="AJ38" s="7"/>
      <c r="AK38" s="7"/>
      <c r="AL38" s="150"/>
      <c r="AM38" s="7"/>
      <c r="AN38" s="7"/>
      <c r="AO38" s="150"/>
      <c r="AP38" s="7"/>
      <c r="AQ38" s="7"/>
      <c r="AR38" s="150"/>
      <c r="AS38" s="7"/>
      <c r="AT38" s="7"/>
    </row>
    <row r="39" spans="1:52" ht="14.95" customHeight="1" thickBot="1" x14ac:dyDescent="0.3">
      <c r="A39" s="44" t="s">
        <v>777</v>
      </c>
      <c r="B39" s="179">
        <v>0</v>
      </c>
      <c r="C39" s="339">
        <v>0</v>
      </c>
      <c r="D39" s="244">
        <v>0</v>
      </c>
      <c r="E39" s="61">
        <f t="shared" si="2"/>
        <v>0</v>
      </c>
      <c r="F39" s="75" t="s">
        <v>777</v>
      </c>
      <c r="G39" s="177">
        <v>0</v>
      </c>
      <c r="H39" s="341">
        <v>0</v>
      </c>
      <c r="I39" s="245">
        <v>0</v>
      </c>
      <c r="J39" s="77">
        <f t="shared" si="3"/>
        <v>0</v>
      </c>
      <c r="K39" s="99" t="s">
        <v>203</v>
      </c>
      <c r="L39" s="231">
        <v>4</v>
      </c>
      <c r="M39" s="61">
        <v>6</v>
      </c>
      <c r="N39" s="25">
        <f t="shared" ref="N39" si="26">SUM(L39/M39)*100</f>
        <v>66.666666666666657</v>
      </c>
      <c r="O39" s="150">
        <v>19</v>
      </c>
      <c r="P39" s="7">
        <v>31</v>
      </c>
      <c r="Q39" s="155">
        <v>61.29032258064516</v>
      </c>
      <c r="R39" s="150">
        <v>19</v>
      </c>
      <c r="S39" s="7">
        <v>23</v>
      </c>
      <c r="T39" s="155">
        <v>82.608695652173907</v>
      </c>
      <c r="U39" s="150">
        <v>13</v>
      </c>
      <c r="V39" s="7">
        <v>15</v>
      </c>
      <c r="W39" s="155">
        <f t="shared" ref="W39" si="27">(U39/V39)*100</f>
        <v>86.666666666666671</v>
      </c>
      <c r="AC39" s="150">
        <v>1</v>
      </c>
      <c r="AD39" s="7">
        <v>1</v>
      </c>
      <c r="AE39" s="155">
        <f>(AC39/AD39)*100</f>
        <v>100</v>
      </c>
      <c r="AF39" s="85" t="s">
        <v>17</v>
      </c>
      <c r="AG39" s="80" t="s">
        <v>17</v>
      </c>
      <c r="AH39" s="173" t="s">
        <v>17</v>
      </c>
      <c r="AI39" s="85" t="s">
        <v>17</v>
      </c>
      <c r="AJ39" s="80" t="s">
        <v>17</v>
      </c>
      <c r="AK39" s="173" t="s">
        <v>17</v>
      </c>
      <c r="AL39" s="85" t="s">
        <v>17</v>
      </c>
      <c r="AM39" s="80" t="s">
        <v>17</v>
      </c>
      <c r="AN39" s="173" t="s">
        <v>17</v>
      </c>
      <c r="AO39" s="85" t="s">
        <v>17</v>
      </c>
      <c r="AP39" s="80" t="s">
        <v>17</v>
      </c>
      <c r="AQ39" s="173" t="s">
        <v>17</v>
      </c>
      <c r="AR39" s="6" t="s">
        <v>17</v>
      </c>
      <c r="AS39" s="7" t="s">
        <v>17</v>
      </c>
      <c r="AT39" s="7" t="s">
        <v>17</v>
      </c>
    </row>
    <row r="40" spans="1:52" ht="14.95" customHeight="1" thickBot="1" x14ac:dyDescent="0.3">
      <c r="A40" s="44" t="s">
        <v>71</v>
      </c>
      <c r="B40" s="179">
        <v>0</v>
      </c>
      <c r="C40" s="339">
        <v>0</v>
      </c>
      <c r="D40" s="244">
        <v>1</v>
      </c>
      <c r="E40" s="61">
        <f t="shared" si="2"/>
        <v>1</v>
      </c>
      <c r="F40" s="75" t="s">
        <v>71</v>
      </c>
      <c r="G40" s="177">
        <v>0</v>
      </c>
      <c r="H40" s="341">
        <v>0</v>
      </c>
      <c r="I40" s="245">
        <v>5</v>
      </c>
      <c r="J40" s="77">
        <f t="shared" si="3"/>
        <v>5</v>
      </c>
      <c r="K40" s="99" t="s">
        <v>178</v>
      </c>
      <c r="L40" s="231" t="s">
        <v>17</v>
      </c>
      <c r="M40" s="61" t="s">
        <v>17</v>
      </c>
      <c r="N40" s="25" t="s">
        <v>17</v>
      </c>
      <c r="O40" s="150" t="s">
        <v>17</v>
      </c>
      <c r="P40" s="7" t="s">
        <v>17</v>
      </c>
      <c r="Q40" s="155" t="s">
        <v>17</v>
      </c>
      <c r="R40" s="150" t="s">
        <v>17</v>
      </c>
      <c r="S40" s="7" t="s">
        <v>17</v>
      </c>
      <c r="T40" s="155" t="s">
        <v>17</v>
      </c>
      <c r="U40" s="150" t="s">
        <v>17</v>
      </c>
      <c r="V40" s="7" t="s">
        <v>17</v>
      </c>
      <c r="W40" s="155" t="s">
        <v>17</v>
      </c>
      <c r="AC40" s="150" t="s">
        <v>17</v>
      </c>
      <c r="AD40" s="7" t="s">
        <v>17</v>
      </c>
      <c r="AE40" s="155" t="s">
        <v>17</v>
      </c>
      <c r="AF40" s="150">
        <v>1</v>
      </c>
      <c r="AG40" s="7">
        <v>1</v>
      </c>
      <c r="AH40" s="155">
        <f>SUM(AF40/AG40)*100</f>
        <v>100</v>
      </c>
      <c r="AI40" s="6" t="s">
        <v>17</v>
      </c>
      <c r="AJ40" s="7" t="s">
        <v>17</v>
      </c>
      <c r="AK40" s="7" t="s">
        <v>17</v>
      </c>
      <c r="AL40" s="150" t="s">
        <v>17</v>
      </c>
      <c r="AM40" s="7" t="s">
        <v>17</v>
      </c>
      <c r="AN40" s="7" t="s">
        <v>17</v>
      </c>
      <c r="AO40" s="150" t="s">
        <v>17</v>
      </c>
      <c r="AP40" s="7" t="s">
        <v>17</v>
      </c>
      <c r="AQ40" s="7" t="s">
        <v>17</v>
      </c>
      <c r="AR40" s="150" t="s">
        <v>17</v>
      </c>
      <c r="AS40" s="7" t="s">
        <v>17</v>
      </c>
      <c r="AT40" s="7" t="s">
        <v>17</v>
      </c>
    </row>
    <row r="41" spans="1:52" ht="14.95" customHeight="1" thickBot="1" x14ac:dyDescent="0.3">
      <c r="A41" s="44" t="s">
        <v>417</v>
      </c>
      <c r="B41" s="179">
        <v>0</v>
      </c>
      <c r="C41" s="339">
        <v>0</v>
      </c>
      <c r="D41" s="244">
        <v>1</v>
      </c>
      <c r="E41" s="61">
        <f t="shared" si="2"/>
        <v>1</v>
      </c>
      <c r="F41" s="75" t="s">
        <v>417</v>
      </c>
      <c r="G41" s="177">
        <v>0</v>
      </c>
      <c r="H41" s="341">
        <v>0</v>
      </c>
      <c r="I41" s="245">
        <v>5</v>
      </c>
      <c r="J41" s="77">
        <f t="shared" si="3"/>
        <v>5</v>
      </c>
      <c r="K41" s="51" t="s">
        <v>771</v>
      </c>
      <c r="L41" s="14">
        <v>9</v>
      </c>
      <c r="M41" s="413">
        <v>13</v>
      </c>
      <c r="N41" s="414">
        <f t="shared" ref="N41" si="28">SUM(L41/M41)*100</f>
        <v>69.230769230769226</v>
      </c>
      <c r="O41" s="150" t="s">
        <v>17</v>
      </c>
      <c r="P41" s="7" t="s">
        <v>17</v>
      </c>
      <c r="Q41" s="155" t="s">
        <v>17</v>
      </c>
      <c r="R41" s="150" t="s">
        <v>17</v>
      </c>
      <c r="S41" s="7" t="s">
        <v>17</v>
      </c>
      <c r="T41" s="155" t="s">
        <v>17</v>
      </c>
      <c r="U41" s="150" t="s">
        <v>17</v>
      </c>
      <c r="V41" s="7" t="s">
        <v>17</v>
      </c>
      <c r="W41" s="155" t="s">
        <v>17</v>
      </c>
      <c r="AC41" s="150" t="s">
        <v>17</v>
      </c>
      <c r="AD41" s="7" t="s">
        <v>17</v>
      </c>
      <c r="AE41" s="155" t="s">
        <v>17</v>
      </c>
      <c r="AF41" s="150" t="s">
        <v>17</v>
      </c>
      <c r="AG41" s="7" t="s">
        <v>17</v>
      </c>
      <c r="AH41" s="155" t="s">
        <v>17</v>
      </c>
      <c r="AI41" s="150" t="s">
        <v>17</v>
      </c>
      <c r="AJ41" s="7" t="s">
        <v>17</v>
      </c>
      <c r="AK41" s="155" t="s">
        <v>17</v>
      </c>
      <c r="AL41" s="150" t="s">
        <v>17</v>
      </c>
      <c r="AM41" s="7" t="s">
        <v>17</v>
      </c>
      <c r="AN41" s="155" t="s">
        <v>17</v>
      </c>
      <c r="AO41" s="150" t="s">
        <v>17</v>
      </c>
      <c r="AP41" s="7" t="s">
        <v>17</v>
      </c>
      <c r="AQ41" s="155" t="s">
        <v>17</v>
      </c>
      <c r="AR41" s="150" t="s">
        <v>17</v>
      </c>
      <c r="AS41" s="7" t="s">
        <v>17</v>
      </c>
      <c r="AT41" s="155" t="s">
        <v>17</v>
      </c>
    </row>
    <row r="42" spans="1:52" ht="14.95" customHeight="1" thickBot="1" x14ac:dyDescent="0.3">
      <c r="A42" s="44" t="s">
        <v>65</v>
      </c>
      <c r="B42" s="179">
        <v>4</v>
      </c>
      <c r="C42" s="339">
        <v>1</v>
      </c>
      <c r="D42" s="244">
        <v>0</v>
      </c>
      <c r="E42" s="61">
        <f t="shared" si="2"/>
        <v>5</v>
      </c>
      <c r="F42" s="75" t="s">
        <v>65</v>
      </c>
      <c r="G42" s="177">
        <v>20</v>
      </c>
      <c r="H42" s="341">
        <v>5</v>
      </c>
      <c r="I42" s="245">
        <v>0</v>
      </c>
      <c r="J42" s="77">
        <f t="shared" si="3"/>
        <v>25</v>
      </c>
      <c r="K42" s="509" t="s">
        <v>780</v>
      </c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</row>
    <row r="43" spans="1:52" ht="14.95" customHeight="1" thickBot="1" x14ac:dyDescent="0.3">
      <c r="A43" s="44" t="s">
        <v>249</v>
      </c>
      <c r="B43" s="179">
        <v>0</v>
      </c>
      <c r="C43" s="339">
        <v>0</v>
      </c>
      <c r="D43" s="244">
        <v>0</v>
      </c>
      <c r="E43" s="61">
        <f t="shared" si="2"/>
        <v>0</v>
      </c>
      <c r="F43" s="75" t="s">
        <v>249</v>
      </c>
      <c r="G43" s="177">
        <v>0</v>
      </c>
      <c r="H43" s="341">
        <v>0</v>
      </c>
      <c r="I43" s="245">
        <v>0</v>
      </c>
      <c r="J43" s="77">
        <f t="shared" si="3"/>
        <v>0</v>
      </c>
      <c r="K43" s="479" t="s">
        <v>758</v>
      </c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</row>
    <row r="44" spans="1:52" ht="14.95" customHeight="1" thickBot="1" x14ac:dyDescent="0.3">
      <c r="A44" s="44" t="s">
        <v>416</v>
      </c>
      <c r="B44" s="179">
        <v>0</v>
      </c>
      <c r="C44" s="339">
        <v>0</v>
      </c>
      <c r="D44" s="244">
        <v>0</v>
      </c>
      <c r="E44" s="61">
        <f t="shared" si="2"/>
        <v>0</v>
      </c>
      <c r="F44" s="75" t="s">
        <v>416</v>
      </c>
      <c r="G44" s="177">
        <v>0</v>
      </c>
      <c r="H44" s="341">
        <v>0</v>
      </c>
      <c r="I44" s="245">
        <v>0</v>
      </c>
      <c r="J44" s="77">
        <f t="shared" si="3"/>
        <v>0</v>
      </c>
      <c r="K44" s="479" t="s">
        <v>759</v>
      </c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</row>
    <row r="45" spans="1:52" ht="14.95" thickBot="1" x14ac:dyDescent="0.3">
      <c r="A45" s="44" t="s">
        <v>771</v>
      </c>
      <c r="B45" s="179">
        <v>0</v>
      </c>
      <c r="C45" s="339">
        <v>0</v>
      </c>
      <c r="D45" s="244">
        <v>0</v>
      </c>
      <c r="E45" s="61">
        <f t="shared" si="2"/>
        <v>0</v>
      </c>
      <c r="F45" s="75" t="s">
        <v>771</v>
      </c>
      <c r="G45" s="177">
        <v>0</v>
      </c>
      <c r="H45" s="341">
        <v>2</v>
      </c>
      <c r="I45" s="245">
        <v>19</v>
      </c>
      <c r="J45" s="77">
        <f t="shared" si="3"/>
        <v>21</v>
      </c>
      <c r="K45" t="s">
        <v>1315</v>
      </c>
    </row>
    <row r="46" spans="1:52" ht="14.95" thickBot="1" x14ac:dyDescent="0.3">
      <c r="A46" s="44" t="s">
        <v>396</v>
      </c>
      <c r="B46" s="179">
        <v>3</v>
      </c>
      <c r="C46" s="339">
        <v>1</v>
      </c>
      <c r="D46" s="244">
        <v>0</v>
      </c>
      <c r="E46" s="61">
        <f t="shared" si="2"/>
        <v>4</v>
      </c>
      <c r="F46" s="75" t="s">
        <v>396</v>
      </c>
      <c r="G46" s="177">
        <v>15</v>
      </c>
      <c r="H46" s="341">
        <v>5</v>
      </c>
      <c r="I46" s="245">
        <v>0</v>
      </c>
      <c r="J46" s="77">
        <f t="shared" si="3"/>
        <v>20</v>
      </c>
    </row>
    <row r="47" spans="1:52" ht="14.95" customHeight="1" thickBot="1" x14ac:dyDescent="0.3">
      <c r="A47" s="44" t="s">
        <v>58</v>
      </c>
      <c r="B47" s="179">
        <v>1</v>
      </c>
      <c r="C47" s="339">
        <v>0</v>
      </c>
      <c r="D47" s="244">
        <v>1</v>
      </c>
      <c r="E47" s="61">
        <f t="shared" si="2"/>
        <v>2</v>
      </c>
      <c r="F47" s="75" t="s">
        <v>58</v>
      </c>
      <c r="G47" s="177">
        <v>5</v>
      </c>
      <c r="H47" s="341">
        <v>0</v>
      </c>
      <c r="I47" s="245">
        <v>5</v>
      </c>
      <c r="J47" s="77">
        <f t="shared" si="3"/>
        <v>10</v>
      </c>
    </row>
    <row r="48" spans="1:52" ht="14.95" customHeight="1" thickBot="1" x14ac:dyDescent="0.3">
      <c r="A48" s="44" t="s">
        <v>202</v>
      </c>
      <c r="B48" s="179">
        <v>0</v>
      </c>
      <c r="C48" s="339">
        <v>1</v>
      </c>
      <c r="D48" s="244">
        <v>2</v>
      </c>
      <c r="E48" s="61">
        <f t="shared" si="2"/>
        <v>3</v>
      </c>
      <c r="F48" s="75" t="s">
        <v>202</v>
      </c>
      <c r="G48" s="177">
        <v>0</v>
      </c>
      <c r="H48" s="341">
        <v>5</v>
      </c>
      <c r="I48" s="245">
        <v>10</v>
      </c>
      <c r="J48" s="77">
        <f t="shared" si="3"/>
        <v>15</v>
      </c>
    </row>
    <row r="49" spans="1:10" ht="14.95" customHeight="1" thickBot="1" x14ac:dyDescent="0.3">
      <c r="A49" s="44" t="s">
        <v>762</v>
      </c>
      <c r="B49" s="179">
        <v>0</v>
      </c>
      <c r="C49" s="339">
        <v>0</v>
      </c>
      <c r="D49" s="244">
        <v>0</v>
      </c>
      <c r="E49" s="61">
        <f t="shared" si="2"/>
        <v>0</v>
      </c>
      <c r="F49" s="75" t="s">
        <v>762</v>
      </c>
      <c r="G49" s="177">
        <v>0</v>
      </c>
      <c r="H49" s="341">
        <v>0</v>
      </c>
      <c r="I49" s="245">
        <v>0</v>
      </c>
      <c r="J49" s="77">
        <f t="shared" si="3"/>
        <v>0</v>
      </c>
    </row>
    <row r="50" spans="1:10" ht="14.95" customHeight="1" thickBot="1" x14ac:dyDescent="0.3">
      <c r="A50" s="44" t="s">
        <v>772</v>
      </c>
      <c r="B50" s="179">
        <v>11</v>
      </c>
      <c r="C50" s="339">
        <v>1</v>
      </c>
      <c r="D50" s="244">
        <v>0</v>
      </c>
      <c r="E50" s="61">
        <f t="shared" si="2"/>
        <v>12</v>
      </c>
      <c r="F50" s="75" t="s">
        <v>772</v>
      </c>
      <c r="G50" s="177">
        <v>55</v>
      </c>
      <c r="H50" s="341">
        <v>5</v>
      </c>
      <c r="I50" s="245">
        <v>0</v>
      </c>
      <c r="J50" s="77">
        <f t="shared" si="3"/>
        <v>60</v>
      </c>
    </row>
    <row r="51" spans="1:10" ht="14.95" thickBot="1" x14ac:dyDescent="0.3">
      <c r="A51" s="44" t="s">
        <v>1181</v>
      </c>
      <c r="B51" s="179">
        <v>0</v>
      </c>
      <c r="C51" s="339">
        <v>0</v>
      </c>
      <c r="D51" s="244">
        <v>1</v>
      </c>
      <c r="E51" s="61">
        <f t="shared" si="2"/>
        <v>1</v>
      </c>
      <c r="F51" s="75" t="s">
        <v>1181</v>
      </c>
      <c r="G51" s="177">
        <v>0</v>
      </c>
      <c r="H51" s="341">
        <v>0</v>
      </c>
      <c r="I51" s="245">
        <v>5</v>
      </c>
      <c r="J51" s="77">
        <f t="shared" si="3"/>
        <v>5</v>
      </c>
    </row>
    <row r="52" spans="1:10" ht="14.95" thickBot="1" x14ac:dyDescent="0.3">
      <c r="A52" s="44" t="s">
        <v>5</v>
      </c>
      <c r="B52" s="179">
        <v>9</v>
      </c>
      <c r="C52" s="339">
        <v>0</v>
      </c>
      <c r="D52" s="244">
        <v>0</v>
      </c>
      <c r="E52" s="61">
        <f t="shared" si="2"/>
        <v>9</v>
      </c>
      <c r="F52" s="75" t="s">
        <v>5</v>
      </c>
      <c r="G52" s="177">
        <v>51</v>
      </c>
      <c r="H52" s="341">
        <v>0</v>
      </c>
      <c r="I52" s="245">
        <v>0</v>
      </c>
      <c r="J52" s="77">
        <f t="shared" si="3"/>
        <v>51</v>
      </c>
    </row>
    <row r="53" spans="1:10" ht="14.95" thickBot="1" x14ac:dyDescent="0.3">
      <c r="A53" s="44" t="s">
        <v>3</v>
      </c>
      <c r="B53" s="179">
        <f>SUM(B3:B52)</f>
        <v>86</v>
      </c>
      <c r="C53" s="339">
        <f>SUM(C3:C52)</f>
        <v>19</v>
      </c>
      <c r="D53" s="244">
        <f>SUM(D3:D52)</f>
        <v>21</v>
      </c>
      <c r="E53" s="61">
        <f t="shared" si="2"/>
        <v>126</v>
      </c>
      <c r="F53" s="75" t="s">
        <v>3</v>
      </c>
      <c r="G53" s="177">
        <f>SUM(G3:G52)</f>
        <v>576</v>
      </c>
      <c r="H53" s="341">
        <f>SUM(H3:H52)</f>
        <v>132</v>
      </c>
      <c r="I53" s="245">
        <f>SUM(I3:I52)</f>
        <v>146</v>
      </c>
      <c r="J53" s="77">
        <f t="shared" si="3"/>
        <v>854</v>
      </c>
    </row>
    <row r="54" spans="1:10" x14ac:dyDescent="0.25">
      <c r="A54" s="477"/>
      <c r="B54" s="478"/>
      <c r="C54" s="478"/>
      <c r="D54" s="478"/>
      <c r="E54" s="478"/>
      <c r="F54" s="478"/>
      <c r="G54" s="478"/>
      <c r="H54" s="478"/>
      <c r="I54" s="34"/>
      <c r="J54" s="34"/>
    </row>
    <row r="55" spans="1:10" ht="14.95" thickBot="1" x14ac:dyDescent="0.3">
      <c r="A55" t="s">
        <v>14</v>
      </c>
      <c r="B55" s="134"/>
      <c r="C55" s="73"/>
      <c r="D55" s="73"/>
      <c r="E55" s="47"/>
      <c r="F55" s="34"/>
      <c r="G55" s="135"/>
      <c r="H55" s="34"/>
      <c r="I55" s="314"/>
      <c r="J55" s="314"/>
    </row>
    <row r="56" spans="1:10" ht="14.95" thickBot="1" x14ac:dyDescent="0.3">
      <c r="A56" s="113" t="s">
        <v>0</v>
      </c>
      <c r="B56" s="178" t="s">
        <v>259</v>
      </c>
      <c r="C56" s="342" t="s">
        <v>36</v>
      </c>
      <c r="D56" s="242" t="s">
        <v>383</v>
      </c>
      <c r="E56" s="114" t="s">
        <v>1</v>
      </c>
      <c r="F56" s="115" t="s">
        <v>2</v>
      </c>
      <c r="G56" s="176" t="s">
        <v>259</v>
      </c>
      <c r="H56" s="340" t="s">
        <v>36</v>
      </c>
      <c r="I56" s="243" t="s">
        <v>383</v>
      </c>
      <c r="J56" s="107" t="s">
        <v>1</v>
      </c>
    </row>
    <row r="57" spans="1:10" ht="14.95" thickBot="1" x14ac:dyDescent="0.3">
      <c r="A57" s="44" t="s">
        <v>772</v>
      </c>
      <c r="B57" s="179">
        <v>11</v>
      </c>
      <c r="C57" s="339">
        <v>1</v>
      </c>
      <c r="D57" s="244">
        <v>0</v>
      </c>
      <c r="E57" s="61">
        <f t="shared" ref="E57:E98" si="29">SUM(B57:D57)</f>
        <v>12</v>
      </c>
      <c r="F57" s="75" t="s">
        <v>317</v>
      </c>
      <c r="G57" s="177">
        <v>124</v>
      </c>
      <c r="H57" s="341">
        <v>29</v>
      </c>
      <c r="I57" s="245">
        <v>0</v>
      </c>
      <c r="J57" s="77">
        <f t="shared" ref="J57:J88" si="30">SUM(G57:I57)</f>
        <v>153</v>
      </c>
    </row>
    <row r="58" spans="1:10" ht="14.95" thickBot="1" x14ac:dyDescent="0.3">
      <c r="A58" s="44" t="s">
        <v>5</v>
      </c>
      <c r="B58" s="179">
        <v>9</v>
      </c>
      <c r="C58" s="339">
        <v>0</v>
      </c>
      <c r="D58" s="244">
        <v>0</v>
      </c>
      <c r="E58" s="61">
        <f t="shared" si="29"/>
        <v>9</v>
      </c>
      <c r="F58" s="75" t="s">
        <v>203</v>
      </c>
      <c r="G58" s="177">
        <v>44</v>
      </c>
      <c r="H58" s="341">
        <v>14</v>
      </c>
      <c r="I58" s="245">
        <v>13</v>
      </c>
      <c r="J58" s="77">
        <f t="shared" si="30"/>
        <v>71</v>
      </c>
    </row>
    <row r="59" spans="1:10" ht="14.95" thickBot="1" x14ac:dyDescent="0.3">
      <c r="A59" s="44" t="s">
        <v>433</v>
      </c>
      <c r="B59" s="179">
        <v>7</v>
      </c>
      <c r="C59" s="339">
        <v>0</v>
      </c>
      <c r="D59" s="244">
        <v>0</v>
      </c>
      <c r="E59" s="61">
        <f t="shared" si="29"/>
        <v>7</v>
      </c>
      <c r="F59" s="75" t="s">
        <v>772</v>
      </c>
      <c r="G59" s="177">
        <v>55</v>
      </c>
      <c r="H59" s="341">
        <v>5</v>
      </c>
      <c r="I59" s="245">
        <v>0</v>
      </c>
      <c r="J59" s="77">
        <f t="shared" si="30"/>
        <v>60</v>
      </c>
    </row>
    <row r="60" spans="1:10" ht="14.95" thickBot="1" x14ac:dyDescent="0.3">
      <c r="A60" s="44" t="s">
        <v>427</v>
      </c>
      <c r="B60" s="179">
        <v>5</v>
      </c>
      <c r="C60" s="339">
        <v>2</v>
      </c>
      <c r="D60" s="244">
        <v>0</v>
      </c>
      <c r="E60" s="61">
        <f t="shared" si="29"/>
        <v>7</v>
      </c>
      <c r="F60" s="75" t="s">
        <v>5</v>
      </c>
      <c r="G60" s="177">
        <v>51</v>
      </c>
      <c r="H60" s="341">
        <v>0</v>
      </c>
      <c r="I60" s="245">
        <v>0</v>
      </c>
      <c r="J60" s="77">
        <f t="shared" si="30"/>
        <v>51</v>
      </c>
    </row>
    <row r="61" spans="1:10" ht="14.95" thickBot="1" x14ac:dyDescent="0.3">
      <c r="A61" s="44" t="s">
        <v>317</v>
      </c>
      <c r="B61" s="179">
        <v>6</v>
      </c>
      <c r="C61" s="339">
        <v>1</v>
      </c>
      <c r="D61" s="244">
        <v>0</v>
      </c>
      <c r="E61" s="61">
        <f t="shared" si="29"/>
        <v>7</v>
      </c>
      <c r="F61" s="75" t="s">
        <v>433</v>
      </c>
      <c r="G61" s="177">
        <v>35</v>
      </c>
      <c r="H61" s="341">
        <v>0</v>
      </c>
      <c r="I61" s="245">
        <v>0</v>
      </c>
      <c r="J61" s="77">
        <f t="shared" si="30"/>
        <v>35</v>
      </c>
    </row>
    <row r="62" spans="1:10" ht="14.95" thickBot="1" x14ac:dyDescent="0.3">
      <c r="A62" s="44" t="s">
        <v>391</v>
      </c>
      <c r="B62" s="179">
        <v>6</v>
      </c>
      <c r="C62" s="339">
        <v>1</v>
      </c>
      <c r="D62" s="244">
        <v>0</v>
      </c>
      <c r="E62" s="61">
        <f t="shared" si="29"/>
        <v>7</v>
      </c>
      <c r="F62" s="75" t="s">
        <v>427</v>
      </c>
      <c r="G62" s="177">
        <v>25</v>
      </c>
      <c r="H62" s="341">
        <v>10</v>
      </c>
      <c r="I62" s="245">
        <v>0</v>
      </c>
      <c r="J62" s="77">
        <f t="shared" si="30"/>
        <v>35</v>
      </c>
    </row>
    <row r="63" spans="1:10" ht="14.95" thickBot="1" x14ac:dyDescent="0.3">
      <c r="A63" s="44" t="s">
        <v>663</v>
      </c>
      <c r="B63" s="179">
        <v>7</v>
      </c>
      <c r="C63" s="339">
        <v>0</v>
      </c>
      <c r="D63" s="244">
        <v>0</v>
      </c>
      <c r="E63" s="61">
        <f t="shared" si="29"/>
        <v>7</v>
      </c>
      <c r="F63" s="74" t="s">
        <v>391</v>
      </c>
      <c r="G63" s="177">
        <v>30</v>
      </c>
      <c r="H63" s="341">
        <v>5</v>
      </c>
      <c r="I63" s="245">
        <v>0</v>
      </c>
      <c r="J63" s="77">
        <f t="shared" si="30"/>
        <v>35</v>
      </c>
    </row>
    <row r="64" spans="1:10" ht="14.95" thickBot="1" x14ac:dyDescent="0.3">
      <c r="A64" s="44" t="s">
        <v>1298</v>
      </c>
      <c r="B64" s="179">
        <v>5</v>
      </c>
      <c r="C64" s="339">
        <v>0</v>
      </c>
      <c r="D64" s="244">
        <v>1</v>
      </c>
      <c r="E64" s="61">
        <f t="shared" si="29"/>
        <v>6</v>
      </c>
      <c r="F64" s="74" t="s">
        <v>663</v>
      </c>
      <c r="G64" s="177">
        <v>35</v>
      </c>
      <c r="H64" s="341">
        <v>0</v>
      </c>
      <c r="I64" s="245">
        <v>0</v>
      </c>
      <c r="J64" s="77">
        <f t="shared" si="30"/>
        <v>35</v>
      </c>
    </row>
    <row r="65" spans="1:10" ht="14.95" thickBot="1" x14ac:dyDescent="0.3">
      <c r="A65" s="44" t="s">
        <v>228</v>
      </c>
      <c r="B65" s="179">
        <v>5</v>
      </c>
      <c r="C65" s="339">
        <v>1</v>
      </c>
      <c r="D65" s="244">
        <v>0</v>
      </c>
      <c r="E65" s="61">
        <f t="shared" si="29"/>
        <v>6</v>
      </c>
      <c r="F65" s="75" t="s">
        <v>1298</v>
      </c>
      <c r="G65" s="177">
        <v>25</v>
      </c>
      <c r="H65" s="341">
        <v>0</v>
      </c>
      <c r="I65" s="245">
        <v>5</v>
      </c>
      <c r="J65" s="77">
        <f t="shared" si="30"/>
        <v>30</v>
      </c>
    </row>
    <row r="66" spans="1:10" ht="14.95" thickBot="1" x14ac:dyDescent="0.3">
      <c r="A66" s="44" t="s">
        <v>65</v>
      </c>
      <c r="B66" s="179">
        <v>4</v>
      </c>
      <c r="C66" s="339">
        <v>1</v>
      </c>
      <c r="D66" s="244">
        <v>0</v>
      </c>
      <c r="E66" s="61">
        <f t="shared" si="29"/>
        <v>5</v>
      </c>
      <c r="F66" s="75" t="s">
        <v>228</v>
      </c>
      <c r="G66" s="177">
        <v>25</v>
      </c>
      <c r="H66" s="341">
        <v>5</v>
      </c>
      <c r="I66" s="245">
        <v>0</v>
      </c>
      <c r="J66" s="77">
        <f t="shared" si="30"/>
        <v>30</v>
      </c>
    </row>
    <row r="67" spans="1:10" ht="14.95" thickBot="1" x14ac:dyDescent="0.3">
      <c r="A67" s="44" t="s">
        <v>203</v>
      </c>
      <c r="B67" s="179">
        <v>2</v>
      </c>
      <c r="C67" s="339">
        <v>1</v>
      </c>
      <c r="D67" s="244">
        <v>1</v>
      </c>
      <c r="E67" s="61">
        <f t="shared" si="29"/>
        <v>4</v>
      </c>
      <c r="F67" s="75" t="s">
        <v>573</v>
      </c>
      <c r="G67" s="177">
        <v>20</v>
      </c>
      <c r="H67" s="341">
        <v>0</v>
      </c>
      <c r="I67" s="245">
        <v>5</v>
      </c>
      <c r="J67" s="77">
        <f t="shared" si="30"/>
        <v>25</v>
      </c>
    </row>
    <row r="68" spans="1:10" ht="14.95" thickBot="1" x14ac:dyDescent="0.3">
      <c r="A68" s="44" t="s">
        <v>396</v>
      </c>
      <c r="B68" s="179">
        <v>3</v>
      </c>
      <c r="C68" s="339">
        <v>1</v>
      </c>
      <c r="D68" s="244">
        <v>0</v>
      </c>
      <c r="E68" s="61">
        <f t="shared" si="29"/>
        <v>4</v>
      </c>
      <c r="F68" s="75" t="s">
        <v>65</v>
      </c>
      <c r="G68" s="177">
        <v>20</v>
      </c>
      <c r="H68" s="341">
        <v>5</v>
      </c>
      <c r="I68" s="245">
        <v>0</v>
      </c>
      <c r="J68" s="77">
        <f t="shared" si="30"/>
        <v>25</v>
      </c>
    </row>
    <row r="69" spans="1:10" ht="14.95" thickBot="1" x14ac:dyDescent="0.3">
      <c r="A69" s="44" t="s">
        <v>774</v>
      </c>
      <c r="B69" s="179">
        <v>3</v>
      </c>
      <c r="C69" s="339">
        <v>0</v>
      </c>
      <c r="D69" s="244">
        <v>0</v>
      </c>
      <c r="E69" s="61">
        <f t="shared" si="29"/>
        <v>3</v>
      </c>
      <c r="F69" s="75" t="s">
        <v>774</v>
      </c>
      <c r="G69" s="177">
        <v>23</v>
      </c>
      <c r="H69" s="341">
        <v>0</v>
      </c>
      <c r="I69" s="245">
        <v>0</v>
      </c>
      <c r="J69" s="77">
        <f t="shared" si="30"/>
        <v>23</v>
      </c>
    </row>
    <row r="70" spans="1:10" ht="14.95" thickBot="1" x14ac:dyDescent="0.3">
      <c r="A70" s="44" t="s">
        <v>202</v>
      </c>
      <c r="B70" s="179">
        <v>0</v>
      </c>
      <c r="C70" s="339">
        <v>1</v>
      </c>
      <c r="D70" s="244">
        <v>2</v>
      </c>
      <c r="E70" s="61">
        <f t="shared" si="29"/>
        <v>3</v>
      </c>
      <c r="F70" s="75" t="s">
        <v>307</v>
      </c>
      <c r="G70" s="177">
        <v>7</v>
      </c>
      <c r="H70" s="341">
        <v>2</v>
      </c>
      <c r="I70" s="245">
        <v>12</v>
      </c>
      <c r="J70" s="77">
        <f t="shared" si="30"/>
        <v>21</v>
      </c>
    </row>
    <row r="71" spans="1:10" ht="14.95" thickBot="1" x14ac:dyDescent="0.3">
      <c r="A71" s="44" t="s">
        <v>70</v>
      </c>
      <c r="B71" s="179">
        <v>1</v>
      </c>
      <c r="C71" s="339">
        <v>0</v>
      </c>
      <c r="D71" s="244">
        <v>1</v>
      </c>
      <c r="E71" s="61">
        <f t="shared" si="29"/>
        <v>2</v>
      </c>
      <c r="F71" s="75" t="s">
        <v>771</v>
      </c>
      <c r="G71" s="177">
        <v>0</v>
      </c>
      <c r="H71" s="341">
        <v>2</v>
      </c>
      <c r="I71" s="245">
        <v>19</v>
      </c>
      <c r="J71" s="77">
        <f t="shared" si="30"/>
        <v>21</v>
      </c>
    </row>
    <row r="72" spans="1:10" ht="14.95" thickBot="1" x14ac:dyDescent="0.3">
      <c r="A72" s="44" t="s">
        <v>764</v>
      </c>
      <c r="B72" s="179">
        <v>0</v>
      </c>
      <c r="C72" s="339">
        <v>0</v>
      </c>
      <c r="D72" s="244">
        <v>2</v>
      </c>
      <c r="E72" s="61">
        <f t="shared" si="29"/>
        <v>2</v>
      </c>
      <c r="F72" s="75" t="s">
        <v>396</v>
      </c>
      <c r="G72" s="177">
        <v>15</v>
      </c>
      <c r="H72" s="341">
        <v>5</v>
      </c>
      <c r="I72" s="245">
        <v>0</v>
      </c>
      <c r="J72" s="77">
        <f t="shared" si="30"/>
        <v>20</v>
      </c>
    </row>
    <row r="73" spans="1:10" ht="14.95" thickBot="1" x14ac:dyDescent="0.3">
      <c r="A73" s="44" t="s">
        <v>677</v>
      </c>
      <c r="B73" s="179">
        <v>1</v>
      </c>
      <c r="C73" s="339">
        <v>1</v>
      </c>
      <c r="D73" s="244">
        <v>0</v>
      </c>
      <c r="E73" s="61">
        <f t="shared" si="29"/>
        <v>2</v>
      </c>
      <c r="F73" s="75" t="s">
        <v>202</v>
      </c>
      <c r="G73" s="177">
        <v>0</v>
      </c>
      <c r="H73" s="341">
        <v>5</v>
      </c>
      <c r="I73" s="245">
        <v>10</v>
      </c>
      <c r="J73" s="77">
        <f t="shared" si="30"/>
        <v>15</v>
      </c>
    </row>
    <row r="74" spans="1:10" ht="14.95" thickBot="1" x14ac:dyDescent="0.3">
      <c r="A74" s="44" t="s">
        <v>275</v>
      </c>
      <c r="B74" s="179">
        <v>2</v>
      </c>
      <c r="C74" s="339">
        <v>0</v>
      </c>
      <c r="D74" s="244">
        <v>0</v>
      </c>
      <c r="E74" s="61">
        <f t="shared" si="29"/>
        <v>2</v>
      </c>
      <c r="F74" s="75" t="s">
        <v>4</v>
      </c>
      <c r="G74" s="177">
        <v>7</v>
      </c>
      <c r="H74" s="341">
        <v>0</v>
      </c>
      <c r="I74" s="245">
        <v>7</v>
      </c>
      <c r="J74" s="77">
        <f t="shared" si="30"/>
        <v>14</v>
      </c>
    </row>
    <row r="75" spans="1:10" ht="14.95" thickBot="1" x14ac:dyDescent="0.3">
      <c r="A75" s="44" t="s">
        <v>438</v>
      </c>
      <c r="B75" s="179">
        <v>0</v>
      </c>
      <c r="C75" s="339">
        <v>0</v>
      </c>
      <c r="D75" s="244">
        <v>2</v>
      </c>
      <c r="E75" s="61">
        <f t="shared" si="29"/>
        <v>2</v>
      </c>
      <c r="F75" s="75" t="s">
        <v>70</v>
      </c>
      <c r="G75" s="177">
        <v>5</v>
      </c>
      <c r="H75" s="341">
        <v>0</v>
      </c>
      <c r="I75" s="245">
        <v>5</v>
      </c>
      <c r="J75" s="77">
        <f t="shared" si="30"/>
        <v>10</v>
      </c>
    </row>
    <row r="76" spans="1:10" ht="14.95" thickBot="1" x14ac:dyDescent="0.3">
      <c r="A76" s="44" t="s">
        <v>423</v>
      </c>
      <c r="B76" s="179">
        <v>0</v>
      </c>
      <c r="C76" s="339">
        <v>2</v>
      </c>
      <c r="D76" s="244">
        <v>0</v>
      </c>
      <c r="E76" s="61">
        <f t="shared" si="29"/>
        <v>2</v>
      </c>
      <c r="F76" s="75" t="s">
        <v>764</v>
      </c>
      <c r="G76" s="177">
        <v>0</v>
      </c>
      <c r="H76" s="341">
        <v>0</v>
      </c>
      <c r="I76" s="245">
        <v>10</v>
      </c>
      <c r="J76" s="77">
        <f t="shared" si="30"/>
        <v>10</v>
      </c>
    </row>
    <row r="77" spans="1:10" ht="14.95" thickBot="1" x14ac:dyDescent="0.3">
      <c r="A77" s="44" t="s">
        <v>57</v>
      </c>
      <c r="B77" s="179">
        <v>1</v>
      </c>
      <c r="C77" s="339">
        <v>1</v>
      </c>
      <c r="D77" s="244">
        <v>0</v>
      </c>
      <c r="E77" s="61">
        <f t="shared" si="29"/>
        <v>2</v>
      </c>
      <c r="F77" s="75" t="s">
        <v>677</v>
      </c>
      <c r="G77" s="177">
        <v>5</v>
      </c>
      <c r="H77" s="341">
        <v>5</v>
      </c>
      <c r="I77" s="245">
        <v>0</v>
      </c>
      <c r="J77" s="77">
        <f t="shared" si="30"/>
        <v>10</v>
      </c>
    </row>
    <row r="78" spans="1:10" ht="14.95" thickBot="1" x14ac:dyDescent="0.3">
      <c r="A78" s="44" t="s">
        <v>29</v>
      </c>
      <c r="B78" s="179">
        <v>0</v>
      </c>
      <c r="C78" s="339">
        <v>2</v>
      </c>
      <c r="D78" s="244">
        <v>0</v>
      </c>
      <c r="E78" s="61">
        <f t="shared" si="29"/>
        <v>2</v>
      </c>
      <c r="F78" s="75" t="s">
        <v>275</v>
      </c>
      <c r="G78" s="177">
        <v>10</v>
      </c>
      <c r="H78" s="341">
        <v>0</v>
      </c>
      <c r="I78" s="245">
        <v>0</v>
      </c>
      <c r="J78" s="77">
        <f t="shared" si="30"/>
        <v>10</v>
      </c>
    </row>
    <row r="79" spans="1:10" ht="14.95" thickBot="1" x14ac:dyDescent="0.3">
      <c r="A79" s="44" t="s">
        <v>4</v>
      </c>
      <c r="B79" s="179">
        <v>1</v>
      </c>
      <c r="C79" s="339">
        <v>0</v>
      </c>
      <c r="D79" s="244">
        <v>1</v>
      </c>
      <c r="E79" s="61">
        <f t="shared" si="29"/>
        <v>2</v>
      </c>
      <c r="F79" s="75" t="s">
        <v>438</v>
      </c>
      <c r="G79" s="177">
        <v>0</v>
      </c>
      <c r="H79" s="341">
        <v>0</v>
      </c>
      <c r="I79" s="245">
        <v>10</v>
      </c>
      <c r="J79" s="77">
        <f t="shared" si="30"/>
        <v>10</v>
      </c>
    </row>
    <row r="80" spans="1:10" ht="14.95" thickBot="1" x14ac:dyDescent="0.3">
      <c r="A80" s="44" t="s">
        <v>58</v>
      </c>
      <c r="B80" s="179">
        <v>1</v>
      </c>
      <c r="C80" s="339">
        <v>0</v>
      </c>
      <c r="D80" s="244">
        <v>1</v>
      </c>
      <c r="E80" s="61">
        <f t="shared" si="29"/>
        <v>2</v>
      </c>
      <c r="F80" s="75" t="s">
        <v>423</v>
      </c>
      <c r="G80" s="177">
        <v>0</v>
      </c>
      <c r="H80" s="341">
        <v>10</v>
      </c>
      <c r="I80" s="245">
        <v>0</v>
      </c>
      <c r="J80" s="77">
        <f t="shared" si="30"/>
        <v>10</v>
      </c>
    </row>
    <row r="81" spans="1:10" ht="14.95" thickBot="1" x14ac:dyDescent="0.3">
      <c r="A81" s="44" t="s">
        <v>78</v>
      </c>
      <c r="B81" s="179">
        <v>0</v>
      </c>
      <c r="C81" s="339">
        <v>1</v>
      </c>
      <c r="D81" s="244">
        <v>0</v>
      </c>
      <c r="E81" s="61">
        <f t="shared" si="29"/>
        <v>1</v>
      </c>
      <c r="F81" s="75" t="s">
        <v>57</v>
      </c>
      <c r="G81" s="177">
        <v>5</v>
      </c>
      <c r="H81" s="341">
        <v>5</v>
      </c>
      <c r="I81" s="245">
        <v>0</v>
      </c>
      <c r="J81" s="77">
        <f t="shared" si="30"/>
        <v>10</v>
      </c>
    </row>
    <row r="82" spans="1:10" ht="14.95" thickBot="1" x14ac:dyDescent="0.3">
      <c r="A82" s="44" t="s">
        <v>1069</v>
      </c>
      <c r="B82" s="179">
        <v>0</v>
      </c>
      <c r="C82" s="339">
        <v>0</v>
      </c>
      <c r="D82" s="244">
        <v>1</v>
      </c>
      <c r="E82" s="61">
        <f t="shared" si="29"/>
        <v>1</v>
      </c>
      <c r="F82" s="75" t="s">
        <v>29</v>
      </c>
      <c r="G82" s="177">
        <v>0</v>
      </c>
      <c r="H82" s="341">
        <v>10</v>
      </c>
      <c r="I82" s="245">
        <v>0</v>
      </c>
      <c r="J82" s="77">
        <f t="shared" si="30"/>
        <v>10</v>
      </c>
    </row>
    <row r="83" spans="1:10" ht="14.95" thickBot="1" x14ac:dyDescent="0.3">
      <c r="A83" s="44" t="s">
        <v>1253</v>
      </c>
      <c r="B83" s="179">
        <v>0</v>
      </c>
      <c r="C83" s="339">
        <v>0</v>
      </c>
      <c r="D83" s="244">
        <v>1</v>
      </c>
      <c r="E83" s="61">
        <f t="shared" si="29"/>
        <v>1</v>
      </c>
      <c r="F83" s="75" t="s">
        <v>58</v>
      </c>
      <c r="G83" s="177">
        <v>5</v>
      </c>
      <c r="H83" s="341">
        <v>0</v>
      </c>
      <c r="I83" s="245">
        <v>5</v>
      </c>
      <c r="J83" s="77">
        <f t="shared" si="30"/>
        <v>10</v>
      </c>
    </row>
    <row r="84" spans="1:10" ht="14.95" thickBot="1" x14ac:dyDescent="0.3">
      <c r="A84" s="44" t="s">
        <v>307</v>
      </c>
      <c r="B84" s="179">
        <v>1</v>
      </c>
      <c r="C84" s="339">
        <v>0</v>
      </c>
      <c r="D84" s="244">
        <v>0</v>
      </c>
      <c r="E84" s="61">
        <f t="shared" si="29"/>
        <v>1</v>
      </c>
      <c r="F84" s="75" t="s">
        <v>78</v>
      </c>
      <c r="G84" s="177">
        <v>0</v>
      </c>
      <c r="H84" s="341">
        <v>5</v>
      </c>
      <c r="I84" s="245">
        <v>0</v>
      </c>
      <c r="J84" s="77">
        <f t="shared" si="30"/>
        <v>5</v>
      </c>
    </row>
    <row r="85" spans="1:10" ht="14.95" thickBot="1" x14ac:dyDescent="0.3">
      <c r="A85" s="44" t="s">
        <v>1149</v>
      </c>
      <c r="B85" s="179">
        <v>0</v>
      </c>
      <c r="C85" s="339">
        <v>1</v>
      </c>
      <c r="D85" s="244">
        <v>0</v>
      </c>
      <c r="E85" s="61">
        <f t="shared" si="29"/>
        <v>1</v>
      </c>
      <c r="F85" s="75" t="s">
        <v>1069</v>
      </c>
      <c r="G85" s="177">
        <v>0</v>
      </c>
      <c r="H85" s="341">
        <v>0</v>
      </c>
      <c r="I85" s="245">
        <v>5</v>
      </c>
      <c r="J85" s="77">
        <f t="shared" si="30"/>
        <v>5</v>
      </c>
    </row>
    <row r="86" spans="1:10" ht="14.95" thickBot="1" x14ac:dyDescent="0.3">
      <c r="A86" s="44" t="s">
        <v>1221</v>
      </c>
      <c r="B86" s="179">
        <v>0</v>
      </c>
      <c r="C86" s="339">
        <v>0</v>
      </c>
      <c r="D86" s="244">
        <v>1</v>
      </c>
      <c r="E86" s="61">
        <f t="shared" si="29"/>
        <v>1</v>
      </c>
      <c r="F86" s="75" t="s">
        <v>1253</v>
      </c>
      <c r="G86" s="177">
        <v>0</v>
      </c>
      <c r="H86" s="341">
        <v>0</v>
      </c>
      <c r="I86" s="245">
        <v>5</v>
      </c>
      <c r="J86" s="77">
        <f t="shared" si="30"/>
        <v>5</v>
      </c>
    </row>
    <row r="87" spans="1:10" ht="14.95" thickBot="1" x14ac:dyDescent="0.3">
      <c r="A87" s="44" t="s">
        <v>178</v>
      </c>
      <c r="B87" s="179">
        <v>0</v>
      </c>
      <c r="C87" s="339">
        <v>1</v>
      </c>
      <c r="D87" s="244">
        <v>0</v>
      </c>
      <c r="E87" s="61">
        <f t="shared" si="29"/>
        <v>1</v>
      </c>
      <c r="F87" s="75" t="s">
        <v>1149</v>
      </c>
      <c r="G87" s="177">
        <v>0</v>
      </c>
      <c r="H87" s="341">
        <v>5</v>
      </c>
      <c r="I87" s="245">
        <v>0</v>
      </c>
      <c r="J87" s="77">
        <f t="shared" si="30"/>
        <v>5</v>
      </c>
    </row>
    <row r="88" spans="1:10" ht="14.95" thickBot="1" x14ac:dyDescent="0.3">
      <c r="A88" s="44" t="s">
        <v>767</v>
      </c>
      <c r="B88" s="179">
        <v>0</v>
      </c>
      <c r="C88" s="339">
        <v>0</v>
      </c>
      <c r="D88" s="244">
        <v>1</v>
      </c>
      <c r="E88" s="61">
        <f t="shared" si="29"/>
        <v>1</v>
      </c>
      <c r="F88" s="75" t="s">
        <v>1221</v>
      </c>
      <c r="G88" s="177">
        <v>0</v>
      </c>
      <c r="H88" s="341">
        <v>0</v>
      </c>
      <c r="I88" s="245">
        <v>5</v>
      </c>
      <c r="J88" s="77">
        <f t="shared" si="30"/>
        <v>5</v>
      </c>
    </row>
    <row r="89" spans="1:10" ht="14.95" thickBot="1" x14ac:dyDescent="0.3">
      <c r="A89" s="44" t="s">
        <v>1076</v>
      </c>
      <c r="B89" s="179">
        <v>0</v>
      </c>
      <c r="C89" s="339">
        <v>0</v>
      </c>
      <c r="D89" s="244">
        <v>1</v>
      </c>
      <c r="E89" s="61">
        <f t="shared" si="29"/>
        <v>1</v>
      </c>
      <c r="F89" s="75" t="s">
        <v>178</v>
      </c>
      <c r="G89" s="177">
        <v>0</v>
      </c>
      <c r="H89" s="341">
        <v>5</v>
      </c>
      <c r="I89" s="245">
        <v>0</v>
      </c>
      <c r="J89" s="77">
        <f t="shared" ref="J89:J106" si="31">SUM(G89:I89)</f>
        <v>5</v>
      </c>
    </row>
    <row r="90" spans="1:10" ht="14.95" thickBot="1" x14ac:dyDescent="0.3">
      <c r="A90" s="44" t="s">
        <v>649</v>
      </c>
      <c r="B90" s="179">
        <v>1</v>
      </c>
      <c r="C90" s="339">
        <v>0</v>
      </c>
      <c r="D90" s="244">
        <v>0</v>
      </c>
      <c r="E90" s="61">
        <f t="shared" si="29"/>
        <v>1</v>
      </c>
      <c r="F90" s="75" t="s">
        <v>767</v>
      </c>
      <c r="G90" s="177">
        <v>0</v>
      </c>
      <c r="H90" s="341">
        <v>0</v>
      </c>
      <c r="I90" s="245">
        <v>5</v>
      </c>
      <c r="J90" s="77">
        <f t="shared" si="31"/>
        <v>5</v>
      </c>
    </row>
    <row r="91" spans="1:10" ht="14.95" thickBot="1" x14ac:dyDescent="0.3">
      <c r="A91" s="44" t="s">
        <v>1071</v>
      </c>
      <c r="B91" s="179">
        <v>0</v>
      </c>
      <c r="C91" s="339">
        <v>0</v>
      </c>
      <c r="D91" s="244">
        <v>1</v>
      </c>
      <c r="E91" s="61">
        <f t="shared" si="29"/>
        <v>1</v>
      </c>
      <c r="F91" s="75" t="s">
        <v>1076</v>
      </c>
      <c r="G91" s="177">
        <v>0</v>
      </c>
      <c r="H91" s="341">
        <v>0</v>
      </c>
      <c r="I91" s="245">
        <v>5</v>
      </c>
      <c r="J91" s="77">
        <f t="shared" si="31"/>
        <v>5</v>
      </c>
    </row>
    <row r="92" spans="1:10" ht="14.95" thickBot="1" x14ac:dyDescent="0.3">
      <c r="A92" s="44" t="s">
        <v>71</v>
      </c>
      <c r="B92" s="179">
        <v>0</v>
      </c>
      <c r="C92" s="339">
        <v>0</v>
      </c>
      <c r="D92" s="244">
        <v>1</v>
      </c>
      <c r="E92" s="61">
        <f t="shared" si="29"/>
        <v>1</v>
      </c>
      <c r="F92" s="75" t="s">
        <v>649</v>
      </c>
      <c r="G92" s="177">
        <v>5</v>
      </c>
      <c r="H92" s="341">
        <v>0</v>
      </c>
      <c r="I92" s="245">
        <v>0</v>
      </c>
      <c r="J92" s="77">
        <f t="shared" si="31"/>
        <v>5</v>
      </c>
    </row>
    <row r="93" spans="1:10" ht="14.95" thickBot="1" x14ac:dyDescent="0.3">
      <c r="A93" s="44" t="s">
        <v>417</v>
      </c>
      <c r="B93" s="179">
        <v>0</v>
      </c>
      <c r="C93" s="339">
        <v>0</v>
      </c>
      <c r="D93" s="244">
        <v>1</v>
      </c>
      <c r="E93" s="61">
        <f t="shared" si="29"/>
        <v>1</v>
      </c>
      <c r="F93" s="75" t="s">
        <v>1071</v>
      </c>
      <c r="G93" s="177">
        <v>0</v>
      </c>
      <c r="H93" s="341">
        <v>0</v>
      </c>
      <c r="I93" s="245">
        <v>5</v>
      </c>
      <c r="J93" s="77">
        <f t="shared" si="31"/>
        <v>5</v>
      </c>
    </row>
    <row r="94" spans="1:10" ht="14.95" thickBot="1" x14ac:dyDescent="0.3">
      <c r="A94" s="44" t="s">
        <v>1181</v>
      </c>
      <c r="B94" s="179">
        <v>0</v>
      </c>
      <c r="C94" s="339">
        <v>0</v>
      </c>
      <c r="D94" s="244">
        <v>1</v>
      </c>
      <c r="E94" s="61">
        <f t="shared" si="29"/>
        <v>1</v>
      </c>
      <c r="F94" s="75" t="s">
        <v>71</v>
      </c>
      <c r="G94" s="177">
        <v>0</v>
      </c>
      <c r="H94" s="341">
        <v>0</v>
      </c>
      <c r="I94" s="245">
        <v>5</v>
      </c>
      <c r="J94" s="77">
        <f t="shared" si="31"/>
        <v>5</v>
      </c>
    </row>
    <row r="95" spans="1:10" ht="14.95" thickBot="1" x14ac:dyDescent="0.3">
      <c r="A95" s="44" t="s">
        <v>254</v>
      </c>
      <c r="B95" s="179">
        <v>0</v>
      </c>
      <c r="C95" s="339">
        <v>0</v>
      </c>
      <c r="D95" s="244">
        <v>0</v>
      </c>
      <c r="E95" s="61">
        <f t="shared" si="29"/>
        <v>0</v>
      </c>
      <c r="F95" s="75" t="s">
        <v>417</v>
      </c>
      <c r="G95" s="177">
        <v>0</v>
      </c>
      <c r="H95" s="341">
        <v>0</v>
      </c>
      <c r="I95" s="245">
        <v>5</v>
      </c>
      <c r="J95" s="77">
        <f t="shared" si="31"/>
        <v>5</v>
      </c>
    </row>
    <row r="96" spans="1:10" ht="14.95" thickBot="1" x14ac:dyDescent="0.3">
      <c r="A96" s="44" t="s">
        <v>30</v>
      </c>
      <c r="B96" s="179">
        <v>0</v>
      </c>
      <c r="C96" s="339">
        <v>0</v>
      </c>
      <c r="D96" s="244">
        <v>0</v>
      </c>
      <c r="E96" s="61">
        <f t="shared" si="29"/>
        <v>0</v>
      </c>
      <c r="F96" s="75" t="s">
        <v>1181</v>
      </c>
      <c r="G96" s="177">
        <v>0</v>
      </c>
      <c r="H96" s="341">
        <v>0</v>
      </c>
      <c r="I96" s="245">
        <v>5</v>
      </c>
      <c r="J96" s="77">
        <f t="shared" si="31"/>
        <v>5</v>
      </c>
    </row>
    <row r="97" spans="1:10" ht="14.95" thickBot="1" x14ac:dyDescent="0.3">
      <c r="A97" s="44" t="s">
        <v>1311</v>
      </c>
      <c r="B97" s="179">
        <v>0</v>
      </c>
      <c r="C97" s="339">
        <v>0</v>
      </c>
      <c r="D97" s="244">
        <v>0</v>
      </c>
      <c r="E97" s="61">
        <f t="shared" si="29"/>
        <v>0</v>
      </c>
      <c r="F97" s="75" t="s">
        <v>254</v>
      </c>
      <c r="G97" s="177">
        <v>0</v>
      </c>
      <c r="H97" s="341">
        <v>0</v>
      </c>
      <c r="I97" s="245">
        <v>0</v>
      </c>
      <c r="J97" s="77">
        <f t="shared" si="31"/>
        <v>0</v>
      </c>
    </row>
    <row r="98" spans="1:10" ht="14.95" thickBot="1" x14ac:dyDescent="0.3">
      <c r="A98" s="44" t="s">
        <v>760</v>
      </c>
      <c r="B98" s="179">
        <v>0</v>
      </c>
      <c r="C98" s="339">
        <v>0</v>
      </c>
      <c r="D98" s="244">
        <v>0</v>
      </c>
      <c r="E98" s="61">
        <f t="shared" si="29"/>
        <v>0</v>
      </c>
      <c r="F98" s="75" t="s">
        <v>30</v>
      </c>
      <c r="G98" s="177">
        <v>0</v>
      </c>
      <c r="H98" s="341">
        <v>0</v>
      </c>
      <c r="I98" s="245">
        <v>0</v>
      </c>
      <c r="J98" s="77">
        <f t="shared" si="31"/>
        <v>0</v>
      </c>
    </row>
    <row r="99" spans="1:10" ht="14.95" thickBot="1" x14ac:dyDescent="0.3">
      <c r="A99" s="44" t="s">
        <v>573</v>
      </c>
      <c r="B99" s="179">
        <v>4</v>
      </c>
      <c r="C99" s="339">
        <v>0</v>
      </c>
      <c r="D99" s="244">
        <v>1</v>
      </c>
      <c r="E99" s="61">
        <v>0</v>
      </c>
      <c r="F99" s="75" t="s">
        <v>1311</v>
      </c>
      <c r="G99" s="177">
        <v>0</v>
      </c>
      <c r="H99" s="341">
        <v>0</v>
      </c>
      <c r="I99" s="245">
        <v>0</v>
      </c>
      <c r="J99" s="77">
        <f t="shared" si="31"/>
        <v>0</v>
      </c>
    </row>
    <row r="100" spans="1:10" ht="14.95" thickBot="1" x14ac:dyDescent="0.3">
      <c r="A100" s="44" t="s">
        <v>769</v>
      </c>
      <c r="B100" s="179">
        <v>0</v>
      </c>
      <c r="C100" s="339">
        <v>0</v>
      </c>
      <c r="D100" s="244">
        <v>0</v>
      </c>
      <c r="E100" s="61">
        <f t="shared" ref="E100:E106" si="32">SUM(B100:D100)</f>
        <v>0</v>
      </c>
      <c r="F100" s="75" t="s">
        <v>760</v>
      </c>
      <c r="G100" s="177">
        <v>0</v>
      </c>
      <c r="H100" s="341">
        <v>0</v>
      </c>
      <c r="I100" s="245">
        <v>0</v>
      </c>
      <c r="J100" s="77">
        <f t="shared" si="31"/>
        <v>0</v>
      </c>
    </row>
    <row r="101" spans="1:10" ht="14.95" thickBot="1" x14ac:dyDescent="0.3">
      <c r="A101" s="44" t="s">
        <v>32</v>
      </c>
      <c r="B101" s="179">
        <v>0</v>
      </c>
      <c r="C101" s="339">
        <v>0</v>
      </c>
      <c r="D101" s="244">
        <v>0</v>
      </c>
      <c r="E101" s="61">
        <f t="shared" si="32"/>
        <v>0</v>
      </c>
      <c r="F101" s="75" t="s">
        <v>769</v>
      </c>
      <c r="G101" s="177">
        <v>0</v>
      </c>
      <c r="H101" s="341">
        <v>0</v>
      </c>
      <c r="I101" s="245">
        <v>0</v>
      </c>
      <c r="J101" s="77">
        <f t="shared" si="31"/>
        <v>0</v>
      </c>
    </row>
    <row r="102" spans="1:10" ht="14.95" thickBot="1" x14ac:dyDescent="0.3">
      <c r="A102" s="44" t="s">
        <v>777</v>
      </c>
      <c r="B102" s="179">
        <v>0</v>
      </c>
      <c r="C102" s="339">
        <v>0</v>
      </c>
      <c r="D102" s="244">
        <v>0</v>
      </c>
      <c r="E102" s="61">
        <f t="shared" si="32"/>
        <v>0</v>
      </c>
      <c r="F102" s="75" t="s">
        <v>32</v>
      </c>
      <c r="G102" s="177">
        <v>0</v>
      </c>
      <c r="H102" s="341">
        <v>0</v>
      </c>
      <c r="I102" s="245">
        <v>0</v>
      </c>
      <c r="J102" s="77">
        <f t="shared" si="31"/>
        <v>0</v>
      </c>
    </row>
    <row r="103" spans="1:10" ht="14.95" thickBot="1" x14ac:dyDescent="0.3">
      <c r="A103" s="44" t="s">
        <v>249</v>
      </c>
      <c r="B103" s="179">
        <v>0</v>
      </c>
      <c r="C103" s="339">
        <v>0</v>
      </c>
      <c r="D103" s="244">
        <v>0</v>
      </c>
      <c r="E103" s="61">
        <f t="shared" si="32"/>
        <v>0</v>
      </c>
      <c r="F103" s="75" t="s">
        <v>777</v>
      </c>
      <c r="G103" s="177">
        <v>0</v>
      </c>
      <c r="H103" s="341">
        <v>0</v>
      </c>
      <c r="I103" s="245">
        <v>0</v>
      </c>
      <c r="J103" s="77">
        <f t="shared" si="31"/>
        <v>0</v>
      </c>
    </row>
    <row r="104" spans="1:10" ht="14.95" thickBot="1" x14ac:dyDescent="0.3">
      <c r="A104" s="44" t="s">
        <v>416</v>
      </c>
      <c r="B104" s="179">
        <v>0</v>
      </c>
      <c r="C104" s="339">
        <v>0</v>
      </c>
      <c r="D104" s="244">
        <v>0</v>
      </c>
      <c r="E104" s="61">
        <f t="shared" si="32"/>
        <v>0</v>
      </c>
      <c r="F104" s="75" t="s">
        <v>249</v>
      </c>
      <c r="G104" s="177">
        <v>0</v>
      </c>
      <c r="H104" s="341">
        <v>0</v>
      </c>
      <c r="I104" s="245">
        <v>0</v>
      </c>
      <c r="J104" s="77">
        <f t="shared" si="31"/>
        <v>0</v>
      </c>
    </row>
    <row r="105" spans="1:10" ht="14.95" thickBot="1" x14ac:dyDescent="0.3">
      <c r="A105" s="44" t="s">
        <v>771</v>
      </c>
      <c r="B105" s="179">
        <v>0</v>
      </c>
      <c r="C105" s="339">
        <v>0</v>
      </c>
      <c r="D105" s="244">
        <v>0</v>
      </c>
      <c r="E105" s="61">
        <f t="shared" si="32"/>
        <v>0</v>
      </c>
      <c r="F105" s="75" t="s">
        <v>416</v>
      </c>
      <c r="G105" s="177">
        <v>0</v>
      </c>
      <c r="H105" s="341">
        <v>0</v>
      </c>
      <c r="I105" s="245">
        <v>0</v>
      </c>
      <c r="J105" s="77">
        <f t="shared" si="31"/>
        <v>0</v>
      </c>
    </row>
    <row r="106" spans="1:10" ht="14.95" thickBot="1" x14ac:dyDescent="0.3">
      <c r="A106" s="44" t="s">
        <v>762</v>
      </c>
      <c r="B106" s="179">
        <v>0</v>
      </c>
      <c r="C106" s="339">
        <v>0</v>
      </c>
      <c r="D106" s="244">
        <v>0</v>
      </c>
      <c r="E106" s="61">
        <f t="shared" si="32"/>
        <v>0</v>
      </c>
      <c r="F106" s="75" t="s">
        <v>762</v>
      </c>
      <c r="G106" s="177">
        <v>0</v>
      </c>
      <c r="H106" s="341">
        <v>0</v>
      </c>
      <c r="I106" s="245">
        <v>0</v>
      </c>
      <c r="J106" s="77">
        <f t="shared" si="31"/>
        <v>0</v>
      </c>
    </row>
    <row r="107" spans="1:10" ht="14.95" thickBot="1" x14ac:dyDescent="0.3">
      <c r="A107" s="44" t="s">
        <v>3</v>
      </c>
      <c r="B107" s="179">
        <f>SUM(B57:B106)</f>
        <v>86</v>
      </c>
      <c r="C107" s="339">
        <f>SUM(C57:C106)</f>
        <v>19</v>
      </c>
      <c r="D107" s="244">
        <f>SUM(D57:D106)</f>
        <v>21</v>
      </c>
      <c r="E107" s="61">
        <f t="shared" ref="E107" si="33">SUM(B107:D107)</f>
        <v>126</v>
      </c>
      <c r="F107" s="75" t="s">
        <v>3</v>
      </c>
      <c r="G107" s="177">
        <f>SUM(G57:G106)</f>
        <v>576</v>
      </c>
      <c r="H107" s="341">
        <f>SUM(H57:H106)</f>
        <v>132</v>
      </c>
      <c r="I107" s="245">
        <f>SUM(I57:I106)</f>
        <v>146</v>
      </c>
      <c r="J107" s="77">
        <f t="shared" ref="J107" si="34">SUM(G107:I107)</f>
        <v>854</v>
      </c>
    </row>
    <row r="108" spans="1:10" x14ac:dyDescent="0.25">
      <c r="A108" s="489" t="s">
        <v>42</v>
      </c>
      <c r="B108" s="490"/>
      <c r="C108" s="490"/>
      <c r="D108" s="490"/>
      <c r="E108" s="490"/>
      <c r="F108" s="490"/>
      <c r="G108" s="490"/>
      <c r="H108" s="490"/>
      <c r="I108" s="490"/>
      <c r="J108" s="490"/>
    </row>
  </sheetData>
  <sortState xmlns:xlrd2="http://schemas.microsoft.com/office/spreadsheetml/2017/richdata2" ref="F57:J106">
    <sortCondition descending="1" ref="J57:J106"/>
  </sortState>
  <mergeCells count="59">
    <mergeCell ref="A54:H54"/>
    <mergeCell ref="K25:K26"/>
    <mergeCell ref="L25:N26"/>
    <mergeCell ref="R35:T36"/>
    <mergeCell ref="K35:K36"/>
    <mergeCell ref="L35:N36"/>
    <mergeCell ref="A1:J1"/>
    <mergeCell ref="K15:K16"/>
    <mergeCell ref="K1:K2"/>
    <mergeCell ref="L1:N2"/>
    <mergeCell ref="K42:W42"/>
    <mergeCell ref="L15:N16"/>
    <mergeCell ref="O1:Q2"/>
    <mergeCell ref="O15:Q16"/>
    <mergeCell ref="AI1:AK2"/>
    <mergeCell ref="K43:W43"/>
    <mergeCell ref="R1:S2"/>
    <mergeCell ref="R15:T16"/>
    <mergeCell ref="O35:Q36"/>
    <mergeCell ref="T1:V2"/>
    <mergeCell ref="O25:Q26"/>
    <mergeCell ref="U25:W26"/>
    <mergeCell ref="W1:Y2"/>
    <mergeCell ref="U35:W36"/>
    <mergeCell ref="U15:W16"/>
    <mergeCell ref="AC1:AE2"/>
    <mergeCell ref="AC35:AE36"/>
    <mergeCell ref="AL25:AN26"/>
    <mergeCell ref="AF15:AH16"/>
    <mergeCell ref="AF25:AH26"/>
    <mergeCell ref="R25:T26"/>
    <mergeCell ref="AI15:AK16"/>
    <mergeCell ref="AL15:AN16"/>
    <mergeCell ref="AC15:AE16"/>
    <mergeCell ref="AC25:AE26"/>
    <mergeCell ref="BD1:BF2"/>
    <mergeCell ref="AX15:AZ16"/>
    <mergeCell ref="AO1:AQ2"/>
    <mergeCell ref="AO15:AQ16"/>
    <mergeCell ref="AL1:AN2"/>
    <mergeCell ref="AR1:AT2"/>
    <mergeCell ref="BA1:BC2"/>
    <mergeCell ref="AR15:AT16"/>
    <mergeCell ref="A108:J108"/>
    <mergeCell ref="AX25:AZ26"/>
    <mergeCell ref="AX1:AZ2"/>
    <mergeCell ref="AU1:AW2"/>
    <mergeCell ref="AU15:AW16"/>
    <mergeCell ref="K44:W44"/>
    <mergeCell ref="AF35:AH36"/>
    <mergeCell ref="AR35:AT36"/>
    <mergeCell ref="AU25:AW26"/>
    <mergeCell ref="AL35:AN36"/>
    <mergeCell ref="AI35:AK36"/>
    <mergeCell ref="AO25:AQ26"/>
    <mergeCell ref="AR25:AT26"/>
    <mergeCell ref="AO35:AQ36"/>
    <mergeCell ref="AI25:AK26"/>
    <mergeCell ref="AF1:AH2"/>
  </mergeCells>
  <pageMargins left="0.7" right="0.7" top="0.75" bottom="0.75" header="0.3" footer="0.3"/>
  <pageSetup paperSize="9" orientation="portrait" r:id="rId1"/>
  <ignoredErrors>
    <ignoredError sqref="E28 J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18"/>
  <sheetViews>
    <sheetView tabSelected="1" workbookViewId="0">
      <selection activeCell="Q7" sqref="Q7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9" width="5.75" customWidth="1"/>
    <col min="50" max="55" width="5.625" customWidth="1"/>
  </cols>
  <sheetData>
    <row r="1" spans="1:62" ht="14.95" customHeight="1" thickBot="1" x14ac:dyDescent="0.3">
      <c r="A1" s="532" t="s">
        <v>693</v>
      </c>
      <c r="B1" s="533"/>
      <c r="C1" s="533"/>
      <c r="D1" s="533"/>
      <c r="E1" s="533"/>
      <c r="F1" s="533"/>
      <c r="G1" s="533"/>
      <c r="H1" s="533"/>
      <c r="I1" s="533"/>
      <c r="J1" s="534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95"/>
      <c r="AB1" s="199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49</v>
      </c>
      <c r="BB1" s="470"/>
      <c r="BC1" s="471"/>
      <c r="BE1" s="4"/>
      <c r="BF1" s="4"/>
      <c r="BG1" s="4"/>
      <c r="BJ1" s="4"/>
    </row>
    <row r="2" spans="1:62" ht="14.95" customHeight="1" thickBot="1" x14ac:dyDescent="0.3">
      <c r="A2" s="188" t="s">
        <v>0</v>
      </c>
      <c r="B2" s="186" t="s">
        <v>259</v>
      </c>
      <c r="C2" s="278" t="s">
        <v>35</v>
      </c>
      <c r="D2" s="226" t="s">
        <v>383</v>
      </c>
      <c r="E2" s="190" t="s">
        <v>1</v>
      </c>
      <c r="F2" s="284" t="s">
        <v>2</v>
      </c>
      <c r="G2" s="288" t="s">
        <v>259</v>
      </c>
      <c r="H2" s="280" t="s">
        <v>35</v>
      </c>
      <c r="I2" s="281" t="s">
        <v>383</v>
      </c>
      <c r="J2" s="286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4"/>
      <c r="AA2" s="95"/>
      <c r="AB2" s="199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</row>
    <row r="3" spans="1:62" ht="14.95" customHeight="1" thickBot="1" x14ac:dyDescent="0.3">
      <c r="A3" s="189" t="s">
        <v>413</v>
      </c>
      <c r="B3" s="187">
        <v>1</v>
      </c>
      <c r="C3" s="279">
        <v>0</v>
      </c>
      <c r="D3" s="227">
        <v>1</v>
      </c>
      <c r="E3" s="191">
        <f t="shared" ref="E3:E9" si="0">SUM(B3:D3)</f>
        <v>2</v>
      </c>
      <c r="F3" s="285" t="s">
        <v>413</v>
      </c>
      <c r="G3" s="289">
        <v>5</v>
      </c>
      <c r="H3" s="282">
        <v>0</v>
      </c>
      <c r="I3" s="283">
        <v>5</v>
      </c>
      <c r="J3" s="287">
        <f t="shared" ref="J3:J9" si="1">SUM(G3:I3)</f>
        <v>10</v>
      </c>
      <c r="K3" s="221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7" t="s">
        <v>55</v>
      </c>
      <c r="X3" s="7" t="s">
        <v>11</v>
      </c>
      <c r="Y3" s="7" t="s">
        <v>12</v>
      </c>
      <c r="Z3" s="94"/>
      <c r="AA3" s="95"/>
      <c r="AB3" s="199"/>
      <c r="AC3" s="150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</row>
    <row r="4" spans="1:62" ht="14.95" customHeight="1" thickBot="1" x14ac:dyDescent="0.3">
      <c r="A4" s="189" t="s">
        <v>531</v>
      </c>
      <c r="B4" s="187">
        <v>1</v>
      </c>
      <c r="C4" s="279">
        <v>0</v>
      </c>
      <c r="D4" s="227">
        <v>2</v>
      </c>
      <c r="E4" s="191">
        <f t="shared" si="0"/>
        <v>3</v>
      </c>
      <c r="F4" s="285" t="s">
        <v>531</v>
      </c>
      <c r="G4" s="289">
        <v>5</v>
      </c>
      <c r="H4" s="282">
        <v>0</v>
      </c>
      <c r="I4" s="283">
        <v>10</v>
      </c>
      <c r="J4" s="287">
        <f t="shared" si="1"/>
        <v>15</v>
      </c>
      <c r="K4" s="189" t="s">
        <v>419</v>
      </c>
      <c r="L4" s="191" t="s">
        <v>17</v>
      </c>
      <c r="M4" s="191" t="s">
        <v>17</v>
      </c>
      <c r="N4" s="192" t="s">
        <v>17</v>
      </c>
      <c r="O4" s="191" t="s">
        <v>17</v>
      </c>
      <c r="P4" s="191" t="s">
        <v>17</v>
      </c>
      <c r="Q4" s="192" t="s">
        <v>17</v>
      </c>
      <c r="R4" s="191" t="s">
        <v>21</v>
      </c>
      <c r="S4" s="191">
        <v>-1</v>
      </c>
      <c r="T4" s="7" t="s">
        <v>17</v>
      </c>
      <c r="U4" s="7" t="s">
        <v>17</v>
      </c>
      <c r="V4" s="155" t="s">
        <v>17</v>
      </c>
      <c r="W4" s="7" t="s">
        <v>17</v>
      </c>
      <c r="X4" s="7" t="s">
        <v>17</v>
      </c>
      <c r="Y4" s="155" t="s">
        <v>17</v>
      </c>
      <c r="Z4" s="94"/>
      <c r="AA4" s="95"/>
      <c r="AB4" s="199"/>
      <c r="AC4" s="7" t="s">
        <v>17</v>
      </c>
      <c r="AD4" s="7" t="s">
        <v>17</v>
      </c>
      <c r="AE4" s="155" t="s">
        <v>17</v>
      </c>
      <c r="AF4" s="150" t="s">
        <v>17</v>
      </c>
      <c r="AG4" s="7" t="s">
        <v>17</v>
      </c>
      <c r="AH4" s="7" t="s">
        <v>17</v>
      </c>
      <c r="AI4" s="150" t="s">
        <v>17</v>
      </c>
      <c r="AJ4" s="7" t="s">
        <v>17</v>
      </c>
      <c r="AK4" s="7" t="s">
        <v>17</v>
      </c>
      <c r="AL4" s="150" t="s">
        <v>17</v>
      </c>
      <c r="AM4" s="7" t="s">
        <v>17</v>
      </c>
      <c r="AN4" s="7" t="s">
        <v>17</v>
      </c>
      <c r="AO4" s="150" t="s">
        <v>17</v>
      </c>
      <c r="AP4" s="7" t="s">
        <v>17</v>
      </c>
      <c r="AQ4" s="7" t="s">
        <v>17</v>
      </c>
      <c r="AR4" s="150" t="s">
        <v>17</v>
      </c>
      <c r="AS4" s="7" t="s">
        <v>17</v>
      </c>
      <c r="AT4" s="7" t="s">
        <v>17</v>
      </c>
      <c r="AU4" s="150" t="s">
        <v>17</v>
      </c>
      <c r="AV4" s="7" t="s">
        <v>17</v>
      </c>
      <c r="AW4" s="7" t="s">
        <v>17</v>
      </c>
      <c r="AX4" s="7" t="s">
        <v>17</v>
      </c>
      <c r="AY4" s="7" t="s">
        <v>17</v>
      </c>
      <c r="AZ4" s="7" t="s">
        <v>17</v>
      </c>
      <c r="BA4" s="7" t="s">
        <v>17</v>
      </c>
      <c r="BB4" s="7" t="s">
        <v>17</v>
      </c>
      <c r="BC4" s="7" t="s">
        <v>17</v>
      </c>
    </row>
    <row r="5" spans="1:62" ht="14.95" customHeight="1" thickBot="1" x14ac:dyDescent="0.3">
      <c r="A5" s="189" t="s">
        <v>786</v>
      </c>
      <c r="B5" s="187">
        <v>0</v>
      </c>
      <c r="C5" s="279">
        <v>0</v>
      </c>
      <c r="D5" s="227">
        <v>0</v>
      </c>
      <c r="E5" s="191">
        <f t="shared" si="0"/>
        <v>0</v>
      </c>
      <c r="F5" s="285" t="s">
        <v>786</v>
      </c>
      <c r="G5" s="289">
        <v>0</v>
      </c>
      <c r="H5" s="282">
        <v>0</v>
      </c>
      <c r="I5" s="283">
        <v>0</v>
      </c>
      <c r="J5" s="287">
        <f t="shared" si="1"/>
        <v>0</v>
      </c>
      <c r="K5" s="189" t="s">
        <v>405</v>
      </c>
      <c r="L5" s="191">
        <v>9</v>
      </c>
      <c r="M5" s="191">
        <v>10</v>
      </c>
      <c r="N5" s="192">
        <f t="shared" ref="N5" si="2">SUM(L5/M5)*100</f>
        <v>90</v>
      </c>
      <c r="O5" s="191">
        <v>3</v>
      </c>
      <c r="P5" s="191">
        <v>4</v>
      </c>
      <c r="Q5" s="192">
        <f t="shared" ref="Q5" si="3">SUM(O5/P5)*100</f>
        <v>75</v>
      </c>
      <c r="R5" s="191">
        <v>2</v>
      </c>
      <c r="S5" s="191">
        <v>2</v>
      </c>
      <c r="T5" s="7" t="s">
        <v>17</v>
      </c>
      <c r="U5" s="7" t="s">
        <v>17</v>
      </c>
      <c r="V5" s="7" t="s">
        <v>17</v>
      </c>
      <c r="W5" s="7" t="s">
        <v>17</v>
      </c>
      <c r="X5" s="7" t="s">
        <v>17</v>
      </c>
      <c r="Y5" s="7" t="s">
        <v>17</v>
      </c>
      <c r="Z5" s="94"/>
      <c r="AA5" s="95"/>
      <c r="AB5" s="199"/>
      <c r="AC5" s="7" t="s">
        <v>17</v>
      </c>
      <c r="AD5" s="7" t="s">
        <v>17</v>
      </c>
      <c r="AE5" s="7" t="s">
        <v>17</v>
      </c>
      <c r="AF5" s="150" t="s">
        <v>17</v>
      </c>
      <c r="AG5" s="7" t="s">
        <v>17</v>
      </c>
      <c r="AH5" s="7" t="s">
        <v>17</v>
      </c>
      <c r="AI5" s="150" t="s">
        <v>17</v>
      </c>
      <c r="AJ5" s="7" t="s">
        <v>17</v>
      </c>
      <c r="AK5" s="7" t="s">
        <v>17</v>
      </c>
      <c r="AL5" s="150" t="s">
        <v>17</v>
      </c>
      <c r="AM5" s="7" t="s">
        <v>17</v>
      </c>
      <c r="AN5" s="7" t="s">
        <v>17</v>
      </c>
      <c r="AO5" s="150" t="s">
        <v>17</v>
      </c>
      <c r="AP5" s="7" t="s">
        <v>17</v>
      </c>
      <c r="AQ5" s="7" t="s">
        <v>17</v>
      </c>
      <c r="AR5" s="150" t="s">
        <v>17</v>
      </c>
      <c r="AS5" s="7" t="s">
        <v>17</v>
      </c>
      <c r="AT5" s="7" t="s">
        <v>17</v>
      </c>
      <c r="AU5" s="150" t="s">
        <v>17</v>
      </c>
      <c r="AV5" s="7" t="s">
        <v>17</v>
      </c>
      <c r="AW5" s="7" t="s">
        <v>17</v>
      </c>
      <c r="AX5" s="7" t="s">
        <v>17</v>
      </c>
      <c r="AY5" s="7" t="s">
        <v>17</v>
      </c>
      <c r="AZ5" s="7" t="s">
        <v>17</v>
      </c>
      <c r="BA5" s="7" t="s">
        <v>17</v>
      </c>
      <c r="BB5" s="7" t="s">
        <v>17</v>
      </c>
      <c r="BC5" s="7" t="s">
        <v>17</v>
      </c>
    </row>
    <row r="6" spans="1:62" ht="14.95" customHeight="1" thickBot="1" x14ac:dyDescent="0.3">
      <c r="A6" s="189" t="s">
        <v>556</v>
      </c>
      <c r="B6" s="187">
        <v>2</v>
      </c>
      <c r="C6" s="279">
        <v>0</v>
      </c>
      <c r="D6" s="227">
        <v>0</v>
      </c>
      <c r="E6" s="191">
        <f t="shared" si="0"/>
        <v>2</v>
      </c>
      <c r="F6" s="285" t="s">
        <v>556</v>
      </c>
      <c r="G6" s="289">
        <v>10</v>
      </c>
      <c r="H6" s="282">
        <v>0</v>
      </c>
      <c r="I6" s="283">
        <v>0</v>
      </c>
      <c r="J6" s="287">
        <f t="shared" si="1"/>
        <v>10</v>
      </c>
      <c r="K6" s="188" t="s">
        <v>671</v>
      </c>
      <c r="L6" s="344">
        <v>8</v>
      </c>
      <c r="M6" s="344">
        <v>14</v>
      </c>
      <c r="N6" s="345">
        <f t="shared" ref="N6" si="4">SUM(L6/M6)*100</f>
        <v>57.142857142857139</v>
      </c>
      <c r="O6" s="191" t="s">
        <v>17</v>
      </c>
      <c r="P6" s="191" t="s">
        <v>17</v>
      </c>
      <c r="Q6" s="192" t="s">
        <v>17</v>
      </c>
      <c r="R6" s="344">
        <v>-1</v>
      </c>
      <c r="S6" s="344">
        <v>9</v>
      </c>
      <c r="T6" s="6">
        <v>20</v>
      </c>
      <c r="U6" s="356">
        <v>24</v>
      </c>
      <c r="V6" s="159">
        <v>83.333333333333343</v>
      </c>
      <c r="W6" s="6">
        <v>42</v>
      </c>
      <c r="X6" s="154">
        <v>52</v>
      </c>
      <c r="Y6" s="159">
        <v>80.769230769230774</v>
      </c>
      <c r="Z6" s="95"/>
      <c r="AA6" s="95"/>
      <c r="AB6" s="199"/>
      <c r="AC6" s="6">
        <v>25</v>
      </c>
      <c r="AD6" s="6">
        <v>30</v>
      </c>
      <c r="AE6" s="159">
        <v>83.333333333333343</v>
      </c>
      <c r="AF6" s="150">
        <v>50</v>
      </c>
      <c r="AG6" s="7">
        <v>65</v>
      </c>
      <c r="AH6" s="155">
        <v>76.923076923076934</v>
      </c>
      <c r="AI6" s="150">
        <v>26</v>
      </c>
      <c r="AJ6" s="7">
        <v>37</v>
      </c>
      <c r="AK6" s="7">
        <v>70</v>
      </c>
      <c r="AL6" s="150">
        <v>20</v>
      </c>
      <c r="AM6" s="7">
        <v>31</v>
      </c>
      <c r="AN6" s="7">
        <v>65</v>
      </c>
      <c r="AO6" s="150">
        <v>48</v>
      </c>
      <c r="AP6" s="7">
        <v>57</v>
      </c>
      <c r="AQ6" s="7">
        <v>84</v>
      </c>
      <c r="AR6" s="150" t="s">
        <v>17</v>
      </c>
      <c r="AS6" s="7" t="s">
        <v>17</v>
      </c>
      <c r="AT6" s="7" t="s">
        <v>17</v>
      </c>
      <c r="AU6" s="150">
        <v>6</v>
      </c>
      <c r="AV6" s="7">
        <v>8</v>
      </c>
      <c r="AW6" s="7">
        <v>75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</row>
    <row r="7" spans="1:62" ht="14.95" customHeight="1" thickBot="1" x14ac:dyDescent="0.3">
      <c r="A7" s="189" t="s">
        <v>419</v>
      </c>
      <c r="B7" s="187">
        <v>2</v>
      </c>
      <c r="C7" s="279">
        <v>0</v>
      </c>
      <c r="D7" s="227">
        <v>0</v>
      </c>
      <c r="E7" s="191">
        <f t="shared" si="0"/>
        <v>2</v>
      </c>
      <c r="F7" s="285" t="s">
        <v>419</v>
      </c>
      <c r="G7" s="289">
        <v>10</v>
      </c>
      <c r="H7" s="282">
        <v>0</v>
      </c>
      <c r="I7" s="283">
        <v>0</v>
      </c>
      <c r="J7" s="287">
        <f t="shared" si="1"/>
        <v>10</v>
      </c>
      <c r="K7" s="188" t="s">
        <v>791</v>
      </c>
      <c r="L7" s="344">
        <v>2</v>
      </c>
      <c r="M7" s="343">
        <v>3</v>
      </c>
      <c r="N7" s="345">
        <f t="shared" ref="N7" si="5">SUM(L7/M7)*100</f>
        <v>66.666666666666657</v>
      </c>
      <c r="O7" s="191" t="s">
        <v>17</v>
      </c>
      <c r="P7" s="191" t="s">
        <v>17</v>
      </c>
      <c r="Q7" s="192" t="s">
        <v>17</v>
      </c>
      <c r="R7" s="344">
        <v>2</v>
      </c>
      <c r="S7" s="344">
        <v>-1</v>
      </c>
      <c r="T7" s="6">
        <v>1</v>
      </c>
      <c r="U7" s="87">
        <v>2</v>
      </c>
      <c r="V7" s="346">
        <v>50</v>
      </c>
      <c r="W7" s="150">
        <v>22</v>
      </c>
      <c r="X7" s="87">
        <v>25</v>
      </c>
      <c r="Y7" s="159">
        <v>88</v>
      </c>
      <c r="Z7" s="95"/>
      <c r="AA7" s="95"/>
      <c r="AB7" s="95"/>
      <c r="AC7" s="6" t="s">
        <v>17</v>
      </c>
      <c r="AD7" s="6" t="s">
        <v>17</v>
      </c>
      <c r="AE7" s="159" t="s">
        <v>17</v>
      </c>
      <c r="AF7" s="150">
        <v>24</v>
      </c>
      <c r="AG7" s="7">
        <v>28</v>
      </c>
      <c r="AH7" s="155">
        <v>85.714285714285708</v>
      </c>
      <c r="AI7" s="150">
        <v>16</v>
      </c>
      <c r="AJ7" s="7">
        <v>22</v>
      </c>
      <c r="AK7" s="7">
        <v>73</v>
      </c>
      <c r="AL7" s="150">
        <v>36</v>
      </c>
      <c r="AM7" s="7">
        <v>46</v>
      </c>
      <c r="AN7" s="7">
        <v>78</v>
      </c>
      <c r="AO7" s="150">
        <v>37</v>
      </c>
      <c r="AP7" s="7">
        <v>52</v>
      </c>
      <c r="AQ7" s="7">
        <v>71</v>
      </c>
      <c r="AR7" s="150">
        <v>79</v>
      </c>
      <c r="AS7" s="7">
        <v>94</v>
      </c>
      <c r="AT7" s="7">
        <v>84</v>
      </c>
      <c r="AU7" s="150">
        <v>10</v>
      </c>
      <c r="AV7" s="7">
        <v>13</v>
      </c>
      <c r="AW7" s="7">
        <v>77</v>
      </c>
      <c r="AX7" s="7">
        <v>37</v>
      </c>
      <c r="AY7" s="7">
        <v>49</v>
      </c>
      <c r="AZ7" s="7">
        <v>76</v>
      </c>
      <c r="BA7" s="7" t="s">
        <v>17</v>
      </c>
      <c r="BB7" s="7" t="s">
        <v>17</v>
      </c>
      <c r="BC7" s="7" t="s">
        <v>17</v>
      </c>
    </row>
    <row r="8" spans="1:62" ht="14.95" customHeight="1" thickBot="1" x14ac:dyDescent="0.3">
      <c r="A8" s="189" t="s">
        <v>405</v>
      </c>
      <c r="B8" s="187">
        <v>0</v>
      </c>
      <c r="C8" s="279">
        <v>0</v>
      </c>
      <c r="D8" s="227">
        <v>1</v>
      </c>
      <c r="E8" s="191">
        <f t="shared" si="0"/>
        <v>1</v>
      </c>
      <c r="F8" s="285" t="s">
        <v>405</v>
      </c>
      <c r="G8" s="289">
        <v>21</v>
      </c>
      <c r="H8" s="282">
        <v>0</v>
      </c>
      <c r="I8" s="283">
        <v>46</v>
      </c>
      <c r="J8" s="287">
        <f t="shared" si="1"/>
        <v>67</v>
      </c>
      <c r="K8" s="188" t="s">
        <v>486</v>
      </c>
      <c r="L8" s="344" t="s">
        <v>17</v>
      </c>
      <c r="M8" s="344" t="s">
        <v>17</v>
      </c>
      <c r="N8" s="345" t="s">
        <v>17</v>
      </c>
      <c r="O8" s="191" t="s">
        <v>17</v>
      </c>
      <c r="P8" s="191" t="s">
        <v>17</v>
      </c>
      <c r="Q8" s="192" t="s">
        <v>17</v>
      </c>
      <c r="R8" s="344" t="s">
        <v>21</v>
      </c>
      <c r="S8" s="344">
        <v>-1</v>
      </c>
      <c r="T8" s="6" t="s">
        <v>17</v>
      </c>
      <c r="U8" s="6" t="s">
        <v>17</v>
      </c>
      <c r="V8" s="159" t="s">
        <v>17</v>
      </c>
      <c r="W8" s="6" t="s">
        <v>17</v>
      </c>
      <c r="X8" s="6" t="s">
        <v>17</v>
      </c>
      <c r="Y8" s="159" t="s">
        <v>17</v>
      </c>
      <c r="Z8" s="95"/>
      <c r="AA8" s="95"/>
      <c r="AB8" s="95"/>
      <c r="AC8" s="6" t="s">
        <v>17</v>
      </c>
      <c r="AD8" s="6" t="s">
        <v>17</v>
      </c>
      <c r="AE8" s="159" t="s">
        <v>17</v>
      </c>
      <c r="AF8" s="150" t="s">
        <v>17</v>
      </c>
      <c r="AG8" s="7" t="s">
        <v>17</v>
      </c>
      <c r="AH8" s="7" t="s">
        <v>17</v>
      </c>
      <c r="AI8" s="150" t="s">
        <v>17</v>
      </c>
      <c r="AJ8" s="7" t="s">
        <v>17</v>
      </c>
      <c r="AK8" s="7" t="s">
        <v>17</v>
      </c>
      <c r="AL8" s="150" t="s">
        <v>17</v>
      </c>
      <c r="AM8" s="7" t="s">
        <v>17</v>
      </c>
      <c r="AN8" s="7" t="s">
        <v>17</v>
      </c>
      <c r="AO8" s="150" t="s">
        <v>17</v>
      </c>
      <c r="AP8" s="7" t="s">
        <v>17</v>
      </c>
      <c r="AQ8" s="7" t="s">
        <v>17</v>
      </c>
      <c r="AR8" s="150" t="s">
        <v>17</v>
      </c>
      <c r="AS8" s="7" t="s">
        <v>17</v>
      </c>
      <c r="AT8" s="7" t="s">
        <v>17</v>
      </c>
      <c r="AU8" s="150" t="s">
        <v>17</v>
      </c>
      <c r="AV8" s="7" t="s">
        <v>17</v>
      </c>
      <c r="AW8" s="7" t="s">
        <v>17</v>
      </c>
      <c r="AX8" s="7" t="s">
        <v>17</v>
      </c>
      <c r="AY8" s="7" t="s">
        <v>17</v>
      </c>
      <c r="AZ8" s="7" t="s">
        <v>17</v>
      </c>
      <c r="BA8" s="7" t="s">
        <v>17</v>
      </c>
      <c r="BB8" s="7" t="s">
        <v>17</v>
      </c>
      <c r="BC8" s="7" t="s">
        <v>17</v>
      </c>
    </row>
    <row r="9" spans="1:62" ht="14.95" customHeight="1" thickBot="1" x14ac:dyDescent="0.3">
      <c r="A9" s="189" t="s">
        <v>485</v>
      </c>
      <c r="B9" s="187">
        <v>0</v>
      </c>
      <c r="C9" s="279">
        <v>0</v>
      </c>
      <c r="D9" s="227">
        <v>0</v>
      </c>
      <c r="E9" s="191">
        <f t="shared" si="0"/>
        <v>0</v>
      </c>
      <c r="F9" s="285" t="s">
        <v>485</v>
      </c>
      <c r="G9" s="289">
        <v>0</v>
      </c>
      <c r="H9" s="282">
        <v>0</v>
      </c>
      <c r="I9" s="283">
        <v>0</v>
      </c>
      <c r="J9" s="287">
        <f t="shared" si="1"/>
        <v>0</v>
      </c>
      <c r="K9" s="189" t="s">
        <v>26</v>
      </c>
      <c r="L9" s="344">
        <v>43</v>
      </c>
      <c r="M9" s="344">
        <v>47</v>
      </c>
      <c r="N9" s="345">
        <f t="shared" ref="N9" si="6">SUM(L9/M9)*100</f>
        <v>91.489361702127653</v>
      </c>
      <c r="O9" s="191" t="s">
        <v>17</v>
      </c>
      <c r="P9" s="191" t="s">
        <v>17</v>
      </c>
      <c r="Q9" s="192" t="s">
        <v>17</v>
      </c>
      <c r="R9" s="191">
        <v>4</v>
      </c>
      <c r="S9" s="191">
        <v>4</v>
      </c>
      <c r="T9" s="7">
        <v>34</v>
      </c>
      <c r="U9" s="7">
        <v>52</v>
      </c>
      <c r="V9" s="155">
        <v>65.384615384615387</v>
      </c>
      <c r="W9" s="7">
        <v>38</v>
      </c>
      <c r="X9" s="7">
        <v>45</v>
      </c>
      <c r="Y9" s="155">
        <v>84.444444444444443</v>
      </c>
      <c r="Z9" s="94"/>
      <c r="AA9" s="95"/>
      <c r="AB9" s="199"/>
      <c r="AC9" s="7">
        <v>40</v>
      </c>
      <c r="AD9" s="7">
        <v>55</v>
      </c>
      <c r="AE9" s="155">
        <f t="shared" ref="AE9" si="7">SUM(AC9/AD9)*100</f>
        <v>72.727272727272734</v>
      </c>
      <c r="AF9" s="150">
        <v>104</v>
      </c>
      <c r="AG9" s="7">
        <v>127</v>
      </c>
      <c r="AH9" s="155">
        <f t="shared" ref="AH9" si="8">SUM(AF9/AG9)*100</f>
        <v>81.889763779527556</v>
      </c>
      <c r="AI9" s="150">
        <v>65</v>
      </c>
      <c r="AJ9" s="7">
        <v>81</v>
      </c>
      <c r="AK9" s="155">
        <f t="shared" ref="AK9" si="9">SUM(AI9/AJ9)*100</f>
        <v>80.246913580246911</v>
      </c>
      <c r="AL9" s="150">
        <v>62</v>
      </c>
      <c r="AM9" s="7">
        <v>78</v>
      </c>
      <c r="AN9" s="155">
        <f t="shared" ref="AN9" si="10">SUM(AL9/AM9)*100</f>
        <v>79.487179487179489</v>
      </c>
      <c r="AO9" s="150">
        <v>63</v>
      </c>
      <c r="AP9" s="7">
        <v>84</v>
      </c>
      <c r="AQ9" s="155">
        <f t="shared" ref="AQ9" si="11">SUM(AO9/AP9)*100</f>
        <v>75</v>
      </c>
      <c r="AR9" s="150" t="s">
        <v>17</v>
      </c>
      <c r="AS9" s="7" t="s">
        <v>17</v>
      </c>
      <c r="AT9" s="7" t="s">
        <v>17</v>
      </c>
      <c r="AU9" s="150" t="s">
        <v>17</v>
      </c>
      <c r="AV9" s="7" t="s">
        <v>17</v>
      </c>
      <c r="AW9" s="7" t="s">
        <v>17</v>
      </c>
      <c r="AX9" s="7" t="s">
        <v>17</v>
      </c>
      <c r="AY9" s="7" t="s">
        <v>17</v>
      </c>
      <c r="AZ9" s="7" t="s">
        <v>17</v>
      </c>
      <c r="BA9" s="7" t="s">
        <v>17</v>
      </c>
      <c r="BB9" s="7" t="s">
        <v>17</v>
      </c>
      <c r="BC9" s="7" t="s">
        <v>17</v>
      </c>
    </row>
    <row r="10" spans="1:62" ht="14.95" customHeight="1" thickBot="1" x14ac:dyDescent="0.3">
      <c r="A10" s="189" t="s">
        <v>574</v>
      </c>
      <c r="B10" s="187">
        <v>0</v>
      </c>
      <c r="C10" s="279">
        <v>0</v>
      </c>
      <c r="D10" s="227">
        <v>0</v>
      </c>
      <c r="E10" s="191">
        <f t="shared" ref="E10" si="12">SUM(B10:D10)</f>
        <v>0</v>
      </c>
      <c r="F10" s="285" t="s">
        <v>574</v>
      </c>
      <c r="G10" s="289">
        <v>0</v>
      </c>
      <c r="H10" s="282">
        <v>0</v>
      </c>
      <c r="I10" s="283">
        <v>0</v>
      </c>
      <c r="J10" s="287">
        <f t="shared" ref="J10" si="13">SUM(G10:I10)</f>
        <v>0</v>
      </c>
      <c r="K10" s="308"/>
      <c r="AC10" s="86"/>
      <c r="AF10" s="86"/>
      <c r="AG10" s="86"/>
      <c r="AH10" s="86"/>
      <c r="AI10" s="86"/>
      <c r="AO10" s="86"/>
      <c r="AU10" s="147"/>
      <c r="BD10" s="46"/>
      <c r="BG10" s="86"/>
    </row>
    <row r="11" spans="1:62" ht="14.95" customHeight="1" thickBot="1" x14ac:dyDescent="0.3">
      <c r="A11" s="189" t="s">
        <v>8</v>
      </c>
      <c r="B11" s="187">
        <v>0</v>
      </c>
      <c r="C11" s="279">
        <v>1</v>
      </c>
      <c r="D11" s="227">
        <v>0</v>
      </c>
      <c r="E11" s="191">
        <f t="shared" ref="E11:E58" si="14">SUM(B11:D11)</f>
        <v>1</v>
      </c>
      <c r="F11" s="285" t="s">
        <v>8</v>
      </c>
      <c r="G11" s="289">
        <v>0</v>
      </c>
      <c r="H11" s="282">
        <v>5</v>
      </c>
      <c r="I11" s="283">
        <v>0</v>
      </c>
      <c r="J11" s="287">
        <f t="shared" ref="J11:J58" si="15">SUM(G11:I11)</f>
        <v>5</v>
      </c>
      <c r="K11" s="522" t="s">
        <v>226</v>
      </c>
      <c r="L11" s="524" t="s">
        <v>16</v>
      </c>
      <c r="M11" s="525"/>
      <c r="N11" s="526"/>
      <c r="O11" s="469" t="s">
        <v>267</v>
      </c>
      <c r="P11" s="470"/>
      <c r="Q11" s="471"/>
      <c r="R11" s="469" t="s">
        <v>698</v>
      </c>
      <c r="S11" s="470"/>
      <c r="T11" s="471"/>
      <c r="U11" s="469" t="s">
        <v>562</v>
      </c>
      <c r="V11" s="470"/>
      <c r="W11" s="471"/>
      <c r="X11" s="162" t="s">
        <v>25</v>
      </c>
      <c r="AC11" s="469" t="s">
        <v>463</v>
      </c>
      <c r="AD11" s="470"/>
      <c r="AE11" s="471"/>
      <c r="AF11" s="469" t="s">
        <v>355</v>
      </c>
      <c r="AG11" s="470"/>
      <c r="AH11" s="471"/>
      <c r="AI11" s="469" t="s">
        <v>260</v>
      </c>
      <c r="AJ11" s="470"/>
      <c r="AK11" s="471"/>
      <c r="AL11" s="469" t="s">
        <v>199</v>
      </c>
      <c r="AM11" s="470"/>
      <c r="AN11" s="471"/>
      <c r="AO11" s="469" t="s">
        <v>92</v>
      </c>
      <c r="AP11" s="470"/>
      <c r="AQ11" s="471"/>
      <c r="AR11" s="469" t="s">
        <v>63</v>
      </c>
      <c r="AS11" s="470"/>
      <c r="AT11" s="471"/>
      <c r="AU11" s="469" t="s">
        <v>68</v>
      </c>
      <c r="AV11" s="470"/>
      <c r="AW11" s="471"/>
      <c r="AX11" s="469" t="s">
        <v>49</v>
      </c>
      <c r="AY11" s="470"/>
      <c r="AZ11" s="471"/>
      <c r="BA11" s="147"/>
    </row>
    <row r="12" spans="1:62" ht="14.95" customHeight="1" thickBot="1" x14ac:dyDescent="0.3">
      <c r="A12" s="189" t="s">
        <v>448</v>
      </c>
      <c r="B12" s="187">
        <v>0</v>
      </c>
      <c r="C12" s="279">
        <v>0</v>
      </c>
      <c r="D12" s="227">
        <v>0</v>
      </c>
      <c r="E12" s="191">
        <f t="shared" si="14"/>
        <v>0</v>
      </c>
      <c r="F12" s="285" t="s">
        <v>448</v>
      </c>
      <c r="G12" s="289">
        <v>0</v>
      </c>
      <c r="H12" s="282">
        <v>0</v>
      </c>
      <c r="I12" s="283">
        <v>0</v>
      </c>
      <c r="J12" s="287">
        <f t="shared" si="15"/>
        <v>0</v>
      </c>
      <c r="K12" s="523"/>
      <c r="L12" s="527"/>
      <c r="M12" s="528"/>
      <c r="N12" s="529"/>
      <c r="O12" s="472"/>
      <c r="P12" s="473"/>
      <c r="Q12" s="474"/>
      <c r="R12" s="472"/>
      <c r="S12" s="473"/>
      <c r="T12" s="474"/>
      <c r="U12" s="472"/>
      <c r="V12" s="473"/>
      <c r="W12" s="474"/>
      <c r="AC12" s="472"/>
      <c r="AD12" s="473"/>
      <c r="AE12" s="474"/>
      <c r="AF12" s="472"/>
      <c r="AG12" s="473"/>
      <c r="AH12" s="474"/>
      <c r="AI12" s="472"/>
      <c r="AJ12" s="473"/>
      <c r="AK12" s="474"/>
      <c r="AL12" s="472"/>
      <c r="AM12" s="473"/>
      <c r="AN12" s="474"/>
      <c r="AO12" s="472"/>
      <c r="AP12" s="473"/>
      <c r="AQ12" s="474"/>
      <c r="AR12" s="472"/>
      <c r="AS12" s="473"/>
      <c r="AT12" s="474"/>
      <c r="AU12" s="472"/>
      <c r="AV12" s="473"/>
      <c r="AW12" s="474"/>
      <c r="AX12" s="472"/>
      <c r="AY12" s="473"/>
      <c r="AZ12" s="474"/>
    </row>
    <row r="13" spans="1:62" ht="14.95" customHeight="1" thickBot="1" x14ac:dyDescent="0.3">
      <c r="A13" s="189" t="s">
        <v>622</v>
      </c>
      <c r="B13" s="187">
        <v>1</v>
      </c>
      <c r="C13" s="279">
        <v>1</v>
      </c>
      <c r="D13" s="227">
        <v>0</v>
      </c>
      <c r="E13" s="191">
        <f t="shared" si="14"/>
        <v>2</v>
      </c>
      <c r="F13" s="285" t="s">
        <v>622</v>
      </c>
      <c r="G13" s="289">
        <v>5</v>
      </c>
      <c r="H13" s="282">
        <v>5</v>
      </c>
      <c r="I13" s="283">
        <v>0</v>
      </c>
      <c r="J13" s="287">
        <f t="shared" si="15"/>
        <v>10</v>
      </c>
      <c r="K13" s="263" t="s">
        <v>25</v>
      </c>
      <c r="L13" s="1" t="s">
        <v>55</v>
      </c>
      <c r="M13" s="1" t="s">
        <v>11</v>
      </c>
      <c r="N13" s="1" t="s">
        <v>12</v>
      </c>
      <c r="O13" s="7" t="s">
        <v>55</v>
      </c>
      <c r="P13" s="7" t="s">
        <v>11</v>
      </c>
      <c r="Q13" s="7" t="s">
        <v>12</v>
      </c>
      <c r="R13" s="7" t="s">
        <v>55</v>
      </c>
      <c r="S13" s="7" t="s">
        <v>11</v>
      </c>
      <c r="T13" s="7" t="s">
        <v>12</v>
      </c>
      <c r="U13" s="7" t="s">
        <v>55</v>
      </c>
      <c r="V13" s="7" t="s">
        <v>11</v>
      </c>
      <c r="W13" s="7" t="s">
        <v>12</v>
      </c>
      <c r="AC13" s="150" t="s">
        <v>55</v>
      </c>
      <c r="AD13" s="7" t="s">
        <v>11</v>
      </c>
      <c r="AE13" s="7" t="s">
        <v>12</v>
      </c>
      <c r="AF13" s="150" t="s">
        <v>55</v>
      </c>
      <c r="AG13" s="7" t="s">
        <v>11</v>
      </c>
      <c r="AH13" s="7" t="s">
        <v>12</v>
      </c>
      <c r="AI13" s="150" t="s">
        <v>55</v>
      </c>
      <c r="AJ13" s="7" t="s">
        <v>11</v>
      </c>
      <c r="AK13" s="7" t="s">
        <v>12</v>
      </c>
      <c r="AL13" s="150" t="s">
        <v>55</v>
      </c>
      <c r="AM13" s="7" t="s">
        <v>11</v>
      </c>
      <c r="AN13" s="7" t="s">
        <v>12</v>
      </c>
      <c r="AO13" s="150" t="s">
        <v>55</v>
      </c>
      <c r="AP13" s="7" t="s">
        <v>11</v>
      </c>
      <c r="AQ13" s="7" t="s">
        <v>12</v>
      </c>
      <c r="AR13" s="150" t="s">
        <v>55</v>
      </c>
      <c r="AS13" s="7" t="s">
        <v>11</v>
      </c>
      <c r="AT13" s="7" t="s">
        <v>12</v>
      </c>
      <c r="AU13" s="150" t="s">
        <v>55</v>
      </c>
      <c r="AV13" s="7" t="s">
        <v>11</v>
      </c>
      <c r="AW13" s="7" t="s">
        <v>12</v>
      </c>
      <c r="AX13" s="150" t="s">
        <v>55</v>
      </c>
      <c r="AY13" s="7" t="s">
        <v>11</v>
      </c>
      <c r="AZ13" s="7" t="s">
        <v>12</v>
      </c>
      <c r="BA13" s="147"/>
    </row>
    <row r="14" spans="1:62" ht="14.95" customHeight="1" thickBot="1" x14ac:dyDescent="0.3">
      <c r="A14" s="189" t="s">
        <v>456</v>
      </c>
      <c r="B14" s="187">
        <v>2</v>
      </c>
      <c r="C14" s="279">
        <v>0</v>
      </c>
      <c r="D14" s="227">
        <v>0</v>
      </c>
      <c r="E14" s="191">
        <f t="shared" si="14"/>
        <v>2</v>
      </c>
      <c r="F14" s="285" t="s">
        <v>456</v>
      </c>
      <c r="G14" s="289">
        <v>10</v>
      </c>
      <c r="H14" s="282">
        <v>0</v>
      </c>
      <c r="I14" s="283">
        <v>0</v>
      </c>
      <c r="J14" s="287">
        <f t="shared" si="15"/>
        <v>10</v>
      </c>
      <c r="K14" s="189" t="s">
        <v>671</v>
      </c>
      <c r="L14" s="191">
        <v>2</v>
      </c>
      <c r="M14" s="191">
        <v>2</v>
      </c>
      <c r="N14" s="192">
        <f t="shared" ref="N14:N15" si="16">SUM(L14/M14)*100</f>
        <v>100</v>
      </c>
      <c r="O14" s="6">
        <v>0</v>
      </c>
      <c r="P14" s="7">
        <v>1</v>
      </c>
      <c r="Q14" s="155">
        <v>0</v>
      </c>
      <c r="R14" s="6" t="s">
        <v>17</v>
      </c>
      <c r="S14" s="7" t="s">
        <v>17</v>
      </c>
      <c r="T14" s="155" t="s">
        <v>17</v>
      </c>
      <c r="U14" s="7">
        <v>4</v>
      </c>
      <c r="V14" s="7">
        <v>6</v>
      </c>
      <c r="W14" s="155">
        <v>66.666666666666657</v>
      </c>
      <c r="AC14" s="150" t="s">
        <v>17</v>
      </c>
      <c r="AD14" s="7" t="s">
        <v>17</v>
      </c>
      <c r="AE14" s="155" t="s">
        <v>17</v>
      </c>
      <c r="AF14" s="6" t="s">
        <v>17</v>
      </c>
      <c r="AG14" s="7" t="s">
        <v>17</v>
      </c>
      <c r="AH14" s="155" t="s">
        <v>17</v>
      </c>
      <c r="AI14" s="150">
        <v>2</v>
      </c>
      <c r="AJ14" s="7">
        <v>3</v>
      </c>
      <c r="AK14" s="155">
        <v>66.666666666666657</v>
      </c>
      <c r="AL14" s="7" t="s">
        <v>17</v>
      </c>
      <c r="AM14" s="7" t="s">
        <v>17</v>
      </c>
      <c r="AN14" s="155" t="s">
        <v>17</v>
      </c>
      <c r="AO14" s="7" t="s">
        <v>17</v>
      </c>
      <c r="AP14" s="7" t="s">
        <v>17</v>
      </c>
      <c r="AQ14" s="155" t="s">
        <v>17</v>
      </c>
      <c r="AR14" s="7" t="s">
        <v>17</v>
      </c>
      <c r="AS14" s="7" t="s">
        <v>17</v>
      </c>
      <c r="AT14" s="155" t="s">
        <v>17</v>
      </c>
      <c r="AU14" s="7" t="s">
        <v>17</v>
      </c>
      <c r="AV14" s="7" t="s">
        <v>17</v>
      </c>
      <c r="AW14" s="155" t="s">
        <v>17</v>
      </c>
      <c r="AX14" s="7" t="s">
        <v>17</v>
      </c>
      <c r="AY14" s="7" t="s">
        <v>17</v>
      </c>
      <c r="AZ14" s="155" t="s">
        <v>17</v>
      </c>
      <c r="BA14" s="147"/>
    </row>
    <row r="15" spans="1:62" ht="14.95" customHeight="1" thickBot="1" x14ac:dyDescent="0.3">
      <c r="A15" s="189" t="s">
        <v>684</v>
      </c>
      <c r="B15" s="187">
        <v>0</v>
      </c>
      <c r="C15" s="279">
        <v>1</v>
      </c>
      <c r="D15" s="227">
        <v>0</v>
      </c>
      <c r="E15" s="191">
        <f t="shared" si="14"/>
        <v>1</v>
      </c>
      <c r="F15" s="285" t="s">
        <v>684</v>
      </c>
      <c r="G15" s="289">
        <v>0</v>
      </c>
      <c r="H15" s="282">
        <v>5</v>
      </c>
      <c r="I15" s="283">
        <v>0</v>
      </c>
      <c r="J15" s="287">
        <f t="shared" si="15"/>
        <v>5</v>
      </c>
      <c r="K15" s="188" t="s">
        <v>791</v>
      </c>
      <c r="L15" s="191">
        <v>0</v>
      </c>
      <c r="M15" s="191">
        <v>1</v>
      </c>
      <c r="N15" s="192">
        <f t="shared" si="16"/>
        <v>0</v>
      </c>
      <c r="O15" s="6" t="s">
        <v>17</v>
      </c>
      <c r="P15" s="7" t="s">
        <v>17</v>
      </c>
      <c r="Q15" s="155" t="s">
        <v>17</v>
      </c>
      <c r="R15" s="6" t="s">
        <v>17</v>
      </c>
      <c r="S15" s="7" t="s">
        <v>17</v>
      </c>
      <c r="T15" s="155" t="s">
        <v>17</v>
      </c>
      <c r="U15" s="6" t="s">
        <v>17</v>
      </c>
      <c r="V15" s="7" t="s">
        <v>17</v>
      </c>
      <c r="W15" s="155" t="s">
        <v>17</v>
      </c>
      <c r="AC15" s="150">
        <v>7</v>
      </c>
      <c r="AD15" s="7">
        <v>9</v>
      </c>
      <c r="AE15" s="155">
        <v>78</v>
      </c>
      <c r="AF15" s="6" t="s">
        <v>17</v>
      </c>
      <c r="AG15" s="7" t="s">
        <v>17</v>
      </c>
      <c r="AH15" s="155" t="s">
        <v>17</v>
      </c>
      <c r="AI15" s="150">
        <v>11</v>
      </c>
      <c r="AJ15" s="7">
        <v>13</v>
      </c>
      <c r="AK15" s="155">
        <v>84.615384615384613</v>
      </c>
      <c r="AL15" s="7">
        <v>11</v>
      </c>
      <c r="AM15" s="7">
        <v>12</v>
      </c>
      <c r="AN15" s="155">
        <v>91.666666666666657</v>
      </c>
      <c r="AO15" s="7">
        <v>11</v>
      </c>
      <c r="AP15" s="7">
        <v>11</v>
      </c>
      <c r="AQ15" s="155">
        <v>100</v>
      </c>
      <c r="AR15" s="6" t="s">
        <v>17</v>
      </c>
      <c r="AS15" s="7" t="s">
        <v>17</v>
      </c>
      <c r="AT15" s="155" t="s">
        <v>17</v>
      </c>
      <c r="AU15" s="6" t="s">
        <v>17</v>
      </c>
      <c r="AV15" s="7" t="s">
        <v>17</v>
      </c>
      <c r="AW15" s="155" t="s">
        <v>17</v>
      </c>
      <c r="AX15" s="6" t="s">
        <v>17</v>
      </c>
      <c r="AY15" s="7" t="s">
        <v>17</v>
      </c>
      <c r="AZ15" s="155" t="s">
        <v>17</v>
      </c>
    </row>
    <row r="16" spans="1:62" ht="14.95" customHeight="1" thickBot="1" x14ac:dyDescent="0.3">
      <c r="A16" s="189" t="s">
        <v>196</v>
      </c>
      <c r="B16" s="187">
        <v>0</v>
      </c>
      <c r="C16" s="279">
        <v>1</v>
      </c>
      <c r="D16" s="227">
        <v>0</v>
      </c>
      <c r="E16" s="191">
        <f t="shared" si="14"/>
        <v>1</v>
      </c>
      <c r="F16" s="285" t="s">
        <v>196</v>
      </c>
      <c r="G16" s="289">
        <v>0</v>
      </c>
      <c r="H16" s="282">
        <v>5</v>
      </c>
      <c r="I16" s="283">
        <v>0</v>
      </c>
      <c r="J16" s="287">
        <f t="shared" si="15"/>
        <v>5</v>
      </c>
      <c r="K16" s="189" t="s">
        <v>26</v>
      </c>
      <c r="L16" s="191">
        <v>12</v>
      </c>
      <c r="M16" s="191">
        <v>16</v>
      </c>
      <c r="N16" s="192">
        <f t="shared" ref="N16" si="17">SUM(L16/M16)*100</f>
        <v>75</v>
      </c>
      <c r="O16" s="7">
        <v>31</v>
      </c>
      <c r="P16" s="7">
        <v>35</v>
      </c>
      <c r="Q16" s="155">
        <v>88.571428571428569</v>
      </c>
      <c r="R16" s="7">
        <v>13</v>
      </c>
      <c r="S16" s="7">
        <v>16</v>
      </c>
      <c r="T16" s="155">
        <v>81.25</v>
      </c>
      <c r="U16" s="7">
        <v>23</v>
      </c>
      <c r="V16" s="7">
        <v>28</v>
      </c>
      <c r="W16" s="155">
        <f t="shared" ref="W16" si="18">SUM(U16/V16)*100</f>
        <v>82.142857142857139</v>
      </c>
      <c r="AC16" s="150">
        <v>2</v>
      </c>
      <c r="AD16" s="7">
        <v>5</v>
      </c>
      <c r="AE16" s="155">
        <f t="shared" ref="AE16" si="19">SUM(AC16/AD16)*100</f>
        <v>40</v>
      </c>
      <c r="AF16" s="150">
        <v>11</v>
      </c>
      <c r="AG16" s="7">
        <v>12</v>
      </c>
      <c r="AH16" s="155">
        <f t="shared" ref="AH16" si="20">SUM(AF16/AG16)*100</f>
        <v>91.666666666666657</v>
      </c>
      <c r="AI16" s="150" t="s">
        <v>17</v>
      </c>
      <c r="AJ16" s="7" t="s">
        <v>17</v>
      </c>
      <c r="AK16" s="7" t="s">
        <v>17</v>
      </c>
      <c r="AL16" s="150">
        <v>13</v>
      </c>
      <c r="AM16" s="7">
        <v>16</v>
      </c>
      <c r="AN16" s="155">
        <f t="shared" ref="AN16" si="21">SUM(AL16/AM16)*100</f>
        <v>81.25</v>
      </c>
      <c r="AO16" s="150" t="s">
        <v>17</v>
      </c>
      <c r="AP16" s="7" t="s">
        <v>17</v>
      </c>
      <c r="AQ16" s="7" t="s">
        <v>17</v>
      </c>
      <c r="AR16" s="150" t="s">
        <v>17</v>
      </c>
      <c r="AS16" s="7" t="s">
        <v>17</v>
      </c>
      <c r="AT16" s="7" t="s">
        <v>17</v>
      </c>
      <c r="AU16" s="150" t="s">
        <v>17</v>
      </c>
      <c r="AV16" s="7" t="s">
        <v>17</v>
      </c>
      <c r="AW16" s="7" t="s">
        <v>17</v>
      </c>
      <c r="AX16" s="150" t="s">
        <v>17</v>
      </c>
      <c r="AY16" s="7" t="s">
        <v>17</v>
      </c>
      <c r="AZ16" s="7" t="s">
        <v>17</v>
      </c>
    </row>
    <row r="17" spans="1:52" ht="14.95" customHeight="1" thickBot="1" x14ac:dyDescent="0.3">
      <c r="A17" s="189" t="s">
        <v>116</v>
      </c>
      <c r="B17" s="187">
        <v>3</v>
      </c>
      <c r="C17" s="279">
        <v>4</v>
      </c>
      <c r="D17" s="227">
        <v>1</v>
      </c>
      <c r="E17" s="191">
        <f t="shared" si="14"/>
        <v>8</v>
      </c>
      <c r="F17" s="285" t="s">
        <v>116</v>
      </c>
      <c r="G17" s="289">
        <v>15</v>
      </c>
      <c r="H17" s="282">
        <v>20</v>
      </c>
      <c r="I17" s="283">
        <v>5</v>
      </c>
      <c r="J17" s="287">
        <f t="shared" si="15"/>
        <v>40</v>
      </c>
      <c r="AR17" s="147"/>
    </row>
    <row r="18" spans="1:52" ht="14.95" customHeight="1" thickBot="1" x14ac:dyDescent="0.3">
      <c r="A18" s="189" t="s">
        <v>788</v>
      </c>
      <c r="B18" s="187">
        <v>0</v>
      </c>
      <c r="C18" s="279">
        <v>0</v>
      </c>
      <c r="D18" s="227">
        <v>0</v>
      </c>
      <c r="E18" s="191">
        <f t="shared" si="14"/>
        <v>0</v>
      </c>
      <c r="F18" s="285" t="s">
        <v>788</v>
      </c>
      <c r="G18" s="289">
        <v>0</v>
      </c>
      <c r="H18" s="282">
        <v>0</v>
      </c>
      <c r="I18" s="283">
        <v>0</v>
      </c>
      <c r="J18" s="287">
        <f t="shared" si="15"/>
        <v>0</v>
      </c>
      <c r="K18" s="530" t="s">
        <v>227</v>
      </c>
      <c r="L18" s="469" t="s">
        <v>16</v>
      </c>
      <c r="M18" s="470"/>
      <c r="N18" s="471"/>
      <c r="O18" s="469" t="s">
        <v>267</v>
      </c>
      <c r="P18" s="470"/>
      <c r="Q18" s="471"/>
      <c r="R18" s="469" t="s">
        <v>698</v>
      </c>
      <c r="S18" s="470"/>
      <c r="T18" s="471"/>
      <c r="U18" s="469" t="s">
        <v>562</v>
      </c>
      <c r="V18" s="470"/>
      <c r="W18" s="471"/>
      <c r="AC18" s="469" t="s">
        <v>463</v>
      </c>
      <c r="AD18" s="470"/>
      <c r="AE18" s="471"/>
      <c r="AF18" s="469" t="s">
        <v>355</v>
      </c>
      <c r="AG18" s="470"/>
      <c r="AH18" s="471"/>
      <c r="AI18" s="469" t="s">
        <v>261</v>
      </c>
      <c r="AJ18" s="470"/>
      <c r="AK18" s="471"/>
      <c r="AL18" s="469" t="s">
        <v>199</v>
      </c>
      <c r="AM18" s="470"/>
      <c r="AN18" s="471"/>
      <c r="AO18" s="469" t="s">
        <v>92</v>
      </c>
      <c r="AP18" s="470"/>
      <c r="AQ18" s="471"/>
      <c r="AR18" s="469" t="s">
        <v>63</v>
      </c>
      <c r="AS18" s="470"/>
      <c r="AT18" s="471"/>
      <c r="AU18" s="469" t="s">
        <v>68</v>
      </c>
      <c r="AV18" s="470"/>
      <c r="AW18" s="471"/>
      <c r="AX18" s="469" t="s">
        <v>49</v>
      </c>
      <c r="AY18" s="470"/>
      <c r="AZ18" s="471"/>
    </row>
    <row r="19" spans="1:52" ht="14.95" customHeight="1" thickBot="1" x14ac:dyDescent="0.3">
      <c r="A19" s="189" t="s">
        <v>276</v>
      </c>
      <c r="B19" s="187">
        <v>0</v>
      </c>
      <c r="C19" s="279">
        <v>0</v>
      </c>
      <c r="D19" s="227">
        <v>0</v>
      </c>
      <c r="E19" s="191">
        <f t="shared" si="14"/>
        <v>0</v>
      </c>
      <c r="F19" s="285" t="s">
        <v>276</v>
      </c>
      <c r="G19" s="289">
        <v>0</v>
      </c>
      <c r="H19" s="282">
        <v>0</v>
      </c>
      <c r="I19" s="283">
        <v>0</v>
      </c>
      <c r="J19" s="287">
        <f t="shared" si="15"/>
        <v>0</v>
      </c>
      <c r="K19" s="531"/>
      <c r="L19" s="472"/>
      <c r="M19" s="473"/>
      <c r="N19" s="474"/>
      <c r="O19" s="472"/>
      <c r="P19" s="473"/>
      <c r="Q19" s="474"/>
      <c r="R19" s="472"/>
      <c r="S19" s="473"/>
      <c r="T19" s="474"/>
      <c r="U19" s="472"/>
      <c r="V19" s="473"/>
      <c r="W19" s="474"/>
      <c r="AC19" s="472"/>
      <c r="AD19" s="473"/>
      <c r="AE19" s="474"/>
      <c r="AF19" s="472"/>
      <c r="AG19" s="473"/>
      <c r="AH19" s="474"/>
      <c r="AI19" s="472"/>
      <c r="AJ19" s="473"/>
      <c r="AK19" s="474"/>
      <c r="AL19" s="472"/>
      <c r="AM19" s="473"/>
      <c r="AN19" s="474"/>
      <c r="AO19" s="472"/>
      <c r="AP19" s="473"/>
      <c r="AQ19" s="474"/>
      <c r="AR19" s="472"/>
      <c r="AS19" s="473"/>
      <c r="AT19" s="474"/>
      <c r="AU19" s="472"/>
      <c r="AV19" s="473"/>
      <c r="AW19" s="474"/>
      <c r="AX19" s="472"/>
      <c r="AY19" s="473"/>
      <c r="AZ19" s="474"/>
    </row>
    <row r="20" spans="1:52" ht="14.95" customHeight="1" thickBot="1" x14ac:dyDescent="0.3">
      <c r="A20" s="189" t="s">
        <v>601</v>
      </c>
      <c r="B20" s="187">
        <v>0</v>
      </c>
      <c r="C20" s="279">
        <v>0</v>
      </c>
      <c r="D20" s="227">
        <v>0</v>
      </c>
      <c r="E20" s="191">
        <f t="shared" si="14"/>
        <v>0</v>
      </c>
      <c r="F20" s="285" t="s">
        <v>601</v>
      </c>
      <c r="G20" s="289">
        <v>17</v>
      </c>
      <c r="H20" s="282">
        <v>4</v>
      </c>
      <c r="I20" s="283">
        <v>19</v>
      </c>
      <c r="J20" s="287">
        <f t="shared" si="15"/>
        <v>40</v>
      </c>
      <c r="K20" s="257" t="s">
        <v>25</v>
      </c>
      <c r="L20" s="7" t="s">
        <v>55</v>
      </c>
      <c r="M20" s="7" t="s">
        <v>11</v>
      </c>
      <c r="N20" s="7" t="s">
        <v>12</v>
      </c>
      <c r="O20" s="7" t="s">
        <v>55</v>
      </c>
      <c r="P20" s="7" t="s">
        <v>11</v>
      </c>
      <c r="Q20" s="7" t="s">
        <v>12</v>
      </c>
      <c r="R20" s="7" t="s">
        <v>55</v>
      </c>
      <c r="S20" s="7" t="s">
        <v>11</v>
      </c>
      <c r="T20" s="7" t="s">
        <v>12</v>
      </c>
      <c r="U20" s="7" t="s">
        <v>55</v>
      </c>
      <c r="V20" s="7" t="s">
        <v>11</v>
      </c>
      <c r="W20" s="7" t="s">
        <v>12</v>
      </c>
      <c r="AC20" s="150" t="s">
        <v>55</v>
      </c>
      <c r="AD20" s="7" t="s">
        <v>11</v>
      </c>
      <c r="AE20" s="7" t="s">
        <v>12</v>
      </c>
      <c r="AF20" s="150" t="s">
        <v>55</v>
      </c>
      <c r="AG20" s="7" t="s">
        <v>11</v>
      </c>
      <c r="AH20" s="7" t="s">
        <v>12</v>
      </c>
      <c r="AI20" s="150" t="s">
        <v>55</v>
      </c>
      <c r="AJ20" s="7" t="s">
        <v>11</v>
      </c>
      <c r="AK20" s="7" t="s">
        <v>12</v>
      </c>
      <c r="AL20" s="150" t="s">
        <v>55</v>
      </c>
      <c r="AM20" s="7" t="s">
        <v>11</v>
      </c>
      <c r="AN20" s="7" t="s">
        <v>12</v>
      </c>
      <c r="AO20" s="150" t="s">
        <v>55</v>
      </c>
      <c r="AP20" s="7" t="s">
        <v>11</v>
      </c>
      <c r="AQ20" s="7" t="s">
        <v>12</v>
      </c>
      <c r="AR20" s="150" t="s">
        <v>55</v>
      </c>
      <c r="AS20" s="7" t="s">
        <v>11</v>
      </c>
      <c r="AT20" s="7" t="s">
        <v>12</v>
      </c>
      <c r="AU20" s="150" t="s">
        <v>55</v>
      </c>
      <c r="AV20" s="7" t="s">
        <v>11</v>
      </c>
      <c r="AW20" s="7" t="s">
        <v>12</v>
      </c>
      <c r="AX20" s="150" t="s">
        <v>55</v>
      </c>
      <c r="AY20" s="7" t="s">
        <v>11</v>
      </c>
      <c r="AZ20" s="7" t="s">
        <v>12</v>
      </c>
    </row>
    <row r="21" spans="1:52" ht="14.95" customHeight="1" thickBot="1" x14ac:dyDescent="0.3">
      <c r="A21" s="189" t="s">
        <v>314</v>
      </c>
      <c r="B21" s="187">
        <v>4</v>
      </c>
      <c r="C21" s="279">
        <v>0</v>
      </c>
      <c r="D21" s="227">
        <v>0</v>
      </c>
      <c r="E21" s="191">
        <f t="shared" si="14"/>
        <v>4</v>
      </c>
      <c r="F21" s="285" t="s">
        <v>314</v>
      </c>
      <c r="G21" s="289">
        <v>20</v>
      </c>
      <c r="H21" s="282">
        <v>0</v>
      </c>
      <c r="I21" s="283">
        <v>0</v>
      </c>
      <c r="J21" s="287">
        <f t="shared" si="15"/>
        <v>20</v>
      </c>
      <c r="K21" s="189" t="s">
        <v>671</v>
      </c>
      <c r="L21" s="7" t="s">
        <v>17</v>
      </c>
      <c r="M21" s="7" t="s">
        <v>17</v>
      </c>
      <c r="N21" s="155" t="s">
        <v>17</v>
      </c>
      <c r="O21" s="7" t="s">
        <v>17</v>
      </c>
      <c r="P21" s="7" t="s">
        <v>17</v>
      </c>
      <c r="Q21" s="155" t="s">
        <v>17</v>
      </c>
      <c r="R21" s="7">
        <v>7</v>
      </c>
      <c r="S21" s="7">
        <v>12</v>
      </c>
      <c r="T21" s="7">
        <v>58</v>
      </c>
      <c r="U21" s="7" t="s">
        <v>17</v>
      </c>
      <c r="V21" s="7" t="s">
        <v>17</v>
      </c>
      <c r="W21" s="155" t="s">
        <v>17</v>
      </c>
      <c r="AC21" s="150">
        <v>11</v>
      </c>
      <c r="AD21" s="7">
        <v>13</v>
      </c>
      <c r="AE21" s="155">
        <f t="shared" ref="AE21" si="22">(AC21/AD21)*100</f>
        <v>84.615384615384613</v>
      </c>
      <c r="AF21" s="6">
        <v>15</v>
      </c>
      <c r="AG21" s="7">
        <v>17</v>
      </c>
      <c r="AH21" s="155">
        <f t="shared" ref="AH21" si="23">(AF21/AG21)*100</f>
        <v>88.235294117647058</v>
      </c>
      <c r="AI21" s="6" t="s">
        <v>17</v>
      </c>
      <c r="AJ21" s="7" t="s">
        <v>17</v>
      </c>
      <c r="AK21" s="155" t="s">
        <v>17</v>
      </c>
      <c r="AL21" s="150">
        <v>23</v>
      </c>
      <c r="AM21" s="7">
        <v>27</v>
      </c>
      <c r="AN21" s="155">
        <f t="shared" ref="AN21" si="24">SUM(AL21/AM21)*100</f>
        <v>85.18518518518519</v>
      </c>
      <c r="AO21" s="150" t="s">
        <v>17</v>
      </c>
      <c r="AP21" s="7" t="s">
        <v>17</v>
      </c>
      <c r="AQ21" s="6" t="s">
        <v>17</v>
      </c>
      <c r="AR21" s="6">
        <v>6</v>
      </c>
      <c r="AS21" s="7">
        <v>6</v>
      </c>
      <c r="AT21" s="155">
        <f t="shared" ref="AT21" si="25">SUM(AR21/AS21)*100</f>
        <v>100</v>
      </c>
      <c r="AU21" s="6" t="s">
        <v>17</v>
      </c>
      <c r="AV21" s="7" t="s">
        <v>17</v>
      </c>
      <c r="AW21" s="155" t="s">
        <v>17</v>
      </c>
      <c r="AX21" s="6" t="s">
        <v>17</v>
      </c>
      <c r="AY21" s="7" t="s">
        <v>17</v>
      </c>
      <c r="AZ21" s="155" t="s">
        <v>17</v>
      </c>
    </row>
    <row r="22" spans="1:52" ht="14.95" customHeight="1" thickBot="1" x14ac:dyDescent="0.3">
      <c r="A22" s="189" t="s">
        <v>443</v>
      </c>
      <c r="B22" s="187">
        <v>0</v>
      </c>
      <c r="C22" s="279">
        <v>0</v>
      </c>
      <c r="D22" s="227">
        <v>1</v>
      </c>
      <c r="E22" s="191">
        <f t="shared" si="14"/>
        <v>1</v>
      </c>
      <c r="F22" s="285" t="s">
        <v>443</v>
      </c>
      <c r="G22" s="289">
        <v>0</v>
      </c>
      <c r="H22" s="282">
        <v>0</v>
      </c>
      <c r="I22" s="283">
        <v>5</v>
      </c>
      <c r="J22" s="287">
        <f t="shared" si="15"/>
        <v>5</v>
      </c>
      <c r="K22" s="188" t="s">
        <v>791</v>
      </c>
      <c r="L22" s="7" t="s">
        <v>17</v>
      </c>
      <c r="M22" s="7" t="s">
        <v>17</v>
      </c>
      <c r="N22" s="155" t="s">
        <v>17</v>
      </c>
      <c r="O22" s="7" t="s">
        <v>17</v>
      </c>
      <c r="P22" s="7" t="s">
        <v>17</v>
      </c>
      <c r="Q22" s="155" t="s">
        <v>17</v>
      </c>
      <c r="R22" s="7">
        <v>8</v>
      </c>
      <c r="S22" s="7">
        <v>12</v>
      </c>
      <c r="T22" s="7">
        <v>67</v>
      </c>
      <c r="U22" s="150" t="s">
        <v>17</v>
      </c>
      <c r="V22" s="7" t="s">
        <v>17</v>
      </c>
      <c r="W22" s="155" t="s">
        <v>17</v>
      </c>
      <c r="AC22" s="150" t="s">
        <v>17</v>
      </c>
      <c r="AD22" s="7" t="s">
        <v>17</v>
      </c>
      <c r="AE22" s="155" t="s">
        <v>17</v>
      </c>
      <c r="AF22" s="150">
        <v>19</v>
      </c>
      <c r="AG22" s="7">
        <v>23</v>
      </c>
      <c r="AH22" s="155">
        <v>83</v>
      </c>
      <c r="AI22" s="150" t="s">
        <v>17</v>
      </c>
      <c r="AJ22" s="7" t="s">
        <v>17</v>
      </c>
      <c r="AK22" s="155" t="s">
        <v>17</v>
      </c>
      <c r="AL22" s="150" t="s">
        <v>17</v>
      </c>
      <c r="AM22" s="7" t="s">
        <v>17</v>
      </c>
      <c r="AN22" s="155" t="s">
        <v>17</v>
      </c>
      <c r="AO22" s="150" t="s">
        <v>17</v>
      </c>
      <c r="AP22" s="7" t="s">
        <v>17</v>
      </c>
      <c r="AQ22" s="155" t="s">
        <v>17</v>
      </c>
      <c r="AR22" s="150" t="s">
        <v>17</v>
      </c>
      <c r="AS22" s="7" t="s">
        <v>17</v>
      </c>
      <c r="AT22" s="155" t="s">
        <v>17</v>
      </c>
      <c r="AU22" s="150" t="s">
        <v>17</v>
      </c>
      <c r="AV22" s="7" t="s">
        <v>17</v>
      </c>
      <c r="AW22" s="155" t="s">
        <v>17</v>
      </c>
      <c r="AX22" s="150" t="s">
        <v>17</v>
      </c>
      <c r="AY22" s="7" t="s">
        <v>17</v>
      </c>
      <c r="AZ22" s="155" t="s">
        <v>17</v>
      </c>
    </row>
    <row r="23" spans="1:52" ht="14.95" customHeight="1" thickBot="1" x14ac:dyDescent="0.3">
      <c r="A23" s="189" t="s">
        <v>473</v>
      </c>
      <c r="B23" s="187">
        <v>0</v>
      </c>
      <c r="C23" s="279">
        <v>0</v>
      </c>
      <c r="D23" s="227">
        <v>0</v>
      </c>
      <c r="E23" s="191">
        <f t="shared" si="14"/>
        <v>0</v>
      </c>
      <c r="F23" s="285" t="s">
        <v>473</v>
      </c>
      <c r="G23" s="289">
        <v>0</v>
      </c>
      <c r="H23" s="282">
        <v>0</v>
      </c>
      <c r="I23" s="283">
        <v>0</v>
      </c>
      <c r="J23" s="287">
        <f t="shared" si="15"/>
        <v>0</v>
      </c>
      <c r="K23" s="189" t="s">
        <v>26</v>
      </c>
      <c r="L23" s="7" t="s">
        <v>17</v>
      </c>
      <c r="M23" s="7" t="s">
        <v>17</v>
      </c>
      <c r="N23" s="155" t="s">
        <v>17</v>
      </c>
      <c r="O23" s="7" t="s">
        <v>17</v>
      </c>
      <c r="P23" s="7" t="s">
        <v>17</v>
      </c>
      <c r="Q23" s="155" t="s">
        <v>17</v>
      </c>
      <c r="R23" s="7" t="s">
        <v>17</v>
      </c>
      <c r="S23" s="7" t="s">
        <v>17</v>
      </c>
      <c r="T23" s="155" t="s">
        <v>17</v>
      </c>
      <c r="U23" s="7" t="s">
        <v>17</v>
      </c>
      <c r="V23" s="7" t="s">
        <v>17</v>
      </c>
      <c r="W23" s="155" t="s">
        <v>17</v>
      </c>
      <c r="AC23" s="150" t="s">
        <v>17</v>
      </c>
      <c r="AD23" s="7" t="s">
        <v>17</v>
      </c>
      <c r="AE23" s="155" t="s">
        <v>17</v>
      </c>
      <c r="AF23" s="150" t="s">
        <v>17</v>
      </c>
      <c r="AG23" s="7" t="s">
        <v>17</v>
      </c>
      <c r="AH23" s="7" t="s">
        <v>17</v>
      </c>
      <c r="AI23" s="150">
        <v>23</v>
      </c>
      <c r="AJ23" s="7">
        <v>28</v>
      </c>
      <c r="AK23" s="155">
        <f t="shared" ref="AK23" si="26">SUM(AI23/AJ23)*100</f>
        <v>82.142857142857139</v>
      </c>
      <c r="AL23" s="150" t="s">
        <v>17</v>
      </c>
      <c r="AM23" s="7" t="s">
        <v>17</v>
      </c>
      <c r="AN23" s="7" t="s">
        <v>17</v>
      </c>
      <c r="AO23" s="150" t="s">
        <v>17</v>
      </c>
      <c r="AP23" s="7" t="s">
        <v>17</v>
      </c>
      <c r="AQ23" s="7" t="s">
        <v>17</v>
      </c>
      <c r="AR23" s="150" t="s">
        <v>17</v>
      </c>
      <c r="AS23" s="7" t="s">
        <v>17</v>
      </c>
      <c r="AT23" s="7" t="s">
        <v>17</v>
      </c>
      <c r="AU23" s="150" t="s">
        <v>17</v>
      </c>
      <c r="AV23" s="7" t="s">
        <v>17</v>
      </c>
      <c r="AW23" s="7" t="s">
        <v>17</v>
      </c>
      <c r="AX23" s="150" t="s">
        <v>17</v>
      </c>
      <c r="AY23" s="7" t="s">
        <v>17</v>
      </c>
      <c r="AZ23" s="7" t="s">
        <v>17</v>
      </c>
    </row>
    <row r="24" spans="1:52" ht="14.95" customHeight="1" thickBot="1" x14ac:dyDescent="0.3">
      <c r="A24" s="189" t="s">
        <v>325</v>
      </c>
      <c r="B24" s="187">
        <v>1</v>
      </c>
      <c r="C24" s="279">
        <v>0</v>
      </c>
      <c r="D24" s="227">
        <v>3</v>
      </c>
      <c r="E24" s="191">
        <f t="shared" si="14"/>
        <v>4</v>
      </c>
      <c r="F24" s="285" t="s">
        <v>325</v>
      </c>
      <c r="G24" s="289">
        <v>5</v>
      </c>
      <c r="H24" s="282">
        <v>0</v>
      </c>
      <c r="I24" s="283">
        <v>15</v>
      </c>
      <c r="J24" s="287">
        <f t="shared" si="15"/>
        <v>20</v>
      </c>
    </row>
    <row r="25" spans="1:52" ht="14.95" customHeight="1" thickBot="1" x14ac:dyDescent="0.3">
      <c r="A25" s="189" t="s">
        <v>781</v>
      </c>
      <c r="B25" s="187">
        <v>1</v>
      </c>
      <c r="C25" s="279">
        <v>0</v>
      </c>
      <c r="D25" s="227">
        <v>0</v>
      </c>
      <c r="E25" s="191">
        <f t="shared" si="14"/>
        <v>1</v>
      </c>
      <c r="F25" s="285" t="s">
        <v>781</v>
      </c>
      <c r="G25" s="289">
        <v>11</v>
      </c>
      <c r="H25" s="282">
        <v>0</v>
      </c>
      <c r="I25" s="283">
        <v>4</v>
      </c>
      <c r="J25" s="287">
        <f t="shared" si="15"/>
        <v>15</v>
      </c>
      <c r="K25" s="499" t="s">
        <v>93</v>
      </c>
      <c r="L25" s="513" t="s">
        <v>16</v>
      </c>
      <c r="M25" s="514"/>
      <c r="N25" s="515"/>
      <c r="O25" s="469" t="s">
        <v>267</v>
      </c>
      <c r="P25" s="470"/>
      <c r="Q25" s="471"/>
      <c r="R25" s="469" t="s">
        <v>698</v>
      </c>
      <c r="S25" s="470"/>
      <c r="T25" s="471"/>
      <c r="U25" s="469" t="s">
        <v>562</v>
      </c>
      <c r="V25" s="470"/>
      <c r="W25" s="471"/>
      <c r="AC25" s="469" t="s">
        <v>355</v>
      </c>
      <c r="AD25" s="470"/>
      <c r="AE25" s="471"/>
      <c r="AF25" s="469" t="s">
        <v>260</v>
      </c>
      <c r="AG25" s="470"/>
      <c r="AH25" s="471"/>
      <c r="AI25" s="469" t="s">
        <v>199</v>
      </c>
      <c r="AJ25" s="470"/>
      <c r="AK25" s="471"/>
      <c r="AL25" s="469" t="s">
        <v>92</v>
      </c>
      <c r="AM25" s="470"/>
      <c r="AN25" s="471"/>
      <c r="AO25" s="469" t="s">
        <v>59</v>
      </c>
      <c r="AP25" s="470"/>
      <c r="AQ25" s="471"/>
      <c r="AR25" s="469" t="s">
        <v>45</v>
      </c>
      <c r="AS25" s="470"/>
      <c r="AT25" s="471"/>
      <c r="AU25" s="535"/>
      <c r="AV25" s="535"/>
      <c r="AW25" s="535"/>
      <c r="AX25" s="37"/>
    </row>
    <row r="26" spans="1:52" ht="14.95" customHeight="1" thickBot="1" x14ac:dyDescent="0.3">
      <c r="A26" s="189" t="s">
        <v>429</v>
      </c>
      <c r="B26" s="187">
        <v>1</v>
      </c>
      <c r="C26" s="279">
        <v>0</v>
      </c>
      <c r="D26" s="227">
        <v>3</v>
      </c>
      <c r="E26" s="191">
        <f t="shared" si="14"/>
        <v>4</v>
      </c>
      <c r="F26" s="285" t="s">
        <v>429</v>
      </c>
      <c r="G26" s="289">
        <v>5</v>
      </c>
      <c r="H26" s="282">
        <v>0</v>
      </c>
      <c r="I26" s="283">
        <v>15</v>
      </c>
      <c r="J26" s="287">
        <f t="shared" si="15"/>
        <v>20</v>
      </c>
      <c r="K26" s="500"/>
      <c r="L26" s="516"/>
      <c r="M26" s="517"/>
      <c r="N26" s="518"/>
      <c r="O26" s="472"/>
      <c r="P26" s="473"/>
      <c r="Q26" s="474"/>
      <c r="R26" s="472"/>
      <c r="S26" s="473"/>
      <c r="T26" s="474"/>
      <c r="U26" s="472"/>
      <c r="V26" s="473"/>
      <c r="W26" s="474"/>
      <c r="AC26" s="472"/>
      <c r="AD26" s="473"/>
      <c r="AE26" s="474"/>
      <c r="AF26" s="472"/>
      <c r="AG26" s="473"/>
      <c r="AH26" s="474"/>
      <c r="AI26" s="472"/>
      <c r="AJ26" s="473"/>
      <c r="AK26" s="474"/>
      <c r="AL26" s="472"/>
      <c r="AM26" s="473"/>
      <c r="AN26" s="474"/>
      <c r="AO26" s="472"/>
      <c r="AP26" s="473"/>
      <c r="AQ26" s="474"/>
      <c r="AR26" s="472"/>
      <c r="AS26" s="473"/>
      <c r="AT26" s="474"/>
      <c r="AU26" s="535"/>
      <c r="AV26" s="535"/>
      <c r="AW26" s="535"/>
      <c r="AX26" s="37"/>
    </row>
    <row r="27" spans="1:52" ht="14.95" customHeight="1" thickBot="1" x14ac:dyDescent="0.3">
      <c r="A27" s="189" t="s">
        <v>467</v>
      </c>
      <c r="B27" s="187">
        <v>0</v>
      </c>
      <c r="C27" s="279">
        <v>0</v>
      </c>
      <c r="D27" s="227">
        <v>0</v>
      </c>
      <c r="E27" s="191">
        <f t="shared" si="14"/>
        <v>0</v>
      </c>
      <c r="F27" s="285" t="s">
        <v>467</v>
      </c>
      <c r="G27" s="289">
        <v>0</v>
      </c>
      <c r="H27" s="282">
        <v>0</v>
      </c>
      <c r="I27" s="283">
        <v>0</v>
      </c>
      <c r="J27" s="287">
        <f t="shared" si="15"/>
        <v>0</v>
      </c>
      <c r="K27" s="224" t="s">
        <v>25</v>
      </c>
      <c r="L27" s="165" t="s">
        <v>55</v>
      </c>
      <c r="M27" s="165" t="s">
        <v>11</v>
      </c>
      <c r="N27" s="165" t="s">
        <v>12</v>
      </c>
      <c r="O27" s="7" t="s">
        <v>55</v>
      </c>
      <c r="P27" s="7" t="s">
        <v>11</v>
      </c>
      <c r="Q27" s="7" t="s">
        <v>12</v>
      </c>
      <c r="R27" s="7" t="s">
        <v>55</v>
      </c>
      <c r="S27" s="7" t="s">
        <v>11</v>
      </c>
      <c r="T27" s="7" t="s">
        <v>12</v>
      </c>
      <c r="U27" s="7" t="s">
        <v>55</v>
      </c>
      <c r="V27" s="7" t="s">
        <v>11</v>
      </c>
      <c r="W27" s="7" t="s">
        <v>12</v>
      </c>
      <c r="AC27" s="150" t="s">
        <v>55</v>
      </c>
      <c r="AD27" s="7" t="s">
        <v>11</v>
      </c>
      <c r="AE27" s="7" t="s">
        <v>12</v>
      </c>
      <c r="AF27" s="150" t="s">
        <v>55</v>
      </c>
      <c r="AG27" s="7" t="s">
        <v>11</v>
      </c>
      <c r="AH27" s="7" t="s">
        <v>12</v>
      </c>
      <c r="AI27" s="150" t="s">
        <v>55</v>
      </c>
      <c r="AJ27" s="7" t="s">
        <v>11</v>
      </c>
      <c r="AK27" s="7" t="s">
        <v>12</v>
      </c>
      <c r="AL27" s="150" t="s">
        <v>55</v>
      </c>
      <c r="AM27" s="7" t="s">
        <v>11</v>
      </c>
      <c r="AN27" s="7" t="s">
        <v>12</v>
      </c>
      <c r="AO27" s="150" t="s">
        <v>55</v>
      </c>
      <c r="AP27" s="7" t="s">
        <v>11</v>
      </c>
      <c r="AQ27" s="7" t="s">
        <v>12</v>
      </c>
      <c r="AR27" s="6" t="s">
        <v>55</v>
      </c>
      <c r="AS27" s="7" t="s">
        <v>11</v>
      </c>
      <c r="AT27" s="7" t="s">
        <v>12</v>
      </c>
      <c r="AU27" s="46"/>
      <c r="AV27" s="46"/>
      <c r="AW27" s="46"/>
      <c r="AX27" s="37"/>
    </row>
    <row r="28" spans="1:52" ht="14.95" customHeight="1" thickBot="1" x14ac:dyDescent="0.3">
      <c r="A28" s="189" t="s">
        <v>632</v>
      </c>
      <c r="B28" s="187">
        <v>0</v>
      </c>
      <c r="C28" s="279">
        <v>0</v>
      </c>
      <c r="D28" s="227">
        <v>0</v>
      </c>
      <c r="E28" s="191">
        <f t="shared" si="14"/>
        <v>0</v>
      </c>
      <c r="F28" s="285" t="s">
        <v>632</v>
      </c>
      <c r="G28" s="289">
        <v>0</v>
      </c>
      <c r="H28" s="282">
        <v>0</v>
      </c>
      <c r="I28" s="283">
        <v>0</v>
      </c>
      <c r="J28" s="287">
        <f t="shared" si="15"/>
        <v>0</v>
      </c>
      <c r="K28" s="189" t="s">
        <v>419</v>
      </c>
      <c r="L28" s="191" t="s">
        <v>17</v>
      </c>
      <c r="M28" s="191" t="s">
        <v>17</v>
      </c>
      <c r="N28" s="192" t="s">
        <v>17</v>
      </c>
      <c r="O28" s="7" t="s">
        <v>17</v>
      </c>
      <c r="P28" s="7" t="s">
        <v>17</v>
      </c>
      <c r="Q28" s="155" t="s">
        <v>17</v>
      </c>
      <c r="R28" s="7" t="s">
        <v>17</v>
      </c>
      <c r="S28" s="7" t="s">
        <v>17</v>
      </c>
      <c r="T28" s="155" t="s">
        <v>17</v>
      </c>
      <c r="U28" s="7">
        <v>0</v>
      </c>
      <c r="V28" s="7">
        <v>1</v>
      </c>
      <c r="W28" s="155">
        <f t="shared" ref="W28:W29" si="27">SUM(U28/V28)*100</f>
        <v>0</v>
      </c>
      <c r="AC28" s="150" t="s">
        <v>17</v>
      </c>
      <c r="AD28" s="7" t="s">
        <v>17</v>
      </c>
      <c r="AE28" s="155" t="s">
        <v>17</v>
      </c>
      <c r="AF28" s="6" t="s">
        <v>17</v>
      </c>
      <c r="AG28" s="7" t="s">
        <v>17</v>
      </c>
      <c r="AH28" s="155" t="s">
        <v>17</v>
      </c>
      <c r="AI28" s="150" t="s">
        <v>17</v>
      </c>
      <c r="AJ28" s="7" t="s">
        <v>17</v>
      </c>
      <c r="AK28" s="7" t="s">
        <v>17</v>
      </c>
      <c r="AL28" s="150" t="s">
        <v>17</v>
      </c>
      <c r="AM28" s="7" t="s">
        <v>17</v>
      </c>
      <c r="AN28" s="7" t="s">
        <v>17</v>
      </c>
      <c r="AO28" s="150" t="s">
        <v>17</v>
      </c>
      <c r="AP28" s="7" t="s">
        <v>17</v>
      </c>
      <c r="AQ28" s="7" t="s">
        <v>17</v>
      </c>
      <c r="AR28" s="150" t="s">
        <v>17</v>
      </c>
      <c r="AS28" s="7" t="s">
        <v>17</v>
      </c>
      <c r="AT28" s="7" t="s">
        <v>17</v>
      </c>
      <c r="AU28" s="46"/>
      <c r="AV28" s="46"/>
      <c r="AW28" s="46"/>
      <c r="AX28" s="37"/>
    </row>
    <row r="29" spans="1:52" ht="14.95" customHeight="1" thickBot="1" x14ac:dyDescent="0.3">
      <c r="A29" s="189" t="s">
        <v>1233</v>
      </c>
      <c r="B29" s="187">
        <v>0</v>
      </c>
      <c r="C29" s="279">
        <v>0</v>
      </c>
      <c r="D29" s="227">
        <v>1</v>
      </c>
      <c r="E29" s="191">
        <f t="shared" si="14"/>
        <v>1</v>
      </c>
      <c r="F29" s="285" t="s">
        <v>1233</v>
      </c>
      <c r="G29" s="289">
        <v>0</v>
      </c>
      <c r="H29" s="282">
        <v>0</v>
      </c>
      <c r="I29" s="283">
        <v>5</v>
      </c>
      <c r="J29" s="287">
        <f t="shared" si="15"/>
        <v>5</v>
      </c>
      <c r="K29" s="189" t="s">
        <v>405</v>
      </c>
      <c r="L29" s="191">
        <v>19</v>
      </c>
      <c r="M29" s="191">
        <v>21</v>
      </c>
      <c r="N29" s="192">
        <f t="shared" ref="N29:N31" si="28">SUM(L29/M29)*100</f>
        <v>90.476190476190482</v>
      </c>
      <c r="O29" s="7">
        <v>1</v>
      </c>
      <c r="P29" s="7">
        <v>1</v>
      </c>
      <c r="Q29" s="155">
        <v>100</v>
      </c>
      <c r="R29" s="7">
        <v>5</v>
      </c>
      <c r="S29" s="7">
        <v>6</v>
      </c>
      <c r="T29" s="155">
        <v>83.333333333333343</v>
      </c>
      <c r="U29" s="7">
        <v>6</v>
      </c>
      <c r="V29" s="7">
        <v>7</v>
      </c>
      <c r="W29" s="155">
        <f t="shared" si="27"/>
        <v>85.714285714285708</v>
      </c>
      <c r="AC29" s="150" t="s">
        <v>17</v>
      </c>
      <c r="AD29" s="7" t="s">
        <v>17</v>
      </c>
      <c r="AE29" s="155" t="s">
        <v>17</v>
      </c>
      <c r="AF29" s="6" t="s">
        <v>17</v>
      </c>
      <c r="AG29" s="7" t="s">
        <v>17</v>
      </c>
      <c r="AH29" s="155" t="s">
        <v>17</v>
      </c>
      <c r="AI29" s="150" t="s">
        <v>17</v>
      </c>
      <c r="AJ29" s="7" t="s">
        <v>17</v>
      </c>
      <c r="AK29" s="7" t="s">
        <v>17</v>
      </c>
      <c r="AL29" s="150" t="s">
        <v>17</v>
      </c>
      <c r="AM29" s="7" t="s">
        <v>17</v>
      </c>
      <c r="AN29" s="7" t="s">
        <v>17</v>
      </c>
      <c r="AO29" s="150" t="s">
        <v>17</v>
      </c>
      <c r="AP29" s="7" t="s">
        <v>17</v>
      </c>
      <c r="AQ29" s="7" t="s">
        <v>17</v>
      </c>
      <c r="AR29" s="150" t="s">
        <v>17</v>
      </c>
      <c r="AS29" s="7" t="s">
        <v>17</v>
      </c>
      <c r="AT29" s="7" t="s">
        <v>17</v>
      </c>
      <c r="AU29" s="46"/>
      <c r="AV29" s="46"/>
      <c r="AW29" s="46"/>
      <c r="AX29" s="37"/>
    </row>
    <row r="30" spans="1:52" ht="14.95" customHeight="1" thickBot="1" x14ac:dyDescent="0.3">
      <c r="A30" s="189" t="s">
        <v>1000</v>
      </c>
      <c r="B30" s="187">
        <v>0</v>
      </c>
      <c r="C30" s="279">
        <v>0</v>
      </c>
      <c r="D30" s="227">
        <v>2</v>
      </c>
      <c r="E30" s="191">
        <f t="shared" si="14"/>
        <v>2</v>
      </c>
      <c r="F30" s="285" t="s">
        <v>1000</v>
      </c>
      <c r="G30" s="289">
        <v>0</v>
      </c>
      <c r="H30" s="282">
        <v>0</v>
      </c>
      <c r="I30" s="283">
        <v>10</v>
      </c>
      <c r="J30" s="287">
        <f t="shared" si="15"/>
        <v>10</v>
      </c>
      <c r="K30" s="189" t="s">
        <v>1267</v>
      </c>
      <c r="L30" s="191">
        <v>9</v>
      </c>
      <c r="M30" s="191">
        <v>10</v>
      </c>
      <c r="N30" s="192">
        <f t="shared" si="28"/>
        <v>90</v>
      </c>
      <c r="O30" s="7" t="s">
        <v>17</v>
      </c>
      <c r="P30" s="7" t="s">
        <v>17</v>
      </c>
      <c r="Q30" s="155" t="s">
        <v>17</v>
      </c>
      <c r="R30" s="7" t="s">
        <v>17</v>
      </c>
      <c r="S30" s="7" t="s">
        <v>17</v>
      </c>
      <c r="T30" s="155" t="s">
        <v>17</v>
      </c>
      <c r="U30" s="7" t="s">
        <v>17</v>
      </c>
      <c r="V30" s="7" t="s">
        <v>17</v>
      </c>
      <c r="W30" s="155" t="s">
        <v>17</v>
      </c>
      <c r="AC30" s="6" t="s">
        <v>17</v>
      </c>
      <c r="AD30" s="7" t="s">
        <v>17</v>
      </c>
      <c r="AE30" s="155" t="s">
        <v>17</v>
      </c>
      <c r="AF30" s="7" t="s">
        <v>17</v>
      </c>
      <c r="AG30" s="7" t="s">
        <v>17</v>
      </c>
      <c r="AH30" s="155" t="s">
        <v>17</v>
      </c>
      <c r="AI30" s="7" t="s">
        <v>17</v>
      </c>
      <c r="AJ30" s="7" t="s">
        <v>17</v>
      </c>
      <c r="AK30" s="155" t="s">
        <v>17</v>
      </c>
      <c r="AL30" s="7" t="s">
        <v>17</v>
      </c>
      <c r="AM30" s="7" t="s">
        <v>17</v>
      </c>
      <c r="AN30" s="155" t="s">
        <v>17</v>
      </c>
      <c r="AO30" s="7" t="s">
        <v>17</v>
      </c>
      <c r="AP30" s="7" t="s">
        <v>17</v>
      </c>
      <c r="AQ30" s="155" t="s">
        <v>17</v>
      </c>
      <c r="AR30" s="7" t="s">
        <v>17</v>
      </c>
      <c r="AS30" s="7" t="s">
        <v>17</v>
      </c>
      <c r="AT30" s="155" t="s">
        <v>17</v>
      </c>
      <c r="AU30" s="46"/>
      <c r="AV30" s="46"/>
      <c r="AW30" s="46"/>
      <c r="AX30" s="37"/>
    </row>
    <row r="31" spans="1:52" ht="14.95" customHeight="1" thickBot="1" x14ac:dyDescent="0.3">
      <c r="A31" s="189" t="s">
        <v>945</v>
      </c>
      <c r="B31" s="187">
        <v>5</v>
      </c>
      <c r="C31" s="279">
        <v>0</v>
      </c>
      <c r="D31" s="227">
        <v>1</v>
      </c>
      <c r="E31" s="191">
        <f t="shared" si="14"/>
        <v>6</v>
      </c>
      <c r="F31" s="285" t="s">
        <v>945</v>
      </c>
      <c r="G31" s="289">
        <v>25</v>
      </c>
      <c r="H31" s="282">
        <v>0</v>
      </c>
      <c r="I31" s="283">
        <v>5</v>
      </c>
      <c r="J31" s="287">
        <f t="shared" si="15"/>
        <v>30</v>
      </c>
      <c r="K31" s="189" t="s">
        <v>781</v>
      </c>
      <c r="L31" s="191">
        <v>2</v>
      </c>
      <c r="M31" s="191">
        <v>3</v>
      </c>
      <c r="N31" s="192">
        <f t="shared" si="28"/>
        <v>66.666666666666657</v>
      </c>
      <c r="O31" s="7" t="s">
        <v>17</v>
      </c>
      <c r="P31" s="7" t="s">
        <v>17</v>
      </c>
      <c r="Q31" s="155" t="s">
        <v>17</v>
      </c>
      <c r="R31" s="7" t="s">
        <v>17</v>
      </c>
      <c r="S31" s="7" t="s">
        <v>17</v>
      </c>
      <c r="T31" s="155" t="s">
        <v>17</v>
      </c>
      <c r="U31" s="7" t="s">
        <v>17</v>
      </c>
      <c r="V31" s="7" t="s">
        <v>17</v>
      </c>
      <c r="W31" s="155" t="s">
        <v>17</v>
      </c>
      <c r="AC31" s="6" t="s">
        <v>17</v>
      </c>
      <c r="AD31" s="7" t="s">
        <v>17</v>
      </c>
      <c r="AE31" s="155" t="s">
        <v>17</v>
      </c>
      <c r="AF31" s="6" t="s">
        <v>17</v>
      </c>
      <c r="AG31" s="7" t="s">
        <v>17</v>
      </c>
      <c r="AH31" s="155" t="s">
        <v>17</v>
      </c>
      <c r="AI31" s="6" t="s">
        <v>17</v>
      </c>
      <c r="AJ31" s="7" t="s">
        <v>17</v>
      </c>
      <c r="AK31" s="155" t="s">
        <v>17</v>
      </c>
      <c r="AL31" s="6" t="s">
        <v>17</v>
      </c>
      <c r="AM31" s="7" t="s">
        <v>17</v>
      </c>
      <c r="AN31" s="155" t="s">
        <v>17</v>
      </c>
      <c r="AO31" s="6" t="s">
        <v>17</v>
      </c>
      <c r="AP31" s="7" t="s">
        <v>17</v>
      </c>
      <c r="AQ31" s="155" t="s">
        <v>17</v>
      </c>
      <c r="AR31" s="6" t="s">
        <v>17</v>
      </c>
      <c r="AS31" s="7" t="s">
        <v>17</v>
      </c>
      <c r="AT31" s="155" t="s">
        <v>17</v>
      </c>
      <c r="AU31" s="46"/>
      <c r="AV31" s="46"/>
      <c r="AW31" s="46"/>
      <c r="AX31" s="37"/>
    </row>
    <row r="32" spans="1:52" ht="14.95" customHeight="1" thickBot="1" x14ac:dyDescent="0.3">
      <c r="A32" s="189" t="s">
        <v>484</v>
      </c>
      <c r="B32" s="187">
        <v>2</v>
      </c>
      <c r="C32" s="279">
        <v>0</v>
      </c>
      <c r="D32" s="227">
        <v>1</v>
      </c>
      <c r="E32" s="191">
        <f t="shared" si="14"/>
        <v>3</v>
      </c>
      <c r="F32" s="285" t="s">
        <v>484</v>
      </c>
      <c r="G32" s="289">
        <v>10</v>
      </c>
      <c r="H32" s="282">
        <v>0</v>
      </c>
      <c r="I32" s="283">
        <v>5</v>
      </c>
      <c r="J32" s="287">
        <f t="shared" si="15"/>
        <v>15</v>
      </c>
      <c r="K32" s="189" t="s">
        <v>486</v>
      </c>
      <c r="L32" s="191" t="s">
        <v>17</v>
      </c>
      <c r="M32" s="191" t="s">
        <v>17</v>
      </c>
      <c r="N32" s="192" t="s">
        <v>17</v>
      </c>
      <c r="O32" s="7">
        <v>11</v>
      </c>
      <c r="P32" s="7">
        <v>12</v>
      </c>
      <c r="Q32" s="7">
        <v>92</v>
      </c>
      <c r="R32" s="7" t="s">
        <v>21</v>
      </c>
      <c r="S32" s="7" t="s">
        <v>21</v>
      </c>
      <c r="T32" s="7" t="s">
        <v>21</v>
      </c>
      <c r="U32" s="7" t="s">
        <v>21</v>
      </c>
      <c r="V32" s="7" t="s">
        <v>21</v>
      </c>
      <c r="W32" s="7" t="s">
        <v>21</v>
      </c>
      <c r="AC32" s="150" t="s">
        <v>21</v>
      </c>
      <c r="AD32" s="7" t="s">
        <v>21</v>
      </c>
      <c r="AE32" s="7" t="s">
        <v>21</v>
      </c>
      <c r="AF32" s="6" t="s">
        <v>17</v>
      </c>
      <c r="AG32" s="7" t="s">
        <v>17</v>
      </c>
      <c r="AH32" s="155" t="s">
        <v>17</v>
      </c>
      <c r="AI32" s="6" t="s">
        <v>17</v>
      </c>
      <c r="AJ32" s="7" t="s">
        <v>17</v>
      </c>
      <c r="AK32" s="155" t="s">
        <v>17</v>
      </c>
      <c r="AL32" s="6" t="s">
        <v>17</v>
      </c>
      <c r="AM32" s="7" t="s">
        <v>17</v>
      </c>
      <c r="AN32" s="155" t="s">
        <v>17</v>
      </c>
      <c r="AO32" s="6" t="s">
        <v>17</v>
      </c>
      <c r="AP32" s="7" t="s">
        <v>17</v>
      </c>
      <c r="AQ32" s="155" t="s">
        <v>17</v>
      </c>
      <c r="AR32" s="6" t="s">
        <v>17</v>
      </c>
      <c r="AS32" s="7" t="s">
        <v>17</v>
      </c>
      <c r="AT32" s="155" t="s">
        <v>17</v>
      </c>
      <c r="AU32" s="119"/>
      <c r="AV32" s="119"/>
      <c r="AW32" s="119"/>
      <c r="AX32" s="37"/>
    </row>
    <row r="33" spans="1:46" ht="14.95" customHeight="1" thickBot="1" x14ac:dyDescent="0.3">
      <c r="A33" s="189" t="s">
        <v>767</v>
      </c>
      <c r="B33" s="187">
        <v>0</v>
      </c>
      <c r="C33" s="279">
        <v>0</v>
      </c>
      <c r="D33" s="227">
        <v>0</v>
      </c>
      <c r="E33" s="191">
        <f t="shared" si="14"/>
        <v>0</v>
      </c>
      <c r="F33" s="285" t="s">
        <v>767</v>
      </c>
      <c r="G33" s="289">
        <v>0</v>
      </c>
      <c r="H33" s="282">
        <v>0</v>
      </c>
      <c r="I33" s="283">
        <v>0</v>
      </c>
      <c r="J33" s="287">
        <f t="shared" si="15"/>
        <v>0</v>
      </c>
      <c r="K33" s="189" t="s">
        <v>26</v>
      </c>
      <c r="L33" s="191" t="s">
        <v>17</v>
      </c>
      <c r="M33" s="191" t="s">
        <v>17</v>
      </c>
      <c r="N33" s="192" t="s">
        <v>17</v>
      </c>
      <c r="O33" s="7" t="s">
        <v>17</v>
      </c>
      <c r="P33" s="7" t="s">
        <v>17</v>
      </c>
      <c r="Q33" s="155" t="s">
        <v>17</v>
      </c>
      <c r="R33" s="7" t="s">
        <v>17</v>
      </c>
      <c r="S33" s="7" t="s">
        <v>17</v>
      </c>
      <c r="T33" s="155" t="s">
        <v>17</v>
      </c>
      <c r="U33" s="7" t="s">
        <v>17</v>
      </c>
      <c r="V33" s="7" t="s">
        <v>17</v>
      </c>
      <c r="W33" s="155" t="s">
        <v>17</v>
      </c>
      <c r="AC33" s="150">
        <v>20</v>
      </c>
      <c r="AD33" s="7">
        <v>25</v>
      </c>
      <c r="AE33" s="155">
        <f>(AC33/AD33)*100</f>
        <v>80</v>
      </c>
      <c r="AF33" s="150">
        <v>3</v>
      </c>
      <c r="AG33" s="7">
        <v>4</v>
      </c>
      <c r="AH33" s="155">
        <f t="shared" ref="AH33" si="29">SUM(AF33/AG33)*100</f>
        <v>75</v>
      </c>
      <c r="AI33" s="150" t="s">
        <v>17</v>
      </c>
      <c r="AJ33" s="7" t="s">
        <v>17</v>
      </c>
      <c r="AK33" s="7" t="s">
        <v>17</v>
      </c>
      <c r="AL33" s="150" t="s">
        <v>17</v>
      </c>
      <c r="AM33" s="7" t="s">
        <v>17</v>
      </c>
      <c r="AN33" s="7" t="s">
        <v>17</v>
      </c>
      <c r="AO33" s="150" t="s">
        <v>17</v>
      </c>
      <c r="AP33" s="7" t="s">
        <v>17</v>
      </c>
      <c r="AQ33" s="7" t="s">
        <v>17</v>
      </c>
      <c r="AR33" s="150" t="s">
        <v>17</v>
      </c>
      <c r="AS33" s="7" t="s">
        <v>17</v>
      </c>
      <c r="AT33" s="7" t="s">
        <v>17</v>
      </c>
    </row>
    <row r="34" spans="1:46" ht="14.95" customHeight="1" thickBot="1" x14ac:dyDescent="0.3">
      <c r="A34" s="189" t="s">
        <v>6</v>
      </c>
      <c r="B34" s="187">
        <v>1</v>
      </c>
      <c r="C34" s="279">
        <v>0</v>
      </c>
      <c r="D34" s="227">
        <v>2</v>
      </c>
      <c r="E34" s="191">
        <f t="shared" si="14"/>
        <v>3</v>
      </c>
      <c r="F34" s="285" t="s">
        <v>6</v>
      </c>
      <c r="G34" s="289">
        <v>5</v>
      </c>
      <c r="H34" s="282">
        <v>0</v>
      </c>
      <c r="I34" s="283">
        <v>10</v>
      </c>
      <c r="J34" s="287">
        <f t="shared" si="15"/>
        <v>15</v>
      </c>
      <c r="K34" s="536" t="s">
        <v>790</v>
      </c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</row>
    <row r="35" spans="1:46" ht="14.95" customHeight="1" thickBot="1" x14ac:dyDescent="0.3">
      <c r="A35" s="189" t="s">
        <v>403</v>
      </c>
      <c r="B35" s="187">
        <v>0</v>
      </c>
      <c r="C35" s="279">
        <v>0</v>
      </c>
      <c r="D35" s="227">
        <v>0</v>
      </c>
      <c r="E35" s="191">
        <f t="shared" si="14"/>
        <v>0</v>
      </c>
      <c r="F35" s="285" t="s">
        <v>403</v>
      </c>
      <c r="G35" s="289">
        <v>0</v>
      </c>
      <c r="H35" s="282">
        <v>0</v>
      </c>
      <c r="I35" s="283">
        <v>0</v>
      </c>
      <c r="J35" s="287">
        <f t="shared" si="15"/>
        <v>0</v>
      </c>
      <c r="K35" s="536" t="s">
        <v>932</v>
      </c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</row>
    <row r="36" spans="1:46" ht="14.95" customHeight="1" thickBot="1" x14ac:dyDescent="0.3">
      <c r="A36" s="189" t="s">
        <v>340</v>
      </c>
      <c r="B36" s="187">
        <v>1</v>
      </c>
      <c r="C36" s="279">
        <v>0</v>
      </c>
      <c r="D36" s="227">
        <v>0</v>
      </c>
      <c r="E36" s="191">
        <f t="shared" si="14"/>
        <v>1</v>
      </c>
      <c r="F36" s="285" t="s">
        <v>340</v>
      </c>
      <c r="G36" s="289">
        <v>5</v>
      </c>
      <c r="H36" s="282">
        <v>0</v>
      </c>
      <c r="I36" s="283">
        <v>0</v>
      </c>
      <c r="J36" s="287">
        <f t="shared" si="15"/>
        <v>5</v>
      </c>
      <c r="K36" s="537" t="s">
        <v>1319</v>
      </c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8"/>
    </row>
    <row r="37" spans="1:46" ht="14.95" customHeight="1" thickBot="1" x14ac:dyDescent="0.3">
      <c r="A37" s="189" t="s">
        <v>278</v>
      </c>
      <c r="B37" s="187">
        <v>0</v>
      </c>
      <c r="C37" s="279">
        <v>0</v>
      </c>
      <c r="D37" s="227">
        <v>0</v>
      </c>
      <c r="E37" s="191">
        <f t="shared" si="14"/>
        <v>0</v>
      </c>
      <c r="F37" s="285" t="s">
        <v>278</v>
      </c>
      <c r="G37" s="289">
        <v>0</v>
      </c>
      <c r="H37" s="282">
        <v>0</v>
      </c>
      <c r="I37" s="283">
        <v>0</v>
      </c>
      <c r="J37" s="287">
        <f t="shared" si="15"/>
        <v>0</v>
      </c>
      <c r="K37" s="94"/>
      <c r="L37" s="95"/>
      <c r="M37" s="95"/>
      <c r="N37" s="95"/>
      <c r="O37" s="95"/>
      <c r="P37" s="95"/>
      <c r="Q37" s="95"/>
    </row>
    <row r="38" spans="1:46" ht="14.95" customHeight="1" thickBot="1" x14ac:dyDescent="0.3">
      <c r="A38" s="189" t="s">
        <v>83</v>
      </c>
      <c r="B38" s="187">
        <v>0</v>
      </c>
      <c r="C38" s="279">
        <v>0</v>
      </c>
      <c r="D38" s="227">
        <v>0</v>
      </c>
      <c r="E38" s="191">
        <f t="shared" si="14"/>
        <v>0</v>
      </c>
      <c r="F38" s="285" t="s">
        <v>83</v>
      </c>
      <c r="G38" s="289">
        <v>0</v>
      </c>
      <c r="H38" s="282">
        <v>0</v>
      </c>
      <c r="I38" s="283">
        <v>0</v>
      </c>
      <c r="J38" s="287">
        <f t="shared" si="15"/>
        <v>0</v>
      </c>
      <c r="K38" s="94"/>
      <c r="L38" s="95"/>
      <c r="M38" s="95"/>
      <c r="N38" s="95"/>
      <c r="O38" s="95"/>
      <c r="P38" s="95"/>
      <c r="Q38" s="95"/>
    </row>
    <row r="39" spans="1:46" ht="14.95" customHeight="1" thickBot="1" x14ac:dyDescent="0.3">
      <c r="A39" s="189" t="s">
        <v>782</v>
      </c>
      <c r="B39" s="187">
        <v>1</v>
      </c>
      <c r="C39" s="279">
        <v>0</v>
      </c>
      <c r="D39" s="227">
        <v>0</v>
      </c>
      <c r="E39" s="191">
        <f t="shared" si="14"/>
        <v>1</v>
      </c>
      <c r="F39" s="285" t="s">
        <v>782</v>
      </c>
      <c r="G39" s="289">
        <v>5</v>
      </c>
      <c r="H39" s="282">
        <v>0</v>
      </c>
      <c r="I39" s="283">
        <v>0</v>
      </c>
      <c r="J39" s="287">
        <f t="shared" si="15"/>
        <v>5</v>
      </c>
      <c r="K39" s="94"/>
      <c r="L39" s="95"/>
      <c r="M39" s="95"/>
      <c r="N39" s="95"/>
      <c r="O39" s="95"/>
      <c r="P39" s="95"/>
      <c r="Q39" s="95"/>
    </row>
    <row r="40" spans="1:46" ht="14.95" customHeight="1" thickBot="1" x14ac:dyDescent="0.3">
      <c r="A40" s="189" t="s">
        <v>240</v>
      </c>
      <c r="B40" s="187">
        <v>1</v>
      </c>
      <c r="C40" s="279">
        <v>0</v>
      </c>
      <c r="D40" s="227">
        <v>1</v>
      </c>
      <c r="E40" s="191">
        <f t="shared" si="14"/>
        <v>2</v>
      </c>
      <c r="F40" s="285" t="s">
        <v>240</v>
      </c>
      <c r="G40" s="289">
        <v>5</v>
      </c>
      <c r="H40" s="282">
        <v>0</v>
      </c>
      <c r="I40" s="283">
        <v>5</v>
      </c>
      <c r="J40" s="287">
        <f t="shared" si="15"/>
        <v>10</v>
      </c>
    </row>
    <row r="41" spans="1:46" ht="14.95" customHeight="1" thickBot="1" x14ac:dyDescent="0.3">
      <c r="A41" s="189" t="s">
        <v>235</v>
      </c>
      <c r="B41" s="187">
        <v>0</v>
      </c>
      <c r="C41" s="279">
        <v>0</v>
      </c>
      <c r="D41" s="227">
        <v>1</v>
      </c>
      <c r="E41" s="191">
        <f t="shared" si="14"/>
        <v>1</v>
      </c>
      <c r="F41" s="285" t="s">
        <v>235</v>
      </c>
      <c r="G41" s="289">
        <v>0</v>
      </c>
      <c r="H41" s="282">
        <v>0</v>
      </c>
      <c r="I41" s="283">
        <v>5</v>
      </c>
      <c r="J41" s="287">
        <f t="shared" si="15"/>
        <v>5</v>
      </c>
    </row>
    <row r="42" spans="1:46" ht="14.95" customHeight="1" thickBot="1" x14ac:dyDescent="0.3">
      <c r="A42" s="189" t="s">
        <v>642</v>
      </c>
      <c r="B42" s="187">
        <v>0</v>
      </c>
      <c r="C42" s="279">
        <v>0</v>
      </c>
      <c r="D42" s="227">
        <v>0</v>
      </c>
      <c r="E42" s="191">
        <f t="shared" si="14"/>
        <v>0</v>
      </c>
      <c r="F42" s="285" t="s">
        <v>642</v>
      </c>
      <c r="G42" s="289">
        <v>0</v>
      </c>
      <c r="H42" s="282">
        <v>0</v>
      </c>
      <c r="I42" s="283">
        <v>0</v>
      </c>
      <c r="J42" s="287">
        <f t="shared" si="15"/>
        <v>0</v>
      </c>
    </row>
    <row r="43" spans="1:46" ht="14.95" customHeight="1" thickBot="1" x14ac:dyDescent="0.3">
      <c r="A43" s="189" t="s">
        <v>192</v>
      </c>
      <c r="B43" s="187">
        <v>11</v>
      </c>
      <c r="C43" s="279">
        <v>4</v>
      </c>
      <c r="D43" s="227">
        <v>0</v>
      </c>
      <c r="E43" s="191">
        <f t="shared" si="14"/>
        <v>15</v>
      </c>
      <c r="F43" s="285" t="s">
        <v>192</v>
      </c>
      <c r="G43" s="289">
        <v>55</v>
      </c>
      <c r="H43" s="282">
        <v>20</v>
      </c>
      <c r="I43" s="283">
        <v>0</v>
      </c>
      <c r="J43" s="287">
        <f t="shared" si="15"/>
        <v>75</v>
      </c>
    </row>
    <row r="44" spans="1:46" ht="14.95" customHeight="1" thickBot="1" x14ac:dyDescent="0.3">
      <c r="A44" s="189" t="s">
        <v>487</v>
      </c>
      <c r="B44" s="187">
        <v>0</v>
      </c>
      <c r="C44" s="279">
        <v>0</v>
      </c>
      <c r="D44" s="227">
        <v>0</v>
      </c>
      <c r="E44" s="191">
        <f t="shared" si="14"/>
        <v>0</v>
      </c>
      <c r="F44" s="285" t="s">
        <v>487</v>
      </c>
      <c r="G44" s="289">
        <v>0</v>
      </c>
      <c r="H44" s="282">
        <v>0</v>
      </c>
      <c r="I44" s="283">
        <v>0</v>
      </c>
      <c r="J44" s="287">
        <f t="shared" si="15"/>
        <v>0</v>
      </c>
    </row>
    <row r="45" spans="1:46" ht="14.95" customHeight="1" thickBot="1" x14ac:dyDescent="0.3">
      <c r="A45" s="189" t="s">
        <v>498</v>
      </c>
      <c r="B45" s="187">
        <v>0</v>
      </c>
      <c r="C45" s="279">
        <v>0</v>
      </c>
      <c r="D45" s="227">
        <v>3</v>
      </c>
      <c r="E45" s="191">
        <f t="shared" si="14"/>
        <v>3</v>
      </c>
      <c r="F45" s="285" t="s">
        <v>498</v>
      </c>
      <c r="G45" s="289">
        <v>0</v>
      </c>
      <c r="H45" s="282">
        <v>0</v>
      </c>
      <c r="I45" s="283">
        <v>15</v>
      </c>
      <c r="J45" s="287">
        <f t="shared" si="15"/>
        <v>15</v>
      </c>
    </row>
    <row r="46" spans="1:46" ht="14.95" customHeight="1" thickBot="1" x14ac:dyDescent="0.3">
      <c r="A46" s="189" t="s">
        <v>237</v>
      </c>
      <c r="B46" s="187">
        <v>4</v>
      </c>
      <c r="C46" s="279">
        <v>0</v>
      </c>
      <c r="D46" s="227">
        <v>0</v>
      </c>
      <c r="E46" s="191">
        <f t="shared" si="14"/>
        <v>4</v>
      </c>
      <c r="F46" s="285" t="s">
        <v>237</v>
      </c>
      <c r="G46" s="289">
        <v>20</v>
      </c>
      <c r="H46" s="282">
        <v>0</v>
      </c>
      <c r="I46" s="283">
        <v>0</v>
      </c>
      <c r="J46" s="287">
        <f t="shared" si="15"/>
        <v>20</v>
      </c>
    </row>
    <row r="47" spans="1:46" ht="14.95" customHeight="1" thickBot="1" x14ac:dyDescent="0.3">
      <c r="A47" s="189" t="s">
        <v>483</v>
      </c>
      <c r="B47" s="187">
        <v>0</v>
      </c>
      <c r="C47" s="279">
        <v>0</v>
      </c>
      <c r="D47" s="227">
        <v>0</v>
      </c>
      <c r="E47" s="191">
        <f t="shared" si="14"/>
        <v>0</v>
      </c>
      <c r="F47" s="285" t="s">
        <v>483</v>
      </c>
      <c r="G47" s="289">
        <v>0</v>
      </c>
      <c r="H47" s="282">
        <v>0</v>
      </c>
      <c r="I47" s="283">
        <v>0</v>
      </c>
      <c r="J47" s="287">
        <f t="shared" si="15"/>
        <v>0</v>
      </c>
    </row>
    <row r="48" spans="1:46" ht="14.95" customHeight="1" thickBot="1" x14ac:dyDescent="0.3">
      <c r="A48" s="189" t="s">
        <v>4</v>
      </c>
      <c r="B48" s="187">
        <v>0</v>
      </c>
      <c r="C48" s="279">
        <v>0</v>
      </c>
      <c r="D48" s="227">
        <v>1</v>
      </c>
      <c r="E48" s="191">
        <f t="shared" si="14"/>
        <v>1</v>
      </c>
      <c r="F48" s="285" t="s">
        <v>4</v>
      </c>
      <c r="G48" s="289">
        <v>0</v>
      </c>
      <c r="H48" s="282">
        <v>0</v>
      </c>
      <c r="I48" s="283">
        <v>7</v>
      </c>
      <c r="J48" s="287">
        <f t="shared" si="15"/>
        <v>7</v>
      </c>
    </row>
    <row r="49" spans="1:10" ht="14.95" customHeight="1" thickBot="1" x14ac:dyDescent="0.3">
      <c r="A49" s="189" t="s">
        <v>298</v>
      </c>
      <c r="B49" s="187">
        <v>4</v>
      </c>
      <c r="C49" s="279">
        <v>2</v>
      </c>
      <c r="D49" s="227">
        <v>0</v>
      </c>
      <c r="E49" s="191">
        <f t="shared" si="14"/>
        <v>6</v>
      </c>
      <c r="F49" s="285" t="s">
        <v>298</v>
      </c>
      <c r="G49" s="289">
        <v>20</v>
      </c>
      <c r="H49" s="282">
        <v>10</v>
      </c>
      <c r="I49" s="283">
        <v>0</v>
      </c>
      <c r="J49" s="287">
        <f t="shared" si="15"/>
        <v>30</v>
      </c>
    </row>
    <row r="50" spans="1:10" ht="14.95" customHeight="1" thickBot="1" x14ac:dyDescent="0.3">
      <c r="A50" s="189" t="s">
        <v>474</v>
      </c>
      <c r="B50" s="187">
        <v>2</v>
      </c>
      <c r="C50" s="279">
        <v>1</v>
      </c>
      <c r="D50" s="227">
        <v>1</v>
      </c>
      <c r="E50" s="191">
        <f t="shared" si="14"/>
        <v>4</v>
      </c>
      <c r="F50" s="285" t="s">
        <v>474</v>
      </c>
      <c r="G50" s="289">
        <v>10</v>
      </c>
      <c r="H50" s="282">
        <v>5</v>
      </c>
      <c r="I50" s="283">
        <v>5</v>
      </c>
      <c r="J50" s="287">
        <f t="shared" si="15"/>
        <v>20</v>
      </c>
    </row>
    <row r="51" spans="1:10" ht="14.95" customHeight="1" thickBot="1" x14ac:dyDescent="0.3">
      <c r="A51" s="189" t="s">
        <v>1002</v>
      </c>
      <c r="B51" s="187">
        <v>0</v>
      </c>
      <c r="C51" s="279">
        <v>0</v>
      </c>
      <c r="D51" s="227">
        <v>1</v>
      </c>
      <c r="E51" s="191">
        <f t="shared" si="14"/>
        <v>1</v>
      </c>
      <c r="F51" s="285" t="s">
        <v>1002</v>
      </c>
      <c r="G51" s="289">
        <v>0</v>
      </c>
      <c r="H51" s="282">
        <v>0</v>
      </c>
      <c r="I51" s="283">
        <v>5</v>
      </c>
      <c r="J51" s="287">
        <f t="shared" si="15"/>
        <v>5</v>
      </c>
    </row>
    <row r="52" spans="1:10" ht="14.95" customHeight="1" thickBot="1" x14ac:dyDescent="0.3">
      <c r="A52" s="189" t="s">
        <v>486</v>
      </c>
      <c r="B52" s="187">
        <v>0</v>
      </c>
      <c r="C52" s="279">
        <v>0</v>
      </c>
      <c r="D52" s="227">
        <v>0</v>
      </c>
      <c r="E52" s="191">
        <f t="shared" si="14"/>
        <v>0</v>
      </c>
      <c r="F52" s="285" t="s">
        <v>486</v>
      </c>
      <c r="G52" s="289">
        <v>0</v>
      </c>
      <c r="H52" s="282">
        <v>0</v>
      </c>
      <c r="I52" s="283">
        <v>0</v>
      </c>
      <c r="J52" s="287">
        <f t="shared" si="15"/>
        <v>0</v>
      </c>
    </row>
    <row r="53" spans="1:10" ht="14.95" customHeight="1" thickBot="1" x14ac:dyDescent="0.3">
      <c r="A53" s="189" t="s">
        <v>26</v>
      </c>
      <c r="B53" s="187">
        <v>4</v>
      </c>
      <c r="C53" s="279">
        <v>0</v>
      </c>
      <c r="D53" s="227">
        <v>0</v>
      </c>
      <c r="E53" s="191">
        <f t="shared" si="14"/>
        <v>4</v>
      </c>
      <c r="F53" s="285" t="s">
        <v>26</v>
      </c>
      <c r="G53" s="289">
        <v>114</v>
      </c>
      <c r="H53" s="282">
        <v>26</v>
      </c>
      <c r="I53" s="283">
        <v>0</v>
      </c>
      <c r="J53" s="287">
        <f t="shared" si="15"/>
        <v>140</v>
      </c>
    </row>
    <row r="54" spans="1:10" ht="14.95" customHeight="1" thickBot="1" x14ac:dyDescent="0.3">
      <c r="A54" s="189" t="s">
        <v>576</v>
      </c>
      <c r="B54" s="187">
        <v>0</v>
      </c>
      <c r="C54" s="279">
        <v>0</v>
      </c>
      <c r="D54" s="227">
        <v>0</v>
      </c>
      <c r="E54" s="191">
        <f t="shared" ref="E54:E55" si="30">SUM(B54:D54)</f>
        <v>0</v>
      </c>
      <c r="F54" s="285" t="s">
        <v>576</v>
      </c>
      <c r="G54" s="289">
        <v>0</v>
      </c>
      <c r="H54" s="282">
        <v>0</v>
      </c>
      <c r="I54" s="283">
        <v>0</v>
      </c>
      <c r="J54" s="287">
        <f t="shared" ref="J54:J55" si="31">SUM(G54:I54)</f>
        <v>0</v>
      </c>
    </row>
    <row r="55" spans="1:10" ht="14.95" customHeight="1" thickBot="1" x14ac:dyDescent="0.3">
      <c r="A55" s="189" t="s">
        <v>1266</v>
      </c>
      <c r="B55" s="187">
        <v>1</v>
      </c>
      <c r="C55" s="279">
        <v>0</v>
      </c>
      <c r="D55" s="227">
        <v>2</v>
      </c>
      <c r="E55" s="191">
        <f t="shared" si="30"/>
        <v>3</v>
      </c>
      <c r="F55" s="285" t="s">
        <v>1266</v>
      </c>
      <c r="G55" s="289">
        <v>5</v>
      </c>
      <c r="H55" s="282">
        <v>0</v>
      </c>
      <c r="I55" s="283">
        <v>10</v>
      </c>
      <c r="J55" s="287">
        <f t="shared" si="31"/>
        <v>15</v>
      </c>
    </row>
    <row r="56" spans="1:10" ht="14.95" thickBot="1" x14ac:dyDescent="0.3">
      <c r="A56" s="189" t="s">
        <v>24</v>
      </c>
      <c r="B56" s="187">
        <v>4</v>
      </c>
      <c r="C56" s="279">
        <v>1</v>
      </c>
      <c r="D56" s="227">
        <v>1</v>
      </c>
      <c r="E56" s="191">
        <f t="shared" si="14"/>
        <v>6</v>
      </c>
      <c r="F56" s="285" t="s">
        <v>24</v>
      </c>
      <c r="G56" s="289">
        <v>20</v>
      </c>
      <c r="H56" s="282">
        <v>5</v>
      </c>
      <c r="I56" s="283">
        <v>5</v>
      </c>
      <c r="J56" s="287">
        <f t="shared" si="15"/>
        <v>30</v>
      </c>
    </row>
    <row r="57" spans="1:10" ht="14.95" thickBot="1" x14ac:dyDescent="0.3">
      <c r="A57" s="189" t="s">
        <v>82</v>
      </c>
      <c r="B57" s="187">
        <v>0</v>
      </c>
      <c r="C57" s="279">
        <v>0</v>
      </c>
      <c r="D57" s="227">
        <v>1</v>
      </c>
      <c r="E57" s="191">
        <f t="shared" si="14"/>
        <v>1</v>
      </c>
      <c r="F57" s="285" t="s">
        <v>82</v>
      </c>
      <c r="G57" s="289">
        <v>0</v>
      </c>
      <c r="H57" s="282">
        <v>0</v>
      </c>
      <c r="I57" s="283">
        <v>5</v>
      </c>
      <c r="J57" s="287">
        <f t="shared" si="15"/>
        <v>5</v>
      </c>
    </row>
    <row r="58" spans="1:10" ht="14.95" thickBot="1" x14ac:dyDescent="0.3">
      <c r="A58" s="189" t="s">
        <v>3</v>
      </c>
      <c r="B58" s="187">
        <f>SUM(B3:B57)</f>
        <v>60</v>
      </c>
      <c r="C58" s="279">
        <f>SUM(C3:C57)</f>
        <v>16</v>
      </c>
      <c r="D58" s="227">
        <f>SUM(D3:D57)</f>
        <v>31</v>
      </c>
      <c r="E58" s="191">
        <f t="shared" si="14"/>
        <v>107</v>
      </c>
      <c r="F58" s="284" t="s">
        <v>3</v>
      </c>
      <c r="G58" s="288">
        <f>SUM(G3:G57)</f>
        <v>438</v>
      </c>
      <c r="H58" s="280">
        <f>SUM(H3:H57)</f>
        <v>110</v>
      </c>
      <c r="I58" s="283">
        <f>SUM(I3:I57)</f>
        <v>221</v>
      </c>
      <c r="J58" s="287">
        <f t="shared" si="15"/>
        <v>769</v>
      </c>
    </row>
    <row r="59" spans="1:10" ht="16.3" x14ac:dyDescent="0.25">
      <c r="B59" s="134"/>
      <c r="C59" s="68"/>
      <c r="D59" s="68"/>
      <c r="F59" s="13"/>
      <c r="G59" s="142"/>
      <c r="H59" s="70"/>
      <c r="I59" s="70"/>
      <c r="J59" s="13"/>
    </row>
    <row r="60" spans="1:10" ht="17" thickBot="1" x14ac:dyDescent="0.3">
      <c r="A60" t="s">
        <v>14</v>
      </c>
      <c r="B60" s="134"/>
      <c r="C60" s="68"/>
      <c r="D60" s="68"/>
      <c r="F60" s="13"/>
      <c r="G60" s="142"/>
      <c r="H60" s="70"/>
      <c r="I60" s="70"/>
    </row>
    <row r="61" spans="1:10" ht="14.3" customHeight="1" thickBot="1" x14ac:dyDescent="0.3">
      <c r="A61" s="188" t="s">
        <v>0</v>
      </c>
      <c r="B61" s="186" t="s">
        <v>259</v>
      </c>
      <c r="C61" s="278" t="s">
        <v>35</v>
      </c>
      <c r="D61" s="226" t="s">
        <v>383</v>
      </c>
      <c r="E61" s="190" t="s">
        <v>1</v>
      </c>
      <c r="F61" s="284" t="s">
        <v>2</v>
      </c>
      <c r="G61" s="288" t="s">
        <v>259</v>
      </c>
      <c r="H61" s="280" t="s">
        <v>35</v>
      </c>
      <c r="I61" s="281" t="s">
        <v>383</v>
      </c>
      <c r="J61" s="286" t="s">
        <v>1</v>
      </c>
    </row>
    <row r="62" spans="1:10" ht="14.95" thickBot="1" x14ac:dyDescent="0.3">
      <c r="A62" s="189" t="s">
        <v>192</v>
      </c>
      <c r="B62" s="187">
        <v>11</v>
      </c>
      <c r="C62" s="279">
        <v>4</v>
      </c>
      <c r="D62" s="227">
        <v>0</v>
      </c>
      <c r="E62" s="191">
        <f t="shared" ref="E62:E93" si="32">SUM(B62:D62)</f>
        <v>15</v>
      </c>
      <c r="F62" s="285" t="s">
        <v>26</v>
      </c>
      <c r="G62" s="289">
        <v>114</v>
      </c>
      <c r="H62" s="282">
        <v>26</v>
      </c>
      <c r="I62" s="283">
        <v>0</v>
      </c>
      <c r="J62" s="287">
        <f t="shared" ref="J62:J93" si="33">SUM(G62:I62)</f>
        <v>140</v>
      </c>
    </row>
    <row r="63" spans="1:10" ht="14.95" thickBot="1" x14ac:dyDescent="0.3">
      <c r="A63" s="189" t="s">
        <v>116</v>
      </c>
      <c r="B63" s="187">
        <v>3</v>
      </c>
      <c r="C63" s="279">
        <v>4</v>
      </c>
      <c r="D63" s="227">
        <v>1</v>
      </c>
      <c r="E63" s="191">
        <f t="shared" si="32"/>
        <v>8</v>
      </c>
      <c r="F63" s="285" t="s">
        <v>192</v>
      </c>
      <c r="G63" s="289">
        <v>55</v>
      </c>
      <c r="H63" s="282">
        <v>20</v>
      </c>
      <c r="I63" s="283">
        <v>0</v>
      </c>
      <c r="J63" s="287">
        <f t="shared" si="33"/>
        <v>75</v>
      </c>
    </row>
    <row r="64" spans="1:10" ht="14.95" thickBot="1" x14ac:dyDescent="0.3">
      <c r="A64" s="189" t="s">
        <v>945</v>
      </c>
      <c r="B64" s="187">
        <v>5</v>
      </c>
      <c r="C64" s="279">
        <v>0</v>
      </c>
      <c r="D64" s="227">
        <v>1</v>
      </c>
      <c r="E64" s="191">
        <f t="shared" si="32"/>
        <v>6</v>
      </c>
      <c r="F64" s="285" t="s">
        <v>405</v>
      </c>
      <c r="G64" s="289">
        <v>21</v>
      </c>
      <c r="H64" s="282">
        <v>0</v>
      </c>
      <c r="I64" s="283">
        <v>46</v>
      </c>
      <c r="J64" s="287">
        <f t="shared" si="33"/>
        <v>67</v>
      </c>
    </row>
    <row r="65" spans="1:10" ht="14.95" thickBot="1" x14ac:dyDescent="0.3">
      <c r="A65" s="189" t="s">
        <v>298</v>
      </c>
      <c r="B65" s="187">
        <v>4</v>
      </c>
      <c r="C65" s="279">
        <v>2</v>
      </c>
      <c r="D65" s="227">
        <v>0</v>
      </c>
      <c r="E65" s="191">
        <f t="shared" si="32"/>
        <v>6</v>
      </c>
      <c r="F65" s="285" t="s">
        <v>116</v>
      </c>
      <c r="G65" s="289">
        <v>15</v>
      </c>
      <c r="H65" s="282">
        <v>20</v>
      </c>
      <c r="I65" s="283">
        <v>5</v>
      </c>
      <c r="J65" s="287">
        <f t="shared" si="33"/>
        <v>40</v>
      </c>
    </row>
    <row r="66" spans="1:10" ht="14.95" thickBot="1" x14ac:dyDescent="0.3">
      <c r="A66" s="189" t="s">
        <v>24</v>
      </c>
      <c r="B66" s="187">
        <v>4</v>
      </c>
      <c r="C66" s="279">
        <v>1</v>
      </c>
      <c r="D66" s="227">
        <v>1</v>
      </c>
      <c r="E66" s="191">
        <f t="shared" si="32"/>
        <v>6</v>
      </c>
      <c r="F66" s="285" t="s">
        <v>601</v>
      </c>
      <c r="G66" s="289">
        <v>17</v>
      </c>
      <c r="H66" s="282">
        <v>4</v>
      </c>
      <c r="I66" s="283">
        <v>19</v>
      </c>
      <c r="J66" s="287">
        <f t="shared" si="33"/>
        <v>40</v>
      </c>
    </row>
    <row r="67" spans="1:10" ht="14.95" thickBot="1" x14ac:dyDescent="0.3">
      <c r="A67" s="189" t="s">
        <v>314</v>
      </c>
      <c r="B67" s="187">
        <v>4</v>
      </c>
      <c r="C67" s="279">
        <v>0</v>
      </c>
      <c r="D67" s="227">
        <v>0</v>
      </c>
      <c r="E67" s="191">
        <f t="shared" si="32"/>
        <v>4</v>
      </c>
      <c r="F67" s="285" t="s">
        <v>945</v>
      </c>
      <c r="G67" s="289">
        <v>25</v>
      </c>
      <c r="H67" s="282">
        <v>0</v>
      </c>
      <c r="I67" s="283">
        <v>5</v>
      </c>
      <c r="J67" s="287">
        <f t="shared" si="33"/>
        <v>30</v>
      </c>
    </row>
    <row r="68" spans="1:10" ht="14.95" thickBot="1" x14ac:dyDescent="0.3">
      <c r="A68" s="189" t="s">
        <v>325</v>
      </c>
      <c r="B68" s="187">
        <v>1</v>
      </c>
      <c r="C68" s="279">
        <v>0</v>
      </c>
      <c r="D68" s="227">
        <v>3</v>
      </c>
      <c r="E68" s="191">
        <f t="shared" si="32"/>
        <v>4</v>
      </c>
      <c r="F68" s="285" t="s">
        <v>298</v>
      </c>
      <c r="G68" s="289">
        <v>20</v>
      </c>
      <c r="H68" s="282">
        <v>10</v>
      </c>
      <c r="I68" s="283">
        <v>0</v>
      </c>
      <c r="J68" s="287">
        <f t="shared" si="33"/>
        <v>30</v>
      </c>
    </row>
    <row r="69" spans="1:10" ht="14.95" thickBot="1" x14ac:dyDescent="0.3">
      <c r="A69" s="189" t="s">
        <v>429</v>
      </c>
      <c r="B69" s="187">
        <v>1</v>
      </c>
      <c r="C69" s="279">
        <v>0</v>
      </c>
      <c r="D69" s="227">
        <v>3</v>
      </c>
      <c r="E69" s="191">
        <f t="shared" si="32"/>
        <v>4</v>
      </c>
      <c r="F69" s="285" t="s">
        <v>24</v>
      </c>
      <c r="G69" s="289">
        <v>20</v>
      </c>
      <c r="H69" s="282">
        <v>5</v>
      </c>
      <c r="I69" s="283">
        <v>5</v>
      </c>
      <c r="J69" s="287">
        <f t="shared" si="33"/>
        <v>30</v>
      </c>
    </row>
    <row r="70" spans="1:10" ht="14.95" thickBot="1" x14ac:dyDescent="0.3">
      <c r="A70" s="189" t="s">
        <v>237</v>
      </c>
      <c r="B70" s="187">
        <v>4</v>
      </c>
      <c r="C70" s="279">
        <v>0</v>
      </c>
      <c r="D70" s="227">
        <v>0</v>
      </c>
      <c r="E70" s="191">
        <f t="shared" si="32"/>
        <v>4</v>
      </c>
      <c r="F70" s="285" t="s">
        <v>314</v>
      </c>
      <c r="G70" s="289">
        <v>20</v>
      </c>
      <c r="H70" s="282">
        <v>0</v>
      </c>
      <c r="I70" s="283">
        <v>0</v>
      </c>
      <c r="J70" s="287">
        <f t="shared" si="33"/>
        <v>20</v>
      </c>
    </row>
    <row r="71" spans="1:10" ht="14.95" thickBot="1" x14ac:dyDescent="0.3">
      <c r="A71" s="189" t="s">
        <v>474</v>
      </c>
      <c r="B71" s="187">
        <v>2</v>
      </c>
      <c r="C71" s="279">
        <v>1</v>
      </c>
      <c r="D71" s="227">
        <v>1</v>
      </c>
      <c r="E71" s="191">
        <f t="shared" si="32"/>
        <v>4</v>
      </c>
      <c r="F71" s="285" t="s">
        <v>325</v>
      </c>
      <c r="G71" s="289">
        <v>5</v>
      </c>
      <c r="H71" s="282">
        <v>0</v>
      </c>
      <c r="I71" s="283">
        <v>15</v>
      </c>
      <c r="J71" s="287">
        <f t="shared" si="33"/>
        <v>20</v>
      </c>
    </row>
    <row r="72" spans="1:10" ht="14.95" thickBot="1" x14ac:dyDescent="0.3">
      <c r="A72" s="189" t="s">
        <v>26</v>
      </c>
      <c r="B72" s="187">
        <v>4</v>
      </c>
      <c r="C72" s="279">
        <v>0</v>
      </c>
      <c r="D72" s="227">
        <v>0</v>
      </c>
      <c r="E72" s="191">
        <f t="shared" si="32"/>
        <v>4</v>
      </c>
      <c r="F72" s="285" t="s">
        <v>429</v>
      </c>
      <c r="G72" s="289">
        <v>5</v>
      </c>
      <c r="H72" s="282">
        <v>0</v>
      </c>
      <c r="I72" s="283">
        <v>15</v>
      </c>
      <c r="J72" s="287">
        <f t="shared" si="33"/>
        <v>20</v>
      </c>
    </row>
    <row r="73" spans="1:10" ht="14.95" thickBot="1" x14ac:dyDescent="0.3">
      <c r="A73" s="189" t="s">
        <v>531</v>
      </c>
      <c r="B73" s="187">
        <v>1</v>
      </c>
      <c r="C73" s="279">
        <v>0</v>
      </c>
      <c r="D73" s="227">
        <v>2</v>
      </c>
      <c r="E73" s="191">
        <f t="shared" si="32"/>
        <v>3</v>
      </c>
      <c r="F73" s="285" t="s">
        <v>237</v>
      </c>
      <c r="G73" s="289">
        <v>20</v>
      </c>
      <c r="H73" s="282">
        <v>0</v>
      </c>
      <c r="I73" s="283">
        <v>0</v>
      </c>
      <c r="J73" s="287">
        <f t="shared" si="33"/>
        <v>20</v>
      </c>
    </row>
    <row r="74" spans="1:10" ht="14.95" thickBot="1" x14ac:dyDescent="0.3">
      <c r="A74" s="189" t="s">
        <v>484</v>
      </c>
      <c r="B74" s="187">
        <v>2</v>
      </c>
      <c r="C74" s="279">
        <v>0</v>
      </c>
      <c r="D74" s="227">
        <v>1</v>
      </c>
      <c r="E74" s="191">
        <f t="shared" si="32"/>
        <v>3</v>
      </c>
      <c r="F74" s="285" t="s">
        <v>474</v>
      </c>
      <c r="G74" s="289">
        <v>10</v>
      </c>
      <c r="H74" s="282">
        <v>5</v>
      </c>
      <c r="I74" s="283">
        <v>5</v>
      </c>
      <c r="J74" s="287">
        <f t="shared" si="33"/>
        <v>20</v>
      </c>
    </row>
    <row r="75" spans="1:10" ht="14.95" thickBot="1" x14ac:dyDescent="0.3">
      <c r="A75" s="189" t="s">
        <v>6</v>
      </c>
      <c r="B75" s="187">
        <v>1</v>
      </c>
      <c r="C75" s="279">
        <v>0</v>
      </c>
      <c r="D75" s="227">
        <v>2</v>
      </c>
      <c r="E75" s="191">
        <f t="shared" si="32"/>
        <v>3</v>
      </c>
      <c r="F75" s="285" t="s">
        <v>531</v>
      </c>
      <c r="G75" s="289">
        <v>5</v>
      </c>
      <c r="H75" s="282">
        <v>0</v>
      </c>
      <c r="I75" s="283">
        <v>10</v>
      </c>
      <c r="J75" s="287">
        <f t="shared" si="33"/>
        <v>15</v>
      </c>
    </row>
    <row r="76" spans="1:10" ht="14.95" thickBot="1" x14ac:dyDescent="0.3">
      <c r="A76" s="189" t="s">
        <v>498</v>
      </c>
      <c r="B76" s="187">
        <v>0</v>
      </c>
      <c r="C76" s="279">
        <v>0</v>
      </c>
      <c r="D76" s="227">
        <v>3</v>
      </c>
      <c r="E76" s="191">
        <f t="shared" si="32"/>
        <v>3</v>
      </c>
      <c r="F76" s="285" t="s">
        <v>781</v>
      </c>
      <c r="G76" s="289">
        <v>11</v>
      </c>
      <c r="H76" s="282">
        <v>0</v>
      </c>
      <c r="I76" s="283">
        <v>4</v>
      </c>
      <c r="J76" s="287">
        <f t="shared" si="33"/>
        <v>15</v>
      </c>
    </row>
    <row r="77" spans="1:10" ht="14.95" thickBot="1" x14ac:dyDescent="0.3">
      <c r="A77" s="189" t="s">
        <v>1266</v>
      </c>
      <c r="B77" s="187">
        <v>1</v>
      </c>
      <c r="C77" s="279">
        <v>0</v>
      </c>
      <c r="D77" s="227">
        <v>2</v>
      </c>
      <c r="E77" s="191">
        <f t="shared" si="32"/>
        <v>3</v>
      </c>
      <c r="F77" s="285" t="s">
        <v>484</v>
      </c>
      <c r="G77" s="289">
        <v>10</v>
      </c>
      <c r="H77" s="282">
        <v>0</v>
      </c>
      <c r="I77" s="283">
        <v>5</v>
      </c>
      <c r="J77" s="287">
        <f t="shared" si="33"/>
        <v>15</v>
      </c>
    </row>
    <row r="78" spans="1:10" ht="14.95" thickBot="1" x14ac:dyDescent="0.3">
      <c r="A78" s="189" t="s">
        <v>413</v>
      </c>
      <c r="B78" s="187">
        <v>1</v>
      </c>
      <c r="C78" s="279">
        <v>0</v>
      </c>
      <c r="D78" s="227">
        <v>1</v>
      </c>
      <c r="E78" s="191">
        <f t="shared" si="32"/>
        <v>2</v>
      </c>
      <c r="F78" s="285" t="s">
        <v>6</v>
      </c>
      <c r="G78" s="289">
        <v>5</v>
      </c>
      <c r="H78" s="282">
        <v>0</v>
      </c>
      <c r="I78" s="283">
        <v>10</v>
      </c>
      <c r="J78" s="287">
        <f t="shared" si="33"/>
        <v>15</v>
      </c>
    </row>
    <row r="79" spans="1:10" ht="14.95" thickBot="1" x14ac:dyDescent="0.3">
      <c r="A79" s="189" t="s">
        <v>556</v>
      </c>
      <c r="B79" s="187">
        <v>2</v>
      </c>
      <c r="C79" s="279">
        <v>0</v>
      </c>
      <c r="D79" s="227">
        <v>0</v>
      </c>
      <c r="E79" s="191">
        <f t="shared" si="32"/>
        <v>2</v>
      </c>
      <c r="F79" s="285" t="s">
        <v>498</v>
      </c>
      <c r="G79" s="289">
        <v>0</v>
      </c>
      <c r="H79" s="282">
        <v>0</v>
      </c>
      <c r="I79" s="283">
        <v>15</v>
      </c>
      <c r="J79" s="287">
        <f t="shared" si="33"/>
        <v>15</v>
      </c>
    </row>
    <row r="80" spans="1:10" ht="14.95" thickBot="1" x14ac:dyDescent="0.3">
      <c r="A80" s="189" t="s">
        <v>419</v>
      </c>
      <c r="B80" s="187">
        <v>2</v>
      </c>
      <c r="C80" s="279">
        <v>0</v>
      </c>
      <c r="D80" s="227">
        <v>0</v>
      </c>
      <c r="E80" s="191">
        <f t="shared" si="32"/>
        <v>2</v>
      </c>
      <c r="F80" s="285" t="s">
        <v>1266</v>
      </c>
      <c r="G80" s="289">
        <v>5</v>
      </c>
      <c r="H80" s="282">
        <v>0</v>
      </c>
      <c r="I80" s="283">
        <v>10</v>
      </c>
      <c r="J80" s="287">
        <f t="shared" si="33"/>
        <v>15</v>
      </c>
    </row>
    <row r="81" spans="1:10" ht="14.95" thickBot="1" x14ac:dyDescent="0.3">
      <c r="A81" s="189" t="s">
        <v>622</v>
      </c>
      <c r="B81" s="187">
        <v>1</v>
      </c>
      <c r="C81" s="279">
        <v>1</v>
      </c>
      <c r="D81" s="227">
        <v>0</v>
      </c>
      <c r="E81" s="191">
        <f t="shared" si="32"/>
        <v>2</v>
      </c>
      <c r="F81" s="285" t="s">
        <v>413</v>
      </c>
      <c r="G81" s="289">
        <v>5</v>
      </c>
      <c r="H81" s="282">
        <v>0</v>
      </c>
      <c r="I81" s="283">
        <v>5</v>
      </c>
      <c r="J81" s="287">
        <f t="shared" si="33"/>
        <v>10</v>
      </c>
    </row>
    <row r="82" spans="1:10" ht="14.95" thickBot="1" x14ac:dyDescent="0.3">
      <c r="A82" s="189" t="s">
        <v>456</v>
      </c>
      <c r="B82" s="187">
        <v>2</v>
      </c>
      <c r="C82" s="279">
        <v>0</v>
      </c>
      <c r="D82" s="227">
        <v>0</v>
      </c>
      <c r="E82" s="191">
        <f t="shared" si="32"/>
        <v>2</v>
      </c>
      <c r="F82" s="285" t="s">
        <v>556</v>
      </c>
      <c r="G82" s="289">
        <v>10</v>
      </c>
      <c r="H82" s="282">
        <v>0</v>
      </c>
      <c r="I82" s="283">
        <v>0</v>
      </c>
      <c r="J82" s="287">
        <f t="shared" si="33"/>
        <v>10</v>
      </c>
    </row>
    <row r="83" spans="1:10" ht="14.95" thickBot="1" x14ac:dyDescent="0.3">
      <c r="A83" s="189" t="s">
        <v>1000</v>
      </c>
      <c r="B83" s="187">
        <v>0</v>
      </c>
      <c r="C83" s="279">
        <v>0</v>
      </c>
      <c r="D83" s="227">
        <v>2</v>
      </c>
      <c r="E83" s="191">
        <f t="shared" si="32"/>
        <v>2</v>
      </c>
      <c r="F83" s="285" t="s">
        <v>419</v>
      </c>
      <c r="G83" s="289">
        <v>10</v>
      </c>
      <c r="H83" s="282">
        <v>0</v>
      </c>
      <c r="I83" s="283">
        <v>0</v>
      </c>
      <c r="J83" s="287">
        <f t="shared" si="33"/>
        <v>10</v>
      </c>
    </row>
    <row r="84" spans="1:10" ht="14.95" thickBot="1" x14ac:dyDescent="0.3">
      <c r="A84" s="189" t="s">
        <v>240</v>
      </c>
      <c r="B84" s="187">
        <v>1</v>
      </c>
      <c r="C84" s="279">
        <v>0</v>
      </c>
      <c r="D84" s="227">
        <v>1</v>
      </c>
      <c r="E84" s="191">
        <f t="shared" si="32"/>
        <v>2</v>
      </c>
      <c r="F84" s="285" t="s">
        <v>622</v>
      </c>
      <c r="G84" s="289">
        <v>5</v>
      </c>
      <c r="H84" s="282">
        <v>5</v>
      </c>
      <c r="I84" s="283">
        <v>0</v>
      </c>
      <c r="J84" s="287">
        <f t="shared" si="33"/>
        <v>10</v>
      </c>
    </row>
    <row r="85" spans="1:10" ht="14.95" thickBot="1" x14ac:dyDescent="0.3">
      <c r="A85" s="189" t="s">
        <v>405</v>
      </c>
      <c r="B85" s="187">
        <v>0</v>
      </c>
      <c r="C85" s="279">
        <v>0</v>
      </c>
      <c r="D85" s="227">
        <v>1</v>
      </c>
      <c r="E85" s="191">
        <f t="shared" si="32"/>
        <v>1</v>
      </c>
      <c r="F85" s="285" t="s">
        <v>456</v>
      </c>
      <c r="G85" s="289">
        <v>10</v>
      </c>
      <c r="H85" s="282">
        <v>0</v>
      </c>
      <c r="I85" s="283">
        <v>0</v>
      </c>
      <c r="J85" s="287">
        <f t="shared" si="33"/>
        <v>10</v>
      </c>
    </row>
    <row r="86" spans="1:10" ht="14.95" thickBot="1" x14ac:dyDescent="0.3">
      <c r="A86" s="189" t="s">
        <v>8</v>
      </c>
      <c r="B86" s="187">
        <v>0</v>
      </c>
      <c r="C86" s="279">
        <v>1</v>
      </c>
      <c r="D86" s="227">
        <v>0</v>
      </c>
      <c r="E86" s="191">
        <f t="shared" si="32"/>
        <v>1</v>
      </c>
      <c r="F86" s="285" t="s">
        <v>1000</v>
      </c>
      <c r="G86" s="289">
        <v>0</v>
      </c>
      <c r="H86" s="282">
        <v>0</v>
      </c>
      <c r="I86" s="283">
        <v>10</v>
      </c>
      <c r="J86" s="287">
        <f t="shared" si="33"/>
        <v>10</v>
      </c>
    </row>
    <row r="87" spans="1:10" ht="14.95" thickBot="1" x14ac:dyDescent="0.3">
      <c r="A87" s="189" t="s">
        <v>684</v>
      </c>
      <c r="B87" s="187">
        <v>0</v>
      </c>
      <c r="C87" s="279">
        <v>1</v>
      </c>
      <c r="D87" s="227">
        <v>0</v>
      </c>
      <c r="E87" s="191">
        <f t="shared" si="32"/>
        <v>1</v>
      </c>
      <c r="F87" s="285" t="s">
        <v>240</v>
      </c>
      <c r="G87" s="289">
        <v>5</v>
      </c>
      <c r="H87" s="282">
        <v>0</v>
      </c>
      <c r="I87" s="283">
        <v>5</v>
      </c>
      <c r="J87" s="287">
        <f t="shared" si="33"/>
        <v>10</v>
      </c>
    </row>
    <row r="88" spans="1:10" ht="14.95" thickBot="1" x14ac:dyDescent="0.3">
      <c r="A88" s="189" t="s">
        <v>196</v>
      </c>
      <c r="B88" s="187">
        <v>0</v>
      </c>
      <c r="C88" s="279">
        <v>1</v>
      </c>
      <c r="D88" s="227">
        <v>0</v>
      </c>
      <c r="E88" s="191">
        <f t="shared" si="32"/>
        <v>1</v>
      </c>
      <c r="F88" s="285" t="s">
        <v>4</v>
      </c>
      <c r="G88" s="289">
        <v>0</v>
      </c>
      <c r="H88" s="282">
        <v>0</v>
      </c>
      <c r="I88" s="283">
        <v>7</v>
      </c>
      <c r="J88" s="287">
        <f t="shared" si="33"/>
        <v>7</v>
      </c>
    </row>
    <row r="89" spans="1:10" ht="14.95" thickBot="1" x14ac:dyDescent="0.3">
      <c r="A89" s="189" t="s">
        <v>443</v>
      </c>
      <c r="B89" s="187">
        <v>0</v>
      </c>
      <c r="C89" s="279">
        <v>0</v>
      </c>
      <c r="D89" s="227">
        <v>1</v>
      </c>
      <c r="E89" s="191">
        <f t="shared" si="32"/>
        <v>1</v>
      </c>
      <c r="F89" s="285" t="s">
        <v>8</v>
      </c>
      <c r="G89" s="289">
        <v>0</v>
      </c>
      <c r="H89" s="282">
        <v>5</v>
      </c>
      <c r="I89" s="283">
        <v>0</v>
      </c>
      <c r="J89" s="287">
        <f t="shared" si="33"/>
        <v>5</v>
      </c>
    </row>
    <row r="90" spans="1:10" ht="14.95" thickBot="1" x14ac:dyDescent="0.3">
      <c r="A90" s="189" t="s">
        <v>781</v>
      </c>
      <c r="B90" s="187">
        <v>1</v>
      </c>
      <c r="C90" s="279">
        <v>0</v>
      </c>
      <c r="D90" s="227">
        <v>0</v>
      </c>
      <c r="E90" s="191">
        <f t="shared" si="32"/>
        <v>1</v>
      </c>
      <c r="F90" s="285" t="s">
        <v>684</v>
      </c>
      <c r="G90" s="289">
        <v>0</v>
      </c>
      <c r="H90" s="282">
        <v>5</v>
      </c>
      <c r="I90" s="283">
        <v>0</v>
      </c>
      <c r="J90" s="287">
        <f t="shared" si="33"/>
        <v>5</v>
      </c>
    </row>
    <row r="91" spans="1:10" ht="14.95" thickBot="1" x14ac:dyDescent="0.3">
      <c r="A91" s="189" t="s">
        <v>1233</v>
      </c>
      <c r="B91" s="187">
        <v>0</v>
      </c>
      <c r="C91" s="279">
        <v>0</v>
      </c>
      <c r="D91" s="227">
        <v>1</v>
      </c>
      <c r="E91" s="191">
        <f t="shared" si="32"/>
        <v>1</v>
      </c>
      <c r="F91" s="285" t="s">
        <v>196</v>
      </c>
      <c r="G91" s="289">
        <v>0</v>
      </c>
      <c r="H91" s="282">
        <v>5</v>
      </c>
      <c r="I91" s="283">
        <v>0</v>
      </c>
      <c r="J91" s="287">
        <f t="shared" si="33"/>
        <v>5</v>
      </c>
    </row>
    <row r="92" spans="1:10" ht="14.95" thickBot="1" x14ac:dyDescent="0.3">
      <c r="A92" s="189" t="s">
        <v>340</v>
      </c>
      <c r="B92" s="187">
        <v>1</v>
      </c>
      <c r="C92" s="279">
        <v>0</v>
      </c>
      <c r="D92" s="227">
        <v>0</v>
      </c>
      <c r="E92" s="191">
        <f t="shared" si="32"/>
        <v>1</v>
      </c>
      <c r="F92" s="285" t="s">
        <v>443</v>
      </c>
      <c r="G92" s="289">
        <v>0</v>
      </c>
      <c r="H92" s="282">
        <v>0</v>
      </c>
      <c r="I92" s="283">
        <v>5</v>
      </c>
      <c r="J92" s="287">
        <f t="shared" si="33"/>
        <v>5</v>
      </c>
    </row>
    <row r="93" spans="1:10" ht="14.95" thickBot="1" x14ac:dyDescent="0.3">
      <c r="A93" s="189" t="s">
        <v>782</v>
      </c>
      <c r="B93" s="187">
        <v>1</v>
      </c>
      <c r="C93" s="279">
        <v>0</v>
      </c>
      <c r="D93" s="227">
        <v>0</v>
      </c>
      <c r="E93" s="191">
        <f t="shared" si="32"/>
        <v>1</v>
      </c>
      <c r="F93" s="285" t="s">
        <v>1233</v>
      </c>
      <c r="G93" s="289">
        <v>0</v>
      </c>
      <c r="H93" s="282">
        <v>0</v>
      </c>
      <c r="I93" s="283">
        <v>5</v>
      </c>
      <c r="J93" s="287">
        <f t="shared" si="33"/>
        <v>5</v>
      </c>
    </row>
    <row r="94" spans="1:10" ht="14.95" thickBot="1" x14ac:dyDescent="0.3">
      <c r="A94" s="189" t="s">
        <v>235</v>
      </c>
      <c r="B94" s="187">
        <v>0</v>
      </c>
      <c r="C94" s="279">
        <v>0</v>
      </c>
      <c r="D94" s="227">
        <v>1</v>
      </c>
      <c r="E94" s="191">
        <f t="shared" ref="E94:E116" si="34">SUM(B94:D94)</f>
        <v>1</v>
      </c>
      <c r="F94" s="285" t="s">
        <v>340</v>
      </c>
      <c r="G94" s="289">
        <v>5</v>
      </c>
      <c r="H94" s="282">
        <v>0</v>
      </c>
      <c r="I94" s="283">
        <v>0</v>
      </c>
      <c r="J94" s="287">
        <f t="shared" ref="J94:J116" si="35">SUM(G94:I94)</f>
        <v>5</v>
      </c>
    </row>
    <row r="95" spans="1:10" ht="14.95" thickBot="1" x14ac:dyDescent="0.3">
      <c r="A95" s="189" t="s">
        <v>4</v>
      </c>
      <c r="B95" s="187">
        <v>0</v>
      </c>
      <c r="C95" s="279">
        <v>0</v>
      </c>
      <c r="D95" s="227">
        <v>1</v>
      </c>
      <c r="E95" s="191">
        <f t="shared" si="34"/>
        <v>1</v>
      </c>
      <c r="F95" s="285" t="s">
        <v>782</v>
      </c>
      <c r="G95" s="289">
        <v>5</v>
      </c>
      <c r="H95" s="282">
        <v>0</v>
      </c>
      <c r="I95" s="283">
        <v>0</v>
      </c>
      <c r="J95" s="287">
        <f t="shared" si="35"/>
        <v>5</v>
      </c>
    </row>
    <row r="96" spans="1:10" ht="14.95" thickBot="1" x14ac:dyDescent="0.3">
      <c r="A96" s="189" t="s">
        <v>1002</v>
      </c>
      <c r="B96" s="187">
        <v>0</v>
      </c>
      <c r="C96" s="279">
        <v>0</v>
      </c>
      <c r="D96" s="227">
        <v>1</v>
      </c>
      <c r="E96" s="191">
        <f t="shared" si="34"/>
        <v>1</v>
      </c>
      <c r="F96" s="285" t="s">
        <v>235</v>
      </c>
      <c r="G96" s="289">
        <v>0</v>
      </c>
      <c r="H96" s="282">
        <v>0</v>
      </c>
      <c r="I96" s="283">
        <v>5</v>
      </c>
      <c r="J96" s="287">
        <f t="shared" si="35"/>
        <v>5</v>
      </c>
    </row>
    <row r="97" spans="1:10" ht="14.95" thickBot="1" x14ac:dyDescent="0.3">
      <c r="A97" s="189" t="s">
        <v>82</v>
      </c>
      <c r="B97" s="187">
        <v>0</v>
      </c>
      <c r="C97" s="279">
        <v>0</v>
      </c>
      <c r="D97" s="227">
        <v>1</v>
      </c>
      <c r="E97" s="191">
        <f t="shared" si="34"/>
        <v>1</v>
      </c>
      <c r="F97" s="285" t="s">
        <v>1002</v>
      </c>
      <c r="G97" s="289">
        <v>0</v>
      </c>
      <c r="H97" s="282">
        <v>0</v>
      </c>
      <c r="I97" s="283">
        <v>5</v>
      </c>
      <c r="J97" s="287">
        <f t="shared" si="35"/>
        <v>5</v>
      </c>
    </row>
    <row r="98" spans="1:10" ht="14.95" thickBot="1" x14ac:dyDescent="0.3">
      <c r="A98" s="189" t="s">
        <v>786</v>
      </c>
      <c r="B98" s="187">
        <v>0</v>
      </c>
      <c r="C98" s="279">
        <v>0</v>
      </c>
      <c r="D98" s="227">
        <v>0</v>
      </c>
      <c r="E98" s="191">
        <f t="shared" si="34"/>
        <v>0</v>
      </c>
      <c r="F98" s="285" t="s">
        <v>82</v>
      </c>
      <c r="G98" s="289">
        <v>0</v>
      </c>
      <c r="H98" s="282">
        <v>0</v>
      </c>
      <c r="I98" s="283">
        <v>5</v>
      </c>
      <c r="J98" s="287">
        <f t="shared" si="35"/>
        <v>5</v>
      </c>
    </row>
    <row r="99" spans="1:10" ht="14.95" thickBot="1" x14ac:dyDescent="0.3">
      <c r="A99" s="189" t="s">
        <v>485</v>
      </c>
      <c r="B99" s="187">
        <v>0</v>
      </c>
      <c r="C99" s="279">
        <v>0</v>
      </c>
      <c r="D99" s="227">
        <v>0</v>
      </c>
      <c r="E99" s="191">
        <f t="shared" si="34"/>
        <v>0</v>
      </c>
      <c r="F99" s="285" t="s">
        <v>786</v>
      </c>
      <c r="G99" s="289">
        <v>0</v>
      </c>
      <c r="H99" s="282">
        <v>0</v>
      </c>
      <c r="I99" s="283">
        <v>0</v>
      </c>
      <c r="J99" s="287">
        <f t="shared" si="35"/>
        <v>0</v>
      </c>
    </row>
    <row r="100" spans="1:10" ht="14.95" thickBot="1" x14ac:dyDescent="0.3">
      <c r="A100" s="189" t="s">
        <v>574</v>
      </c>
      <c r="B100" s="187">
        <v>0</v>
      </c>
      <c r="C100" s="279">
        <v>0</v>
      </c>
      <c r="D100" s="227">
        <v>0</v>
      </c>
      <c r="E100" s="191">
        <f t="shared" si="34"/>
        <v>0</v>
      </c>
      <c r="F100" s="285" t="s">
        <v>485</v>
      </c>
      <c r="G100" s="289">
        <v>0</v>
      </c>
      <c r="H100" s="282">
        <v>0</v>
      </c>
      <c r="I100" s="283">
        <v>0</v>
      </c>
      <c r="J100" s="287">
        <f t="shared" si="35"/>
        <v>0</v>
      </c>
    </row>
    <row r="101" spans="1:10" ht="14.95" thickBot="1" x14ac:dyDescent="0.3">
      <c r="A101" s="189" t="s">
        <v>448</v>
      </c>
      <c r="B101" s="187">
        <v>0</v>
      </c>
      <c r="C101" s="279">
        <v>0</v>
      </c>
      <c r="D101" s="227">
        <v>0</v>
      </c>
      <c r="E101" s="191">
        <f t="shared" si="34"/>
        <v>0</v>
      </c>
      <c r="F101" s="285" t="s">
        <v>574</v>
      </c>
      <c r="G101" s="289">
        <v>0</v>
      </c>
      <c r="H101" s="282">
        <v>0</v>
      </c>
      <c r="I101" s="283">
        <v>0</v>
      </c>
      <c r="J101" s="287">
        <f t="shared" si="35"/>
        <v>0</v>
      </c>
    </row>
    <row r="102" spans="1:10" ht="14.95" thickBot="1" x14ac:dyDescent="0.3">
      <c r="A102" s="189" t="s">
        <v>788</v>
      </c>
      <c r="B102" s="187">
        <v>0</v>
      </c>
      <c r="C102" s="279">
        <v>0</v>
      </c>
      <c r="D102" s="227">
        <v>0</v>
      </c>
      <c r="E102" s="191">
        <f t="shared" si="34"/>
        <v>0</v>
      </c>
      <c r="F102" s="285" t="s">
        <v>448</v>
      </c>
      <c r="G102" s="289">
        <v>0</v>
      </c>
      <c r="H102" s="282">
        <v>0</v>
      </c>
      <c r="I102" s="283">
        <v>0</v>
      </c>
      <c r="J102" s="287">
        <f t="shared" si="35"/>
        <v>0</v>
      </c>
    </row>
    <row r="103" spans="1:10" ht="14.95" thickBot="1" x14ac:dyDescent="0.3">
      <c r="A103" s="189" t="s">
        <v>276</v>
      </c>
      <c r="B103" s="187">
        <v>0</v>
      </c>
      <c r="C103" s="279">
        <v>0</v>
      </c>
      <c r="D103" s="227">
        <v>0</v>
      </c>
      <c r="E103" s="191">
        <f t="shared" si="34"/>
        <v>0</v>
      </c>
      <c r="F103" s="285" t="s">
        <v>788</v>
      </c>
      <c r="G103" s="289">
        <v>0</v>
      </c>
      <c r="H103" s="282">
        <v>0</v>
      </c>
      <c r="I103" s="283">
        <v>0</v>
      </c>
      <c r="J103" s="287">
        <f t="shared" si="35"/>
        <v>0</v>
      </c>
    </row>
    <row r="104" spans="1:10" ht="14.95" thickBot="1" x14ac:dyDescent="0.3">
      <c r="A104" s="189" t="s">
        <v>601</v>
      </c>
      <c r="B104" s="187">
        <v>0</v>
      </c>
      <c r="C104" s="279">
        <v>0</v>
      </c>
      <c r="D104" s="227">
        <v>0</v>
      </c>
      <c r="E104" s="191">
        <f t="shared" si="34"/>
        <v>0</v>
      </c>
      <c r="F104" s="285" t="s">
        <v>276</v>
      </c>
      <c r="G104" s="289">
        <v>0</v>
      </c>
      <c r="H104" s="282">
        <v>0</v>
      </c>
      <c r="I104" s="283">
        <v>0</v>
      </c>
      <c r="J104" s="287">
        <f t="shared" si="35"/>
        <v>0</v>
      </c>
    </row>
    <row r="105" spans="1:10" ht="14.95" thickBot="1" x14ac:dyDescent="0.3">
      <c r="A105" s="189" t="s">
        <v>473</v>
      </c>
      <c r="B105" s="187">
        <v>0</v>
      </c>
      <c r="C105" s="279">
        <v>0</v>
      </c>
      <c r="D105" s="227">
        <v>0</v>
      </c>
      <c r="E105" s="191">
        <f t="shared" si="34"/>
        <v>0</v>
      </c>
      <c r="F105" s="285" t="s">
        <v>473</v>
      </c>
      <c r="G105" s="289">
        <v>0</v>
      </c>
      <c r="H105" s="282">
        <v>0</v>
      </c>
      <c r="I105" s="283">
        <v>0</v>
      </c>
      <c r="J105" s="287">
        <f t="shared" si="35"/>
        <v>0</v>
      </c>
    </row>
    <row r="106" spans="1:10" ht="14.95" thickBot="1" x14ac:dyDescent="0.3">
      <c r="A106" s="189" t="s">
        <v>467</v>
      </c>
      <c r="B106" s="187">
        <v>0</v>
      </c>
      <c r="C106" s="279">
        <v>0</v>
      </c>
      <c r="D106" s="227">
        <v>0</v>
      </c>
      <c r="E106" s="191">
        <f t="shared" si="34"/>
        <v>0</v>
      </c>
      <c r="F106" s="285" t="s">
        <v>467</v>
      </c>
      <c r="G106" s="289">
        <v>0</v>
      </c>
      <c r="H106" s="282">
        <v>0</v>
      </c>
      <c r="I106" s="283">
        <v>0</v>
      </c>
      <c r="J106" s="287">
        <f t="shared" si="35"/>
        <v>0</v>
      </c>
    </row>
    <row r="107" spans="1:10" ht="14.95" thickBot="1" x14ac:dyDescent="0.3">
      <c r="A107" s="189" t="s">
        <v>632</v>
      </c>
      <c r="B107" s="187">
        <v>0</v>
      </c>
      <c r="C107" s="279">
        <v>0</v>
      </c>
      <c r="D107" s="227">
        <v>0</v>
      </c>
      <c r="E107" s="191">
        <f t="shared" si="34"/>
        <v>0</v>
      </c>
      <c r="F107" s="285" t="s">
        <v>632</v>
      </c>
      <c r="G107" s="289">
        <v>0</v>
      </c>
      <c r="H107" s="282">
        <v>0</v>
      </c>
      <c r="I107" s="283">
        <v>0</v>
      </c>
      <c r="J107" s="287">
        <f t="shared" si="35"/>
        <v>0</v>
      </c>
    </row>
    <row r="108" spans="1:10" ht="14.95" thickBot="1" x14ac:dyDescent="0.3">
      <c r="A108" s="189" t="s">
        <v>767</v>
      </c>
      <c r="B108" s="187">
        <v>0</v>
      </c>
      <c r="C108" s="279">
        <v>0</v>
      </c>
      <c r="D108" s="227">
        <v>0</v>
      </c>
      <c r="E108" s="191">
        <f t="shared" si="34"/>
        <v>0</v>
      </c>
      <c r="F108" s="285" t="s">
        <v>767</v>
      </c>
      <c r="G108" s="289">
        <v>0</v>
      </c>
      <c r="H108" s="282">
        <v>0</v>
      </c>
      <c r="I108" s="283">
        <v>0</v>
      </c>
      <c r="J108" s="287">
        <f t="shared" si="35"/>
        <v>0</v>
      </c>
    </row>
    <row r="109" spans="1:10" ht="14.95" thickBot="1" x14ac:dyDescent="0.3">
      <c r="A109" s="189" t="s">
        <v>403</v>
      </c>
      <c r="B109" s="187">
        <v>0</v>
      </c>
      <c r="C109" s="279">
        <v>0</v>
      </c>
      <c r="D109" s="227">
        <v>0</v>
      </c>
      <c r="E109" s="191">
        <f t="shared" si="34"/>
        <v>0</v>
      </c>
      <c r="F109" s="285" t="s">
        <v>403</v>
      </c>
      <c r="G109" s="289">
        <v>0</v>
      </c>
      <c r="H109" s="282">
        <v>0</v>
      </c>
      <c r="I109" s="283">
        <v>0</v>
      </c>
      <c r="J109" s="287">
        <f t="shared" si="35"/>
        <v>0</v>
      </c>
    </row>
    <row r="110" spans="1:10" ht="14.95" thickBot="1" x14ac:dyDescent="0.3">
      <c r="A110" s="189" t="s">
        <v>278</v>
      </c>
      <c r="B110" s="187">
        <v>0</v>
      </c>
      <c r="C110" s="279">
        <v>0</v>
      </c>
      <c r="D110" s="227">
        <v>0</v>
      </c>
      <c r="E110" s="191">
        <f t="shared" si="34"/>
        <v>0</v>
      </c>
      <c r="F110" s="285" t="s">
        <v>278</v>
      </c>
      <c r="G110" s="289">
        <v>0</v>
      </c>
      <c r="H110" s="282">
        <v>0</v>
      </c>
      <c r="I110" s="283">
        <v>0</v>
      </c>
      <c r="J110" s="287">
        <f t="shared" si="35"/>
        <v>0</v>
      </c>
    </row>
    <row r="111" spans="1:10" ht="14.95" thickBot="1" x14ac:dyDescent="0.3">
      <c r="A111" s="189" t="s">
        <v>83</v>
      </c>
      <c r="B111" s="187">
        <v>0</v>
      </c>
      <c r="C111" s="279">
        <v>0</v>
      </c>
      <c r="D111" s="227">
        <v>0</v>
      </c>
      <c r="E111" s="191">
        <f t="shared" si="34"/>
        <v>0</v>
      </c>
      <c r="F111" s="285" t="s">
        <v>83</v>
      </c>
      <c r="G111" s="289">
        <v>0</v>
      </c>
      <c r="H111" s="282">
        <v>0</v>
      </c>
      <c r="I111" s="283">
        <v>0</v>
      </c>
      <c r="J111" s="287">
        <f t="shared" si="35"/>
        <v>0</v>
      </c>
    </row>
    <row r="112" spans="1:10" ht="14.95" thickBot="1" x14ac:dyDescent="0.3">
      <c r="A112" s="189" t="s">
        <v>642</v>
      </c>
      <c r="B112" s="187">
        <v>0</v>
      </c>
      <c r="C112" s="279">
        <v>0</v>
      </c>
      <c r="D112" s="227">
        <v>0</v>
      </c>
      <c r="E112" s="191">
        <f t="shared" si="34"/>
        <v>0</v>
      </c>
      <c r="F112" s="285" t="s">
        <v>642</v>
      </c>
      <c r="G112" s="289">
        <v>0</v>
      </c>
      <c r="H112" s="282">
        <v>0</v>
      </c>
      <c r="I112" s="283">
        <v>0</v>
      </c>
      <c r="J112" s="287">
        <f t="shared" si="35"/>
        <v>0</v>
      </c>
    </row>
    <row r="113" spans="1:10" ht="14.95" thickBot="1" x14ac:dyDescent="0.3">
      <c r="A113" s="189" t="s">
        <v>487</v>
      </c>
      <c r="B113" s="187">
        <v>0</v>
      </c>
      <c r="C113" s="279">
        <v>0</v>
      </c>
      <c r="D113" s="227">
        <v>0</v>
      </c>
      <c r="E113" s="191">
        <f t="shared" si="34"/>
        <v>0</v>
      </c>
      <c r="F113" s="285" t="s">
        <v>487</v>
      </c>
      <c r="G113" s="289">
        <v>0</v>
      </c>
      <c r="H113" s="282">
        <v>0</v>
      </c>
      <c r="I113" s="283">
        <v>0</v>
      </c>
      <c r="J113" s="287">
        <f t="shared" si="35"/>
        <v>0</v>
      </c>
    </row>
    <row r="114" spans="1:10" ht="14.95" thickBot="1" x14ac:dyDescent="0.3">
      <c r="A114" s="189" t="s">
        <v>483</v>
      </c>
      <c r="B114" s="187">
        <v>0</v>
      </c>
      <c r="C114" s="279">
        <v>0</v>
      </c>
      <c r="D114" s="227">
        <v>0</v>
      </c>
      <c r="E114" s="191">
        <f t="shared" si="34"/>
        <v>0</v>
      </c>
      <c r="F114" s="285" t="s">
        <v>483</v>
      </c>
      <c r="G114" s="289">
        <v>0</v>
      </c>
      <c r="H114" s="282">
        <v>0</v>
      </c>
      <c r="I114" s="283">
        <v>0</v>
      </c>
      <c r="J114" s="287">
        <f t="shared" si="35"/>
        <v>0</v>
      </c>
    </row>
    <row r="115" spans="1:10" ht="14.95" thickBot="1" x14ac:dyDescent="0.3">
      <c r="A115" s="189" t="s">
        <v>486</v>
      </c>
      <c r="B115" s="187">
        <v>0</v>
      </c>
      <c r="C115" s="279">
        <v>0</v>
      </c>
      <c r="D115" s="227">
        <v>0</v>
      </c>
      <c r="E115" s="191">
        <f t="shared" si="34"/>
        <v>0</v>
      </c>
      <c r="F115" s="285" t="s">
        <v>486</v>
      </c>
      <c r="G115" s="289">
        <v>0</v>
      </c>
      <c r="H115" s="282">
        <v>0</v>
      </c>
      <c r="I115" s="283">
        <v>0</v>
      </c>
      <c r="J115" s="287">
        <f t="shared" si="35"/>
        <v>0</v>
      </c>
    </row>
    <row r="116" spans="1:10" ht="14.95" thickBot="1" x14ac:dyDescent="0.3">
      <c r="A116" s="189" t="s">
        <v>576</v>
      </c>
      <c r="B116" s="187">
        <v>0</v>
      </c>
      <c r="C116" s="279">
        <v>0</v>
      </c>
      <c r="D116" s="227">
        <v>0</v>
      </c>
      <c r="E116" s="191">
        <f t="shared" si="34"/>
        <v>0</v>
      </c>
      <c r="F116" s="285" t="s">
        <v>576</v>
      </c>
      <c r="G116" s="289">
        <v>0</v>
      </c>
      <c r="H116" s="282">
        <v>0</v>
      </c>
      <c r="I116" s="283">
        <v>0</v>
      </c>
      <c r="J116" s="287">
        <f t="shared" si="35"/>
        <v>0</v>
      </c>
    </row>
    <row r="117" spans="1:10" ht="14.95" thickBot="1" x14ac:dyDescent="0.3">
      <c r="A117" s="189" t="s">
        <v>3</v>
      </c>
      <c r="B117" s="187">
        <f>SUM(B62:B116)</f>
        <v>60</v>
      </c>
      <c r="C117" s="279">
        <f>SUM(C62:C116)</f>
        <v>16</v>
      </c>
      <c r="D117" s="227">
        <f>SUM(D62:D116)</f>
        <v>31</v>
      </c>
      <c r="E117" s="191">
        <f t="shared" ref="E117" si="36">SUM(B117:D117)</f>
        <v>107</v>
      </c>
      <c r="F117" s="284" t="s">
        <v>3</v>
      </c>
      <c r="G117" s="288">
        <f>SUM(G62:G116)</f>
        <v>438</v>
      </c>
      <c r="H117" s="280">
        <f>SUM(H62:H116)</f>
        <v>110</v>
      </c>
      <c r="I117" s="283">
        <f>SUM(I62:I116)</f>
        <v>221</v>
      </c>
      <c r="J117" s="287">
        <f t="shared" ref="J117" si="37">SUM(G117:I117)</f>
        <v>769</v>
      </c>
    </row>
    <row r="118" spans="1:10" x14ac:dyDescent="0.25">
      <c r="A118" s="489" t="s">
        <v>42</v>
      </c>
      <c r="B118" s="489"/>
      <c r="C118" s="489"/>
      <c r="D118" s="489"/>
      <c r="E118" s="489"/>
      <c r="F118" s="489"/>
      <c r="G118" s="489"/>
      <c r="H118" s="489"/>
      <c r="I118" s="489"/>
      <c r="J118" s="489"/>
    </row>
  </sheetData>
  <sortState xmlns:xlrd2="http://schemas.microsoft.com/office/spreadsheetml/2017/richdata2" ref="F62:J116">
    <sortCondition descending="1" ref="J62:J116"/>
  </sortState>
  <mergeCells count="58">
    <mergeCell ref="A118:J118"/>
    <mergeCell ref="AU25:AW26"/>
    <mergeCell ref="AR25:AT26"/>
    <mergeCell ref="AO25:AQ26"/>
    <mergeCell ref="K35:W35"/>
    <mergeCell ref="AL25:AN26"/>
    <mergeCell ref="AI25:AK26"/>
    <mergeCell ref="K25:K26"/>
    <mergeCell ref="L25:N26"/>
    <mergeCell ref="U25:W26"/>
    <mergeCell ref="R25:T26"/>
    <mergeCell ref="O25:Q26"/>
    <mergeCell ref="AF25:AH26"/>
    <mergeCell ref="AC25:AE26"/>
    <mergeCell ref="K34:X34"/>
    <mergeCell ref="K36:W36"/>
    <mergeCell ref="AO18:AQ19"/>
    <mergeCell ref="AR18:AT19"/>
    <mergeCell ref="AU18:AW19"/>
    <mergeCell ref="A1:J1"/>
    <mergeCell ref="T1:V2"/>
    <mergeCell ref="O11:Q12"/>
    <mergeCell ref="O18:Q19"/>
    <mergeCell ref="AF18:AH19"/>
    <mergeCell ref="AC1:AE2"/>
    <mergeCell ref="AC11:AE12"/>
    <mergeCell ref="AC18:AE19"/>
    <mergeCell ref="AX18:AZ19"/>
    <mergeCell ref="AI1:AK2"/>
    <mergeCell ref="AI11:AK12"/>
    <mergeCell ref="AI18:AK19"/>
    <mergeCell ref="K18:K19"/>
    <mergeCell ref="L18:N19"/>
    <mergeCell ref="U18:W19"/>
    <mergeCell ref="U11:W12"/>
    <mergeCell ref="R18:T19"/>
    <mergeCell ref="AO1:AQ2"/>
    <mergeCell ref="AL1:AN2"/>
    <mergeCell ref="AL11:AN12"/>
    <mergeCell ref="AL18:AN19"/>
    <mergeCell ref="AO11:AQ12"/>
    <mergeCell ref="AF1:AH2"/>
    <mergeCell ref="AF11:AH12"/>
    <mergeCell ref="BA1:BC2"/>
    <mergeCell ref="R1:S2"/>
    <mergeCell ref="K11:K12"/>
    <mergeCell ref="AU11:AW12"/>
    <mergeCell ref="K1:K2"/>
    <mergeCell ref="L1:N2"/>
    <mergeCell ref="O1:Q2"/>
    <mergeCell ref="AX1:AZ2"/>
    <mergeCell ref="L11:N12"/>
    <mergeCell ref="AU1:AW2"/>
    <mergeCell ref="AX11:AZ12"/>
    <mergeCell ref="AR11:AT12"/>
    <mergeCell ref="AR1:AT2"/>
    <mergeCell ref="W1:Y2"/>
    <mergeCell ref="R11:T12"/>
  </mergeCells>
  <pageMargins left="0.7" right="0.7" top="0.75" bottom="0.75" header="0.3" footer="0.3"/>
  <pageSetup paperSize="9" orientation="portrait" r:id="rId1"/>
  <ignoredErrors>
    <ignoredError sqref="E54 J5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18"/>
  <sheetViews>
    <sheetView workbookViewId="0">
      <selection activeCell="O9" sqref="O9:Q9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57" width="5.625" customWidth="1"/>
  </cols>
  <sheetData>
    <row r="1" spans="1:64" ht="16.149999999999999" customHeight="1" thickBot="1" x14ac:dyDescent="0.3">
      <c r="A1" s="540" t="s">
        <v>694</v>
      </c>
      <c r="B1" s="541"/>
      <c r="C1" s="541"/>
      <c r="D1" s="541"/>
      <c r="E1" s="541"/>
      <c r="F1" s="541"/>
      <c r="G1" s="541"/>
      <c r="H1" s="541"/>
      <c r="I1" s="541"/>
      <c r="J1" s="542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95"/>
      <c r="AB1" s="469" t="s">
        <v>562</v>
      </c>
      <c r="AC1" s="470"/>
      <c r="AD1" s="471"/>
      <c r="AE1" s="469" t="s">
        <v>463</v>
      </c>
      <c r="AF1" s="470"/>
      <c r="AG1" s="471"/>
      <c r="AH1" s="469" t="s">
        <v>355</v>
      </c>
      <c r="AI1" s="470"/>
      <c r="AJ1" s="471"/>
      <c r="AK1" s="469" t="s">
        <v>260</v>
      </c>
      <c r="AL1" s="470"/>
      <c r="AM1" s="471"/>
      <c r="AN1" s="469" t="s">
        <v>199</v>
      </c>
      <c r="AO1" s="470"/>
      <c r="AP1" s="471"/>
      <c r="AQ1" s="469" t="s">
        <v>92</v>
      </c>
      <c r="AR1" s="470"/>
      <c r="AS1" s="471"/>
      <c r="AT1" s="469" t="s">
        <v>63</v>
      </c>
      <c r="AU1" s="470"/>
      <c r="AV1" s="471"/>
      <c r="AW1" s="469" t="s">
        <v>59</v>
      </c>
      <c r="AX1" s="470"/>
      <c r="AY1" s="471"/>
      <c r="AZ1" s="469" t="s">
        <v>49</v>
      </c>
      <c r="BA1" s="470"/>
      <c r="BB1" s="471"/>
      <c r="BC1" s="469" t="s">
        <v>54</v>
      </c>
      <c r="BD1" s="470"/>
      <c r="BE1" s="471"/>
      <c r="BG1" s="4"/>
      <c r="BH1" s="4"/>
      <c r="BI1" s="4"/>
      <c r="BL1" s="4"/>
    </row>
    <row r="2" spans="1:64" ht="14.95" customHeight="1" thickBot="1" x14ac:dyDescent="0.3">
      <c r="A2" s="385" t="s">
        <v>0</v>
      </c>
      <c r="B2" s="389" t="s">
        <v>259</v>
      </c>
      <c r="C2" s="391" t="s">
        <v>35</v>
      </c>
      <c r="D2" s="411" t="s">
        <v>383</v>
      </c>
      <c r="E2" s="386" t="s">
        <v>1</v>
      </c>
      <c r="F2" s="167" t="s">
        <v>2</v>
      </c>
      <c r="G2" s="143" t="s">
        <v>259</v>
      </c>
      <c r="H2" s="290" t="s">
        <v>35</v>
      </c>
      <c r="I2" s="219" t="s">
        <v>383</v>
      </c>
      <c r="J2" s="170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94"/>
      <c r="AA2" s="95"/>
      <c r="AB2" s="472"/>
      <c r="AC2" s="473"/>
      <c r="AD2" s="474"/>
      <c r="AE2" s="472"/>
      <c r="AF2" s="473"/>
      <c r="AG2" s="474"/>
      <c r="AH2" s="472"/>
      <c r="AI2" s="473"/>
      <c r="AJ2" s="474"/>
      <c r="AK2" s="472"/>
      <c r="AL2" s="473"/>
      <c r="AM2" s="474"/>
      <c r="AN2" s="472"/>
      <c r="AO2" s="473"/>
      <c r="AP2" s="474"/>
      <c r="AQ2" s="472"/>
      <c r="AR2" s="473"/>
      <c r="AS2" s="474"/>
      <c r="AT2" s="472"/>
      <c r="AU2" s="473"/>
      <c r="AV2" s="474"/>
      <c r="AW2" s="472"/>
      <c r="AX2" s="473"/>
      <c r="AY2" s="474"/>
      <c r="AZ2" s="472"/>
      <c r="BA2" s="473"/>
      <c r="BB2" s="474"/>
      <c r="BC2" s="472"/>
      <c r="BD2" s="473"/>
      <c r="BE2" s="474"/>
    </row>
    <row r="3" spans="1:64" ht="14.95" customHeight="1" thickBot="1" x14ac:dyDescent="0.3">
      <c r="A3" s="387" t="s">
        <v>801</v>
      </c>
      <c r="B3" s="390">
        <v>0</v>
      </c>
      <c r="C3" s="392">
        <v>0</v>
      </c>
      <c r="D3" s="412">
        <v>1</v>
      </c>
      <c r="E3" s="388">
        <f t="shared" ref="E3:E58" si="0">SUM(B3:D3)</f>
        <v>1</v>
      </c>
      <c r="F3" s="168" t="s">
        <v>801</v>
      </c>
      <c r="G3" s="144">
        <v>0</v>
      </c>
      <c r="H3" s="291">
        <v>0</v>
      </c>
      <c r="I3" s="220">
        <v>5</v>
      </c>
      <c r="J3" s="171">
        <f t="shared" ref="J3:J58" si="1">SUM(G3:I3)</f>
        <v>5</v>
      </c>
      <c r="K3" s="221" t="s">
        <v>25</v>
      </c>
      <c r="L3" s="3" t="s">
        <v>55</v>
      </c>
      <c r="M3" s="3" t="s">
        <v>11</v>
      </c>
      <c r="N3" s="3" t="s">
        <v>12</v>
      </c>
      <c r="O3" s="164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7" t="s">
        <v>55</v>
      </c>
      <c r="X3" s="7" t="s">
        <v>11</v>
      </c>
      <c r="Y3" s="7" t="s">
        <v>12</v>
      </c>
      <c r="Z3" s="94"/>
      <c r="AA3" s="95"/>
      <c r="AB3" s="150" t="s">
        <v>55</v>
      </c>
      <c r="AC3" s="7" t="s">
        <v>11</v>
      </c>
      <c r="AD3" s="7" t="s">
        <v>12</v>
      </c>
      <c r="AE3" s="150" t="s">
        <v>55</v>
      </c>
      <c r="AF3" s="7" t="s">
        <v>11</v>
      </c>
      <c r="AG3" s="7" t="s">
        <v>12</v>
      </c>
      <c r="AH3" s="150" t="s">
        <v>55</v>
      </c>
      <c r="AI3" s="7" t="s">
        <v>11</v>
      </c>
      <c r="AJ3" s="7" t="s">
        <v>12</v>
      </c>
      <c r="AK3" s="150" t="s">
        <v>55</v>
      </c>
      <c r="AL3" s="7" t="s">
        <v>11</v>
      </c>
      <c r="AM3" s="7" t="s">
        <v>12</v>
      </c>
      <c r="AN3" s="150" t="s">
        <v>55</v>
      </c>
      <c r="AO3" s="7" t="s">
        <v>11</v>
      </c>
      <c r="AP3" s="7" t="s">
        <v>12</v>
      </c>
      <c r="AQ3" s="150" t="s">
        <v>55</v>
      </c>
      <c r="AR3" s="7" t="s">
        <v>11</v>
      </c>
      <c r="AS3" s="7" t="s">
        <v>12</v>
      </c>
      <c r="AT3" s="150" t="s">
        <v>55</v>
      </c>
      <c r="AU3" s="7" t="s">
        <v>11</v>
      </c>
      <c r="AV3" s="7" t="s">
        <v>12</v>
      </c>
      <c r="AW3" s="7" t="s">
        <v>55</v>
      </c>
      <c r="AX3" s="7" t="s">
        <v>11</v>
      </c>
      <c r="AY3" s="7" t="s">
        <v>12</v>
      </c>
      <c r="AZ3" s="7" t="s">
        <v>55</v>
      </c>
      <c r="BA3" s="7" t="s">
        <v>11</v>
      </c>
      <c r="BB3" s="7" t="s">
        <v>12</v>
      </c>
      <c r="BC3" s="7" t="s">
        <v>55</v>
      </c>
      <c r="BD3" s="7" t="s">
        <v>11</v>
      </c>
      <c r="BE3" s="7" t="s">
        <v>12</v>
      </c>
    </row>
    <row r="4" spans="1:64" ht="14.95" customHeight="1" thickBot="1" x14ac:dyDescent="0.3">
      <c r="A4" s="387" t="s">
        <v>9</v>
      </c>
      <c r="B4" s="390">
        <v>3</v>
      </c>
      <c r="C4" s="392">
        <v>4</v>
      </c>
      <c r="D4" s="412">
        <v>2</v>
      </c>
      <c r="E4" s="388">
        <f t="shared" ref="E4:E5" si="2">SUM(B4:D4)</f>
        <v>9</v>
      </c>
      <c r="F4" s="168" t="s">
        <v>9</v>
      </c>
      <c r="G4" s="144">
        <v>15</v>
      </c>
      <c r="H4" s="291">
        <v>20</v>
      </c>
      <c r="I4" s="220">
        <v>10</v>
      </c>
      <c r="J4" s="171">
        <f t="shared" ref="J4:J5" si="3">SUM(G4:I4)</f>
        <v>45</v>
      </c>
      <c r="K4" s="387" t="s">
        <v>310</v>
      </c>
      <c r="L4" s="388" t="s">
        <v>17</v>
      </c>
      <c r="M4" s="388" t="s">
        <v>17</v>
      </c>
      <c r="N4" s="393" t="s">
        <v>17</v>
      </c>
      <c r="O4" s="388" t="s">
        <v>17</v>
      </c>
      <c r="P4" s="388" t="s">
        <v>17</v>
      </c>
      <c r="Q4" s="393" t="s">
        <v>17</v>
      </c>
      <c r="R4" s="388">
        <v>1</v>
      </c>
      <c r="S4" s="388">
        <v>1</v>
      </c>
      <c r="T4" s="7" t="s">
        <v>17</v>
      </c>
      <c r="U4" s="7" t="s">
        <v>17</v>
      </c>
      <c r="V4" s="155" t="s">
        <v>17</v>
      </c>
      <c r="W4" s="7" t="s">
        <v>17</v>
      </c>
      <c r="X4" s="7" t="s">
        <v>17</v>
      </c>
      <c r="Y4" s="155" t="s">
        <v>17</v>
      </c>
      <c r="Z4" s="95"/>
      <c r="AA4" s="95"/>
      <c r="AB4" s="150">
        <v>1</v>
      </c>
      <c r="AC4" s="7">
        <v>1</v>
      </c>
      <c r="AD4" s="155">
        <f>SUM(AB4/AC4)*100</f>
        <v>100</v>
      </c>
      <c r="AE4" s="150" t="s">
        <v>17</v>
      </c>
      <c r="AF4" s="7" t="s">
        <v>17</v>
      </c>
      <c r="AG4" s="155" t="s">
        <v>17</v>
      </c>
      <c r="AH4" s="150" t="s">
        <v>17</v>
      </c>
      <c r="AI4" s="7" t="s">
        <v>17</v>
      </c>
      <c r="AJ4" s="155" t="s">
        <v>17</v>
      </c>
      <c r="AK4" s="150" t="s">
        <v>17</v>
      </c>
      <c r="AL4" s="7" t="s">
        <v>17</v>
      </c>
      <c r="AM4" s="155" t="s">
        <v>17</v>
      </c>
      <c r="AN4" s="150" t="s">
        <v>17</v>
      </c>
      <c r="AO4" s="7" t="s">
        <v>17</v>
      </c>
      <c r="AP4" s="7" t="s">
        <v>17</v>
      </c>
      <c r="AQ4" s="150" t="s">
        <v>17</v>
      </c>
      <c r="AR4" s="7" t="s">
        <v>17</v>
      </c>
      <c r="AS4" s="7" t="s">
        <v>17</v>
      </c>
      <c r="AT4" s="150" t="s">
        <v>17</v>
      </c>
      <c r="AU4" s="7" t="s">
        <v>17</v>
      </c>
      <c r="AV4" s="7" t="s">
        <v>17</v>
      </c>
      <c r="AW4" s="7" t="s">
        <v>17</v>
      </c>
      <c r="AX4" s="7" t="s">
        <v>17</v>
      </c>
      <c r="AY4" s="7" t="s">
        <v>17</v>
      </c>
      <c r="AZ4" s="7" t="s">
        <v>17</v>
      </c>
      <c r="BA4" s="7" t="s">
        <v>17</v>
      </c>
      <c r="BB4" s="7" t="s">
        <v>17</v>
      </c>
      <c r="BC4" s="7" t="s">
        <v>17</v>
      </c>
      <c r="BD4" s="7" t="s">
        <v>17</v>
      </c>
      <c r="BE4" s="7" t="s">
        <v>17</v>
      </c>
    </row>
    <row r="5" spans="1:64" ht="14.95" customHeight="1" thickBot="1" x14ac:dyDescent="0.3">
      <c r="A5" s="387" t="s">
        <v>796</v>
      </c>
      <c r="B5" s="390">
        <v>0</v>
      </c>
      <c r="C5" s="392">
        <v>0</v>
      </c>
      <c r="D5" s="412">
        <v>0</v>
      </c>
      <c r="E5" s="388">
        <f t="shared" si="2"/>
        <v>0</v>
      </c>
      <c r="F5" s="168" t="s">
        <v>796</v>
      </c>
      <c r="G5" s="144">
        <v>0</v>
      </c>
      <c r="H5" s="291">
        <v>0</v>
      </c>
      <c r="I5" s="220">
        <v>0</v>
      </c>
      <c r="J5" s="171">
        <f t="shared" si="3"/>
        <v>0</v>
      </c>
      <c r="K5" s="387" t="s">
        <v>545</v>
      </c>
      <c r="L5" s="388">
        <v>66</v>
      </c>
      <c r="M5" s="388">
        <v>81</v>
      </c>
      <c r="N5" s="393">
        <f t="shared" ref="N5" si="4">(L5/M5)*100</f>
        <v>81.481481481481481</v>
      </c>
      <c r="O5" s="388">
        <v>3</v>
      </c>
      <c r="P5" s="388">
        <v>4</v>
      </c>
      <c r="Q5" s="393">
        <f t="shared" ref="Q5" si="5">(O5/P5)*100</f>
        <v>75</v>
      </c>
      <c r="R5" s="388">
        <v>2</v>
      </c>
      <c r="S5" s="388">
        <v>2</v>
      </c>
      <c r="T5" s="7">
        <v>45</v>
      </c>
      <c r="U5" s="7">
        <v>54</v>
      </c>
      <c r="V5" s="155">
        <v>83.333333333333343</v>
      </c>
      <c r="W5" s="7">
        <v>33</v>
      </c>
      <c r="X5" s="7">
        <v>41</v>
      </c>
      <c r="Y5" s="155">
        <v>80.487804878048792</v>
      </c>
      <c r="Z5" s="95"/>
      <c r="AA5" s="95"/>
      <c r="AB5" s="150">
        <v>13</v>
      </c>
      <c r="AC5" s="7">
        <v>18</v>
      </c>
      <c r="AD5" s="155">
        <v>72</v>
      </c>
      <c r="AE5" s="150">
        <v>14</v>
      </c>
      <c r="AF5" s="7">
        <v>18</v>
      </c>
      <c r="AG5" s="155">
        <v>77.777777777777786</v>
      </c>
      <c r="AH5" s="150">
        <v>28</v>
      </c>
      <c r="AI5" s="7">
        <v>36</v>
      </c>
      <c r="AJ5" s="155">
        <v>77.777777777777786</v>
      </c>
      <c r="AK5" s="150" t="s">
        <v>17</v>
      </c>
      <c r="AL5" s="7" t="s">
        <v>17</v>
      </c>
      <c r="AM5" s="7" t="s">
        <v>17</v>
      </c>
      <c r="AN5" s="150" t="s">
        <v>17</v>
      </c>
      <c r="AO5" s="7" t="s">
        <v>17</v>
      </c>
      <c r="AP5" s="7" t="s">
        <v>17</v>
      </c>
      <c r="AQ5" s="150" t="s">
        <v>17</v>
      </c>
      <c r="AR5" s="7" t="s">
        <v>17</v>
      </c>
      <c r="AS5" s="7" t="s">
        <v>17</v>
      </c>
      <c r="AT5" s="150" t="s">
        <v>17</v>
      </c>
      <c r="AU5" s="7" t="s">
        <v>17</v>
      </c>
      <c r="AV5" s="7" t="s">
        <v>17</v>
      </c>
      <c r="AW5" s="150" t="s">
        <v>17</v>
      </c>
      <c r="AX5" s="7" t="s">
        <v>17</v>
      </c>
      <c r="AY5" s="7" t="s">
        <v>17</v>
      </c>
      <c r="AZ5" s="150" t="s">
        <v>17</v>
      </c>
      <c r="BA5" s="7" t="s">
        <v>17</v>
      </c>
      <c r="BB5" s="7" t="s">
        <v>17</v>
      </c>
      <c r="BC5" s="150" t="s">
        <v>17</v>
      </c>
      <c r="BD5" s="7" t="s">
        <v>17</v>
      </c>
      <c r="BE5" s="7" t="s">
        <v>17</v>
      </c>
    </row>
    <row r="6" spans="1:64" ht="14.95" customHeight="1" thickBot="1" x14ac:dyDescent="0.3">
      <c r="A6" s="387" t="s">
        <v>7</v>
      </c>
      <c r="B6" s="390">
        <v>1</v>
      </c>
      <c r="C6" s="392">
        <v>0</v>
      </c>
      <c r="D6" s="412">
        <v>0</v>
      </c>
      <c r="E6" s="388">
        <f t="shared" si="0"/>
        <v>1</v>
      </c>
      <c r="F6" s="168" t="s">
        <v>7</v>
      </c>
      <c r="G6" s="144">
        <v>5</v>
      </c>
      <c r="H6" s="291">
        <v>0</v>
      </c>
      <c r="I6" s="220">
        <v>0</v>
      </c>
      <c r="J6" s="171">
        <f t="shared" si="1"/>
        <v>5</v>
      </c>
      <c r="K6" s="387" t="s">
        <v>594</v>
      </c>
      <c r="L6" s="388">
        <v>9</v>
      </c>
      <c r="M6" s="388">
        <v>14</v>
      </c>
      <c r="N6" s="393">
        <f t="shared" ref="N6" si="6">(L6/M6)*100</f>
        <v>64.285714285714292</v>
      </c>
      <c r="O6" s="388" t="s">
        <v>17</v>
      </c>
      <c r="P6" s="388" t="s">
        <v>17</v>
      </c>
      <c r="Q6" s="393" t="s">
        <v>17</v>
      </c>
      <c r="R6" s="388">
        <v>2</v>
      </c>
      <c r="S6" s="388">
        <v>12</v>
      </c>
      <c r="T6" s="7">
        <v>17</v>
      </c>
      <c r="U6" s="7">
        <v>24</v>
      </c>
      <c r="V6" s="155">
        <v>70.833333333333343</v>
      </c>
      <c r="W6" s="7" t="s">
        <v>17</v>
      </c>
      <c r="X6" s="7" t="s">
        <v>17</v>
      </c>
      <c r="Y6" s="155" t="s">
        <v>17</v>
      </c>
      <c r="Z6" s="95"/>
      <c r="AA6" s="95"/>
      <c r="AB6" s="150">
        <v>0</v>
      </c>
      <c r="AC6" s="7">
        <v>2</v>
      </c>
      <c r="AD6" s="155">
        <v>0</v>
      </c>
      <c r="AE6" s="150">
        <v>19</v>
      </c>
      <c r="AF6" s="7">
        <v>24</v>
      </c>
      <c r="AG6" s="155">
        <v>79.166666666666657</v>
      </c>
      <c r="AH6" s="150" t="s">
        <v>17</v>
      </c>
      <c r="AI6" s="7" t="s">
        <v>17</v>
      </c>
      <c r="AJ6" s="155" t="s">
        <v>17</v>
      </c>
      <c r="AK6" s="150">
        <v>0</v>
      </c>
      <c r="AL6" s="7">
        <v>1</v>
      </c>
      <c r="AM6" s="7">
        <v>0</v>
      </c>
      <c r="AN6" s="150">
        <v>8</v>
      </c>
      <c r="AO6" s="7">
        <v>14</v>
      </c>
      <c r="AP6" s="7">
        <v>57</v>
      </c>
      <c r="AQ6" s="150">
        <v>13</v>
      </c>
      <c r="AR6" s="7">
        <v>18</v>
      </c>
      <c r="AS6" s="7">
        <v>72</v>
      </c>
      <c r="AT6" s="150" t="s">
        <v>17</v>
      </c>
      <c r="AU6" s="7" t="s">
        <v>17</v>
      </c>
      <c r="AV6" s="7" t="s">
        <v>17</v>
      </c>
      <c r="AW6" s="7" t="s">
        <v>17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  <c r="BD6" s="7" t="s">
        <v>17</v>
      </c>
      <c r="BE6" s="7" t="s">
        <v>17</v>
      </c>
    </row>
    <row r="7" spans="1:64" ht="14.95" customHeight="1" thickBot="1" x14ac:dyDescent="0.3">
      <c r="A7" s="387" t="s">
        <v>1269</v>
      </c>
      <c r="B7" s="390">
        <v>0</v>
      </c>
      <c r="C7" s="392">
        <v>0</v>
      </c>
      <c r="D7" s="412">
        <v>4</v>
      </c>
      <c r="E7" s="388">
        <f t="shared" si="0"/>
        <v>4</v>
      </c>
      <c r="F7" s="168" t="s">
        <v>1269</v>
      </c>
      <c r="G7" s="144">
        <v>0</v>
      </c>
      <c r="H7" s="291">
        <v>0</v>
      </c>
      <c r="I7" s="220">
        <v>20</v>
      </c>
      <c r="J7" s="171">
        <f t="shared" si="1"/>
        <v>20</v>
      </c>
      <c r="K7" s="387" t="s">
        <v>232</v>
      </c>
      <c r="L7" s="388" t="s">
        <v>17</v>
      </c>
      <c r="M7" s="388" t="s">
        <v>17</v>
      </c>
      <c r="N7" s="393" t="s">
        <v>17</v>
      </c>
      <c r="O7" s="388" t="s">
        <v>17</v>
      </c>
      <c r="P7" s="388" t="s">
        <v>17</v>
      </c>
      <c r="Q7" s="393" t="s">
        <v>17</v>
      </c>
      <c r="R7" s="388">
        <v>-1</v>
      </c>
      <c r="S7" s="388">
        <v>1</v>
      </c>
      <c r="T7" s="7" t="s">
        <v>17</v>
      </c>
      <c r="U7" s="7" t="s">
        <v>17</v>
      </c>
      <c r="V7" s="155" t="s">
        <v>17</v>
      </c>
      <c r="W7" s="7" t="s">
        <v>17</v>
      </c>
      <c r="X7" s="7" t="s">
        <v>17</v>
      </c>
      <c r="Y7" s="155" t="s">
        <v>17</v>
      </c>
      <c r="Z7" s="95"/>
      <c r="AA7" s="95"/>
      <c r="AB7" s="150">
        <v>0</v>
      </c>
      <c r="AC7" s="7">
        <v>1</v>
      </c>
      <c r="AD7" s="155">
        <f t="shared" ref="AD7" si="7">SUM(AB7/AC7)*100</f>
        <v>0</v>
      </c>
      <c r="AE7" s="150" t="s">
        <v>17</v>
      </c>
      <c r="AF7" s="7" t="s">
        <v>17</v>
      </c>
      <c r="AG7" s="155" t="s">
        <v>17</v>
      </c>
      <c r="AH7" s="150">
        <v>1</v>
      </c>
      <c r="AI7" s="7">
        <v>1</v>
      </c>
      <c r="AJ7" s="155">
        <f>(AH7/AI7)*100</f>
        <v>100</v>
      </c>
      <c r="AK7" s="150" t="s">
        <v>17</v>
      </c>
      <c r="AL7" s="7" t="s">
        <v>17</v>
      </c>
      <c r="AM7" s="7" t="s">
        <v>17</v>
      </c>
      <c r="AN7" s="150" t="s">
        <v>17</v>
      </c>
      <c r="AO7" s="7" t="s">
        <v>17</v>
      </c>
      <c r="AP7" s="7" t="s">
        <v>17</v>
      </c>
      <c r="AQ7" s="150" t="s">
        <v>17</v>
      </c>
      <c r="AR7" s="7" t="s">
        <v>17</v>
      </c>
      <c r="AS7" s="7" t="s">
        <v>17</v>
      </c>
      <c r="AT7" s="150" t="s">
        <v>17</v>
      </c>
      <c r="AU7" s="7" t="s">
        <v>17</v>
      </c>
      <c r="AV7" s="7" t="s">
        <v>17</v>
      </c>
      <c r="AW7" s="7" t="s">
        <v>17</v>
      </c>
      <c r="AX7" s="7" t="s">
        <v>17</v>
      </c>
      <c r="AY7" s="7" t="s">
        <v>17</v>
      </c>
      <c r="AZ7" s="7" t="s">
        <v>17</v>
      </c>
      <c r="BA7" s="7" t="s">
        <v>17</v>
      </c>
      <c r="BB7" s="7" t="s">
        <v>17</v>
      </c>
      <c r="BC7" s="7" t="s">
        <v>17</v>
      </c>
      <c r="BD7" s="7" t="s">
        <v>17</v>
      </c>
      <c r="BE7" s="7" t="s">
        <v>17</v>
      </c>
      <c r="BF7" t="s">
        <v>25</v>
      </c>
    </row>
    <row r="8" spans="1:64" ht="14.95" customHeight="1" thickBot="1" x14ac:dyDescent="0.3">
      <c r="A8" s="387" t="s">
        <v>480</v>
      </c>
      <c r="B8" s="390">
        <v>0</v>
      </c>
      <c r="C8" s="392">
        <v>0</v>
      </c>
      <c r="D8" s="412">
        <v>0</v>
      </c>
      <c r="E8" s="388">
        <f t="shared" si="0"/>
        <v>0</v>
      </c>
      <c r="F8" s="168" t="s">
        <v>480</v>
      </c>
      <c r="G8" s="144">
        <v>0</v>
      </c>
      <c r="H8" s="291">
        <v>0</v>
      </c>
      <c r="I8" s="220">
        <v>0</v>
      </c>
      <c r="J8" s="171">
        <f t="shared" si="1"/>
        <v>0</v>
      </c>
      <c r="K8" s="387" t="s">
        <v>1079</v>
      </c>
      <c r="L8" s="388" t="s">
        <v>17</v>
      </c>
      <c r="M8" s="388" t="s">
        <v>17</v>
      </c>
      <c r="N8" s="393" t="s">
        <v>17</v>
      </c>
      <c r="O8" s="388" t="s">
        <v>17</v>
      </c>
      <c r="P8" s="388" t="s">
        <v>17</v>
      </c>
      <c r="Q8" s="393" t="s">
        <v>17</v>
      </c>
      <c r="R8" s="388" t="s">
        <v>22</v>
      </c>
      <c r="S8" s="388">
        <v>2</v>
      </c>
      <c r="T8" s="7" t="s">
        <v>17</v>
      </c>
      <c r="U8" s="7" t="s">
        <v>17</v>
      </c>
      <c r="V8" s="155" t="s">
        <v>17</v>
      </c>
      <c r="W8" s="7" t="s">
        <v>17</v>
      </c>
      <c r="X8" s="7" t="s">
        <v>17</v>
      </c>
      <c r="Y8" s="155" t="s">
        <v>17</v>
      </c>
      <c r="Z8" s="95"/>
      <c r="AA8" s="95"/>
      <c r="AB8" s="6" t="s">
        <v>17</v>
      </c>
      <c r="AC8" s="7" t="s">
        <v>17</v>
      </c>
      <c r="AD8" s="155" t="s">
        <v>17</v>
      </c>
      <c r="AE8" s="7" t="s">
        <v>17</v>
      </c>
      <c r="AF8" s="7" t="s">
        <v>17</v>
      </c>
      <c r="AG8" s="155" t="s">
        <v>17</v>
      </c>
      <c r="AH8" s="7" t="s">
        <v>17</v>
      </c>
      <c r="AI8" s="7" t="s">
        <v>17</v>
      </c>
      <c r="AJ8" s="155" t="s">
        <v>17</v>
      </c>
      <c r="AK8" s="7" t="s">
        <v>17</v>
      </c>
      <c r="AL8" s="7" t="s">
        <v>17</v>
      </c>
      <c r="AM8" s="155" t="s">
        <v>17</v>
      </c>
      <c r="AN8" s="7" t="s">
        <v>17</v>
      </c>
      <c r="AO8" s="7" t="s">
        <v>17</v>
      </c>
      <c r="AP8" s="155" t="s">
        <v>17</v>
      </c>
      <c r="AQ8" s="7" t="s">
        <v>17</v>
      </c>
      <c r="AR8" s="7" t="s">
        <v>17</v>
      </c>
      <c r="AS8" s="155" t="s">
        <v>17</v>
      </c>
      <c r="AT8" s="7" t="s">
        <v>17</v>
      </c>
      <c r="AU8" s="7" t="s">
        <v>17</v>
      </c>
      <c r="AV8" s="155" t="s">
        <v>17</v>
      </c>
      <c r="AW8" s="7" t="s">
        <v>17</v>
      </c>
      <c r="AX8" s="7" t="s">
        <v>17</v>
      </c>
      <c r="AY8" s="155" t="s">
        <v>17</v>
      </c>
      <c r="AZ8" s="7" t="s">
        <v>17</v>
      </c>
      <c r="BA8" s="7" t="s">
        <v>17</v>
      </c>
      <c r="BB8" s="155" t="s">
        <v>17</v>
      </c>
      <c r="BC8" s="7" t="s">
        <v>17</v>
      </c>
      <c r="BD8" s="7" t="s">
        <v>17</v>
      </c>
      <c r="BE8" s="155" t="s">
        <v>17</v>
      </c>
    </row>
    <row r="9" spans="1:64" ht="14.95" customHeight="1" thickBot="1" x14ac:dyDescent="0.3">
      <c r="A9" s="387" t="s">
        <v>328</v>
      </c>
      <c r="B9" s="390">
        <v>1</v>
      </c>
      <c r="C9" s="392">
        <v>0</v>
      </c>
      <c r="D9" s="412">
        <v>0</v>
      </c>
      <c r="E9" s="388">
        <f t="shared" si="0"/>
        <v>1</v>
      </c>
      <c r="F9" s="168" t="s">
        <v>328</v>
      </c>
      <c r="G9" s="144">
        <v>5</v>
      </c>
      <c r="H9" s="291">
        <v>0</v>
      </c>
      <c r="I9" s="220">
        <v>0</v>
      </c>
      <c r="J9" s="171">
        <f t="shared" si="1"/>
        <v>5</v>
      </c>
      <c r="K9" s="387" t="s">
        <v>935</v>
      </c>
      <c r="L9" s="388">
        <v>3</v>
      </c>
      <c r="M9" s="388">
        <v>6</v>
      </c>
      <c r="N9" s="393">
        <f t="shared" ref="N9" si="8">(L9/M9)*100</f>
        <v>50</v>
      </c>
      <c r="O9" s="388" t="s">
        <v>17</v>
      </c>
      <c r="P9" s="388" t="s">
        <v>17</v>
      </c>
      <c r="Q9" s="393" t="s">
        <v>17</v>
      </c>
      <c r="R9" s="388">
        <v>-1</v>
      </c>
      <c r="S9" s="388">
        <v>-1</v>
      </c>
      <c r="T9" s="7" t="s">
        <v>17</v>
      </c>
      <c r="U9" s="7" t="s">
        <v>17</v>
      </c>
      <c r="V9" s="155" t="s">
        <v>17</v>
      </c>
      <c r="W9" s="7" t="s">
        <v>17</v>
      </c>
      <c r="X9" s="7" t="s">
        <v>17</v>
      </c>
      <c r="Y9" s="155" t="s">
        <v>17</v>
      </c>
      <c r="Z9" s="95"/>
      <c r="AA9" s="95"/>
      <c r="AB9" s="6" t="s">
        <v>17</v>
      </c>
      <c r="AC9" s="7" t="s">
        <v>17</v>
      </c>
      <c r="AD9" s="155" t="s">
        <v>17</v>
      </c>
      <c r="AE9" s="7" t="s">
        <v>17</v>
      </c>
      <c r="AF9" s="7" t="s">
        <v>17</v>
      </c>
      <c r="AG9" s="155" t="s">
        <v>17</v>
      </c>
      <c r="AH9" s="7" t="s">
        <v>17</v>
      </c>
      <c r="AI9" s="7" t="s">
        <v>17</v>
      </c>
      <c r="AJ9" s="155" t="s">
        <v>17</v>
      </c>
      <c r="AK9" s="7" t="s">
        <v>17</v>
      </c>
      <c r="AL9" s="7" t="s">
        <v>17</v>
      </c>
      <c r="AM9" s="155" t="s">
        <v>17</v>
      </c>
      <c r="AN9" s="7" t="s">
        <v>17</v>
      </c>
      <c r="AO9" s="7" t="s">
        <v>17</v>
      </c>
      <c r="AP9" s="155" t="s">
        <v>17</v>
      </c>
      <c r="AQ9" s="7" t="s">
        <v>17</v>
      </c>
      <c r="AR9" s="7" t="s">
        <v>17</v>
      </c>
      <c r="AS9" s="155" t="s">
        <v>17</v>
      </c>
      <c r="AT9" s="7" t="s">
        <v>17</v>
      </c>
      <c r="AU9" s="7" t="s">
        <v>17</v>
      </c>
      <c r="AV9" s="155" t="s">
        <v>17</v>
      </c>
      <c r="AW9" s="7" t="s">
        <v>17</v>
      </c>
      <c r="AX9" s="7" t="s">
        <v>17</v>
      </c>
      <c r="AY9" s="155" t="s">
        <v>17</v>
      </c>
      <c r="AZ9" s="7" t="s">
        <v>17</v>
      </c>
      <c r="BA9" s="7" t="s">
        <v>17</v>
      </c>
      <c r="BB9" s="155" t="s">
        <v>17</v>
      </c>
      <c r="BC9" s="7" t="s">
        <v>17</v>
      </c>
      <c r="BD9" s="7" t="s">
        <v>17</v>
      </c>
      <c r="BE9" s="155" t="s">
        <v>17</v>
      </c>
    </row>
    <row r="10" spans="1:64" ht="14.95" customHeight="1" thickBot="1" x14ac:dyDescent="0.3">
      <c r="A10" s="387" t="s">
        <v>301</v>
      </c>
      <c r="B10" s="390">
        <v>1</v>
      </c>
      <c r="C10" s="392">
        <v>1</v>
      </c>
      <c r="D10" s="412">
        <v>0</v>
      </c>
      <c r="E10" s="388">
        <f t="shared" si="0"/>
        <v>2</v>
      </c>
      <c r="F10" s="168" t="s">
        <v>301</v>
      </c>
      <c r="G10" s="144">
        <v>5</v>
      </c>
      <c r="H10" s="291">
        <v>5</v>
      </c>
      <c r="I10" s="220">
        <v>0</v>
      </c>
      <c r="J10" s="171">
        <f t="shared" si="1"/>
        <v>10</v>
      </c>
      <c r="K10" s="387" t="s">
        <v>348</v>
      </c>
      <c r="L10" s="388" t="s">
        <v>17</v>
      </c>
      <c r="M10" s="388" t="s">
        <v>17</v>
      </c>
      <c r="N10" s="393" t="s">
        <v>17</v>
      </c>
      <c r="O10" s="388" t="s">
        <v>17</v>
      </c>
      <c r="P10" s="388" t="s">
        <v>17</v>
      </c>
      <c r="Q10" s="393" t="s">
        <v>17</v>
      </c>
      <c r="R10" s="388">
        <v>1</v>
      </c>
      <c r="S10" s="388">
        <v>3</v>
      </c>
      <c r="T10" s="7" t="s">
        <v>17</v>
      </c>
      <c r="U10" s="7" t="s">
        <v>17</v>
      </c>
      <c r="V10" s="155" t="s">
        <v>17</v>
      </c>
      <c r="W10" s="7" t="s">
        <v>17</v>
      </c>
      <c r="X10" s="7" t="s">
        <v>17</v>
      </c>
      <c r="Y10" s="155" t="s">
        <v>17</v>
      </c>
      <c r="Z10" s="95"/>
      <c r="AA10" s="95"/>
      <c r="AB10" s="6">
        <v>9</v>
      </c>
      <c r="AC10" s="7">
        <v>10</v>
      </c>
      <c r="AD10" s="155">
        <v>90</v>
      </c>
      <c r="AE10" s="7" t="s">
        <v>17</v>
      </c>
      <c r="AF10" s="7" t="s">
        <v>17</v>
      </c>
      <c r="AG10" s="155" t="s">
        <v>17</v>
      </c>
      <c r="AH10" s="7" t="s">
        <v>17</v>
      </c>
      <c r="AI10" s="7" t="s">
        <v>17</v>
      </c>
      <c r="AJ10" s="155" t="s">
        <v>17</v>
      </c>
      <c r="AK10" s="7">
        <v>10</v>
      </c>
      <c r="AL10" s="7">
        <v>10</v>
      </c>
      <c r="AM10" s="155">
        <v>100</v>
      </c>
      <c r="AN10" s="7" t="s">
        <v>17</v>
      </c>
      <c r="AO10" s="7" t="s">
        <v>17</v>
      </c>
      <c r="AP10" s="155" t="s">
        <v>17</v>
      </c>
      <c r="AQ10" s="7" t="s">
        <v>17</v>
      </c>
      <c r="AR10" s="7" t="s">
        <v>17</v>
      </c>
      <c r="AS10" s="155" t="s">
        <v>17</v>
      </c>
      <c r="AT10" s="7" t="s">
        <v>17</v>
      </c>
      <c r="AU10" s="7" t="s">
        <v>17</v>
      </c>
      <c r="AV10" s="155" t="s">
        <v>17</v>
      </c>
      <c r="AW10" s="7" t="s">
        <v>17</v>
      </c>
      <c r="AX10" s="7" t="s">
        <v>17</v>
      </c>
      <c r="AY10" s="155" t="s">
        <v>17</v>
      </c>
      <c r="AZ10" s="7" t="s">
        <v>17</v>
      </c>
      <c r="BA10" s="7" t="s">
        <v>17</v>
      </c>
      <c r="BB10" s="155" t="s">
        <v>17</v>
      </c>
      <c r="BC10" s="7" t="s">
        <v>17</v>
      </c>
      <c r="BD10" s="7" t="s">
        <v>17</v>
      </c>
      <c r="BE10" s="155" t="s">
        <v>17</v>
      </c>
    </row>
    <row r="11" spans="1:64" ht="14.95" customHeight="1" thickBot="1" x14ac:dyDescent="0.3">
      <c r="A11" s="387" t="s">
        <v>70</v>
      </c>
      <c r="B11" s="390">
        <v>0</v>
      </c>
      <c r="C11" s="392">
        <v>0</v>
      </c>
      <c r="D11" s="412">
        <v>0</v>
      </c>
      <c r="E11" s="388">
        <f t="shared" si="0"/>
        <v>0</v>
      </c>
      <c r="F11" s="168" t="s">
        <v>70</v>
      </c>
      <c r="G11" s="144">
        <v>0</v>
      </c>
      <c r="H11" s="291">
        <v>0</v>
      </c>
      <c r="I11" s="220">
        <v>0</v>
      </c>
      <c r="J11" s="171">
        <f t="shared" si="1"/>
        <v>0</v>
      </c>
      <c r="K11" s="387" t="s">
        <v>462</v>
      </c>
      <c r="L11" s="388" t="s">
        <v>17</v>
      </c>
      <c r="M11" s="388" t="s">
        <v>17</v>
      </c>
      <c r="N11" s="393" t="s">
        <v>17</v>
      </c>
      <c r="O11" s="388" t="s">
        <v>17</v>
      </c>
      <c r="P11" s="388" t="s">
        <v>17</v>
      </c>
      <c r="Q11" s="393" t="s">
        <v>17</v>
      </c>
      <c r="R11" s="388">
        <v>-1</v>
      </c>
      <c r="S11" s="388">
        <v>-1</v>
      </c>
      <c r="T11" s="7" t="s">
        <v>17</v>
      </c>
      <c r="U11" s="7" t="s">
        <v>17</v>
      </c>
      <c r="V11" s="155" t="s">
        <v>17</v>
      </c>
      <c r="W11" s="7" t="s">
        <v>17</v>
      </c>
      <c r="X11" s="7" t="s">
        <v>17</v>
      </c>
      <c r="Y11" s="155" t="s">
        <v>17</v>
      </c>
      <c r="Z11" s="95"/>
      <c r="AA11" s="95"/>
      <c r="AB11" s="150" t="s">
        <v>17</v>
      </c>
      <c r="AC11" s="7" t="s">
        <v>17</v>
      </c>
      <c r="AD11" s="155" t="s">
        <v>17</v>
      </c>
      <c r="AE11" s="150" t="s">
        <v>17</v>
      </c>
      <c r="AF11" s="7" t="s">
        <v>17</v>
      </c>
      <c r="AG11" s="155" t="s">
        <v>17</v>
      </c>
      <c r="AH11" s="150" t="s">
        <v>17</v>
      </c>
      <c r="AI11" s="7" t="s">
        <v>17</v>
      </c>
      <c r="AJ11" s="155" t="s">
        <v>17</v>
      </c>
      <c r="AK11" s="150" t="s">
        <v>17</v>
      </c>
      <c r="AL11" s="7" t="s">
        <v>17</v>
      </c>
      <c r="AM11" s="7" t="s">
        <v>17</v>
      </c>
      <c r="AN11" s="150" t="s">
        <v>17</v>
      </c>
      <c r="AO11" s="7" t="s">
        <v>17</v>
      </c>
      <c r="AP11" s="7" t="s">
        <v>17</v>
      </c>
      <c r="AQ11" s="150" t="s">
        <v>17</v>
      </c>
      <c r="AR11" s="7" t="s">
        <v>17</v>
      </c>
      <c r="AS11" s="7" t="s">
        <v>17</v>
      </c>
      <c r="AT11" s="150" t="s">
        <v>17</v>
      </c>
      <c r="AU11" s="7" t="s">
        <v>17</v>
      </c>
      <c r="AV11" s="7" t="s">
        <v>17</v>
      </c>
      <c r="AW11" s="7" t="s">
        <v>17</v>
      </c>
      <c r="AX11" s="7" t="s">
        <v>17</v>
      </c>
      <c r="AY11" s="7" t="s">
        <v>17</v>
      </c>
      <c r="AZ11" s="7" t="s">
        <v>17</v>
      </c>
      <c r="BA11" s="7" t="s">
        <v>17</v>
      </c>
      <c r="BB11" s="7" t="s">
        <v>17</v>
      </c>
      <c r="BC11" s="7">
        <v>0</v>
      </c>
      <c r="BD11" s="7">
        <v>1</v>
      </c>
      <c r="BE11" s="7">
        <v>0</v>
      </c>
    </row>
    <row r="12" spans="1:64" ht="14.95" customHeight="1" thickBot="1" x14ac:dyDescent="0.3">
      <c r="A12" s="387" t="s">
        <v>40</v>
      </c>
      <c r="B12" s="390">
        <v>1</v>
      </c>
      <c r="C12" s="392">
        <v>0</v>
      </c>
      <c r="D12" s="412">
        <v>0</v>
      </c>
      <c r="E12" s="388">
        <f t="shared" si="0"/>
        <v>1</v>
      </c>
      <c r="F12" s="168" t="s">
        <v>40</v>
      </c>
      <c r="G12" s="144">
        <v>5</v>
      </c>
      <c r="H12" s="291">
        <v>0</v>
      </c>
      <c r="I12" s="220">
        <v>0</v>
      </c>
      <c r="J12" s="171">
        <f t="shared" si="1"/>
        <v>5</v>
      </c>
      <c r="K12" s="26"/>
      <c r="AB12" s="162"/>
      <c r="AC12" s="162"/>
    </row>
    <row r="13" spans="1:64" ht="14.95" customHeight="1" thickBot="1" x14ac:dyDescent="0.3">
      <c r="A13" s="387" t="s">
        <v>425</v>
      </c>
      <c r="B13" s="390">
        <v>3</v>
      </c>
      <c r="C13" s="392">
        <v>1</v>
      </c>
      <c r="D13" s="412">
        <v>0</v>
      </c>
      <c r="E13" s="388">
        <f t="shared" si="0"/>
        <v>4</v>
      </c>
      <c r="F13" s="168" t="s">
        <v>425</v>
      </c>
      <c r="G13" s="144">
        <v>15</v>
      </c>
      <c r="H13" s="291">
        <v>5</v>
      </c>
      <c r="I13" s="220">
        <v>0</v>
      </c>
      <c r="J13" s="171">
        <f t="shared" si="1"/>
        <v>20</v>
      </c>
      <c r="K13" s="463" t="s">
        <v>226</v>
      </c>
      <c r="L13" s="453" t="s">
        <v>16</v>
      </c>
      <c r="M13" s="467"/>
      <c r="N13" s="454"/>
      <c r="O13" s="469" t="s">
        <v>267</v>
      </c>
      <c r="P13" s="470"/>
      <c r="Q13" s="471"/>
      <c r="R13" s="469" t="s">
        <v>698</v>
      </c>
      <c r="S13" s="470"/>
      <c r="T13" s="471"/>
      <c r="U13" s="469" t="s">
        <v>562</v>
      </c>
      <c r="V13" s="470"/>
      <c r="W13" s="471"/>
      <c r="X13" s="162"/>
      <c r="AB13" s="469" t="s">
        <v>463</v>
      </c>
      <c r="AC13" s="470"/>
      <c r="AD13" s="471"/>
      <c r="AE13" s="469" t="s">
        <v>355</v>
      </c>
      <c r="AF13" s="470"/>
      <c r="AG13" s="471"/>
      <c r="AH13" s="469" t="s">
        <v>260</v>
      </c>
      <c r="AI13" s="470"/>
      <c r="AJ13" s="471"/>
      <c r="AK13" s="469" t="s">
        <v>199</v>
      </c>
      <c r="AL13" s="470"/>
      <c r="AM13" s="471"/>
      <c r="AN13" s="469" t="s">
        <v>92</v>
      </c>
      <c r="AO13" s="470"/>
      <c r="AP13" s="471"/>
      <c r="AQ13" s="469" t="s">
        <v>63</v>
      </c>
      <c r="AR13" s="470"/>
      <c r="AS13" s="471"/>
      <c r="AT13" s="469" t="s">
        <v>59</v>
      </c>
      <c r="AU13" s="470"/>
      <c r="AV13" s="471"/>
      <c r="AW13" s="469" t="s">
        <v>200</v>
      </c>
      <c r="AX13" s="470"/>
      <c r="AY13" s="471"/>
      <c r="AZ13" s="63"/>
    </row>
    <row r="14" spans="1:64" ht="14.95" customHeight="1" thickBot="1" x14ac:dyDescent="0.3">
      <c r="A14" s="387" t="s">
        <v>471</v>
      </c>
      <c r="B14" s="390">
        <v>1</v>
      </c>
      <c r="C14" s="392">
        <v>0</v>
      </c>
      <c r="D14" s="412">
        <v>0</v>
      </c>
      <c r="E14" s="388">
        <f t="shared" si="0"/>
        <v>1</v>
      </c>
      <c r="F14" s="168" t="s">
        <v>471</v>
      </c>
      <c r="G14" s="144">
        <v>5</v>
      </c>
      <c r="H14" s="291">
        <v>0</v>
      </c>
      <c r="I14" s="220">
        <v>0</v>
      </c>
      <c r="J14" s="171">
        <f t="shared" si="1"/>
        <v>5</v>
      </c>
      <c r="K14" s="464"/>
      <c r="L14" s="455"/>
      <c r="M14" s="468"/>
      <c r="N14" s="456"/>
      <c r="O14" s="472"/>
      <c r="P14" s="473"/>
      <c r="Q14" s="474"/>
      <c r="R14" s="472"/>
      <c r="S14" s="473"/>
      <c r="T14" s="474"/>
      <c r="U14" s="472"/>
      <c r="V14" s="473"/>
      <c r="W14" s="474"/>
      <c r="AB14" s="472"/>
      <c r="AC14" s="473"/>
      <c r="AD14" s="474"/>
      <c r="AE14" s="472"/>
      <c r="AF14" s="473"/>
      <c r="AG14" s="474"/>
      <c r="AH14" s="472"/>
      <c r="AI14" s="473"/>
      <c r="AJ14" s="474"/>
      <c r="AK14" s="472"/>
      <c r="AL14" s="473"/>
      <c r="AM14" s="474"/>
      <c r="AN14" s="472"/>
      <c r="AO14" s="473"/>
      <c r="AP14" s="474"/>
      <c r="AQ14" s="472"/>
      <c r="AR14" s="473"/>
      <c r="AS14" s="474"/>
      <c r="AT14" s="472"/>
      <c r="AU14" s="473"/>
      <c r="AV14" s="474"/>
      <c r="AW14" s="472"/>
      <c r="AX14" s="473"/>
      <c r="AY14" s="474"/>
      <c r="AZ14" s="63"/>
    </row>
    <row r="15" spans="1:64" ht="14.95" customHeight="1" thickBot="1" x14ac:dyDescent="0.3">
      <c r="A15" s="387" t="s">
        <v>347</v>
      </c>
      <c r="B15" s="390">
        <v>0</v>
      </c>
      <c r="C15" s="392">
        <v>0</v>
      </c>
      <c r="D15" s="412">
        <v>0</v>
      </c>
      <c r="E15" s="388">
        <f t="shared" si="0"/>
        <v>0</v>
      </c>
      <c r="F15" s="168" t="s">
        <v>347</v>
      </c>
      <c r="G15" s="144">
        <v>0</v>
      </c>
      <c r="H15" s="291">
        <v>0</v>
      </c>
      <c r="I15" s="220">
        <v>0</v>
      </c>
      <c r="J15" s="171">
        <f t="shared" si="1"/>
        <v>0</v>
      </c>
      <c r="K15" s="263" t="s">
        <v>25</v>
      </c>
      <c r="L15" s="3" t="s">
        <v>55</v>
      </c>
      <c r="M15" s="3" t="s">
        <v>11</v>
      </c>
      <c r="N15" s="3" t="s">
        <v>12</v>
      </c>
      <c r="O15" s="7" t="s">
        <v>55</v>
      </c>
      <c r="P15" s="7" t="s">
        <v>11</v>
      </c>
      <c r="Q15" s="7" t="s">
        <v>12</v>
      </c>
      <c r="R15" s="7" t="s">
        <v>55</v>
      </c>
      <c r="S15" s="7" t="s">
        <v>11</v>
      </c>
      <c r="T15" s="7" t="s">
        <v>12</v>
      </c>
      <c r="U15" s="7" t="s">
        <v>55</v>
      </c>
      <c r="V15" s="7" t="s">
        <v>11</v>
      </c>
      <c r="W15" s="7" t="s">
        <v>12</v>
      </c>
      <c r="AB15" s="150" t="s">
        <v>55</v>
      </c>
      <c r="AC15" s="7" t="s">
        <v>11</v>
      </c>
      <c r="AD15" s="7" t="s">
        <v>12</v>
      </c>
      <c r="AE15" s="150" t="s">
        <v>55</v>
      </c>
      <c r="AF15" s="7" t="s">
        <v>11</v>
      </c>
      <c r="AG15" s="7" t="s">
        <v>12</v>
      </c>
      <c r="AH15" s="150" t="s">
        <v>55</v>
      </c>
      <c r="AI15" s="7" t="s">
        <v>11</v>
      </c>
      <c r="AJ15" s="7" t="s">
        <v>12</v>
      </c>
      <c r="AK15" s="150" t="s">
        <v>55</v>
      </c>
      <c r="AL15" s="7" t="s">
        <v>11</v>
      </c>
      <c r="AM15" s="7" t="s">
        <v>12</v>
      </c>
      <c r="AN15" s="150" t="s">
        <v>55</v>
      </c>
      <c r="AO15" s="7" t="s">
        <v>11</v>
      </c>
      <c r="AP15" s="7" t="s">
        <v>12</v>
      </c>
      <c r="AQ15" s="150" t="s">
        <v>55</v>
      </c>
      <c r="AR15" s="7" t="s">
        <v>11</v>
      </c>
      <c r="AS15" s="7" t="s">
        <v>12</v>
      </c>
      <c r="AT15" s="150" t="s">
        <v>55</v>
      </c>
      <c r="AU15" s="7" t="s">
        <v>11</v>
      </c>
      <c r="AV15" s="7" t="s">
        <v>12</v>
      </c>
      <c r="AW15" s="6" t="s">
        <v>55</v>
      </c>
      <c r="AX15" s="7" t="s">
        <v>11</v>
      </c>
      <c r="AY15" s="7" t="s">
        <v>12</v>
      </c>
      <c r="AZ15" s="63"/>
    </row>
    <row r="16" spans="1:64" ht="14.95" customHeight="1" thickBot="1" x14ac:dyDescent="0.3">
      <c r="A16" s="387" t="s">
        <v>577</v>
      </c>
      <c r="B16" s="390">
        <v>13</v>
      </c>
      <c r="C16" s="392">
        <v>3</v>
      </c>
      <c r="D16" s="412">
        <v>2</v>
      </c>
      <c r="E16" s="388">
        <f t="shared" ref="E16" si="9">SUM(B16:D16)</f>
        <v>18</v>
      </c>
      <c r="F16" s="169" t="s">
        <v>577</v>
      </c>
      <c r="G16" s="144">
        <v>65</v>
      </c>
      <c r="H16" s="291">
        <v>15</v>
      </c>
      <c r="I16" s="220">
        <v>10</v>
      </c>
      <c r="J16" s="171">
        <f t="shared" ref="J16" si="10">SUM(G16:I16)</f>
        <v>90</v>
      </c>
      <c r="K16" s="387" t="s">
        <v>545</v>
      </c>
      <c r="L16" s="388">
        <v>10</v>
      </c>
      <c r="M16" s="388">
        <v>13</v>
      </c>
      <c r="N16" s="393">
        <f t="shared" ref="N16" si="11">(L16/M16)*100</f>
        <v>76.923076923076934</v>
      </c>
      <c r="O16" s="6">
        <v>11</v>
      </c>
      <c r="P16" s="6">
        <v>14</v>
      </c>
      <c r="Q16" s="159">
        <v>78.571428571428569</v>
      </c>
      <c r="R16" s="6">
        <v>19</v>
      </c>
      <c r="S16" s="6">
        <v>21</v>
      </c>
      <c r="T16" s="159">
        <v>90.476190476190482</v>
      </c>
      <c r="U16" s="6">
        <v>3</v>
      </c>
      <c r="V16" s="6">
        <v>4</v>
      </c>
      <c r="W16" s="159">
        <v>75</v>
      </c>
      <c r="AB16" s="150" t="s">
        <v>17</v>
      </c>
      <c r="AC16" s="7" t="s">
        <v>17</v>
      </c>
      <c r="AD16" s="7" t="s">
        <v>17</v>
      </c>
      <c r="AE16" s="6">
        <v>5</v>
      </c>
      <c r="AF16" s="6">
        <v>5</v>
      </c>
      <c r="AG16" s="6">
        <v>100</v>
      </c>
      <c r="AH16" s="150" t="s">
        <v>17</v>
      </c>
      <c r="AI16" s="7" t="s">
        <v>17</v>
      </c>
      <c r="AJ16" s="7" t="s">
        <v>17</v>
      </c>
      <c r="AK16" s="150" t="s">
        <v>17</v>
      </c>
      <c r="AL16" s="7" t="s">
        <v>17</v>
      </c>
      <c r="AM16" s="7" t="s">
        <v>17</v>
      </c>
      <c r="AN16" s="150" t="s">
        <v>17</v>
      </c>
      <c r="AO16" s="7" t="s">
        <v>17</v>
      </c>
      <c r="AP16" s="7" t="s">
        <v>17</v>
      </c>
      <c r="AQ16" s="150" t="s">
        <v>17</v>
      </c>
      <c r="AR16" s="7" t="s">
        <v>17</v>
      </c>
      <c r="AS16" s="7" t="s">
        <v>17</v>
      </c>
      <c r="AT16" s="6" t="s">
        <v>17</v>
      </c>
      <c r="AU16" s="7" t="s">
        <v>17</v>
      </c>
      <c r="AV16" s="7" t="s">
        <v>17</v>
      </c>
      <c r="AW16" s="7" t="s">
        <v>17</v>
      </c>
      <c r="AX16" s="7" t="s">
        <v>17</v>
      </c>
      <c r="AY16" s="7" t="s">
        <v>17</v>
      </c>
      <c r="AZ16" s="63"/>
    </row>
    <row r="17" spans="1:57" ht="14.95" customHeight="1" thickBot="1" x14ac:dyDescent="0.3">
      <c r="A17" s="387" t="s">
        <v>578</v>
      </c>
      <c r="B17" s="390">
        <v>0</v>
      </c>
      <c r="C17" s="392">
        <v>0</v>
      </c>
      <c r="D17" s="412">
        <v>2</v>
      </c>
      <c r="E17" s="388">
        <f t="shared" ref="E17" si="12">SUM(B17:D17)</f>
        <v>2</v>
      </c>
      <c r="F17" s="169" t="s">
        <v>578</v>
      </c>
      <c r="G17" s="144">
        <v>0</v>
      </c>
      <c r="H17" s="291">
        <v>0</v>
      </c>
      <c r="I17" s="220">
        <v>10</v>
      </c>
      <c r="J17" s="171">
        <f t="shared" ref="J17" si="13">SUM(G17:I17)</f>
        <v>10</v>
      </c>
      <c r="K17" s="387" t="s">
        <v>594</v>
      </c>
      <c r="L17" s="394">
        <v>8</v>
      </c>
      <c r="M17" s="394">
        <v>9</v>
      </c>
      <c r="N17" s="395">
        <f t="shared" ref="N17" si="14">(L17/M17)*100</f>
        <v>88.888888888888886</v>
      </c>
      <c r="O17" s="7">
        <v>6</v>
      </c>
      <c r="P17" s="7">
        <v>6</v>
      </c>
      <c r="Q17" s="155">
        <v>100</v>
      </c>
      <c r="R17" s="7" t="s">
        <v>17</v>
      </c>
      <c r="S17" s="7" t="s">
        <v>17</v>
      </c>
      <c r="T17" s="155" t="s">
        <v>17</v>
      </c>
      <c r="U17" s="7" t="s">
        <v>17</v>
      </c>
      <c r="V17" s="7" t="s">
        <v>17</v>
      </c>
      <c r="W17" s="155" t="s">
        <v>17</v>
      </c>
      <c r="AB17" s="150" t="s">
        <v>17</v>
      </c>
      <c r="AC17" s="7" t="s">
        <v>17</v>
      </c>
      <c r="AD17" s="155" t="s">
        <v>17</v>
      </c>
      <c r="AE17" s="6" t="s">
        <v>17</v>
      </c>
      <c r="AF17" s="7" t="s">
        <v>17</v>
      </c>
      <c r="AG17" s="155" t="s">
        <v>17</v>
      </c>
      <c r="AH17" s="7" t="s">
        <v>17</v>
      </c>
      <c r="AI17" s="7" t="s">
        <v>17</v>
      </c>
      <c r="AJ17" s="155" t="s">
        <v>17</v>
      </c>
      <c r="AK17" s="7" t="s">
        <v>17</v>
      </c>
      <c r="AL17" s="7" t="s">
        <v>17</v>
      </c>
      <c r="AM17" s="155" t="s">
        <v>17</v>
      </c>
      <c r="AN17" s="7" t="s">
        <v>17</v>
      </c>
      <c r="AO17" s="7" t="s">
        <v>17</v>
      </c>
      <c r="AP17" s="155" t="s">
        <v>17</v>
      </c>
      <c r="AQ17" s="7" t="s">
        <v>17</v>
      </c>
      <c r="AR17" s="7" t="s">
        <v>17</v>
      </c>
      <c r="AS17" s="155" t="s">
        <v>17</v>
      </c>
      <c r="AT17" s="7" t="s">
        <v>17</v>
      </c>
      <c r="AU17" s="7" t="s">
        <v>17</v>
      </c>
      <c r="AV17" s="155" t="s">
        <v>17</v>
      </c>
      <c r="AW17" s="7" t="s">
        <v>17</v>
      </c>
      <c r="AX17" s="7" t="s">
        <v>17</v>
      </c>
      <c r="AY17" s="155" t="s">
        <v>17</v>
      </c>
      <c r="AZ17" s="63"/>
    </row>
    <row r="18" spans="1:57" ht="14.95" customHeight="1" thickBot="1" x14ac:dyDescent="0.3">
      <c r="A18" s="387" t="s">
        <v>245</v>
      </c>
      <c r="B18" s="390">
        <v>2</v>
      </c>
      <c r="C18" s="392">
        <v>0</v>
      </c>
      <c r="D18" s="412">
        <v>0</v>
      </c>
      <c r="E18" s="388">
        <f t="shared" si="0"/>
        <v>2</v>
      </c>
      <c r="F18" s="169" t="s">
        <v>245</v>
      </c>
      <c r="G18" s="144">
        <v>10</v>
      </c>
      <c r="H18" s="291">
        <v>0</v>
      </c>
      <c r="I18" s="220">
        <v>0</v>
      </c>
      <c r="J18" s="171">
        <f t="shared" si="1"/>
        <v>10</v>
      </c>
      <c r="K18" s="385" t="s">
        <v>232</v>
      </c>
      <c r="L18" s="394">
        <v>1</v>
      </c>
      <c r="M18" s="394">
        <v>1</v>
      </c>
      <c r="N18" s="395">
        <f t="shared" ref="N18" si="15">(L18/M18)*100</f>
        <v>100</v>
      </c>
      <c r="O18" s="7" t="s">
        <v>17</v>
      </c>
      <c r="P18" s="7" t="s">
        <v>17</v>
      </c>
      <c r="Q18" s="155" t="s">
        <v>17</v>
      </c>
      <c r="R18" s="7" t="s">
        <v>17</v>
      </c>
      <c r="S18" s="7" t="s">
        <v>17</v>
      </c>
      <c r="T18" s="155" t="s">
        <v>17</v>
      </c>
      <c r="U18" s="7" t="s">
        <v>17</v>
      </c>
      <c r="V18" s="7" t="s">
        <v>17</v>
      </c>
      <c r="W18" s="155" t="s">
        <v>17</v>
      </c>
      <c r="AB18" s="150" t="s">
        <v>17</v>
      </c>
      <c r="AC18" s="7" t="s">
        <v>17</v>
      </c>
      <c r="AD18" s="155" t="s">
        <v>17</v>
      </c>
      <c r="AE18" s="6" t="s">
        <v>17</v>
      </c>
      <c r="AF18" s="7" t="s">
        <v>17</v>
      </c>
      <c r="AG18" s="155" t="s">
        <v>17</v>
      </c>
      <c r="AH18" s="7" t="s">
        <v>17</v>
      </c>
      <c r="AI18" s="7" t="s">
        <v>17</v>
      </c>
      <c r="AJ18" s="155" t="s">
        <v>17</v>
      </c>
      <c r="AK18" s="7" t="s">
        <v>17</v>
      </c>
      <c r="AL18" s="7" t="s">
        <v>17</v>
      </c>
      <c r="AM18" s="155" t="s">
        <v>17</v>
      </c>
      <c r="AN18" s="7" t="s">
        <v>17</v>
      </c>
      <c r="AO18" s="7" t="s">
        <v>17</v>
      </c>
      <c r="AP18" s="155" t="s">
        <v>17</v>
      </c>
      <c r="AQ18" s="7" t="s">
        <v>17</v>
      </c>
      <c r="AR18" s="7" t="s">
        <v>17</v>
      </c>
      <c r="AS18" s="155" t="s">
        <v>17</v>
      </c>
      <c r="AT18" s="7" t="s">
        <v>17</v>
      </c>
      <c r="AU18" s="7" t="s">
        <v>17</v>
      </c>
      <c r="AV18" s="155" t="s">
        <v>17</v>
      </c>
      <c r="AW18" s="7" t="s">
        <v>17</v>
      </c>
      <c r="AX18" s="7" t="s">
        <v>17</v>
      </c>
      <c r="AY18" s="155" t="s">
        <v>17</v>
      </c>
      <c r="AZ18" s="63"/>
    </row>
    <row r="19" spans="1:57" ht="14.95" customHeight="1" thickBot="1" x14ac:dyDescent="0.3">
      <c r="A19" s="387" t="s">
        <v>280</v>
      </c>
      <c r="B19" s="390">
        <v>1</v>
      </c>
      <c r="C19" s="392">
        <v>0</v>
      </c>
      <c r="D19" s="412">
        <v>0</v>
      </c>
      <c r="E19" s="388">
        <f t="shared" si="0"/>
        <v>1</v>
      </c>
      <c r="F19" s="169" t="s">
        <v>280</v>
      </c>
      <c r="G19" s="144">
        <v>5</v>
      </c>
      <c r="H19" s="291">
        <v>0</v>
      </c>
      <c r="I19" s="220">
        <v>0</v>
      </c>
      <c r="J19" s="171">
        <f t="shared" si="1"/>
        <v>5</v>
      </c>
      <c r="O19" s="63"/>
      <c r="P19" s="63"/>
      <c r="Q19" s="63"/>
      <c r="R19" s="63"/>
      <c r="S19" s="63"/>
      <c r="T19" s="63"/>
      <c r="U19" s="63"/>
      <c r="V19" s="63"/>
      <c r="W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57" ht="14.95" customHeight="1" thickBot="1" x14ac:dyDescent="0.3">
      <c r="A20" s="387" t="s">
        <v>799</v>
      </c>
      <c r="B20" s="390">
        <v>0</v>
      </c>
      <c r="C20" s="392">
        <v>0</v>
      </c>
      <c r="D20" s="412">
        <v>0</v>
      </c>
      <c r="E20" s="388">
        <f t="shared" si="0"/>
        <v>0</v>
      </c>
      <c r="F20" s="169" t="s">
        <v>799</v>
      </c>
      <c r="G20" s="144">
        <v>0</v>
      </c>
      <c r="H20" s="291">
        <v>0</v>
      </c>
      <c r="I20" s="220">
        <v>0</v>
      </c>
      <c r="J20" s="171">
        <f t="shared" si="1"/>
        <v>0</v>
      </c>
      <c r="K20" s="475" t="s">
        <v>227</v>
      </c>
      <c r="L20" s="469" t="s">
        <v>16</v>
      </c>
      <c r="M20" s="470"/>
      <c r="N20" s="471"/>
      <c r="O20" s="469" t="s">
        <v>267</v>
      </c>
      <c r="P20" s="470"/>
      <c r="Q20" s="471"/>
      <c r="R20" s="469" t="s">
        <v>698</v>
      </c>
      <c r="S20" s="470"/>
      <c r="T20" s="471"/>
      <c r="U20" s="469" t="s">
        <v>562</v>
      </c>
      <c r="V20" s="470"/>
      <c r="W20" s="471"/>
      <c r="AB20" s="469" t="s">
        <v>463</v>
      </c>
      <c r="AC20" s="470"/>
      <c r="AD20" s="471"/>
      <c r="AE20" s="469" t="s">
        <v>355</v>
      </c>
      <c r="AF20" s="470"/>
      <c r="AG20" s="471"/>
      <c r="AH20" s="469" t="s">
        <v>260</v>
      </c>
      <c r="AI20" s="470"/>
      <c r="AJ20" s="471"/>
      <c r="AK20" s="469" t="s">
        <v>199</v>
      </c>
      <c r="AL20" s="470"/>
      <c r="AM20" s="471"/>
      <c r="AN20" s="469" t="s">
        <v>92</v>
      </c>
      <c r="AO20" s="470"/>
      <c r="AP20" s="471"/>
      <c r="AQ20" s="469" t="s">
        <v>63</v>
      </c>
      <c r="AR20" s="470"/>
      <c r="AS20" s="471"/>
      <c r="AT20" s="469" t="s">
        <v>59</v>
      </c>
      <c r="AU20" s="470"/>
      <c r="AV20" s="471"/>
      <c r="AW20" s="469" t="s">
        <v>45</v>
      </c>
      <c r="AX20" s="470"/>
      <c r="AY20" s="471"/>
      <c r="AZ20" s="63"/>
    </row>
    <row r="21" spans="1:57" ht="14.95" customHeight="1" thickBot="1" x14ac:dyDescent="0.3">
      <c r="A21" s="387" t="s">
        <v>386</v>
      </c>
      <c r="B21" s="390">
        <v>0</v>
      </c>
      <c r="C21" s="392">
        <v>1</v>
      </c>
      <c r="D21" s="412">
        <v>0</v>
      </c>
      <c r="E21" s="388">
        <f t="shared" si="0"/>
        <v>1</v>
      </c>
      <c r="F21" s="169" t="s">
        <v>386</v>
      </c>
      <c r="G21" s="144">
        <v>0</v>
      </c>
      <c r="H21" s="291">
        <v>5</v>
      </c>
      <c r="I21" s="220">
        <v>0</v>
      </c>
      <c r="J21" s="171">
        <f t="shared" si="1"/>
        <v>5</v>
      </c>
      <c r="K21" s="476"/>
      <c r="L21" s="472"/>
      <c r="M21" s="473"/>
      <c r="N21" s="474"/>
      <c r="O21" s="472"/>
      <c r="P21" s="473"/>
      <c r="Q21" s="474"/>
      <c r="R21" s="472"/>
      <c r="S21" s="473"/>
      <c r="T21" s="474"/>
      <c r="U21" s="472"/>
      <c r="V21" s="473"/>
      <c r="W21" s="474"/>
      <c r="AB21" s="472"/>
      <c r="AC21" s="473"/>
      <c r="AD21" s="474"/>
      <c r="AE21" s="472"/>
      <c r="AF21" s="473"/>
      <c r="AG21" s="474"/>
      <c r="AH21" s="472"/>
      <c r="AI21" s="473"/>
      <c r="AJ21" s="474"/>
      <c r="AK21" s="472"/>
      <c r="AL21" s="473"/>
      <c r="AM21" s="474"/>
      <c r="AN21" s="472"/>
      <c r="AO21" s="473"/>
      <c r="AP21" s="474"/>
      <c r="AQ21" s="472"/>
      <c r="AR21" s="473"/>
      <c r="AS21" s="474"/>
      <c r="AT21" s="472"/>
      <c r="AU21" s="473"/>
      <c r="AV21" s="474"/>
      <c r="AW21" s="472"/>
      <c r="AX21" s="473"/>
      <c r="AY21" s="474"/>
      <c r="AZ21" s="63"/>
    </row>
    <row r="22" spans="1:57" ht="14.95" customHeight="1" thickBot="1" x14ac:dyDescent="0.3">
      <c r="A22" s="387" t="s">
        <v>481</v>
      </c>
      <c r="B22" s="390">
        <v>4</v>
      </c>
      <c r="C22" s="392">
        <v>1</v>
      </c>
      <c r="D22" s="412">
        <v>3</v>
      </c>
      <c r="E22" s="388">
        <f t="shared" si="0"/>
        <v>8</v>
      </c>
      <c r="F22" s="169" t="s">
        <v>481</v>
      </c>
      <c r="G22" s="144">
        <v>20</v>
      </c>
      <c r="H22" s="291">
        <v>5</v>
      </c>
      <c r="I22" s="220">
        <v>15</v>
      </c>
      <c r="J22" s="171">
        <f t="shared" si="1"/>
        <v>40</v>
      </c>
      <c r="K22" s="257" t="s">
        <v>25</v>
      </c>
      <c r="L22" s="7" t="s">
        <v>55</v>
      </c>
      <c r="M22" s="7" t="s">
        <v>11</v>
      </c>
      <c r="N22" s="7" t="s">
        <v>12</v>
      </c>
      <c r="O22" s="7" t="s">
        <v>55</v>
      </c>
      <c r="P22" s="7" t="s">
        <v>11</v>
      </c>
      <c r="Q22" s="7" t="s">
        <v>12</v>
      </c>
      <c r="R22" s="7" t="s">
        <v>55</v>
      </c>
      <c r="S22" s="7" t="s">
        <v>11</v>
      </c>
      <c r="T22" s="7" t="s">
        <v>12</v>
      </c>
      <c r="U22" s="7" t="s">
        <v>55</v>
      </c>
      <c r="V22" s="7" t="s">
        <v>11</v>
      </c>
      <c r="W22" s="7" t="s">
        <v>12</v>
      </c>
      <c r="AB22" s="150" t="s">
        <v>55</v>
      </c>
      <c r="AC22" s="7" t="s">
        <v>11</v>
      </c>
      <c r="AD22" s="7" t="s">
        <v>12</v>
      </c>
      <c r="AE22" s="150" t="s">
        <v>55</v>
      </c>
      <c r="AF22" s="7" t="s">
        <v>11</v>
      </c>
      <c r="AG22" s="7" t="s">
        <v>12</v>
      </c>
      <c r="AH22" s="150" t="s">
        <v>55</v>
      </c>
      <c r="AI22" s="7" t="s">
        <v>11</v>
      </c>
      <c r="AJ22" s="7" t="s">
        <v>12</v>
      </c>
      <c r="AK22" s="150" t="s">
        <v>55</v>
      </c>
      <c r="AL22" s="7" t="s">
        <v>11</v>
      </c>
      <c r="AM22" s="7" t="s">
        <v>12</v>
      </c>
      <c r="AN22" s="150" t="s">
        <v>55</v>
      </c>
      <c r="AO22" s="7" t="s">
        <v>11</v>
      </c>
      <c r="AP22" s="7" t="s">
        <v>12</v>
      </c>
      <c r="AQ22" s="150" t="s">
        <v>55</v>
      </c>
      <c r="AR22" s="7" t="s">
        <v>11</v>
      </c>
      <c r="AS22" s="7" t="s">
        <v>12</v>
      </c>
      <c r="AT22" s="150" t="s">
        <v>55</v>
      </c>
      <c r="AU22" s="7" t="s">
        <v>11</v>
      </c>
      <c r="AV22" s="7" t="s">
        <v>12</v>
      </c>
      <c r="AW22" s="6" t="s">
        <v>55</v>
      </c>
      <c r="AX22" s="7" t="s">
        <v>11</v>
      </c>
      <c r="AY22" s="7" t="s">
        <v>12</v>
      </c>
      <c r="AZ22" s="63"/>
    </row>
    <row r="23" spans="1:57" ht="14.95" customHeight="1" thickBot="1" x14ac:dyDescent="0.3">
      <c r="A23" s="387" t="s">
        <v>1146</v>
      </c>
      <c r="B23" s="390">
        <v>0</v>
      </c>
      <c r="C23" s="392">
        <v>1</v>
      </c>
      <c r="D23" s="412">
        <v>0</v>
      </c>
      <c r="E23" s="388">
        <f t="shared" si="0"/>
        <v>1</v>
      </c>
      <c r="F23" s="169" t="s">
        <v>1146</v>
      </c>
      <c r="G23" s="144">
        <v>0</v>
      </c>
      <c r="H23" s="291">
        <v>5</v>
      </c>
      <c r="I23" s="220">
        <v>0</v>
      </c>
      <c r="J23" s="171">
        <f t="shared" si="1"/>
        <v>5</v>
      </c>
      <c r="K23" s="387" t="s">
        <v>545</v>
      </c>
      <c r="L23" s="7" t="s">
        <v>17</v>
      </c>
      <c r="M23" s="155" t="s">
        <v>17</v>
      </c>
      <c r="N23" s="6" t="s">
        <v>17</v>
      </c>
      <c r="O23" s="7" t="s">
        <v>17</v>
      </c>
      <c r="P23" s="155" t="s">
        <v>17</v>
      </c>
      <c r="Q23" s="6" t="s">
        <v>17</v>
      </c>
      <c r="R23" s="7" t="s">
        <v>17</v>
      </c>
      <c r="S23" s="155" t="s">
        <v>17</v>
      </c>
      <c r="T23" s="6" t="s">
        <v>17</v>
      </c>
      <c r="U23" s="7" t="s">
        <v>17</v>
      </c>
      <c r="V23" s="155" t="s">
        <v>17</v>
      </c>
      <c r="W23" s="6" t="s">
        <v>17</v>
      </c>
      <c r="AB23" s="150">
        <v>1</v>
      </c>
      <c r="AC23" s="155">
        <v>2</v>
      </c>
      <c r="AD23" s="6">
        <v>50</v>
      </c>
      <c r="AE23" s="150" t="s">
        <v>17</v>
      </c>
      <c r="AF23" s="155" t="s">
        <v>17</v>
      </c>
      <c r="AG23" s="6" t="s">
        <v>17</v>
      </c>
      <c r="AH23" s="150" t="s">
        <v>17</v>
      </c>
      <c r="AI23" s="155" t="s">
        <v>17</v>
      </c>
      <c r="AJ23" s="6" t="s">
        <v>17</v>
      </c>
      <c r="AK23" s="150" t="s">
        <v>17</v>
      </c>
      <c r="AL23" s="155" t="s">
        <v>17</v>
      </c>
      <c r="AM23" s="6" t="s">
        <v>17</v>
      </c>
      <c r="AN23" s="150" t="s">
        <v>17</v>
      </c>
      <c r="AO23" s="7" t="s">
        <v>17</v>
      </c>
      <c r="AP23" s="7" t="s">
        <v>17</v>
      </c>
      <c r="AQ23" s="150" t="s">
        <v>17</v>
      </c>
      <c r="AR23" s="155" t="s">
        <v>17</v>
      </c>
      <c r="AS23" s="6" t="s">
        <v>17</v>
      </c>
      <c r="AT23" s="150" t="s">
        <v>17</v>
      </c>
      <c r="AU23" s="155" t="s">
        <v>17</v>
      </c>
      <c r="AV23" s="6" t="s">
        <v>17</v>
      </c>
      <c r="AW23" s="150" t="s">
        <v>17</v>
      </c>
      <c r="AX23" s="155" t="s">
        <v>17</v>
      </c>
      <c r="AY23" s="6" t="s">
        <v>17</v>
      </c>
      <c r="AZ23" s="63"/>
    </row>
    <row r="24" spans="1:57" ht="14.95" customHeight="1" thickBot="1" x14ac:dyDescent="0.3">
      <c r="A24" s="387" t="s">
        <v>465</v>
      </c>
      <c r="B24" s="390">
        <v>3</v>
      </c>
      <c r="C24" s="392">
        <v>2</v>
      </c>
      <c r="D24" s="412">
        <v>3</v>
      </c>
      <c r="E24" s="388">
        <f t="shared" si="0"/>
        <v>8</v>
      </c>
      <c r="F24" s="169" t="s">
        <v>465</v>
      </c>
      <c r="G24" s="144">
        <v>15</v>
      </c>
      <c r="H24" s="291">
        <v>10</v>
      </c>
      <c r="I24" s="220">
        <v>15</v>
      </c>
      <c r="J24" s="171">
        <f t="shared" si="1"/>
        <v>40</v>
      </c>
      <c r="K24" s="387" t="s">
        <v>594</v>
      </c>
      <c r="L24" s="7" t="s">
        <v>17</v>
      </c>
      <c r="M24" s="155" t="s">
        <v>17</v>
      </c>
      <c r="N24" s="6" t="s">
        <v>17</v>
      </c>
      <c r="O24" s="7" t="s">
        <v>17</v>
      </c>
      <c r="P24" s="155" t="s">
        <v>17</v>
      </c>
      <c r="Q24" s="6" t="s">
        <v>17</v>
      </c>
      <c r="R24" s="7" t="s">
        <v>17</v>
      </c>
      <c r="S24" s="155" t="s">
        <v>17</v>
      </c>
      <c r="T24" s="6" t="s">
        <v>17</v>
      </c>
      <c r="U24" s="7" t="s">
        <v>17</v>
      </c>
      <c r="V24" s="155" t="s">
        <v>17</v>
      </c>
      <c r="W24" s="6" t="s">
        <v>17</v>
      </c>
      <c r="AB24" s="150">
        <v>7</v>
      </c>
      <c r="AC24" s="7">
        <v>11</v>
      </c>
      <c r="AD24" s="155">
        <f>(AB24/AC24)*100</f>
        <v>63.636363636363633</v>
      </c>
      <c r="AE24" s="150">
        <v>20</v>
      </c>
      <c r="AF24" s="7">
        <v>25</v>
      </c>
      <c r="AG24" s="155">
        <f>(AE24/AF24)*100</f>
        <v>80</v>
      </c>
      <c r="AH24" s="150">
        <v>7</v>
      </c>
      <c r="AI24" s="7">
        <v>8</v>
      </c>
      <c r="AJ24" s="155">
        <f t="shared" ref="AJ24" si="16">SUM(AH24/AI24)*100</f>
        <v>87.5</v>
      </c>
      <c r="AK24" s="150">
        <v>0</v>
      </c>
      <c r="AL24" s="7">
        <v>3</v>
      </c>
      <c r="AM24" s="155">
        <f>SUM(AK24/AL24)*100</f>
        <v>0</v>
      </c>
      <c r="AN24" s="150">
        <v>3</v>
      </c>
      <c r="AO24" s="7">
        <v>4</v>
      </c>
      <c r="AP24" s="155">
        <f>SUM(AN24/AO24)*100</f>
        <v>75</v>
      </c>
      <c r="AQ24" s="150" t="s">
        <v>17</v>
      </c>
      <c r="AR24" s="7" t="s">
        <v>17</v>
      </c>
      <c r="AS24" s="7" t="s">
        <v>17</v>
      </c>
      <c r="AT24" s="150" t="s">
        <v>17</v>
      </c>
      <c r="AU24" s="7" t="s">
        <v>17</v>
      </c>
      <c r="AV24" s="7" t="s">
        <v>17</v>
      </c>
      <c r="AW24" s="150" t="s">
        <v>17</v>
      </c>
      <c r="AX24" s="7" t="s">
        <v>17</v>
      </c>
      <c r="AY24" s="7" t="s">
        <v>17</v>
      </c>
      <c r="AZ24" s="63"/>
    </row>
    <row r="25" spans="1:57" ht="14.95" customHeight="1" thickBot="1" x14ac:dyDescent="0.3">
      <c r="A25" s="387" t="s">
        <v>310</v>
      </c>
      <c r="B25" s="390">
        <v>1</v>
      </c>
      <c r="C25" s="392">
        <v>0</v>
      </c>
      <c r="D25" s="412">
        <v>0</v>
      </c>
      <c r="E25" s="388">
        <f t="shared" si="0"/>
        <v>1</v>
      </c>
      <c r="F25" s="169" t="s">
        <v>310</v>
      </c>
      <c r="G25" s="144">
        <v>5</v>
      </c>
      <c r="H25" s="291">
        <v>0</v>
      </c>
      <c r="I25" s="220">
        <v>0</v>
      </c>
      <c r="J25" s="171">
        <f t="shared" si="1"/>
        <v>5</v>
      </c>
      <c r="O25" s="63"/>
      <c r="P25" s="63"/>
      <c r="Q25" s="63"/>
      <c r="R25" s="63"/>
      <c r="S25" s="63"/>
      <c r="T25" s="63"/>
      <c r="U25" s="63"/>
      <c r="V25" s="63"/>
      <c r="W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</row>
    <row r="26" spans="1:57" ht="14.95" customHeight="1" thickBot="1" x14ac:dyDescent="0.3">
      <c r="A26" s="387" t="s">
        <v>805</v>
      </c>
      <c r="B26" s="390">
        <v>0</v>
      </c>
      <c r="C26" s="392">
        <v>0</v>
      </c>
      <c r="D26" s="412">
        <v>1</v>
      </c>
      <c r="E26" s="388">
        <f t="shared" si="0"/>
        <v>1</v>
      </c>
      <c r="F26" s="169" t="s">
        <v>805</v>
      </c>
      <c r="G26" s="144">
        <v>0</v>
      </c>
      <c r="H26" s="291">
        <v>0</v>
      </c>
      <c r="I26" s="220">
        <v>5</v>
      </c>
      <c r="J26" s="171">
        <f t="shared" si="1"/>
        <v>5</v>
      </c>
      <c r="K26" s="499" t="s">
        <v>93</v>
      </c>
      <c r="L26" s="513" t="s">
        <v>16</v>
      </c>
      <c r="M26" s="514"/>
      <c r="N26" s="515"/>
      <c r="O26" s="469" t="s">
        <v>267</v>
      </c>
      <c r="P26" s="470"/>
      <c r="Q26" s="471"/>
      <c r="R26" s="469" t="s">
        <v>698</v>
      </c>
      <c r="S26" s="470"/>
      <c r="T26" s="471"/>
      <c r="U26" s="469" t="s">
        <v>562</v>
      </c>
      <c r="V26" s="470"/>
      <c r="W26" s="471"/>
      <c r="AB26" s="469" t="s">
        <v>355</v>
      </c>
      <c r="AC26" s="470"/>
      <c r="AD26" s="471"/>
      <c r="AE26" s="469" t="s">
        <v>260</v>
      </c>
      <c r="AF26" s="470"/>
      <c r="AG26" s="471"/>
      <c r="AH26" s="469" t="s">
        <v>199</v>
      </c>
      <c r="AI26" s="470"/>
      <c r="AJ26" s="471"/>
      <c r="AK26" s="469" t="s">
        <v>92</v>
      </c>
      <c r="AL26" s="470"/>
      <c r="AM26" s="471"/>
      <c r="AN26" s="469" t="s">
        <v>63</v>
      </c>
      <c r="AO26" s="470"/>
      <c r="AP26" s="471"/>
      <c r="AQ26" s="469" t="s">
        <v>59</v>
      </c>
      <c r="AR26" s="470"/>
      <c r="AS26" s="471"/>
      <c r="AT26" s="469" t="s">
        <v>45</v>
      </c>
      <c r="AU26" s="470"/>
      <c r="AV26" s="471"/>
      <c r="AW26" s="207"/>
    </row>
    <row r="27" spans="1:57" ht="14.95" customHeight="1" thickBot="1" x14ac:dyDescent="0.3">
      <c r="A27" s="387" t="s">
        <v>247</v>
      </c>
      <c r="B27" s="390">
        <v>6</v>
      </c>
      <c r="C27" s="392">
        <v>1</v>
      </c>
      <c r="D27" s="412">
        <v>1</v>
      </c>
      <c r="E27" s="388">
        <f t="shared" si="0"/>
        <v>8</v>
      </c>
      <c r="F27" s="169" t="s">
        <v>247</v>
      </c>
      <c r="G27" s="144">
        <v>30</v>
      </c>
      <c r="H27" s="291">
        <v>5</v>
      </c>
      <c r="I27" s="220">
        <v>5</v>
      </c>
      <c r="J27" s="171">
        <f t="shared" si="1"/>
        <v>40</v>
      </c>
      <c r="K27" s="500"/>
      <c r="L27" s="516"/>
      <c r="M27" s="517"/>
      <c r="N27" s="518"/>
      <c r="O27" s="472"/>
      <c r="P27" s="473"/>
      <c r="Q27" s="474"/>
      <c r="R27" s="472"/>
      <c r="S27" s="473"/>
      <c r="T27" s="474"/>
      <c r="U27" s="472"/>
      <c r="V27" s="473"/>
      <c r="W27" s="474"/>
      <c r="AB27" s="472"/>
      <c r="AC27" s="473"/>
      <c r="AD27" s="474"/>
      <c r="AE27" s="472"/>
      <c r="AF27" s="473"/>
      <c r="AG27" s="474"/>
      <c r="AH27" s="472"/>
      <c r="AI27" s="473"/>
      <c r="AJ27" s="474"/>
      <c r="AK27" s="472"/>
      <c r="AL27" s="473"/>
      <c r="AM27" s="474"/>
      <c r="AN27" s="472"/>
      <c r="AO27" s="473"/>
      <c r="AP27" s="474"/>
      <c r="AQ27" s="472"/>
      <c r="AR27" s="473"/>
      <c r="AS27" s="474"/>
      <c r="AT27" s="472"/>
      <c r="AU27" s="473"/>
      <c r="AV27" s="474"/>
      <c r="AW27" s="93"/>
    </row>
    <row r="28" spans="1:57" ht="14.95" customHeight="1" thickBot="1" x14ac:dyDescent="0.3">
      <c r="A28" s="387" t="s">
        <v>807</v>
      </c>
      <c r="B28" s="390">
        <v>0</v>
      </c>
      <c r="C28" s="392">
        <v>0</v>
      </c>
      <c r="D28" s="412">
        <v>1</v>
      </c>
      <c r="E28" s="388">
        <f t="shared" si="0"/>
        <v>1</v>
      </c>
      <c r="F28" s="169" t="s">
        <v>807</v>
      </c>
      <c r="G28" s="144">
        <v>0</v>
      </c>
      <c r="H28" s="291">
        <v>0</v>
      </c>
      <c r="I28" s="220">
        <v>5</v>
      </c>
      <c r="J28" s="171">
        <f t="shared" si="1"/>
        <v>5</v>
      </c>
      <c r="K28" s="224" t="s">
        <v>25</v>
      </c>
      <c r="L28" s="165" t="s">
        <v>55</v>
      </c>
      <c r="M28" s="165" t="s">
        <v>11</v>
      </c>
      <c r="N28" s="165" t="s">
        <v>12</v>
      </c>
      <c r="O28" s="7" t="s">
        <v>55</v>
      </c>
      <c r="P28" s="7" t="s">
        <v>11</v>
      </c>
      <c r="Q28" s="7" t="s">
        <v>12</v>
      </c>
      <c r="R28" s="7" t="s">
        <v>55</v>
      </c>
      <c r="S28" s="7" t="s">
        <v>11</v>
      </c>
      <c r="T28" s="7" t="s">
        <v>12</v>
      </c>
      <c r="U28" s="7" t="s">
        <v>55</v>
      </c>
      <c r="V28" s="7" t="s">
        <v>11</v>
      </c>
      <c r="W28" s="7" t="s">
        <v>12</v>
      </c>
      <c r="AB28" s="150" t="s">
        <v>55</v>
      </c>
      <c r="AC28" s="7" t="s">
        <v>11</v>
      </c>
      <c r="AD28" s="7" t="s">
        <v>12</v>
      </c>
      <c r="AE28" s="150" t="s">
        <v>55</v>
      </c>
      <c r="AF28" s="7" t="s">
        <v>11</v>
      </c>
      <c r="AG28" s="7" t="s">
        <v>12</v>
      </c>
      <c r="AH28" s="150" t="s">
        <v>55</v>
      </c>
      <c r="AI28" s="7" t="s">
        <v>11</v>
      </c>
      <c r="AJ28" s="7" t="s">
        <v>12</v>
      </c>
      <c r="AK28" s="150" t="s">
        <v>55</v>
      </c>
      <c r="AL28" s="7" t="s">
        <v>11</v>
      </c>
      <c r="AM28" s="7" t="s">
        <v>12</v>
      </c>
      <c r="AN28" s="150" t="s">
        <v>55</v>
      </c>
      <c r="AO28" s="7" t="s">
        <v>11</v>
      </c>
      <c r="AP28" s="7" t="s">
        <v>12</v>
      </c>
      <c r="AQ28" s="150" t="s">
        <v>55</v>
      </c>
      <c r="AR28" s="7" t="s">
        <v>11</v>
      </c>
      <c r="AS28" s="7" t="s">
        <v>12</v>
      </c>
      <c r="AT28" s="150" t="s">
        <v>55</v>
      </c>
      <c r="AU28" s="7" t="s">
        <v>11</v>
      </c>
      <c r="AV28" s="7" t="s">
        <v>12</v>
      </c>
      <c r="AW28" s="93"/>
    </row>
    <row r="29" spans="1:57" ht="14.95" customHeight="1" thickBot="1" x14ac:dyDescent="0.3">
      <c r="A29" s="387" t="s">
        <v>320</v>
      </c>
      <c r="B29" s="390">
        <v>2</v>
      </c>
      <c r="C29" s="392">
        <v>0</v>
      </c>
      <c r="D29" s="412">
        <v>0</v>
      </c>
      <c r="E29" s="388">
        <f t="shared" si="0"/>
        <v>2</v>
      </c>
      <c r="F29" s="169" t="s">
        <v>320</v>
      </c>
      <c r="G29" s="144">
        <v>10</v>
      </c>
      <c r="H29" s="291">
        <v>0</v>
      </c>
      <c r="I29" s="220">
        <v>0</v>
      </c>
      <c r="J29" s="171">
        <f t="shared" si="1"/>
        <v>10</v>
      </c>
      <c r="K29" s="387" t="s">
        <v>543</v>
      </c>
      <c r="L29" s="388" t="s">
        <v>17</v>
      </c>
      <c r="M29" s="388" t="s">
        <v>17</v>
      </c>
      <c r="N29" s="388" t="s">
        <v>17</v>
      </c>
      <c r="O29" s="7">
        <v>4</v>
      </c>
      <c r="P29" s="155">
        <v>5</v>
      </c>
      <c r="Q29" s="6">
        <v>50</v>
      </c>
      <c r="R29" s="7" t="s">
        <v>17</v>
      </c>
      <c r="S29" s="155" t="s">
        <v>17</v>
      </c>
      <c r="T29" s="6" t="s">
        <v>17</v>
      </c>
      <c r="U29" s="7" t="s">
        <v>17</v>
      </c>
      <c r="V29" s="155" t="s">
        <v>17</v>
      </c>
      <c r="W29" s="6" t="s">
        <v>17</v>
      </c>
      <c r="AB29" s="150" t="s">
        <v>17</v>
      </c>
      <c r="AC29" s="155" t="s">
        <v>17</v>
      </c>
      <c r="AD29" s="6" t="s">
        <v>17</v>
      </c>
      <c r="AE29" s="6" t="s">
        <v>17</v>
      </c>
      <c r="AF29" s="155" t="s">
        <v>17</v>
      </c>
      <c r="AG29" s="6" t="s">
        <v>17</v>
      </c>
      <c r="AH29" s="7" t="s">
        <v>17</v>
      </c>
      <c r="AI29" s="155" t="s">
        <v>17</v>
      </c>
      <c r="AJ29" s="6" t="s">
        <v>17</v>
      </c>
      <c r="AK29" s="7" t="s">
        <v>17</v>
      </c>
      <c r="AL29" s="155" t="s">
        <v>17</v>
      </c>
      <c r="AM29" s="6" t="s">
        <v>17</v>
      </c>
      <c r="AN29" s="7" t="s">
        <v>17</v>
      </c>
      <c r="AO29" s="155" t="s">
        <v>17</v>
      </c>
      <c r="AP29" s="6" t="s">
        <v>17</v>
      </c>
      <c r="AQ29" s="7" t="s">
        <v>17</v>
      </c>
      <c r="AR29" s="155" t="s">
        <v>17</v>
      </c>
      <c r="AS29" s="6" t="s">
        <v>17</v>
      </c>
      <c r="AT29" s="7" t="s">
        <v>17</v>
      </c>
      <c r="AU29" s="155" t="s">
        <v>17</v>
      </c>
      <c r="AV29" s="6" t="s">
        <v>17</v>
      </c>
      <c r="AW29" s="93"/>
      <c r="BC29" s="162"/>
      <c r="BD29" s="162"/>
      <c r="BE29" s="162"/>
    </row>
    <row r="30" spans="1:57" ht="14.95" customHeight="1" thickBot="1" x14ac:dyDescent="0.3">
      <c r="A30" s="387" t="s">
        <v>808</v>
      </c>
      <c r="B30" s="390">
        <v>0</v>
      </c>
      <c r="C30" s="392">
        <v>0</v>
      </c>
      <c r="D30" s="412">
        <v>0</v>
      </c>
      <c r="E30" s="388">
        <f t="shared" si="0"/>
        <v>0</v>
      </c>
      <c r="F30" s="169" t="s">
        <v>808</v>
      </c>
      <c r="G30" s="144">
        <v>0</v>
      </c>
      <c r="H30" s="291">
        <v>0</v>
      </c>
      <c r="I30" s="220">
        <v>0</v>
      </c>
      <c r="J30" s="171">
        <f t="shared" si="1"/>
        <v>0</v>
      </c>
      <c r="K30" s="387" t="s">
        <v>594</v>
      </c>
      <c r="L30" s="388">
        <v>24</v>
      </c>
      <c r="M30" s="388">
        <v>26</v>
      </c>
      <c r="N30" s="393">
        <f t="shared" ref="N30:N33" si="17">(L30/M30)*100</f>
        <v>92.307692307692307</v>
      </c>
      <c r="O30" s="7">
        <v>16</v>
      </c>
      <c r="P30" s="155">
        <v>23</v>
      </c>
      <c r="Q30" s="6">
        <v>67</v>
      </c>
      <c r="R30" s="7" t="s">
        <v>17</v>
      </c>
      <c r="S30" s="155" t="s">
        <v>17</v>
      </c>
      <c r="T30" s="6" t="s">
        <v>17</v>
      </c>
      <c r="U30" s="150">
        <v>5</v>
      </c>
      <c r="V30" s="7">
        <v>7</v>
      </c>
      <c r="W30" s="7">
        <v>71</v>
      </c>
      <c r="AB30" s="150">
        <v>2</v>
      </c>
      <c r="AC30" s="7">
        <v>2</v>
      </c>
      <c r="AD30" s="155">
        <f>(AB30/AC30)*100</f>
        <v>100</v>
      </c>
      <c r="AE30" s="150">
        <v>1</v>
      </c>
      <c r="AF30" s="7">
        <v>1</v>
      </c>
      <c r="AG30" s="155">
        <f t="shared" ref="AG30" si="18">SUM(AE30/AF30)*100</f>
        <v>100</v>
      </c>
      <c r="AH30" s="150">
        <v>3</v>
      </c>
      <c r="AI30" s="7">
        <v>5</v>
      </c>
      <c r="AJ30" s="155">
        <f>SUM(AH30/AI30)*100</f>
        <v>60</v>
      </c>
      <c r="AK30" s="150" t="s">
        <v>17</v>
      </c>
      <c r="AL30" s="7" t="s">
        <v>17</v>
      </c>
      <c r="AM30" s="7" t="s">
        <v>17</v>
      </c>
      <c r="AN30" s="150" t="s">
        <v>17</v>
      </c>
      <c r="AO30" s="7" t="s">
        <v>17</v>
      </c>
      <c r="AP30" s="7" t="s">
        <v>17</v>
      </c>
      <c r="AQ30" s="150" t="s">
        <v>17</v>
      </c>
      <c r="AR30" s="7" t="s">
        <v>17</v>
      </c>
      <c r="AS30" s="7" t="s">
        <v>17</v>
      </c>
      <c r="AT30" s="7"/>
      <c r="AU30" s="7"/>
      <c r="AV30" s="7"/>
      <c r="AW30" s="93"/>
    </row>
    <row r="31" spans="1:57" ht="14.95" customHeight="1" thickBot="1" x14ac:dyDescent="0.3">
      <c r="A31" s="387" t="s">
        <v>315</v>
      </c>
      <c r="B31" s="390">
        <v>1</v>
      </c>
      <c r="C31" s="392">
        <v>2</v>
      </c>
      <c r="D31" s="412">
        <v>0</v>
      </c>
      <c r="E31" s="388">
        <f t="shared" si="0"/>
        <v>3</v>
      </c>
      <c r="F31" s="169" t="s">
        <v>315</v>
      </c>
      <c r="G31" s="144">
        <v>5</v>
      </c>
      <c r="H31" s="291">
        <v>10</v>
      </c>
      <c r="I31" s="220">
        <v>0</v>
      </c>
      <c r="J31" s="171">
        <f t="shared" si="1"/>
        <v>15</v>
      </c>
      <c r="K31" s="387" t="s">
        <v>1079</v>
      </c>
      <c r="L31" s="388">
        <v>2</v>
      </c>
      <c r="M31" s="388">
        <v>3</v>
      </c>
      <c r="N31" s="393">
        <f t="shared" si="17"/>
        <v>66.666666666666657</v>
      </c>
      <c r="O31" s="7" t="s">
        <v>17</v>
      </c>
      <c r="P31" s="155" t="s">
        <v>17</v>
      </c>
      <c r="Q31" s="6" t="s">
        <v>17</v>
      </c>
      <c r="R31" s="7" t="s">
        <v>17</v>
      </c>
      <c r="S31" s="155" t="s">
        <v>17</v>
      </c>
      <c r="T31" s="6" t="s">
        <v>17</v>
      </c>
      <c r="U31" s="7" t="s">
        <v>17</v>
      </c>
      <c r="V31" s="155" t="s">
        <v>17</v>
      </c>
      <c r="W31" s="6" t="s">
        <v>17</v>
      </c>
      <c r="AB31" s="150" t="s">
        <v>17</v>
      </c>
      <c r="AC31" s="155" t="s">
        <v>17</v>
      </c>
      <c r="AD31" s="6" t="s">
        <v>17</v>
      </c>
      <c r="AE31" s="6" t="s">
        <v>17</v>
      </c>
      <c r="AF31" s="155" t="s">
        <v>17</v>
      </c>
      <c r="AG31" s="6" t="s">
        <v>17</v>
      </c>
      <c r="AH31" s="7" t="s">
        <v>17</v>
      </c>
      <c r="AI31" s="155" t="s">
        <v>17</v>
      </c>
      <c r="AJ31" s="6" t="s">
        <v>17</v>
      </c>
      <c r="AK31" s="7" t="s">
        <v>17</v>
      </c>
      <c r="AL31" s="155" t="s">
        <v>17</v>
      </c>
      <c r="AM31" s="6" t="s">
        <v>17</v>
      </c>
      <c r="AN31" s="7" t="s">
        <v>17</v>
      </c>
      <c r="AO31" s="155" t="s">
        <v>17</v>
      </c>
      <c r="AP31" s="6" t="s">
        <v>17</v>
      </c>
      <c r="AQ31" s="7" t="s">
        <v>17</v>
      </c>
      <c r="AR31" s="155" t="s">
        <v>17</v>
      </c>
      <c r="AS31" s="6" t="s">
        <v>17</v>
      </c>
      <c r="AT31" s="7" t="s">
        <v>17</v>
      </c>
      <c r="AU31" s="155" t="s">
        <v>17</v>
      </c>
      <c r="AV31" s="6" t="s">
        <v>17</v>
      </c>
      <c r="AW31" s="93"/>
      <c r="BC31" s="162"/>
      <c r="BD31" s="162"/>
      <c r="BE31" s="162"/>
    </row>
    <row r="32" spans="1:57" ht="14.95" customHeight="1" thickBot="1" x14ac:dyDescent="0.3">
      <c r="A32" s="387" t="s">
        <v>431</v>
      </c>
      <c r="B32" s="390">
        <v>0</v>
      </c>
      <c r="C32" s="392">
        <v>0</v>
      </c>
      <c r="D32" s="412">
        <v>2</v>
      </c>
      <c r="E32" s="388">
        <f t="shared" si="0"/>
        <v>2</v>
      </c>
      <c r="F32" s="169" t="s">
        <v>431</v>
      </c>
      <c r="G32" s="144">
        <v>0</v>
      </c>
      <c r="H32" s="291">
        <v>0</v>
      </c>
      <c r="I32" s="220">
        <v>10</v>
      </c>
      <c r="J32" s="171">
        <f t="shared" si="1"/>
        <v>10</v>
      </c>
      <c r="K32" s="387" t="s">
        <v>935</v>
      </c>
      <c r="L32" s="388">
        <v>7</v>
      </c>
      <c r="M32" s="388">
        <v>11</v>
      </c>
      <c r="N32" s="393">
        <f t="shared" si="17"/>
        <v>63.636363636363633</v>
      </c>
      <c r="O32" s="7" t="s">
        <v>17</v>
      </c>
      <c r="P32" s="155" t="s">
        <v>17</v>
      </c>
      <c r="Q32" s="6" t="s">
        <v>17</v>
      </c>
      <c r="R32" s="7" t="s">
        <v>17</v>
      </c>
      <c r="S32" s="155" t="s">
        <v>17</v>
      </c>
      <c r="T32" s="6" t="s">
        <v>17</v>
      </c>
      <c r="U32" s="7" t="s">
        <v>17</v>
      </c>
      <c r="V32" s="155" t="s">
        <v>17</v>
      </c>
      <c r="W32" s="6" t="s">
        <v>17</v>
      </c>
      <c r="AB32" s="150"/>
      <c r="AC32" s="155"/>
      <c r="AD32" s="6"/>
      <c r="AE32" s="6"/>
      <c r="AF32" s="155"/>
      <c r="AG32" s="6"/>
      <c r="AH32" s="7"/>
      <c r="AI32" s="155"/>
      <c r="AJ32" s="6"/>
      <c r="AK32" s="7"/>
      <c r="AL32" s="155"/>
      <c r="AM32" s="6"/>
      <c r="AN32" s="7"/>
      <c r="AO32" s="155"/>
      <c r="AP32" s="6"/>
      <c r="AQ32" s="7"/>
      <c r="AR32" s="155"/>
      <c r="AS32" s="6"/>
      <c r="AT32" s="7"/>
      <c r="AU32" s="155"/>
      <c r="AV32" s="6"/>
      <c r="BC32" s="162"/>
      <c r="BD32" s="162"/>
      <c r="BE32" s="162"/>
    </row>
    <row r="33" spans="1:57" ht="14.95" customHeight="1" thickBot="1" x14ac:dyDescent="0.3">
      <c r="A33" s="387" t="s">
        <v>792</v>
      </c>
      <c r="B33" s="390">
        <v>3</v>
      </c>
      <c r="C33" s="392">
        <v>2</v>
      </c>
      <c r="D33" s="412">
        <v>1</v>
      </c>
      <c r="E33" s="388">
        <f t="shared" si="0"/>
        <v>6</v>
      </c>
      <c r="F33" s="169" t="s">
        <v>792</v>
      </c>
      <c r="G33" s="144">
        <v>15</v>
      </c>
      <c r="H33" s="291">
        <v>10</v>
      </c>
      <c r="I33" s="220">
        <v>5</v>
      </c>
      <c r="J33" s="171">
        <f t="shared" si="1"/>
        <v>30</v>
      </c>
      <c r="K33" s="387" t="s">
        <v>348</v>
      </c>
      <c r="L33" s="388">
        <v>2</v>
      </c>
      <c r="M33" s="388">
        <v>2</v>
      </c>
      <c r="N33" s="393">
        <f t="shared" si="17"/>
        <v>100</v>
      </c>
      <c r="O33" s="7" t="s">
        <v>17</v>
      </c>
      <c r="P33" s="155" t="s">
        <v>17</v>
      </c>
      <c r="Q33" s="6" t="s">
        <v>17</v>
      </c>
      <c r="R33" s="7" t="s">
        <v>17</v>
      </c>
      <c r="S33" s="155" t="s">
        <v>17</v>
      </c>
      <c r="T33" s="6" t="s">
        <v>17</v>
      </c>
      <c r="U33" s="7" t="s">
        <v>17</v>
      </c>
      <c r="V33" s="155" t="s">
        <v>17</v>
      </c>
      <c r="W33" s="6" t="s">
        <v>17</v>
      </c>
      <c r="AB33" s="150">
        <v>14</v>
      </c>
      <c r="AC33" s="155">
        <v>20</v>
      </c>
      <c r="AD33" s="6">
        <v>70</v>
      </c>
      <c r="AE33" s="6">
        <v>2</v>
      </c>
      <c r="AF33" s="155">
        <v>4</v>
      </c>
      <c r="AG33" s="6">
        <v>50</v>
      </c>
      <c r="AH33" s="7" t="s">
        <v>17</v>
      </c>
      <c r="AI33" s="155" t="s">
        <v>17</v>
      </c>
      <c r="AJ33" s="6" t="s">
        <v>17</v>
      </c>
      <c r="AK33" s="7">
        <v>12</v>
      </c>
      <c r="AL33" s="155">
        <v>20</v>
      </c>
      <c r="AM33" s="6">
        <v>60</v>
      </c>
      <c r="AN33" s="7" t="s">
        <v>17</v>
      </c>
      <c r="AO33" s="155" t="s">
        <v>17</v>
      </c>
      <c r="AP33" s="6" t="s">
        <v>17</v>
      </c>
      <c r="AQ33" s="7" t="s">
        <v>17</v>
      </c>
      <c r="AR33" s="155" t="s">
        <v>17</v>
      </c>
      <c r="AS33" s="6" t="s">
        <v>17</v>
      </c>
      <c r="AT33" s="7" t="s">
        <v>17</v>
      </c>
      <c r="AU33" s="155" t="s">
        <v>17</v>
      </c>
      <c r="AV33" s="6" t="s">
        <v>17</v>
      </c>
      <c r="BC33" s="162"/>
      <c r="BD33" s="162"/>
      <c r="BE33" s="162"/>
    </row>
    <row r="34" spans="1:57" ht="14.95" customHeight="1" thickBot="1" x14ac:dyDescent="0.3">
      <c r="A34" s="387" t="s">
        <v>543</v>
      </c>
      <c r="B34" s="390">
        <v>1</v>
      </c>
      <c r="C34" s="392">
        <v>1</v>
      </c>
      <c r="D34" s="412">
        <v>0</v>
      </c>
      <c r="E34" s="388">
        <f t="shared" si="0"/>
        <v>2</v>
      </c>
      <c r="F34" s="169" t="s">
        <v>543</v>
      </c>
      <c r="G34" s="144">
        <v>159</v>
      </c>
      <c r="H34" s="291">
        <v>25</v>
      </c>
      <c r="I34" s="220">
        <v>0</v>
      </c>
      <c r="J34" s="171">
        <f t="shared" si="1"/>
        <v>184</v>
      </c>
      <c r="K34" s="117" t="s">
        <v>813</v>
      </c>
      <c r="AZ34" s="162"/>
      <c r="BA34" s="162"/>
      <c r="BB34" s="162"/>
    </row>
    <row r="35" spans="1:57" ht="14.95" customHeight="1" thickBot="1" x14ac:dyDescent="0.3">
      <c r="A35" s="387" t="s">
        <v>4</v>
      </c>
      <c r="B35" s="390">
        <v>1</v>
      </c>
      <c r="C35" s="392">
        <v>0</v>
      </c>
      <c r="D35" s="412">
        <v>0</v>
      </c>
      <c r="E35" s="388">
        <f t="shared" si="0"/>
        <v>1</v>
      </c>
      <c r="F35" s="169" t="s">
        <v>4</v>
      </c>
      <c r="G35" s="144">
        <v>7</v>
      </c>
      <c r="H35" s="291">
        <v>0</v>
      </c>
      <c r="I35" s="220">
        <v>0</v>
      </c>
      <c r="J35" s="171">
        <f t="shared" si="1"/>
        <v>7</v>
      </c>
      <c r="K35" s="479" t="s">
        <v>814</v>
      </c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Z35" s="162"/>
      <c r="BA35" s="162"/>
      <c r="BB35" s="162"/>
    </row>
    <row r="36" spans="1:57" ht="14.95" customHeight="1" thickBot="1" x14ac:dyDescent="0.3">
      <c r="A36" s="387" t="s">
        <v>292</v>
      </c>
      <c r="B36" s="390">
        <v>10</v>
      </c>
      <c r="C36" s="392">
        <v>0</v>
      </c>
      <c r="D36" s="412">
        <v>1</v>
      </c>
      <c r="E36" s="388">
        <f t="shared" si="0"/>
        <v>11</v>
      </c>
      <c r="F36" s="169" t="s">
        <v>292</v>
      </c>
      <c r="G36" s="144">
        <v>50</v>
      </c>
      <c r="H36" s="291">
        <v>0</v>
      </c>
      <c r="I36" s="220">
        <v>5</v>
      </c>
      <c r="J36" s="171">
        <f t="shared" si="1"/>
        <v>55</v>
      </c>
      <c r="K36" s="479" t="s">
        <v>25</v>
      </c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AZ36" s="162"/>
      <c r="BA36" s="162"/>
      <c r="BB36" s="162"/>
    </row>
    <row r="37" spans="1:57" ht="14.95" customHeight="1" thickBot="1" x14ac:dyDescent="0.3">
      <c r="A37" s="387" t="s">
        <v>85</v>
      </c>
      <c r="B37" s="390">
        <v>1</v>
      </c>
      <c r="C37" s="392">
        <v>0</v>
      </c>
      <c r="D37" s="412">
        <v>0</v>
      </c>
      <c r="E37" s="388">
        <f t="shared" si="0"/>
        <v>1</v>
      </c>
      <c r="F37" s="169" t="s">
        <v>85</v>
      </c>
      <c r="G37" s="144">
        <v>5</v>
      </c>
      <c r="H37" s="291">
        <v>0</v>
      </c>
      <c r="I37" s="220">
        <v>0</v>
      </c>
      <c r="J37" s="171">
        <f t="shared" si="1"/>
        <v>5</v>
      </c>
      <c r="K37" s="479" t="s">
        <v>25</v>
      </c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AZ37" s="162"/>
      <c r="BA37" s="162"/>
      <c r="BB37" s="162"/>
    </row>
    <row r="38" spans="1:57" ht="14.95" customHeight="1" thickBot="1" x14ac:dyDescent="0.3">
      <c r="A38" s="387" t="s">
        <v>579</v>
      </c>
      <c r="B38" s="390">
        <v>1</v>
      </c>
      <c r="C38" s="392">
        <v>0</v>
      </c>
      <c r="D38" s="412">
        <v>1</v>
      </c>
      <c r="E38" s="388">
        <f t="shared" si="0"/>
        <v>2</v>
      </c>
      <c r="F38" s="169" t="s">
        <v>579</v>
      </c>
      <c r="G38" s="144">
        <v>5</v>
      </c>
      <c r="H38" s="291">
        <v>0</v>
      </c>
      <c r="I38" s="220">
        <v>5</v>
      </c>
      <c r="J38" s="171">
        <f t="shared" si="1"/>
        <v>10</v>
      </c>
      <c r="AW38" s="162"/>
      <c r="AX38" s="162"/>
      <c r="AY38" s="162"/>
      <c r="BC38" s="539"/>
      <c r="BD38" s="539"/>
      <c r="BE38" s="539"/>
    </row>
    <row r="39" spans="1:57" ht="14.95" customHeight="1" thickBot="1" x14ac:dyDescent="0.3">
      <c r="A39" s="387" t="s">
        <v>810</v>
      </c>
      <c r="B39" s="390">
        <v>0</v>
      </c>
      <c r="C39" s="392">
        <v>0</v>
      </c>
      <c r="D39" s="412">
        <v>1</v>
      </c>
      <c r="E39" s="388">
        <f t="shared" si="0"/>
        <v>1</v>
      </c>
      <c r="F39" s="169" t="s">
        <v>810</v>
      </c>
      <c r="G39" s="144">
        <v>0</v>
      </c>
      <c r="H39" s="291">
        <v>0</v>
      </c>
      <c r="I39" s="220">
        <v>5</v>
      </c>
      <c r="J39" s="171">
        <f t="shared" si="1"/>
        <v>5</v>
      </c>
      <c r="AW39" s="87"/>
      <c r="AX39" s="87"/>
      <c r="AY39" s="87"/>
      <c r="BC39" s="539"/>
      <c r="BD39" s="539"/>
      <c r="BE39" s="539"/>
    </row>
    <row r="40" spans="1:57" ht="14.95" customHeight="1" thickBot="1" x14ac:dyDescent="0.3">
      <c r="A40" s="387" t="s">
        <v>580</v>
      </c>
      <c r="B40" s="390">
        <v>0</v>
      </c>
      <c r="C40" s="392">
        <v>0</v>
      </c>
      <c r="D40" s="412">
        <v>1</v>
      </c>
      <c r="E40" s="388">
        <f t="shared" si="0"/>
        <v>1</v>
      </c>
      <c r="F40" s="169" t="s">
        <v>580</v>
      </c>
      <c r="G40" s="144">
        <v>23</v>
      </c>
      <c r="H40" s="291">
        <v>16</v>
      </c>
      <c r="I40" s="220">
        <v>53</v>
      </c>
      <c r="J40" s="171">
        <f t="shared" si="1"/>
        <v>92</v>
      </c>
      <c r="AW40" s="87"/>
      <c r="AX40" s="87"/>
      <c r="AY40" s="87"/>
      <c r="BC40" s="87"/>
      <c r="BD40" s="87"/>
      <c r="BE40" s="87"/>
    </row>
    <row r="41" spans="1:57" ht="14.95" customHeight="1" thickBot="1" x14ac:dyDescent="0.3">
      <c r="A41" s="387" t="s">
        <v>86</v>
      </c>
      <c r="B41" s="390">
        <v>0</v>
      </c>
      <c r="C41" s="392">
        <v>0</v>
      </c>
      <c r="D41" s="412">
        <v>0</v>
      </c>
      <c r="E41" s="388">
        <f t="shared" si="0"/>
        <v>0</v>
      </c>
      <c r="F41" s="169" t="s">
        <v>86</v>
      </c>
      <c r="G41" s="144">
        <v>0</v>
      </c>
      <c r="H41" s="291">
        <v>0</v>
      </c>
      <c r="I41" s="220">
        <v>0</v>
      </c>
      <c r="J41" s="171">
        <f t="shared" si="1"/>
        <v>0</v>
      </c>
      <c r="AW41" s="87"/>
      <c r="AX41" s="87"/>
      <c r="AY41" s="175"/>
      <c r="BC41" s="87"/>
      <c r="BD41" s="87"/>
      <c r="BE41" s="87"/>
    </row>
    <row r="42" spans="1:57" ht="14.95" customHeight="1" thickBot="1" x14ac:dyDescent="0.3">
      <c r="A42" s="387" t="s">
        <v>26</v>
      </c>
      <c r="B42" s="390">
        <v>1</v>
      </c>
      <c r="C42" s="392">
        <v>0</v>
      </c>
      <c r="D42" s="412">
        <v>0</v>
      </c>
      <c r="E42" s="388">
        <f t="shared" si="0"/>
        <v>1</v>
      </c>
      <c r="F42" s="169" t="s">
        <v>26</v>
      </c>
      <c r="G42" s="144">
        <v>5</v>
      </c>
      <c r="H42" s="291">
        <v>0</v>
      </c>
      <c r="I42" s="220">
        <v>0</v>
      </c>
      <c r="J42" s="171">
        <f t="shared" si="1"/>
        <v>5</v>
      </c>
      <c r="AW42" s="87"/>
      <c r="AX42" s="87"/>
      <c r="AY42" s="175"/>
      <c r="BC42" s="87"/>
      <c r="BD42" s="87"/>
      <c r="BE42" s="175"/>
    </row>
    <row r="43" spans="1:57" ht="14.95" customHeight="1" thickBot="1" x14ac:dyDescent="0.3">
      <c r="A43" s="387" t="s">
        <v>232</v>
      </c>
      <c r="B43" s="390">
        <v>7</v>
      </c>
      <c r="C43" s="392">
        <v>0</v>
      </c>
      <c r="D43" s="412">
        <v>0</v>
      </c>
      <c r="E43" s="388">
        <f t="shared" si="0"/>
        <v>7</v>
      </c>
      <c r="F43" s="169" t="s">
        <v>232</v>
      </c>
      <c r="G43" s="144">
        <v>35</v>
      </c>
      <c r="H43" s="291">
        <v>2</v>
      </c>
      <c r="I43" s="220">
        <v>0</v>
      </c>
      <c r="J43" s="171">
        <f t="shared" si="1"/>
        <v>37</v>
      </c>
      <c r="BC43" s="87"/>
      <c r="BD43" s="87"/>
      <c r="BE43" s="175"/>
    </row>
    <row r="44" spans="1:57" ht="14.95" customHeight="1" thickBot="1" x14ac:dyDescent="0.3">
      <c r="A44" s="387" t="s">
        <v>666</v>
      </c>
      <c r="B44" s="390">
        <v>0</v>
      </c>
      <c r="C44" s="392">
        <v>0</v>
      </c>
      <c r="D44" s="412">
        <v>2</v>
      </c>
      <c r="E44" s="388">
        <f t="shared" si="0"/>
        <v>2</v>
      </c>
      <c r="F44" s="169" t="s">
        <v>667</v>
      </c>
      <c r="G44" s="144">
        <v>0</v>
      </c>
      <c r="H44" s="291">
        <v>0</v>
      </c>
      <c r="I44" s="220">
        <v>10</v>
      </c>
      <c r="J44" s="171">
        <f t="shared" si="1"/>
        <v>10</v>
      </c>
      <c r="BC44" s="87"/>
      <c r="BD44" s="87"/>
      <c r="BE44" s="175"/>
    </row>
    <row r="45" spans="1:57" ht="14.95" customHeight="1" thickBot="1" x14ac:dyDescent="0.3">
      <c r="A45" s="387" t="s">
        <v>1079</v>
      </c>
      <c r="B45" s="390">
        <v>0</v>
      </c>
      <c r="C45" s="392">
        <v>0</v>
      </c>
      <c r="D45" s="412">
        <v>0</v>
      </c>
      <c r="E45" s="388">
        <f t="shared" si="0"/>
        <v>0</v>
      </c>
      <c r="F45" s="169" t="s">
        <v>1079</v>
      </c>
      <c r="G45" s="144">
        <v>0</v>
      </c>
      <c r="H45" s="291">
        <v>0</v>
      </c>
      <c r="I45" s="220">
        <v>4</v>
      </c>
      <c r="J45" s="171">
        <f t="shared" si="1"/>
        <v>4</v>
      </c>
      <c r="BC45" s="87"/>
      <c r="BD45" s="87"/>
      <c r="BE45" s="87"/>
    </row>
    <row r="46" spans="1:57" ht="14.95" thickBot="1" x14ac:dyDescent="0.3">
      <c r="A46" s="387" t="s">
        <v>446</v>
      </c>
      <c r="B46" s="390">
        <v>0</v>
      </c>
      <c r="C46" s="392">
        <v>0</v>
      </c>
      <c r="D46" s="412">
        <v>1</v>
      </c>
      <c r="E46" s="388">
        <f t="shared" si="0"/>
        <v>1</v>
      </c>
      <c r="F46" s="169" t="s">
        <v>446</v>
      </c>
      <c r="G46" s="144">
        <v>0</v>
      </c>
      <c r="H46" s="291">
        <v>0</v>
      </c>
      <c r="I46" s="220">
        <v>5</v>
      </c>
      <c r="J46" s="171">
        <f t="shared" si="1"/>
        <v>5</v>
      </c>
    </row>
    <row r="47" spans="1:57" ht="14.95" thickBot="1" x14ac:dyDescent="0.3">
      <c r="A47" s="387" t="s">
        <v>1077</v>
      </c>
      <c r="B47" s="390">
        <v>0</v>
      </c>
      <c r="C47" s="392">
        <v>0</v>
      </c>
      <c r="D47" s="412">
        <v>1</v>
      </c>
      <c r="E47" s="388">
        <f t="shared" si="0"/>
        <v>1</v>
      </c>
      <c r="F47" s="169" t="s">
        <v>1077</v>
      </c>
      <c r="G47" s="144">
        <v>0</v>
      </c>
      <c r="H47" s="291">
        <v>0</v>
      </c>
      <c r="I47" s="220">
        <v>5</v>
      </c>
      <c r="J47" s="171">
        <f t="shared" si="1"/>
        <v>5</v>
      </c>
    </row>
    <row r="48" spans="1:57" ht="14.95" thickBot="1" x14ac:dyDescent="0.3">
      <c r="A48" s="387" t="s">
        <v>319</v>
      </c>
      <c r="B48" s="390">
        <v>4</v>
      </c>
      <c r="C48" s="392">
        <v>2</v>
      </c>
      <c r="D48" s="412">
        <v>0</v>
      </c>
      <c r="E48" s="388">
        <f t="shared" si="0"/>
        <v>6</v>
      </c>
      <c r="F48" s="169" t="s">
        <v>319</v>
      </c>
      <c r="G48" s="144">
        <v>20</v>
      </c>
      <c r="H48" s="291">
        <v>10</v>
      </c>
      <c r="I48" s="220">
        <v>0</v>
      </c>
      <c r="J48" s="171">
        <f t="shared" si="1"/>
        <v>30</v>
      </c>
    </row>
    <row r="49" spans="1:10" ht="14.95" thickBot="1" x14ac:dyDescent="0.3">
      <c r="A49" s="387" t="s">
        <v>935</v>
      </c>
      <c r="B49" s="390">
        <v>0</v>
      </c>
      <c r="C49" s="392">
        <v>0</v>
      </c>
      <c r="D49" s="412">
        <v>1</v>
      </c>
      <c r="E49" s="388">
        <f t="shared" si="0"/>
        <v>1</v>
      </c>
      <c r="F49" s="169" t="s">
        <v>935</v>
      </c>
      <c r="G49" s="144">
        <v>6</v>
      </c>
      <c r="H49" s="291">
        <v>0</v>
      </c>
      <c r="I49" s="220">
        <v>19</v>
      </c>
      <c r="J49" s="171">
        <f t="shared" si="1"/>
        <v>25</v>
      </c>
    </row>
    <row r="50" spans="1:10" ht="14.95" thickBot="1" x14ac:dyDescent="0.3">
      <c r="A50" s="387" t="s">
        <v>794</v>
      </c>
      <c r="B50" s="390">
        <v>1</v>
      </c>
      <c r="C50" s="392">
        <v>0</v>
      </c>
      <c r="D50" s="412">
        <v>6</v>
      </c>
      <c r="E50" s="388">
        <f t="shared" si="0"/>
        <v>7</v>
      </c>
      <c r="F50" s="169" t="s">
        <v>794</v>
      </c>
      <c r="G50" s="144">
        <v>5</v>
      </c>
      <c r="H50" s="291">
        <v>0</v>
      </c>
      <c r="I50" s="220">
        <v>30</v>
      </c>
      <c r="J50" s="171">
        <f t="shared" si="1"/>
        <v>35</v>
      </c>
    </row>
    <row r="51" spans="1:10" ht="14.95" thickBot="1" x14ac:dyDescent="0.3">
      <c r="A51" s="387" t="s">
        <v>28</v>
      </c>
      <c r="B51" s="390">
        <v>1</v>
      </c>
      <c r="C51" s="392">
        <v>0</v>
      </c>
      <c r="D51" s="412">
        <v>0</v>
      </c>
      <c r="E51" s="388">
        <f t="shared" si="0"/>
        <v>1</v>
      </c>
      <c r="F51" s="169" t="s">
        <v>28</v>
      </c>
      <c r="G51" s="144">
        <v>5</v>
      </c>
      <c r="H51" s="291">
        <v>0</v>
      </c>
      <c r="I51" s="220">
        <v>0</v>
      </c>
      <c r="J51" s="171">
        <f t="shared" si="1"/>
        <v>5</v>
      </c>
    </row>
    <row r="52" spans="1:10" ht="14.95" thickBot="1" x14ac:dyDescent="0.3">
      <c r="A52" s="387" t="s">
        <v>175</v>
      </c>
      <c r="B52" s="390">
        <v>1</v>
      </c>
      <c r="C52" s="392">
        <v>1</v>
      </c>
      <c r="D52" s="412">
        <v>0</v>
      </c>
      <c r="E52" s="388">
        <f t="shared" si="0"/>
        <v>2</v>
      </c>
      <c r="F52" s="169" t="s">
        <v>175</v>
      </c>
      <c r="G52" s="144">
        <v>5</v>
      </c>
      <c r="H52" s="291">
        <v>5</v>
      </c>
      <c r="I52" s="220">
        <v>0</v>
      </c>
      <c r="J52" s="171">
        <f t="shared" si="1"/>
        <v>10</v>
      </c>
    </row>
    <row r="53" spans="1:10" ht="14.95" thickBot="1" x14ac:dyDescent="0.3">
      <c r="A53" s="387" t="s">
        <v>348</v>
      </c>
      <c r="B53" s="390">
        <v>0</v>
      </c>
      <c r="C53" s="392">
        <v>0</v>
      </c>
      <c r="D53" s="412">
        <v>2</v>
      </c>
      <c r="E53" s="388">
        <f t="shared" ref="E53" si="19">SUM(B53:D53)</f>
        <v>2</v>
      </c>
      <c r="F53" s="169" t="s">
        <v>348</v>
      </c>
      <c r="G53" s="144">
        <v>0</v>
      </c>
      <c r="H53" s="291">
        <v>0</v>
      </c>
      <c r="I53" s="220">
        <v>14</v>
      </c>
      <c r="J53" s="171">
        <f t="shared" si="1"/>
        <v>14</v>
      </c>
    </row>
    <row r="54" spans="1:10" ht="14.95" thickBot="1" x14ac:dyDescent="0.3">
      <c r="A54" s="387" t="s">
        <v>389</v>
      </c>
      <c r="B54" s="390">
        <v>0</v>
      </c>
      <c r="C54" s="392">
        <v>0</v>
      </c>
      <c r="D54" s="412">
        <v>1</v>
      </c>
      <c r="E54" s="388">
        <f t="shared" si="0"/>
        <v>1</v>
      </c>
      <c r="F54" s="169" t="s">
        <v>389</v>
      </c>
      <c r="G54" s="144">
        <v>0</v>
      </c>
      <c r="H54" s="291">
        <v>0</v>
      </c>
      <c r="I54" s="220">
        <v>5</v>
      </c>
      <c r="J54" s="171">
        <f t="shared" si="1"/>
        <v>5</v>
      </c>
    </row>
    <row r="55" spans="1:10" ht="14.95" thickBot="1" x14ac:dyDescent="0.3">
      <c r="A55" s="387" t="s">
        <v>5</v>
      </c>
      <c r="B55" s="390">
        <v>0</v>
      </c>
      <c r="C55" s="392">
        <v>0</v>
      </c>
      <c r="D55" s="412">
        <v>0</v>
      </c>
      <c r="E55" s="388">
        <f t="shared" si="0"/>
        <v>0</v>
      </c>
      <c r="F55" s="169" t="s">
        <v>5</v>
      </c>
      <c r="G55" s="144">
        <v>0</v>
      </c>
      <c r="H55" s="291">
        <v>0</v>
      </c>
      <c r="I55" s="220">
        <v>0</v>
      </c>
      <c r="J55" s="171">
        <f t="shared" si="1"/>
        <v>0</v>
      </c>
    </row>
    <row r="56" spans="1:10" ht="14.95" thickBot="1" x14ac:dyDescent="0.3">
      <c r="A56" s="387" t="s">
        <v>72</v>
      </c>
      <c r="B56" s="390">
        <v>1</v>
      </c>
      <c r="C56" s="392">
        <v>0</v>
      </c>
      <c r="D56" s="412">
        <v>1</v>
      </c>
      <c r="E56" s="388">
        <f t="shared" ref="E56" si="20">SUM(B56:D56)</f>
        <v>2</v>
      </c>
      <c r="F56" s="169" t="s">
        <v>72</v>
      </c>
      <c r="G56" s="144">
        <v>5</v>
      </c>
      <c r="H56" s="291">
        <v>0</v>
      </c>
      <c r="I56" s="220">
        <v>5</v>
      </c>
      <c r="J56" s="171">
        <f t="shared" ref="J56" si="21">SUM(G56:I56)</f>
        <v>10</v>
      </c>
    </row>
    <row r="57" spans="1:10" ht="14.95" thickBot="1" x14ac:dyDescent="0.3">
      <c r="A57" s="387" t="s">
        <v>462</v>
      </c>
      <c r="B57" s="390">
        <v>1</v>
      </c>
      <c r="C57" s="392">
        <v>0</v>
      </c>
      <c r="D57" s="412">
        <v>0</v>
      </c>
      <c r="E57" s="388">
        <f t="shared" si="0"/>
        <v>1</v>
      </c>
      <c r="F57" s="169" t="s">
        <v>462</v>
      </c>
      <c r="G57" s="144">
        <v>5</v>
      </c>
      <c r="H57" s="291">
        <v>0</v>
      </c>
      <c r="I57" s="220">
        <v>0</v>
      </c>
      <c r="J57" s="171">
        <f t="shared" si="1"/>
        <v>5</v>
      </c>
    </row>
    <row r="58" spans="1:10" ht="14.95" thickBot="1" x14ac:dyDescent="0.3">
      <c r="A58" s="387" t="s">
        <v>3</v>
      </c>
      <c r="B58" s="390">
        <f>SUM(B3:B57)</f>
        <v>78</v>
      </c>
      <c r="C58" s="392">
        <f>SUM(C3:C57)</f>
        <v>23</v>
      </c>
      <c r="D58" s="412">
        <f>SUM(D3:D57)</f>
        <v>42</v>
      </c>
      <c r="E58" s="388">
        <f t="shared" si="0"/>
        <v>143</v>
      </c>
      <c r="F58" s="169" t="s">
        <v>3</v>
      </c>
      <c r="G58" s="144">
        <f>SUM(G3:G57)</f>
        <v>575</v>
      </c>
      <c r="H58" s="291">
        <f>SUM(H3:H57)</f>
        <v>153</v>
      </c>
      <c r="I58" s="220">
        <f>SUM(I3:I57)</f>
        <v>280</v>
      </c>
      <c r="J58" s="171">
        <f t="shared" si="1"/>
        <v>1008</v>
      </c>
    </row>
    <row r="59" spans="1:10" x14ac:dyDescent="0.25">
      <c r="B59" s="67"/>
      <c r="F59" s="38"/>
      <c r="G59" s="136"/>
      <c r="H59" s="38"/>
      <c r="I59" s="38"/>
      <c r="J59" s="38"/>
    </row>
    <row r="60" spans="1:10" ht="14.95" thickBot="1" x14ac:dyDescent="0.3">
      <c r="A60" t="s">
        <v>14</v>
      </c>
      <c r="B60" s="67"/>
      <c r="F60" s="36"/>
      <c r="G60" s="135"/>
      <c r="H60" s="36"/>
      <c r="I60" s="36"/>
      <c r="J60" s="36"/>
    </row>
    <row r="61" spans="1:10" ht="14.95" thickBot="1" x14ac:dyDescent="0.3">
      <c r="A61" s="385" t="s">
        <v>0</v>
      </c>
      <c r="B61" s="389" t="s">
        <v>259</v>
      </c>
      <c r="C61" s="391" t="s">
        <v>35</v>
      </c>
      <c r="D61" s="411" t="s">
        <v>383</v>
      </c>
      <c r="E61" s="386" t="s">
        <v>1</v>
      </c>
      <c r="F61" s="167" t="s">
        <v>2</v>
      </c>
      <c r="G61" s="143" t="s">
        <v>259</v>
      </c>
      <c r="H61" s="290" t="s">
        <v>35</v>
      </c>
      <c r="I61" s="219" t="s">
        <v>383</v>
      </c>
      <c r="J61" s="170" t="s">
        <v>1</v>
      </c>
    </row>
    <row r="62" spans="1:10" ht="14.95" thickBot="1" x14ac:dyDescent="0.3">
      <c r="A62" s="387" t="s">
        <v>577</v>
      </c>
      <c r="B62" s="390">
        <v>13</v>
      </c>
      <c r="C62" s="392">
        <v>3</v>
      </c>
      <c r="D62" s="412">
        <v>2</v>
      </c>
      <c r="E62" s="388">
        <f t="shared" ref="E62:E93" si="22">SUM(B62:D62)</f>
        <v>18</v>
      </c>
      <c r="F62" s="168" t="s">
        <v>543</v>
      </c>
      <c r="G62" s="144">
        <v>159</v>
      </c>
      <c r="H62" s="291">
        <v>25</v>
      </c>
      <c r="I62" s="220">
        <v>0</v>
      </c>
      <c r="J62" s="171">
        <f t="shared" ref="J62:J93" si="23">SUM(G62:I62)</f>
        <v>184</v>
      </c>
    </row>
    <row r="63" spans="1:10" ht="14.95" thickBot="1" x14ac:dyDescent="0.3">
      <c r="A63" s="387" t="s">
        <v>292</v>
      </c>
      <c r="B63" s="390">
        <v>10</v>
      </c>
      <c r="C63" s="392">
        <v>0</v>
      </c>
      <c r="D63" s="412">
        <v>1</v>
      </c>
      <c r="E63" s="388">
        <f t="shared" si="22"/>
        <v>11</v>
      </c>
      <c r="F63" s="168" t="s">
        <v>580</v>
      </c>
      <c r="G63" s="144">
        <v>23</v>
      </c>
      <c r="H63" s="291">
        <v>16</v>
      </c>
      <c r="I63" s="220">
        <v>53</v>
      </c>
      <c r="J63" s="171">
        <f t="shared" si="23"/>
        <v>92</v>
      </c>
    </row>
    <row r="64" spans="1:10" ht="14.95" thickBot="1" x14ac:dyDescent="0.3">
      <c r="A64" s="387" t="s">
        <v>9</v>
      </c>
      <c r="B64" s="390">
        <v>3</v>
      </c>
      <c r="C64" s="392">
        <v>4</v>
      </c>
      <c r="D64" s="412">
        <v>2</v>
      </c>
      <c r="E64" s="388">
        <f t="shared" si="22"/>
        <v>9</v>
      </c>
      <c r="F64" s="168" t="s">
        <v>577</v>
      </c>
      <c r="G64" s="144">
        <v>65</v>
      </c>
      <c r="H64" s="291">
        <v>15</v>
      </c>
      <c r="I64" s="220">
        <v>10</v>
      </c>
      <c r="J64" s="171">
        <f t="shared" si="23"/>
        <v>90</v>
      </c>
    </row>
    <row r="65" spans="1:10" ht="14.95" thickBot="1" x14ac:dyDescent="0.3">
      <c r="A65" s="387" t="s">
        <v>481</v>
      </c>
      <c r="B65" s="390">
        <v>4</v>
      </c>
      <c r="C65" s="392">
        <v>1</v>
      </c>
      <c r="D65" s="412">
        <v>3</v>
      </c>
      <c r="E65" s="388">
        <f t="shared" si="22"/>
        <v>8</v>
      </c>
      <c r="F65" s="168" t="s">
        <v>292</v>
      </c>
      <c r="G65" s="144">
        <v>50</v>
      </c>
      <c r="H65" s="291">
        <v>0</v>
      </c>
      <c r="I65" s="220">
        <v>5</v>
      </c>
      <c r="J65" s="171">
        <f t="shared" si="23"/>
        <v>55</v>
      </c>
    </row>
    <row r="66" spans="1:10" ht="14.95" thickBot="1" x14ac:dyDescent="0.3">
      <c r="A66" s="387" t="s">
        <v>465</v>
      </c>
      <c r="B66" s="390">
        <v>3</v>
      </c>
      <c r="C66" s="392">
        <v>2</v>
      </c>
      <c r="D66" s="412">
        <v>3</v>
      </c>
      <c r="E66" s="388">
        <f t="shared" si="22"/>
        <v>8</v>
      </c>
      <c r="F66" s="168" t="s">
        <v>9</v>
      </c>
      <c r="G66" s="144">
        <v>15</v>
      </c>
      <c r="H66" s="291">
        <v>20</v>
      </c>
      <c r="I66" s="220">
        <v>10</v>
      </c>
      <c r="J66" s="171">
        <f t="shared" si="23"/>
        <v>45</v>
      </c>
    </row>
    <row r="67" spans="1:10" ht="14.95" thickBot="1" x14ac:dyDescent="0.3">
      <c r="A67" s="387" t="s">
        <v>247</v>
      </c>
      <c r="B67" s="390">
        <v>6</v>
      </c>
      <c r="C67" s="392">
        <v>1</v>
      </c>
      <c r="D67" s="412">
        <v>1</v>
      </c>
      <c r="E67" s="388">
        <f t="shared" si="22"/>
        <v>8</v>
      </c>
      <c r="F67" s="168" t="s">
        <v>481</v>
      </c>
      <c r="G67" s="144">
        <v>20</v>
      </c>
      <c r="H67" s="291">
        <v>5</v>
      </c>
      <c r="I67" s="220">
        <v>15</v>
      </c>
      <c r="J67" s="171">
        <f t="shared" si="23"/>
        <v>40</v>
      </c>
    </row>
    <row r="68" spans="1:10" ht="14.95" thickBot="1" x14ac:dyDescent="0.3">
      <c r="A68" s="387" t="s">
        <v>232</v>
      </c>
      <c r="B68" s="390">
        <v>7</v>
      </c>
      <c r="C68" s="392">
        <v>0</v>
      </c>
      <c r="D68" s="412">
        <v>0</v>
      </c>
      <c r="E68" s="388">
        <f t="shared" si="22"/>
        <v>7</v>
      </c>
      <c r="F68" s="168" t="s">
        <v>465</v>
      </c>
      <c r="G68" s="144">
        <v>15</v>
      </c>
      <c r="H68" s="291">
        <v>10</v>
      </c>
      <c r="I68" s="220">
        <v>15</v>
      </c>
      <c r="J68" s="171">
        <f t="shared" si="23"/>
        <v>40</v>
      </c>
    </row>
    <row r="69" spans="1:10" ht="14.95" thickBot="1" x14ac:dyDescent="0.3">
      <c r="A69" s="387" t="s">
        <v>794</v>
      </c>
      <c r="B69" s="390">
        <v>1</v>
      </c>
      <c r="C69" s="392">
        <v>0</v>
      </c>
      <c r="D69" s="412">
        <v>6</v>
      </c>
      <c r="E69" s="388">
        <f t="shared" si="22"/>
        <v>7</v>
      </c>
      <c r="F69" s="168" t="s">
        <v>247</v>
      </c>
      <c r="G69" s="144">
        <v>30</v>
      </c>
      <c r="H69" s="291">
        <v>5</v>
      </c>
      <c r="I69" s="220">
        <v>5</v>
      </c>
      <c r="J69" s="171">
        <f t="shared" si="23"/>
        <v>40</v>
      </c>
    </row>
    <row r="70" spans="1:10" ht="14.95" thickBot="1" x14ac:dyDescent="0.3">
      <c r="A70" s="387" t="s">
        <v>792</v>
      </c>
      <c r="B70" s="390">
        <v>3</v>
      </c>
      <c r="C70" s="392">
        <v>2</v>
      </c>
      <c r="D70" s="412">
        <v>1</v>
      </c>
      <c r="E70" s="388">
        <f t="shared" si="22"/>
        <v>6</v>
      </c>
      <c r="F70" s="168" t="s">
        <v>232</v>
      </c>
      <c r="G70" s="144">
        <v>35</v>
      </c>
      <c r="H70" s="291">
        <v>2</v>
      </c>
      <c r="I70" s="220">
        <v>0</v>
      </c>
      <c r="J70" s="171">
        <f t="shared" si="23"/>
        <v>37</v>
      </c>
    </row>
    <row r="71" spans="1:10" ht="14.95" thickBot="1" x14ac:dyDescent="0.3">
      <c r="A71" s="387" t="s">
        <v>319</v>
      </c>
      <c r="B71" s="390">
        <v>4</v>
      </c>
      <c r="C71" s="392">
        <v>2</v>
      </c>
      <c r="D71" s="412">
        <v>0</v>
      </c>
      <c r="E71" s="388">
        <f t="shared" si="22"/>
        <v>6</v>
      </c>
      <c r="F71" s="168" t="s">
        <v>794</v>
      </c>
      <c r="G71" s="144">
        <v>5</v>
      </c>
      <c r="H71" s="291">
        <v>0</v>
      </c>
      <c r="I71" s="220">
        <v>30</v>
      </c>
      <c r="J71" s="171">
        <f t="shared" si="23"/>
        <v>35</v>
      </c>
    </row>
    <row r="72" spans="1:10" ht="14.95" thickBot="1" x14ac:dyDescent="0.3">
      <c r="A72" s="387" t="s">
        <v>1269</v>
      </c>
      <c r="B72" s="390">
        <v>0</v>
      </c>
      <c r="C72" s="392">
        <v>0</v>
      </c>
      <c r="D72" s="412">
        <v>4</v>
      </c>
      <c r="E72" s="388">
        <f t="shared" si="22"/>
        <v>4</v>
      </c>
      <c r="F72" s="168" t="s">
        <v>792</v>
      </c>
      <c r="G72" s="144">
        <v>15</v>
      </c>
      <c r="H72" s="291">
        <v>10</v>
      </c>
      <c r="I72" s="220">
        <v>5</v>
      </c>
      <c r="J72" s="171">
        <f t="shared" si="23"/>
        <v>30</v>
      </c>
    </row>
    <row r="73" spans="1:10" ht="14.95" thickBot="1" x14ac:dyDescent="0.3">
      <c r="A73" s="387" t="s">
        <v>425</v>
      </c>
      <c r="B73" s="390">
        <v>3</v>
      </c>
      <c r="C73" s="392">
        <v>1</v>
      </c>
      <c r="D73" s="412">
        <v>0</v>
      </c>
      <c r="E73" s="388">
        <f t="shared" si="22"/>
        <v>4</v>
      </c>
      <c r="F73" s="168" t="s">
        <v>319</v>
      </c>
      <c r="G73" s="144">
        <v>20</v>
      </c>
      <c r="H73" s="291">
        <v>10</v>
      </c>
      <c r="I73" s="220">
        <v>0</v>
      </c>
      <c r="J73" s="171">
        <f t="shared" si="23"/>
        <v>30</v>
      </c>
    </row>
    <row r="74" spans="1:10" ht="14.95" thickBot="1" x14ac:dyDescent="0.3">
      <c r="A74" s="387" t="s">
        <v>315</v>
      </c>
      <c r="B74" s="390">
        <v>1</v>
      </c>
      <c r="C74" s="392">
        <v>2</v>
      </c>
      <c r="D74" s="412">
        <v>0</v>
      </c>
      <c r="E74" s="388">
        <f t="shared" si="22"/>
        <v>3</v>
      </c>
      <c r="F74" s="168" t="s">
        <v>935</v>
      </c>
      <c r="G74" s="144">
        <v>6</v>
      </c>
      <c r="H74" s="291">
        <v>0</v>
      </c>
      <c r="I74" s="220">
        <v>19</v>
      </c>
      <c r="J74" s="171">
        <f t="shared" si="23"/>
        <v>25</v>
      </c>
    </row>
    <row r="75" spans="1:10" ht="14.95" thickBot="1" x14ac:dyDescent="0.3">
      <c r="A75" s="387" t="s">
        <v>301</v>
      </c>
      <c r="B75" s="390">
        <v>1</v>
      </c>
      <c r="C75" s="392">
        <v>1</v>
      </c>
      <c r="D75" s="412">
        <v>0</v>
      </c>
      <c r="E75" s="388">
        <f t="shared" si="22"/>
        <v>2</v>
      </c>
      <c r="F75" s="169" t="s">
        <v>1269</v>
      </c>
      <c r="G75" s="144">
        <v>0</v>
      </c>
      <c r="H75" s="291">
        <v>0</v>
      </c>
      <c r="I75" s="220">
        <v>20</v>
      </c>
      <c r="J75" s="171">
        <f t="shared" si="23"/>
        <v>20</v>
      </c>
    </row>
    <row r="76" spans="1:10" ht="14.95" thickBot="1" x14ac:dyDescent="0.3">
      <c r="A76" s="387" t="s">
        <v>578</v>
      </c>
      <c r="B76" s="390">
        <v>0</v>
      </c>
      <c r="C76" s="392">
        <v>0</v>
      </c>
      <c r="D76" s="412">
        <v>2</v>
      </c>
      <c r="E76" s="388">
        <f t="shared" si="22"/>
        <v>2</v>
      </c>
      <c r="F76" s="169" t="s">
        <v>425</v>
      </c>
      <c r="G76" s="144">
        <v>15</v>
      </c>
      <c r="H76" s="291">
        <v>5</v>
      </c>
      <c r="I76" s="220">
        <v>0</v>
      </c>
      <c r="J76" s="171">
        <f t="shared" si="23"/>
        <v>20</v>
      </c>
    </row>
    <row r="77" spans="1:10" ht="14.95" thickBot="1" x14ac:dyDescent="0.3">
      <c r="A77" s="387" t="s">
        <v>245</v>
      </c>
      <c r="B77" s="390">
        <v>2</v>
      </c>
      <c r="C77" s="392">
        <v>0</v>
      </c>
      <c r="D77" s="412">
        <v>0</v>
      </c>
      <c r="E77" s="388">
        <f t="shared" si="22"/>
        <v>2</v>
      </c>
      <c r="F77" s="169" t="s">
        <v>315</v>
      </c>
      <c r="G77" s="144">
        <v>5</v>
      </c>
      <c r="H77" s="291">
        <v>10</v>
      </c>
      <c r="I77" s="220">
        <v>0</v>
      </c>
      <c r="J77" s="171">
        <f t="shared" si="23"/>
        <v>15</v>
      </c>
    </row>
    <row r="78" spans="1:10" ht="14.95" thickBot="1" x14ac:dyDescent="0.3">
      <c r="A78" s="387" t="s">
        <v>320</v>
      </c>
      <c r="B78" s="390">
        <v>2</v>
      </c>
      <c r="C78" s="392">
        <v>0</v>
      </c>
      <c r="D78" s="412">
        <v>0</v>
      </c>
      <c r="E78" s="388">
        <f t="shared" si="22"/>
        <v>2</v>
      </c>
      <c r="F78" s="169" t="s">
        <v>348</v>
      </c>
      <c r="G78" s="144">
        <v>0</v>
      </c>
      <c r="H78" s="291">
        <v>0</v>
      </c>
      <c r="I78" s="220">
        <v>14</v>
      </c>
      <c r="J78" s="171">
        <f t="shared" si="23"/>
        <v>14</v>
      </c>
    </row>
    <row r="79" spans="1:10" ht="14.95" thickBot="1" x14ac:dyDescent="0.3">
      <c r="A79" s="387" t="s">
        <v>431</v>
      </c>
      <c r="B79" s="390">
        <v>0</v>
      </c>
      <c r="C79" s="392">
        <v>0</v>
      </c>
      <c r="D79" s="412">
        <v>2</v>
      </c>
      <c r="E79" s="388">
        <f t="shared" si="22"/>
        <v>2</v>
      </c>
      <c r="F79" s="169" t="s">
        <v>301</v>
      </c>
      <c r="G79" s="144">
        <v>5</v>
      </c>
      <c r="H79" s="291">
        <v>5</v>
      </c>
      <c r="I79" s="220">
        <v>0</v>
      </c>
      <c r="J79" s="171">
        <f t="shared" si="23"/>
        <v>10</v>
      </c>
    </row>
    <row r="80" spans="1:10" ht="14.95" thickBot="1" x14ac:dyDescent="0.3">
      <c r="A80" s="387" t="s">
        <v>543</v>
      </c>
      <c r="B80" s="390">
        <v>1</v>
      </c>
      <c r="C80" s="392">
        <v>1</v>
      </c>
      <c r="D80" s="412">
        <v>0</v>
      </c>
      <c r="E80" s="388">
        <f t="shared" si="22"/>
        <v>2</v>
      </c>
      <c r="F80" s="169" t="s">
        <v>578</v>
      </c>
      <c r="G80" s="144">
        <v>0</v>
      </c>
      <c r="H80" s="291">
        <v>0</v>
      </c>
      <c r="I80" s="220">
        <v>10</v>
      </c>
      <c r="J80" s="171">
        <f t="shared" si="23"/>
        <v>10</v>
      </c>
    </row>
    <row r="81" spans="1:10" ht="14.95" thickBot="1" x14ac:dyDescent="0.3">
      <c r="A81" s="387" t="s">
        <v>579</v>
      </c>
      <c r="B81" s="390">
        <v>1</v>
      </c>
      <c r="C81" s="392">
        <v>0</v>
      </c>
      <c r="D81" s="412">
        <v>1</v>
      </c>
      <c r="E81" s="388">
        <f t="shared" si="22"/>
        <v>2</v>
      </c>
      <c r="F81" s="169" t="s">
        <v>245</v>
      </c>
      <c r="G81" s="144">
        <v>10</v>
      </c>
      <c r="H81" s="291">
        <v>0</v>
      </c>
      <c r="I81" s="220">
        <v>0</v>
      </c>
      <c r="J81" s="171">
        <f t="shared" si="23"/>
        <v>10</v>
      </c>
    </row>
    <row r="82" spans="1:10" ht="14.95" thickBot="1" x14ac:dyDescent="0.3">
      <c r="A82" s="387" t="s">
        <v>666</v>
      </c>
      <c r="B82" s="390">
        <v>0</v>
      </c>
      <c r="C82" s="392">
        <v>0</v>
      </c>
      <c r="D82" s="412">
        <v>2</v>
      </c>
      <c r="E82" s="388">
        <f t="shared" si="22"/>
        <v>2</v>
      </c>
      <c r="F82" s="169" t="s">
        <v>320</v>
      </c>
      <c r="G82" s="144">
        <v>10</v>
      </c>
      <c r="H82" s="291">
        <v>0</v>
      </c>
      <c r="I82" s="220">
        <v>0</v>
      </c>
      <c r="J82" s="171">
        <f t="shared" si="23"/>
        <v>10</v>
      </c>
    </row>
    <row r="83" spans="1:10" ht="14.95" thickBot="1" x14ac:dyDescent="0.3">
      <c r="A83" s="387" t="s">
        <v>175</v>
      </c>
      <c r="B83" s="390">
        <v>1</v>
      </c>
      <c r="C83" s="392">
        <v>1</v>
      </c>
      <c r="D83" s="412">
        <v>0</v>
      </c>
      <c r="E83" s="388">
        <f t="shared" si="22"/>
        <v>2</v>
      </c>
      <c r="F83" s="169" t="s">
        <v>431</v>
      </c>
      <c r="G83" s="144">
        <v>0</v>
      </c>
      <c r="H83" s="291">
        <v>0</v>
      </c>
      <c r="I83" s="220">
        <v>10</v>
      </c>
      <c r="J83" s="171">
        <f t="shared" si="23"/>
        <v>10</v>
      </c>
    </row>
    <row r="84" spans="1:10" ht="14.95" thickBot="1" x14ac:dyDescent="0.3">
      <c r="A84" s="387" t="s">
        <v>348</v>
      </c>
      <c r="B84" s="390">
        <v>0</v>
      </c>
      <c r="C84" s="392">
        <v>0</v>
      </c>
      <c r="D84" s="412">
        <v>2</v>
      </c>
      <c r="E84" s="388">
        <f t="shared" si="22"/>
        <v>2</v>
      </c>
      <c r="F84" s="169" t="s">
        <v>579</v>
      </c>
      <c r="G84" s="144">
        <v>5</v>
      </c>
      <c r="H84" s="291">
        <v>0</v>
      </c>
      <c r="I84" s="220">
        <v>5</v>
      </c>
      <c r="J84" s="171">
        <f t="shared" si="23"/>
        <v>10</v>
      </c>
    </row>
    <row r="85" spans="1:10" ht="14.95" thickBot="1" x14ac:dyDescent="0.3">
      <c r="A85" s="387" t="s">
        <v>72</v>
      </c>
      <c r="B85" s="390">
        <v>1</v>
      </c>
      <c r="C85" s="392">
        <v>0</v>
      </c>
      <c r="D85" s="412">
        <v>1</v>
      </c>
      <c r="E85" s="388">
        <f t="shared" si="22"/>
        <v>2</v>
      </c>
      <c r="F85" s="169" t="s">
        <v>667</v>
      </c>
      <c r="G85" s="144">
        <v>0</v>
      </c>
      <c r="H85" s="291">
        <v>0</v>
      </c>
      <c r="I85" s="220">
        <v>10</v>
      </c>
      <c r="J85" s="171">
        <f t="shared" si="23"/>
        <v>10</v>
      </c>
    </row>
    <row r="86" spans="1:10" ht="14.95" thickBot="1" x14ac:dyDescent="0.3">
      <c r="A86" s="387" t="s">
        <v>801</v>
      </c>
      <c r="B86" s="390">
        <v>0</v>
      </c>
      <c r="C86" s="392">
        <v>0</v>
      </c>
      <c r="D86" s="412">
        <v>1</v>
      </c>
      <c r="E86" s="388">
        <f t="shared" si="22"/>
        <v>1</v>
      </c>
      <c r="F86" s="169" t="s">
        <v>175</v>
      </c>
      <c r="G86" s="144">
        <v>5</v>
      </c>
      <c r="H86" s="291">
        <v>5</v>
      </c>
      <c r="I86" s="220">
        <v>0</v>
      </c>
      <c r="J86" s="171">
        <f t="shared" si="23"/>
        <v>10</v>
      </c>
    </row>
    <row r="87" spans="1:10" ht="14.95" thickBot="1" x14ac:dyDescent="0.3">
      <c r="A87" s="387" t="s">
        <v>7</v>
      </c>
      <c r="B87" s="390">
        <v>1</v>
      </c>
      <c r="C87" s="392">
        <v>0</v>
      </c>
      <c r="D87" s="412">
        <v>0</v>
      </c>
      <c r="E87" s="388">
        <f t="shared" si="22"/>
        <v>1</v>
      </c>
      <c r="F87" s="169" t="s">
        <v>72</v>
      </c>
      <c r="G87" s="144">
        <v>5</v>
      </c>
      <c r="H87" s="291">
        <v>0</v>
      </c>
      <c r="I87" s="220">
        <v>5</v>
      </c>
      <c r="J87" s="171">
        <f t="shared" si="23"/>
        <v>10</v>
      </c>
    </row>
    <row r="88" spans="1:10" ht="14.95" thickBot="1" x14ac:dyDescent="0.3">
      <c r="A88" s="387" t="s">
        <v>328</v>
      </c>
      <c r="B88" s="390">
        <v>1</v>
      </c>
      <c r="C88" s="392">
        <v>0</v>
      </c>
      <c r="D88" s="412">
        <v>0</v>
      </c>
      <c r="E88" s="388">
        <f t="shared" si="22"/>
        <v>1</v>
      </c>
      <c r="F88" s="169" t="s">
        <v>4</v>
      </c>
      <c r="G88" s="144">
        <v>7</v>
      </c>
      <c r="H88" s="291">
        <v>0</v>
      </c>
      <c r="I88" s="220">
        <v>0</v>
      </c>
      <c r="J88" s="171">
        <f t="shared" si="23"/>
        <v>7</v>
      </c>
    </row>
    <row r="89" spans="1:10" ht="14.95" thickBot="1" x14ac:dyDescent="0.3">
      <c r="A89" s="387" t="s">
        <v>40</v>
      </c>
      <c r="B89" s="390">
        <v>1</v>
      </c>
      <c r="C89" s="392">
        <v>0</v>
      </c>
      <c r="D89" s="412">
        <v>0</v>
      </c>
      <c r="E89" s="388">
        <f t="shared" si="22"/>
        <v>1</v>
      </c>
      <c r="F89" s="169" t="s">
        <v>801</v>
      </c>
      <c r="G89" s="144">
        <v>0</v>
      </c>
      <c r="H89" s="291">
        <v>0</v>
      </c>
      <c r="I89" s="220">
        <v>5</v>
      </c>
      <c r="J89" s="171">
        <f t="shared" si="23"/>
        <v>5</v>
      </c>
    </row>
    <row r="90" spans="1:10" ht="14.95" thickBot="1" x14ac:dyDescent="0.3">
      <c r="A90" s="387" t="s">
        <v>471</v>
      </c>
      <c r="B90" s="390">
        <v>1</v>
      </c>
      <c r="C90" s="392">
        <v>0</v>
      </c>
      <c r="D90" s="412">
        <v>0</v>
      </c>
      <c r="E90" s="388">
        <f t="shared" si="22"/>
        <v>1</v>
      </c>
      <c r="F90" s="169" t="s">
        <v>7</v>
      </c>
      <c r="G90" s="144">
        <v>5</v>
      </c>
      <c r="H90" s="291">
        <v>0</v>
      </c>
      <c r="I90" s="220">
        <v>0</v>
      </c>
      <c r="J90" s="171">
        <f t="shared" si="23"/>
        <v>5</v>
      </c>
    </row>
    <row r="91" spans="1:10" ht="14.95" thickBot="1" x14ac:dyDescent="0.3">
      <c r="A91" s="387" t="s">
        <v>280</v>
      </c>
      <c r="B91" s="390">
        <v>1</v>
      </c>
      <c r="C91" s="392">
        <v>0</v>
      </c>
      <c r="D91" s="412">
        <v>0</v>
      </c>
      <c r="E91" s="388">
        <f t="shared" si="22"/>
        <v>1</v>
      </c>
      <c r="F91" s="169" t="s">
        <v>328</v>
      </c>
      <c r="G91" s="144">
        <v>5</v>
      </c>
      <c r="H91" s="291">
        <v>0</v>
      </c>
      <c r="I91" s="220">
        <v>0</v>
      </c>
      <c r="J91" s="171">
        <f t="shared" si="23"/>
        <v>5</v>
      </c>
    </row>
    <row r="92" spans="1:10" ht="14.95" thickBot="1" x14ac:dyDescent="0.3">
      <c r="A92" s="387" t="s">
        <v>386</v>
      </c>
      <c r="B92" s="390">
        <v>0</v>
      </c>
      <c r="C92" s="392">
        <v>1</v>
      </c>
      <c r="D92" s="412">
        <v>0</v>
      </c>
      <c r="E92" s="388">
        <f t="shared" si="22"/>
        <v>1</v>
      </c>
      <c r="F92" s="169" t="s">
        <v>40</v>
      </c>
      <c r="G92" s="144">
        <v>5</v>
      </c>
      <c r="H92" s="291">
        <v>0</v>
      </c>
      <c r="I92" s="220">
        <v>0</v>
      </c>
      <c r="J92" s="171">
        <f t="shared" si="23"/>
        <v>5</v>
      </c>
    </row>
    <row r="93" spans="1:10" ht="14.95" thickBot="1" x14ac:dyDescent="0.3">
      <c r="A93" s="387" t="s">
        <v>1146</v>
      </c>
      <c r="B93" s="390">
        <v>0</v>
      </c>
      <c r="C93" s="392">
        <v>1</v>
      </c>
      <c r="D93" s="412">
        <v>0</v>
      </c>
      <c r="E93" s="388">
        <f t="shared" si="22"/>
        <v>1</v>
      </c>
      <c r="F93" s="169" t="s">
        <v>471</v>
      </c>
      <c r="G93" s="144">
        <v>5</v>
      </c>
      <c r="H93" s="291">
        <v>0</v>
      </c>
      <c r="I93" s="220">
        <v>0</v>
      </c>
      <c r="J93" s="171">
        <f t="shared" si="23"/>
        <v>5</v>
      </c>
    </row>
    <row r="94" spans="1:10" ht="14.95" thickBot="1" x14ac:dyDescent="0.3">
      <c r="A94" s="387" t="s">
        <v>310</v>
      </c>
      <c r="B94" s="390">
        <v>1</v>
      </c>
      <c r="C94" s="392">
        <v>0</v>
      </c>
      <c r="D94" s="412">
        <v>0</v>
      </c>
      <c r="E94" s="388">
        <f t="shared" ref="E94:E125" si="24">SUM(B94:D94)</f>
        <v>1</v>
      </c>
      <c r="F94" s="169" t="s">
        <v>280</v>
      </c>
      <c r="G94" s="144">
        <v>5</v>
      </c>
      <c r="H94" s="291">
        <v>0</v>
      </c>
      <c r="I94" s="220">
        <v>0</v>
      </c>
      <c r="J94" s="171">
        <f t="shared" ref="J94:J125" si="25">SUM(G94:I94)</f>
        <v>5</v>
      </c>
    </row>
    <row r="95" spans="1:10" ht="14.95" thickBot="1" x14ac:dyDescent="0.3">
      <c r="A95" s="387" t="s">
        <v>805</v>
      </c>
      <c r="B95" s="390">
        <v>0</v>
      </c>
      <c r="C95" s="392">
        <v>0</v>
      </c>
      <c r="D95" s="412">
        <v>1</v>
      </c>
      <c r="E95" s="388">
        <f t="shared" si="24"/>
        <v>1</v>
      </c>
      <c r="F95" s="169" t="s">
        <v>386</v>
      </c>
      <c r="G95" s="144">
        <v>0</v>
      </c>
      <c r="H95" s="291">
        <v>5</v>
      </c>
      <c r="I95" s="220">
        <v>0</v>
      </c>
      <c r="J95" s="171">
        <f t="shared" si="25"/>
        <v>5</v>
      </c>
    </row>
    <row r="96" spans="1:10" ht="14.95" thickBot="1" x14ac:dyDescent="0.3">
      <c r="A96" s="387" t="s">
        <v>807</v>
      </c>
      <c r="B96" s="390">
        <v>0</v>
      </c>
      <c r="C96" s="392">
        <v>0</v>
      </c>
      <c r="D96" s="412">
        <v>1</v>
      </c>
      <c r="E96" s="388">
        <f t="shared" si="24"/>
        <v>1</v>
      </c>
      <c r="F96" s="169" t="s">
        <v>1146</v>
      </c>
      <c r="G96" s="144">
        <v>0</v>
      </c>
      <c r="H96" s="291">
        <v>5</v>
      </c>
      <c r="I96" s="220">
        <v>0</v>
      </c>
      <c r="J96" s="171">
        <f t="shared" si="25"/>
        <v>5</v>
      </c>
    </row>
    <row r="97" spans="1:10" ht="14.95" thickBot="1" x14ac:dyDescent="0.3">
      <c r="A97" s="387" t="s">
        <v>4</v>
      </c>
      <c r="B97" s="390">
        <v>1</v>
      </c>
      <c r="C97" s="392">
        <v>0</v>
      </c>
      <c r="D97" s="412">
        <v>0</v>
      </c>
      <c r="E97" s="388">
        <f t="shared" si="24"/>
        <v>1</v>
      </c>
      <c r="F97" s="169" t="s">
        <v>310</v>
      </c>
      <c r="G97" s="144">
        <v>5</v>
      </c>
      <c r="H97" s="291">
        <v>0</v>
      </c>
      <c r="I97" s="220">
        <v>0</v>
      </c>
      <c r="J97" s="171">
        <f t="shared" si="25"/>
        <v>5</v>
      </c>
    </row>
    <row r="98" spans="1:10" ht="14.95" thickBot="1" x14ac:dyDescent="0.3">
      <c r="A98" s="387" t="s">
        <v>85</v>
      </c>
      <c r="B98" s="390">
        <v>1</v>
      </c>
      <c r="C98" s="392">
        <v>0</v>
      </c>
      <c r="D98" s="412">
        <v>0</v>
      </c>
      <c r="E98" s="388">
        <f t="shared" si="24"/>
        <v>1</v>
      </c>
      <c r="F98" s="169" t="s">
        <v>805</v>
      </c>
      <c r="G98" s="144">
        <v>0</v>
      </c>
      <c r="H98" s="291">
        <v>0</v>
      </c>
      <c r="I98" s="220">
        <v>5</v>
      </c>
      <c r="J98" s="171">
        <f t="shared" si="25"/>
        <v>5</v>
      </c>
    </row>
    <row r="99" spans="1:10" ht="14.95" thickBot="1" x14ac:dyDescent="0.3">
      <c r="A99" s="387" t="s">
        <v>810</v>
      </c>
      <c r="B99" s="390">
        <v>0</v>
      </c>
      <c r="C99" s="392">
        <v>0</v>
      </c>
      <c r="D99" s="412">
        <v>1</v>
      </c>
      <c r="E99" s="388">
        <f t="shared" si="24"/>
        <v>1</v>
      </c>
      <c r="F99" s="169" t="s">
        <v>807</v>
      </c>
      <c r="G99" s="144">
        <v>0</v>
      </c>
      <c r="H99" s="291">
        <v>0</v>
      </c>
      <c r="I99" s="220">
        <v>5</v>
      </c>
      <c r="J99" s="171">
        <f t="shared" si="25"/>
        <v>5</v>
      </c>
    </row>
    <row r="100" spans="1:10" ht="14.95" thickBot="1" x14ac:dyDescent="0.3">
      <c r="A100" s="387" t="s">
        <v>580</v>
      </c>
      <c r="B100" s="390">
        <v>0</v>
      </c>
      <c r="C100" s="392">
        <v>0</v>
      </c>
      <c r="D100" s="412">
        <v>1</v>
      </c>
      <c r="E100" s="388">
        <f t="shared" si="24"/>
        <v>1</v>
      </c>
      <c r="F100" s="169" t="s">
        <v>85</v>
      </c>
      <c r="G100" s="144">
        <v>5</v>
      </c>
      <c r="H100" s="291">
        <v>0</v>
      </c>
      <c r="I100" s="220">
        <v>0</v>
      </c>
      <c r="J100" s="171">
        <f t="shared" si="25"/>
        <v>5</v>
      </c>
    </row>
    <row r="101" spans="1:10" ht="14.95" thickBot="1" x14ac:dyDescent="0.3">
      <c r="A101" s="387" t="s">
        <v>26</v>
      </c>
      <c r="B101" s="390">
        <v>1</v>
      </c>
      <c r="C101" s="392">
        <v>0</v>
      </c>
      <c r="D101" s="412">
        <v>0</v>
      </c>
      <c r="E101" s="388">
        <f t="shared" si="24"/>
        <v>1</v>
      </c>
      <c r="F101" s="169" t="s">
        <v>810</v>
      </c>
      <c r="G101" s="144">
        <v>0</v>
      </c>
      <c r="H101" s="291">
        <v>0</v>
      </c>
      <c r="I101" s="220">
        <v>5</v>
      </c>
      <c r="J101" s="171">
        <f t="shared" si="25"/>
        <v>5</v>
      </c>
    </row>
    <row r="102" spans="1:10" ht="14.95" thickBot="1" x14ac:dyDescent="0.3">
      <c r="A102" s="387" t="s">
        <v>446</v>
      </c>
      <c r="B102" s="390">
        <v>0</v>
      </c>
      <c r="C102" s="392">
        <v>0</v>
      </c>
      <c r="D102" s="412">
        <v>1</v>
      </c>
      <c r="E102" s="388">
        <f t="shared" si="24"/>
        <v>1</v>
      </c>
      <c r="F102" s="169" t="s">
        <v>26</v>
      </c>
      <c r="G102" s="144">
        <v>5</v>
      </c>
      <c r="H102" s="291">
        <v>0</v>
      </c>
      <c r="I102" s="220">
        <v>0</v>
      </c>
      <c r="J102" s="171">
        <f t="shared" si="25"/>
        <v>5</v>
      </c>
    </row>
    <row r="103" spans="1:10" ht="14.95" thickBot="1" x14ac:dyDescent="0.3">
      <c r="A103" s="387" t="s">
        <v>1077</v>
      </c>
      <c r="B103" s="390">
        <v>0</v>
      </c>
      <c r="C103" s="392">
        <v>0</v>
      </c>
      <c r="D103" s="412">
        <v>1</v>
      </c>
      <c r="E103" s="388">
        <f t="shared" si="24"/>
        <v>1</v>
      </c>
      <c r="F103" s="169" t="s">
        <v>446</v>
      </c>
      <c r="G103" s="144">
        <v>0</v>
      </c>
      <c r="H103" s="291">
        <v>0</v>
      </c>
      <c r="I103" s="220">
        <v>5</v>
      </c>
      <c r="J103" s="171">
        <f t="shared" si="25"/>
        <v>5</v>
      </c>
    </row>
    <row r="104" spans="1:10" ht="14.95" thickBot="1" x14ac:dyDescent="0.3">
      <c r="A104" s="387" t="s">
        <v>935</v>
      </c>
      <c r="B104" s="390">
        <v>0</v>
      </c>
      <c r="C104" s="392">
        <v>0</v>
      </c>
      <c r="D104" s="412">
        <v>1</v>
      </c>
      <c r="E104" s="388">
        <f t="shared" si="24"/>
        <v>1</v>
      </c>
      <c r="F104" s="169" t="s">
        <v>1077</v>
      </c>
      <c r="G104" s="144">
        <v>0</v>
      </c>
      <c r="H104" s="291">
        <v>0</v>
      </c>
      <c r="I104" s="220">
        <v>5</v>
      </c>
      <c r="J104" s="171">
        <f t="shared" si="25"/>
        <v>5</v>
      </c>
    </row>
    <row r="105" spans="1:10" ht="14.95" thickBot="1" x14ac:dyDescent="0.3">
      <c r="A105" s="387" t="s">
        <v>28</v>
      </c>
      <c r="B105" s="390">
        <v>1</v>
      </c>
      <c r="C105" s="392">
        <v>0</v>
      </c>
      <c r="D105" s="412">
        <v>0</v>
      </c>
      <c r="E105" s="388">
        <f t="shared" si="24"/>
        <v>1</v>
      </c>
      <c r="F105" s="169" t="s">
        <v>28</v>
      </c>
      <c r="G105" s="144">
        <v>5</v>
      </c>
      <c r="H105" s="291">
        <v>0</v>
      </c>
      <c r="I105" s="220">
        <v>0</v>
      </c>
      <c r="J105" s="171">
        <f t="shared" si="25"/>
        <v>5</v>
      </c>
    </row>
    <row r="106" spans="1:10" ht="14.95" thickBot="1" x14ac:dyDescent="0.3">
      <c r="A106" s="387" t="s">
        <v>389</v>
      </c>
      <c r="B106" s="390">
        <v>0</v>
      </c>
      <c r="C106" s="392">
        <v>0</v>
      </c>
      <c r="D106" s="412">
        <v>1</v>
      </c>
      <c r="E106" s="388">
        <f t="shared" si="24"/>
        <v>1</v>
      </c>
      <c r="F106" s="169" t="s">
        <v>389</v>
      </c>
      <c r="G106" s="144">
        <v>0</v>
      </c>
      <c r="H106" s="291">
        <v>0</v>
      </c>
      <c r="I106" s="220">
        <v>5</v>
      </c>
      <c r="J106" s="171">
        <f t="shared" si="25"/>
        <v>5</v>
      </c>
    </row>
    <row r="107" spans="1:10" ht="14.95" thickBot="1" x14ac:dyDescent="0.3">
      <c r="A107" s="387" t="s">
        <v>462</v>
      </c>
      <c r="B107" s="390">
        <v>1</v>
      </c>
      <c r="C107" s="392">
        <v>0</v>
      </c>
      <c r="D107" s="412">
        <v>0</v>
      </c>
      <c r="E107" s="388">
        <f t="shared" si="24"/>
        <v>1</v>
      </c>
      <c r="F107" s="169" t="s">
        <v>462</v>
      </c>
      <c r="G107" s="144">
        <v>5</v>
      </c>
      <c r="H107" s="291">
        <v>0</v>
      </c>
      <c r="I107" s="220">
        <v>0</v>
      </c>
      <c r="J107" s="171">
        <f t="shared" si="25"/>
        <v>5</v>
      </c>
    </row>
    <row r="108" spans="1:10" ht="14.95" thickBot="1" x14ac:dyDescent="0.3">
      <c r="A108" s="387" t="s">
        <v>796</v>
      </c>
      <c r="B108" s="390">
        <v>0</v>
      </c>
      <c r="C108" s="392">
        <v>0</v>
      </c>
      <c r="D108" s="412">
        <v>0</v>
      </c>
      <c r="E108" s="388">
        <f t="shared" si="24"/>
        <v>0</v>
      </c>
      <c r="F108" s="169" t="s">
        <v>1079</v>
      </c>
      <c r="G108" s="144">
        <v>0</v>
      </c>
      <c r="H108" s="291">
        <v>0</v>
      </c>
      <c r="I108" s="220">
        <v>4</v>
      </c>
      <c r="J108" s="171">
        <f t="shared" si="25"/>
        <v>4</v>
      </c>
    </row>
    <row r="109" spans="1:10" ht="14.95" thickBot="1" x14ac:dyDescent="0.3">
      <c r="A109" s="387" t="s">
        <v>480</v>
      </c>
      <c r="B109" s="390">
        <v>0</v>
      </c>
      <c r="C109" s="392">
        <v>0</v>
      </c>
      <c r="D109" s="412">
        <v>0</v>
      </c>
      <c r="E109" s="388">
        <f t="shared" si="24"/>
        <v>0</v>
      </c>
      <c r="F109" s="169" t="s">
        <v>796</v>
      </c>
      <c r="G109" s="144">
        <v>0</v>
      </c>
      <c r="H109" s="291">
        <v>0</v>
      </c>
      <c r="I109" s="220">
        <v>0</v>
      </c>
      <c r="J109" s="171">
        <f t="shared" si="25"/>
        <v>0</v>
      </c>
    </row>
    <row r="110" spans="1:10" ht="14.95" thickBot="1" x14ac:dyDescent="0.3">
      <c r="A110" s="387" t="s">
        <v>70</v>
      </c>
      <c r="B110" s="390">
        <v>0</v>
      </c>
      <c r="C110" s="392">
        <v>0</v>
      </c>
      <c r="D110" s="412">
        <v>0</v>
      </c>
      <c r="E110" s="388">
        <f t="shared" si="24"/>
        <v>0</v>
      </c>
      <c r="F110" s="169" t="s">
        <v>480</v>
      </c>
      <c r="G110" s="144">
        <v>0</v>
      </c>
      <c r="H110" s="291">
        <v>0</v>
      </c>
      <c r="I110" s="220">
        <v>0</v>
      </c>
      <c r="J110" s="171">
        <f t="shared" si="25"/>
        <v>0</v>
      </c>
    </row>
    <row r="111" spans="1:10" ht="14.95" thickBot="1" x14ac:dyDescent="0.3">
      <c r="A111" s="387" t="s">
        <v>347</v>
      </c>
      <c r="B111" s="390">
        <v>0</v>
      </c>
      <c r="C111" s="392">
        <v>0</v>
      </c>
      <c r="D111" s="412">
        <v>0</v>
      </c>
      <c r="E111" s="388">
        <f t="shared" si="24"/>
        <v>0</v>
      </c>
      <c r="F111" s="169" t="s">
        <v>70</v>
      </c>
      <c r="G111" s="144">
        <v>0</v>
      </c>
      <c r="H111" s="291">
        <v>0</v>
      </c>
      <c r="I111" s="220">
        <v>0</v>
      </c>
      <c r="J111" s="171">
        <f t="shared" si="25"/>
        <v>0</v>
      </c>
    </row>
    <row r="112" spans="1:10" ht="14.95" thickBot="1" x14ac:dyDescent="0.3">
      <c r="A112" s="387" t="s">
        <v>799</v>
      </c>
      <c r="B112" s="390">
        <v>0</v>
      </c>
      <c r="C112" s="392">
        <v>0</v>
      </c>
      <c r="D112" s="412">
        <v>0</v>
      </c>
      <c r="E112" s="388">
        <f t="shared" si="24"/>
        <v>0</v>
      </c>
      <c r="F112" s="169" t="s">
        <v>347</v>
      </c>
      <c r="G112" s="144">
        <v>0</v>
      </c>
      <c r="H112" s="291">
        <v>0</v>
      </c>
      <c r="I112" s="220">
        <v>0</v>
      </c>
      <c r="J112" s="171">
        <f t="shared" si="25"/>
        <v>0</v>
      </c>
    </row>
    <row r="113" spans="1:10" ht="14.95" thickBot="1" x14ac:dyDescent="0.3">
      <c r="A113" s="387" t="s">
        <v>808</v>
      </c>
      <c r="B113" s="390">
        <v>0</v>
      </c>
      <c r="C113" s="392">
        <v>0</v>
      </c>
      <c r="D113" s="412">
        <v>0</v>
      </c>
      <c r="E113" s="388">
        <f t="shared" si="24"/>
        <v>0</v>
      </c>
      <c r="F113" s="169" t="s">
        <v>799</v>
      </c>
      <c r="G113" s="144">
        <v>0</v>
      </c>
      <c r="H113" s="291">
        <v>0</v>
      </c>
      <c r="I113" s="220">
        <v>0</v>
      </c>
      <c r="J113" s="171">
        <f t="shared" si="25"/>
        <v>0</v>
      </c>
    </row>
    <row r="114" spans="1:10" ht="14.95" thickBot="1" x14ac:dyDescent="0.3">
      <c r="A114" s="387" t="s">
        <v>86</v>
      </c>
      <c r="B114" s="390">
        <v>0</v>
      </c>
      <c r="C114" s="392">
        <v>0</v>
      </c>
      <c r="D114" s="412">
        <v>0</v>
      </c>
      <c r="E114" s="388">
        <f t="shared" si="24"/>
        <v>0</v>
      </c>
      <c r="F114" s="169" t="s">
        <v>808</v>
      </c>
      <c r="G114" s="144">
        <v>0</v>
      </c>
      <c r="H114" s="291">
        <v>0</v>
      </c>
      <c r="I114" s="220">
        <v>0</v>
      </c>
      <c r="J114" s="171">
        <f t="shared" si="25"/>
        <v>0</v>
      </c>
    </row>
    <row r="115" spans="1:10" ht="14.95" thickBot="1" x14ac:dyDescent="0.3">
      <c r="A115" s="387" t="s">
        <v>1079</v>
      </c>
      <c r="B115" s="390">
        <v>0</v>
      </c>
      <c r="C115" s="392">
        <v>0</v>
      </c>
      <c r="D115" s="412">
        <v>0</v>
      </c>
      <c r="E115" s="388">
        <f t="shared" si="24"/>
        <v>0</v>
      </c>
      <c r="F115" s="169" t="s">
        <v>86</v>
      </c>
      <c r="G115" s="144">
        <v>0</v>
      </c>
      <c r="H115" s="291">
        <v>0</v>
      </c>
      <c r="I115" s="220">
        <v>0</v>
      </c>
      <c r="J115" s="171">
        <f t="shared" si="25"/>
        <v>0</v>
      </c>
    </row>
    <row r="116" spans="1:10" ht="14.95" thickBot="1" x14ac:dyDescent="0.3">
      <c r="A116" s="387" t="s">
        <v>5</v>
      </c>
      <c r="B116" s="390">
        <v>0</v>
      </c>
      <c r="C116" s="392">
        <v>0</v>
      </c>
      <c r="D116" s="412">
        <v>0</v>
      </c>
      <c r="E116" s="388">
        <f t="shared" si="24"/>
        <v>0</v>
      </c>
      <c r="F116" s="169" t="s">
        <v>5</v>
      </c>
      <c r="G116" s="144">
        <v>0</v>
      </c>
      <c r="H116" s="291">
        <v>0</v>
      </c>
      <c r="I116" s="220">
        <v>0</v>
      </c>
      <c r="J116" s="171">
        <f t="shared" si="25"/>
        <v>0</v>
      </c>
    </row>
    <row r="117" spans="1:10" ht="14.95" thickBot="1" x14ac:dyDescent="0.3">
      <c r="A117" s="387" t="s">
        <v>3</v>
      </c>
      <c r="B117" s="390">
        <f>SUM(B62:B116)</f>
        <v>78</v>
      </c>
      <c r="C117" s="392">
        <f>SUM(C62:C116)</f>
        <v>23</v>
      </c>
      <c r="D117" s="412">
        <f>SUM(D62:D116)</f>
        <v>42</v>
      </c>
      <c r="E117" s="388">
        <f t="shared" ref="E117" si="26">SUM(B117:D117)</f>
        <v>143</v>
      </c>
      <c r="F117" s="169" t="s">
        <v>3</v>
      </c>
      <c r="G117" s="144">
        <f>SUM(G62:G116)</f>
        <v>575</v>
      </c>
      <c r="H117" s="291">
        <f>SUM(H62:H116)</f>
        <v>153</v>
      </c>
      <c r="I117" s="220">
        <f>SUM(I62:I116)</f>
        <v>280</v>
      </c>
      <c r="J117" s="171">
        <f t="shared" ref="J117" si="27">SUM(G117:I117)</f>
        <v>1008</v>
      </c>
    </row>
    <row r="118" spans="1:10" x14ac:dyDescent="0.25">
      <c r="A118" s="488" t="s">
        <v>42</v>
      </c>
      <c r="B118" s="480"/>
      <c r="C118" s="480"/>
      <c r="D118" s="480"/>
      <c r="E118" s="480"/>
      <c r="F118" s="480"/>
      <c r="G118" s="480"/>
      <c r="H118" s="480"/>
      <c r="I118" s="480"/>
      <c r="J118" s="480"/>
    </row>
  </sheetData>
  <sortState xmlns:xlrd2="http://schemas.microsoft.com/office/spreadsheetml/2017/richdata2" ref="F62:J116">
    <sortCondition descending="1" ref="J62:J116"/>
  </sortState>
  <mergeCells count="60">
    <mergeCell ref="A118:J118"/>
    <mergeCell ref="A1:J1"/>
    <mergeCell ref="K13:K14"/>
    <mergeCell ref="AE26:AG27"/>
    <mergeCell ref="K20:K21"/>
    <mergeCell ref="K1:K2"/>
    <mergeCell ref="L20:N21"/>
    <mergeCell ref="L13:N14"/>
    <mergeCell ref="L1:N2"/>
    <mergeCell ref="O13:Q14"/>
    <mergeCell ref="O1:Q2"/>
    <mergeCell ref="T1:V2"/>
    <mergeCell ref="R13:T14"/>
    <mergeCell ref="R1:S2"/>
    <mergeCell ref="AB1:AD2"/>
    <mergeCell ref="AB13:AD14"/>
    <mergeCell ref="BC38:BE39"/>
    <mergeCell ref="R20:T21"/>
    <mergeCell ref="AK20:AM21"/>
    <mergeCell ref="R26:T27"/>
    <mergeCell ref="AN26:AP27"/>
    <mergeCell ref="AN20:AP21"/>
    <mergeCell ref="AW20:AY21"/>
    <mergeCell ref="AH20:AJ21"/>
    <mergeCell ref="U26:W27"/>
    <mergeCell ref="AT20:AV21"/>
    <mergeCell ref="AH26:AJ27"/>
    <mergeCell ref="AT26:AV27"/>
    <mergeCell ref="AQ26:AS27"/>
    <mergeCell ref="U20:W21"/>
    <mergeCell ref="K37:W37"/>
    <mergeCell ref="AB20:AD21"/>
    <mergeCell ref="AK26:AM27"/>
    <mergeCell ref="AQ20:AS21"/>
    <mergeCell ref="BC1:BE2"/>
    <mergeCell ref="AZ1:BB2"/>
    <mergeCell ref="AW1:AY2"/>
    <mergeCell ref="AT1:AV2"/>
    <mergeCell ref="AT13:AV14"/>
    <mergeCell ref="AW13:AY14"/>
    <mergeCell ref="AQ1:AS2"/>
    <mergeCell ref="AN1:AP2"/>
    <mergeCell ref="AQ13:AS14"/>
    <mergeCell ref="AK1:AM2"/>
    <mergeCell ref="AK13:AM14"/>
    <mergeCell ref="AN13:AP14"/>
    <mergeCell ref="U13:W14"/>
    <mergeCell ref="AE1:AG2"/>
    <mergeCell ref="AE13:AG14"/>
    <mergeCell ref="AH13:AJ14"/>
    <mergeCell ref="W1:Y2"/>
    <mergeCell ref="AH1:AJ2"/>
    <mergeCell ref="O26:Q27"/>
    <mergeCell ref="AE20:AG21"/>
    <mergeCell ref="K36:W36"/>
    <mergeCell ref="K35:AA35"/>
    <mergeCell ref="K26:K27"/>
    <mergeCell ref="L26:N27"/>
    <mergeCell ref="O20:Q21"/>
    <mergeCell ref="AB26:AD27"/>
  </mergeCells>
  <pageMargins left="0.7" right="0.7" top="0.75" bottom="0.75" header="0.3" footer="0.3"/>
  <pageSetup paperSize="9" orientation="portrait" r:id="rId1"/>
  <ignoredErrors>
    <ignoredError sqref="E53 J5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M108"/>
  <sheetViews>
    <sheetView workbookViewId="0">
      <selection activeCell="S7" sqref="S7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6.75" customWidth="1"/>
    <col min="12" max="52" width="5.75" customWidth="1"/>
    <col min="53" max="58" width="5.625" customWidth="1"/>
  </cols>
  <sheetData>
    <row r="1" spans="1:65" ht="14.95" customHeight="1" thickBot="1" x14ac:dyDescent="0.3">
      <c r="A1" s="543" t="s">
        <v>695</v>
      </c>
      <c r="B1" s="544"/>
      <c r="C1" s="544"/>
      <c r="D1" s="544"/>
      <c r="E1" s="544"/>
      <c r="F1" s="544"/>
      <c r="G1" s="544"/>
      <c r="H1" s="544"/>
      <c r="I1" s="544"/>
      <c r="J1" s="545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162"/>
      <c r="AB1" s="198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45</v>
      </c>
      <c r="BB1" s="470"/>
      <c r="BC1" s="471"/>
      <c r="BD1" s="469" t="s">
        <v>54</v>
      </c>
      <c r="BE1" s="470"/>
      <c r="BF1" s="471"/>
      <c r="BH1" s="4"/>
      <c r="BI1" s="4"/>
      <c r="BJ1" s="4"/>
      <c r="BM1" s="4"/>
    </row>
    <row r="2" spans="1:65" ht="14.95" customHeight="1" thickBot="1" x14ac:dyDescent="0.3">
      <c r="A2" s="180" t="s">
        <v>0</v>
      </c>
      <c r="B2" s="116" t="s">
        <v>259</v>
      </c>
      <c r="C2" s="292" t="s">
        <v>36</v>
      </c>
      <c r="D2" s="237" t="s">
        <v>383</v>
      </c>
      <c r="E2" s="109" t="s">
        <v>1</v>
      </c>
      <c r="F2" s="182" t="s">
        <v>2</v>
      </c>
      <c r="G2" s="111" t="s">
        <v>259</v>
      </c>
      <c r="H2" s="276" t="s">
        <v>36</v>
      </c>
      <c r="I2" s="239" t="s">
        <v>383</v>
      </c>
      <c r="J2" s="112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7"/>
      <c r="AA2" s="162"/>
      <c r="AB2" s="198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</row>
    <row r="3" spans="1:65" ht="14.95" customHeight="1" thickBot="1" x14ac:dyDescent="0.3">
      <c r="A3" s="181" t="s">
        <v>842</v>
      </c>
      <c r="B3" s="78">
        <v>1</v>
      </c>
      <c r="C3" s="293">
        <v>0</v>
      </c>
      <c r="D3" s="238">
        <v>0</v>
      </c>
      <c r="E3" s="5">
        <f t="shared" ref="E3" si="0">SUM(B3:D3)</f>
        <v>1</v>
      </c>
      <c r="F3" s="184" t="s">
        <v>842</v>
      </c>
      <c r="G3" s="79">
        <v>5</v>
      </c>
      <c r="H3" s="277">
        <v>0</v>
      </c>
      <c r="I3" s="240">
        <v>0</v>
      </c>
      <c r="J3" s="64">
        <f t="shared" ref="J3" si="1">SUM(G3:I3)</f>
        <v>5</v>
      </c>
      <c r="K3" s="222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150" t="s">
        <v>55</v>
      </c>
      <c r="X3" s="7" t="s">
        <v>11</v>
      </c>
      <c r="Y3" s="7" t="s">
        <v>12</v>
      </c>
      <c r="Z3" s="94"/>
      <c r="AA3" s="95"/>
      <c r="AB3" s="199"/>
      <c r="AC3" s="150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  <c r="BD3" s="7" t="s">
        <v>55</v>
      </c>
      <c r="BE3" s="7" t="s">
        <v>11</v>
      </c>
      <c r="BF3" s="7" t="s">
        <v>12</v>
      </c>
    </row>
    <row r="4" spans="1:65" ht="14.95" customHeight="1" thickBot="1" x14ac:dyDescent="0.3">
      <c r="A4" s="181" t="s">
        <v>815</v>
      </c>
      <c r="B4" s="78">
        <v>0</v>
      </c>
      <c r="C4" s="293">
        <v>0</v>
      </c>
      <c r="D4" s="238">
        <v>0</v>
      </c>
      <c r="E4" s="5">
        <f t="shared" ref="E4:E52" si="2">SUM(B4:D4)</f>
        <v>0</v>
      </c>
      <c r="F4" s="184" t="s">
        <v>815</v>
      </c>
      <c r="G4" s="79">
        <v>0</v>
      </c>
      <c r="H4" s="277">
        <v>0</v>
      </c>
      <c r="I4" s="240">
        <v>0</v>
      </c>
      <c r="J4" s="64">
        <f t="shared" ref="J4:J52" si="3">SUM(G4:I4)</f>
        <v>0</v>
      </c>
      <c r="K4" s="181" t="s">
        <v>291</v>
      </c>
      <c r="L4" s="5">
        <v>33</v>
      </c>
      <c r="M4" s="5">
        <v>42</v>
      </c>
      <c r="N4" s="185">
        <f t="shared" ref="N4:N5" si="4">SUM(L4/M4)*100</f>
        <v>78.571428571428569</v>
      </c>
      <c r="O4" s="5">
        <v>4</v>
      </c>
      <c r="P4" s="5">
        <v>4</v>
      </c>
      <c r="Q4" s="185">
        <f t="shared" ref="Q4" si="5">SUM(O4/P4)*100</f>
        <v>100</v>
      </c>
      <c r="R4" s="5">
        <v>5</v>
      </c>
      <c r="S4" s="5">
        <v>5</v>
      </c>
      <c r="T4" s="7">
        <v>25</v>
      </c>
      <c r="U4" s="7">
        <v>34</v>
      </c>
      <c r="V4" s="155">
        <v>73.529411764705884</v>
      </c>
      <c r="W4" s="7">
        <v>54</v>
      </c>
      <c r="X4" s="7">
        <v>66</v>
      </c>
      <c r="Y4" s="155">
        <v>81.818181818181827</v>
      </c>
      <c r="Z4" s="94"/>
      <c r="AA4" s="95"/>
      <c r="AB4" s="199"/>
      <c r="AC4" s="7">
        <v>22</v>
      </c>
      <c r="AD4" s="7">
        <v>27</v>
      </c>
      <c r="AE4" s="155">
        <f>SUM(AC4/AD4)*100</f>
        <v>81.481481481481481</v>
      </c>
      <c r="AF4" s="150">
        <v>35</v>
      </c>
      <c r="AG4" s="7">
        <v>51</v>
      </c>
      <c r="AH4" s="155">
        <f>SUM(AF4/AG4)*100</f>
        <v>68.627450980392155</v>
      </c>
      <c r="AI4" s="150" t="s">
        <v>17</v>
      </c>
      <c r="AJ4" s="7" t="s">
        <v>17</v>
      </c>
      <c r="AK4" s="155" t="s">
        <v>17</v>
      </c>
      <c r="AL4" s="150">
        <v>5</v>
      </c>
      <c r="AM4" s="7">
        <v>6</v>
      </c>
      <c r="AN4" s="7">
        <v>100</v>
      </c>
      <c r="AO4" s="150" t="s">
        <v>17</v>
      </c>
      <c r="AP4" s="7" t="s">
        <v>17</v>
      </c>
      <c r="AQ4" s="155" t="s">
        <v>17</v>
      </c>
      <c r="AR4" s="7" t="s">
        <v>17</v>
      </c>
      <c r="AS4" s="7" t="s">
        <v>17</v>
      </c>
      <c r="AT4" s="155" t="s">
        <v>17</v>
      </c>
      <c r="AU4" s="7" t="s">
        <v>17</v>
      </c>
      <c r="AV4" s="7" t="s">
        <v>17</v>
      </c>
      <c r="AW4" s="155" t="s">
        <v>17</v>
      </c>
      <c r="AX4" s="7" t="s">
        <v>17</v>
      </c>
      <c r="AY4" s="7" t="s">
        <v>17</v>
      </c>
      <c r="AZ4" s="155" t="s">
        <v>17</v>
      </c>
      <c r="BA4" s="7" t="s">
        <v>17</v>
      </c>
      <c r="BB4" s="7" t="s">
        <v>17</v>
      </c>
      <c r="BC4" s="155" t="s">
        <v>17</v>
      </c>
      <c r="BD4" s="7" t="s">
        <v>17</v>
      </c>
      <c r="BE4" s="7" t="s">
        <v>17</v>
      </c>
      <c r="BF4" s="155" t="s">
        <v>17</v>
      </c>
    </row>
    <row r="5" spans="1:65" ht="14.95" customHeight="1" thickBot="1" x14ac:dyDescent="0.3">
      <c r="A5" s="181" t="s">
        <v>644</v>
      </c>
      <c r="B5" s="78">
        <v>0</v>
      </c>
      <c r="C5" s="293">
        <v>0</v>
      </c>
      <c r="D5" s="238">
        <v>0</v>
      </c>
      <c r="E5" s="5">
        <f t="shared" si="2"/>
        <v>0</v>
      </c>
      <c r="F5" s="184" t="s">
        <v>645</v>
      </c>
      <c r="G5" s="79">
        <v>0</v>
      </c>
      <c r="H5" s="277">
        <v>0</v>
      </c>
      <c r="I5" s="240">
        <v>0</v>
      </c>
      <c r="J5" s="64">
        <f t="shared" si="3"/>
        <v>0</v>
      </c>
      <c r="K5" s="181" t="s">
        <v>938</v>
      </c>
      <c r="L5" s="5">
        <v>9</v>
      </c>
      <c r="M5" s="5">
        <v>10</v>
      </c>
      <c r="N5" s="185">
        <f t="shared" si="4"/>
        <v>90</v>
      </c>
      <c r="O5" s="5" t="s">
        <v>17</v>
      </c>
      <c r="P5" s="5" t="s">
        <v>17</v>
      </c>
      <c r="Q5" s="185" t="s">
        <v>17</v>
      </c>
      <c r="R5" s="5">
        <v>6</v>
      </c>
      <c r="S5" s="5">
        <v>6</v>
      </c>
      <c r="T5" s="7" t="s">
        <v>17</v>
      </c>
      <c r="U5" s="7" t="s">
        <v>17</v>
      </c>
      <c r="V5" s="155" t="s">
        <v>17</v>
      </c>
      <c r="W5" s="7" t="s">
        <v>17</v>
      </c>
      <c r="X5" s="7" t="s">
        <v>17</v>
      </c>
      <c r="Y5" s="155" t="s">
        <v>17</v>
      </c>
      <c r="Z5" s="94"/>
      <c r="AA5" s="95"/>
      <c r="AB5" s="199"/>
      <c r="AC5" s="7" t="s">
        <v>17</v>
      </c>
      <c r="AD5" s="7" t="s">
        <v>17</v>
      </c>
      <c r="AE5" s="155" t="s">
        <v>17</v>
      </c>
      <c r="AF5" s="7" t="s">
        <v>17</v>
      </c>
      <c r="AG5" s="7" t="s">
        <v>17</v>
      </c>
      <c r="AH5" s="155" t="s">
        <v>17</v>
      </c>
      <c r="AI5" s="7" t="s">
        <v>17</v>
      </c>
      <c r="AJ5" s="7" t="s">
        <v>17</v>
      </c>
      <c r="AK5" s="155" t="s">
        <v>17</v>
      </c>
      <c r="AL5" s="7" t="s">
        <v>17</v>
      </c>
      <c r="AM5" s="7" t="s">
        <v>17</v>
      </c>
      <c r="AN5" s="155" t="s">
        <v>17</v>
      </c>
      <c r="AO5" s="7" t="s">
        <v>17</v>
      </c>
      <c r="AP5" s="7" t="s">
        <v>17</v>
      </c>
      <c r="AQ5" s="155" t="s">
        <v>17</v>
      </c>
      <c r="AR5" s="7" t="s">
        <v>17</v>
      </c>
      <c r="AS5" s="7" t="s">
        <v>17</v>
      </c>
      <c r="AT5" s="155" t="s">
        <v>17</v>
      </c>
      <c r="AU5" s="7" t="s">
        <v>17</v>
      </c>
      <c r="AV5" s="7" t="s">
        <v>17</v>
      </c>
      <c r="AW5" s="155" t="s">
        <v>17</v>
      </c>
      <c r="AX5" s="7" t="s">
        <v>17</v>
      </c>
      <c r="AY5" s="7" t="s">
        <v>17</v>
      </c>
      <c r="AZ5" s="155" t="s">
        <v>17</v>
      </c>
      <c r="BA5" s="7" t="s">
        <v>17</v>
      </c>
      <c r="BB5" s="7" t="s">
        <v>17</v>
      </c>
      <c r="BC5" s="155" t="s">
        <v>17</v>
      </c>
      <c r="BD5" s="7" t="s">
        <v>17</v>
      </c>
      <c r="BE5" s="7" t="s">
        <v>17</v>
      </c>
      <c r="BF5" s="155" t="s">
        <v>17</v>
      </c>
    </row>
    <row r="6" spans="1:65" ht="14.95" customHeight="1" thickBot="1" x14ac:dyDescent="0.3">
      <c r="A6" s="181" t="s">
        <v>283</v>
      </c>
      <c r="B6" s="78">
        <v>6</v>
      </c>
      <c r="C6" s="293">
        <v>0</v>
      </c>
      <c r="D6" s="238">
        <v>6</v>
      </c>
      <c r="E6" s="5">
        <f t="shared" si="2"/>
        <v>12</v>
      </c>
      <c r="F6" s="184" t="s">
        <v>283</v>
      </c>
      <c r="G6" s="79">
        <v>30</v>
      </c>
      <c r="H6" s="277">
        <v>0</v>
      </c>
      <c r="I6" s="240">
        <v>30</v>
      </c>
      <c r="J6" s="64">
        <f t="shared" si="3"/>
        <v>60</v>
      </c>
      <c r="K6" s="181" t="s">
        <v>77</v>
      </c>
      <c r="L6" s="5" t="s">
        <v>17</v>
      </c>
      <c r="M6" s="5" t="s">
        <v>17</v>
      </c>
      <c r="N6" s="185" t="s">
        <v>17</v>
      </c>
      <c r="O6" s="5" t="s">
        <v>17</v>
      </c>
      <c r="P6" s="5" t="s">
        <v>17</v>
      </c>
      <c r="Q6" s="185" t="s">
        <v>17</v>
      </c>
      <c r="R6" s="5">
        <v>-1</v>
      </c>
      <c r="S6" s="5">
        <v>-1</v>
      </c>
      <c r="T6" s="7" t="s">
        <v>17</v>
      </c>
      <c r="U6" s="7" t="s">
        <v>17</v>
      </c>
      <c r="V6" s="155" t="s">
        <v>17</v>
      </c>
      <c r="W6" s="7" t="s">
        <v>17</v>
      </c>
      <c r="X6" s="7" t="s">
        <v>17</v>
      </c>
      <c r="Y6" s="155" t="s">
        <v>17</v>
      </c>
      <c r="Z6" s="94"/>
      <c r="AA6" s="95"/>
      <c r="AB6" s="199"/>
      <c r="AC6" s="7" t="s">
        <v>17</v>
      </c>
      <c r="AD6" s="7" t="s">
        <v>17</v>
      </c>
      <c r="AE6" s="155" t="s">
        <v>17</v>
      </c>
      <c r="AF6" s="150" t="s">
        <v>17</v>
      </c>
      <c r="AG6" s="7" t="s">
        <v>17</v>
      </c>
      <c r="AH6" s="155" t="s">
        <v>17</v>
      </c>
      <c r="AI6" s="150" t="s">
        <v>17</v>
      </c>
      <c r="AJ6" s="7" t="s">
        <v>17</v>
      </c>
      <c r="AK6" s="155" t="s">
        <v>17</v>
      </c>
      <c r="AL6" s="150">
        <v>0</v>
      </c>
      <c r="AM6" s="7">
        <v>1</v>
      </c>
      <c r="AN6" s="7">
        <v>0</v>
      </c>
      <c r="AO6" s="150" t="s">
        <v>17</v>
      </c>
      <c r="AP6" s="7" t="s">
        <v>17</v>
      </c>
      <c r="AQ6" s="155" t="s">
        <v>17</v>
      </c>
      <c r="AR6" s="7" t="s">
        <v>17</v>
      </c>
      <c r="AS6" s="7" t="s">
        <v>17</v>
      </c>
      <c r="AT6" s="155" t="s">
        <v>17</v>
      </c>
      <c r="AU6" s="7" t="s">
        <v>17</v>
      </c>
      <c r="AV6" s="7" t="s">
        <v>17</v>
      </c>
      <c r="AW6" s="155" t="s">
        <v>17</v>
      </c>
      <c r="AX6" s="7" t="s">
        <v>17</v>
      </c>
      <c r="AY6" s="7" t="s">
        <v>17</v>
      </c>
      <c r="AZ6" s="155" t="s">
        <v>17</v>
      </c>
      <c r="BA6" s="7" t="s">
        <v>17</v>
      </c>
      <c r="BB6" s="7" t="s">
        <v>17</v>
      </c>
      <c r="BC6" s="155" t="s">
        <v>17</v>
      </c>
      <c r="BD6" s="7" t="s">
        <v>17</v>
      </c>
      <c r="BE6" s="7" t="s">
        <v>17</v>
      </c>
      <c r="BF6" s="155" t="s">
        <v>17</v>
      </c>
    </row>
    <row r="7" spans="1:65" ht="14.95" customHeight="1" thickBot="1" x14ac:dyDescent="0.3">
      <c r="A7" s="181" t="s">
        <v>285</v>
      </c>
      <c r="B7" s="78">
        <v>0</v>
      </c>
      <c r="C7" s="293">
        <v>0</v>
      </c>
      <c r="D7" s="238">
        <v>1</v>
      </c>
      <c r="E7" s="5">
        <f t="shared" si="2"/>
        <v>1</v>
      </c>
      <c r="F7" s="184" t="s">
        <v>285</v>
      </c>
      <c r="G7" s="79">
        <v>0</v>
      </c>
      <c r="H7" s="277">
        <v>0</v>
      </c>
      <c r="I7" s="240">
        <v>5</v>
      </c>
      <c r="J7" s="64">
        <f t="shared" si="3"/>
        <v>5</v>
      </c>
      <c r="K7" s="181" t="s">
        <v>177</v>
      </c>
      <c r="L7" s="5">
        <v>0</v>
      </c>
      <c r="M7" s="5">
        <v>1</v>
      </c>
      <c r="N7" s="185">
        <f t="shared" ref="N7" si="6">SUM(L7/M7)*100</f>
        <v>0</v>
      </c>
      <c r="O7" s="5" t="s">
        <v>17</v>
      </c>
      <c r="P7" s="5" t="s">
        <v>17</v>
      </c>
      <c r="Q7" s="185" t="s">
        <v>17</v>
      </c>
      <c r="R7" s="5">
        <v>-1</v>
      </c>
      <c r="S7" s="5">
        <v>-1</v>
      </c>
      <c r="T7" s="7">
        <v>2</v>
      </c>
      <c r="U7" s="7">
        <v>2</v>
      </c>
      <c r="V7" s="155">
        <v>100</v>
      </c>
      <c r="W7" s="7" t="s">
        <v>17</v>
      </c>
      <c r="X7" s="7" t="s">
        <v>17</v>
      </c>
      <c r="Y7" s="155" t="s">
        <v>17</v>
      </c>
      <c r="Z7" s="94"/>
      <c r="AA7" s="95"/>
      <c r="AB7" s="199"/>
      <c r="AC7" s="7">
        <v>11</v>
      </c>
      <c r="AD7" s="7">
        <v>16</v>
      </c>
      <c r="AE7" s="155">
        <v>69</v>
      </c>
      <c r="AF7" s="150">
        <v>2</v>
      </c>
      <c r="AG7" s="7">
        <v>2</v>
      </c>
      <c r="AH7" s="155">
        <v>100</v>
      </c>
      <c r="AI7" s="150" t="s">
        <v>17</v>
      </c>
      <c r="AJ7" s="7" t="s">
        <v>17</v>
      </c>
      <c r="AK7" s="155" t="s">
        <v>17</v>
      </c>
      <c r="AL7" s="150" t="s">
        <v>17</v>
      </c>
      <c r="AM7" s="7" t="s">
        <v>17</v>
      </c>
      <c r="AN7" s="155" t="s">
        <v>17</v>
      </c>
      <c r="AO7" s="150" t="s">
        <v>17</v>
      </c>
      <c r="AP7" s="7" t="s">
        <v>17</v>
      </c>
      <c r="AQ7" s="155" t="s">
        <v>17</v>
      </c>
      <c r="AR7" s="7" t="s">
        <v>17</v>
      </c>
      <c r="AS7" s="7" t="s">
        <v>17</v>
      </c>
      <c r="AT7" s="155" t="s">
        <v>17</v>
      </c>
      <c r="AU7" s="7" t="s">
        <v>17</v>
      </c>
      <c r="AV7" s="7" t="s">
        <v>17</v>
      </c>
      <c r="AW7" s="155" t="s">
        <v>17</v>
      </c>
      <c r="AX7" s="7" t="s">
        <v>17</v>
      </c>
      <c r="AY7" s="7" t="s">
        <v>17</v>
      </c>
      <c r="AZ7" s="155" t="s">
        <v>17</v>
      </c>
      <c r="BA7" s="7" t="s">
        <v>17</v>
      </c>
      <c r="BB7" s="7" t="s">
        <v>17</v>
      </c>
      <c r="BC7" s="155" t="s">
        <v>17</v>
      </c>
      <c r="BD7" s="7" t="s">
        <v>17</v>
      </c>
      <c r="BE7" s="7" t="s">
        <v>17</v>
      </c>
      <c r="BF7" s="155" t="s">
        <v>17</v>
      </c>
    </row>
    <row r="8" spans="1:65" ht="14.95" customHeight="1" thickBot="1" x14ac:dyDescent="0.3">
      <c r="A8" s="181" t="s">
        <v>7</v>
      </c>
      <c r="B8" s="78">
        <v>0</v>
      </c>
      <c r="C8" s="293">
        <v>1</v>
      </c>
      <c r="D8" s="238">
        <v>1</v>
      </c>
      <c r="E8" s="5">
        <f t="shared" si="2"/>
        <v>2</v>
      </c>
      <c r="F8" s="184" t="s">
        <v>7</v>
      </c>
      <c r="G8" s="79">
        <v>0</v>
      </c>
      <c r="H8" s="277">
        <v>5</v>
      </c>
      <c r="I8" s="240">
        <v>5</v>
      </c>
      <c r="J8" s="64">
        <f t="shared" si="3"/>
        <v>10</v>
      </c>
      <c r="K8" s="56"/>
      <c r="L8" s="53"/>
      <c r="M8" s="52"/>
      <c r="N8" s="52"/>
      <c r="O8" s="53"/>
      <c r="P8" s="52"/>
      <c r="Q8" s="54"/>
      <c r="R8" s="55"/>
      <c r="S8" s="36"/>
      <c r="T8" s="36"/>
      <c r="U8" s="36"/>
      <c r="V8" s="36"/>
      <c r="W8" s="52"/>
      <c r="X8" s="52"/>
      <c r="Y8" s="52"/>
    </row>
    <row r="9" spans="1:65" ht="14.95" customHeight="1" thickBot="1" x14ac:dyDescent="0.3">
      <c r="A9" s="181" t="s">
        <v>255</v>
      </c>
      <c r="B9" s="78">
        <v>0</v>
      </c>
      <c r="C9" s="293">
        <v>0</v>
      </c>
      <c r="D9" s="238">
        <v>0</v>
      </c>
      <c r="E9" s="5">
        <f t="shared" si="2"/>
        <v>0</v>
      </c>
      <c r="F9" s="184" t="s">
        <v>255</v>
      </c>
      <c r="G9" s="79">
        <v>0</v>
      </c>
      <c r="H9" s="277">
        <v>0</v>
      </c>
      <c r="I9" s="240">
        <v>0</v>
      </c>
      <c r="J9" s="64">
        <f t="shared" si="3"/>
        <v>0</v>
      </c>
      <c r="K9" s="475" t="s">
        <v>227</v>
      </c>
      <c r="L9" s="453" t="s">
        <v>16</v>
      </c>
      <c r="M9" s="467"/>
      <c r="N9" s="454"/>
      <c r="O9" s="469" t="s">
        <v>267</v>
      </c>
      <c r="P9" s="470"/>
      <c r="Q9" s="471"/>
      <c r="R9" s="469" t="s">
        <v>698</v>
      </c>
      <c r="S9" s="470"/>
      <c r="T9" s="471"/>
      <c r="U9" s="469" t="s">
        <v>562</v>
      </c>
      <c r="V9" s="470"/>
      <c r="W9" s="471"/>
      <c r="X9" s="162"/>
      <c r="Y9" s="162"/>
      <c r="Z9" s="162"/>
      <c r="AC9" s="469" t="s">
        <v>463</v>
      </c>
      <c r="AD9" s="470"/>
      <c r="AE9" s="471"/>
      <c r="AF9" s="469" t="s">
        <v>355</v>
      </c>
      <c r="AG9" s="470"/>
      <c r="AH9" s="471"/>
      <c r="AI9" s="469" t="s">
        <v>260</v>
      </c>
      <c r="AJ9" s="470"/>
      <c r="AK9" s="471"/>
      <c r="AL9" s="469" t="s">
        <v>199</v>
      </c>
      <c r="AM9" s="470"/>
      <c r="AN9" s="471"/>
      <c r="AO9" s="469" t="s">
        <v>92</v>
      </c>
      <c r="AP9" s="470"/>
      <c r="AQ9" s="471"/>
      <c r="AR9" s="469" t="s">
        <v>63</v>
      </c>
      <c r="AS9" s="470"/>
      <c r="AT9" s="471"/>
      <c r="AU9" s="469" t="s">
        <v>59</v>
      </c>
      <c r="AV9" s="470"/>
      <c r="AW9" s="471"/>
      <c r="AX9" s="469" t="s">
        <v>69</v>
      </c>
      <c r="AY9" s="470"/>
      <c r="AZ9" s="471"/>
    </row>
    <row r="10" spans="1:65" ht="14.95" customHeight="1" thickBot="1" x14ac:dyDescent="0.3">
      <c r="A10" s="181" t="s">
        <v>673</v>
      </c>
      <c r="B10" s="78">
        <v>0</v>
      </c>
      <c r="C10" s="293">
        <v>0</v>
      </c>
      <c r="D10" s="238">
        <v>0</v>
      </c>
      <c r="E10" s="5">
        <f t="shared" si="2"/>
        <v>0</v>
      </c>
      <c r="F10" s="184" t="s">
        <v>673</v>
      </c>
      <c r="G10" s="79">
        <v>0</v>
      </c>
      <c r="H10" s="277">
        <v>0</v>
      </c>
      <c r="I10" s="240">
        <v>0</v>
      </c>
      <c r="J10" s="64">
        <f t="shared" si="3"/>
        <v>0</v>
      </c>
      <c r="K10" s="476"/>
      <c r="L10" s="455"/>
      <c r="M10" s="468"/>
      <c r="N10" s="456"/>
      <c r="O10" s="472"/>
      <c r="P10" s="473"/>
      <c r="Q10" s="474"/>
      <c r="R10" s="472"/>
      <c r="S10" s="473"/>
      <c r="T10" s="474"/>
      <c r="U10" s="472"/>
      <c r="V10" s="473"/>
      <c r="W10" s="474"/>
      <c r="X10" s="162"/>
      <c r="Y10" s="162"/>
      <c r="Z10" s="162"/>
      <c r="AC10" s="472"/>
      <c r="AD10" s="473"/>
      <c r="AE10" s="474"/>
      <c r="AF10" s="472"/>
      <c r="AG10" s="473"/>
      <c r="AH10" s="474"/>
      <c r="AI10" s="472"/>
      <c r="AJ10" s="473"/>
      <c r="AK10" s="474"/>
      <c r="AL10" s="472"/>
      <c r="AM10" s="473"/>
      <c r="AN10" s="474"/>
      <c r="AO10" s="472"/>
      <c r="AP10" s="473"/>
      <c r="AQ10" s="474"/>
      <c r="AR10" s="472"/>
      <c r="AS10" s="473"/>
      <c r="AT10" s="474"/>
      <c r="AU10" s="472"/>
      <c r="AV10" s="473"/>
      <c r="AW10" s="474"/>
      <c r="AX10" s="472"/>
      <c r="AY10" s="473"/>
      <c r="AZ10" s="474"/>
    </row>
    <row r="11" spans="1:65" ht="14.95" customHeight="1" thickBot="1" x14ac:dyDescent="0.3">
      <c r="A11" s="181" t="s">
        <v>287</v>
      </c>
      <c r="B11" s="78">
        <v>3</v>
      </c>
      <c r="C11" s="293">
        <v>0</v>
      </c>
      <c r="D11" s="238">
        <v>0</v>
      </c>
      <c r="E11" s="5">
        <f t="shared" si="2"/>
        <v>3</v>
      </c>
      <c r="F11" s="184" t="s">
        <v>287</v>
      </c>
      <c r="G11" s="79">
        <v>15</v>
      </c>
      <c r="H11" s="277">
        <v>0</v>
      </c>
      <c r="I11" s="240">
        <v>0</v>
      </c>
      <c r="J11" s="64">
        <f t="shared" si="3"/>
        <v>15</v>
      </c>
      <c r="K11" s="257" t="s">
        <v>25</v>
      </c>
      <c r="L11" s="3" t="s">
        <v>55</v>
      </c>
      <c r="M11" s="3" t="s">
        <v>11</v>
      </c>
      <c r="N11" s="3" t="s">
        <v>12</v>
      </c>
      <c r="O11" s="7" t="s">
        <v>55</v>
      </c>
      <c r="P11" s="7" t="s">
        <v>11</v>
      </c>
      <c r="Q11" s="7" t="s">
        <v>12</v>
      </c>
      <c r="R11" s="7" t="s">
        <v>55</v>
      </c>
      <c r="S11" s="7" t="s">
        <v>11</v>
      </c>
      <c r="T11" s="7" t="s">
        <v>12</v>
      </c>
      <c r="U11" s="7" t="s">
        <v>55</v>
      </c>
      <c r="V11" s="7" t="s">
        <v>11</v>
      </c>
      <c r="W11" s="7" t="s">
        <v>12</v>
      </c>
      <c r="AC11" s="150" t="s">
        <v>55</v>
      </c>
      <c r="AD11" s="7" t="s">
        <v>11</v>
      </c>
      <c r="AE11" s="7" t="s">
        <v>12</v>
      </c>
      <c r="AF11" s="85" t="s">
        <v>55</v>
      </c>
      <c r="AG11" s="80" t="s">
        <v>11</v>
      </c>
      <c r="AH11" s="80" t="s">
        <v>12</v>
      </c>
      <c r="AI11" s="150" t="s">
        <v>55</v>
      </c>
      <c r="AJ11" s="7" t="s">
        <v>11</v>
      </c>
      <c r="AK11" s="7" t="s">
        <v>12</v>
      </c>
      <c r="AL11" s="150" t="s">
        <v>55</v>
      </c>
      <c r="AM11" s="7" t="s">
        <v>11</v>
      </c>
      <c r="AN11" s="7" t="s">
        <v>12</v>
      </c>
      <c r="AO11" s="150" t="s">
        <v>55</v>
      </c>
      <c r="AP11" s="7" t="s">
        <v>11</v>
      </c>
      <c r="AQ11" s="7" t="s">
        <v>12</v>
      </c>
      <c r="AR11" s="150" t="s">
        <v>55</v>
      </c>
      <c r="AS11" s="7" t="s">
        <v>11</v>
      </c>
      <c r="AT11" s="7" t="s">
        <v>12</v>
      </c>
      <c r="AU11" s="150" t="s">
        <v>55</v>
      </c>
      <c r="AV11" s="7" t="s">
        <v>11</v>
      </c>
      <c r="AW11" s="7" t="s">
        <v>12</v>
      </c>
      <c r="AX11" s="150" t="s">
        <v>55</v>
      </c>
      <c r="AY11" s="7" t="s">
        <v>11</v>
      </c>
      <c r="AZ11" s="7" t="s">
        <v>12</v>
      </c>
    </row>
    <row r="12" spans="1:65" ht="14.95" customHeight="1" thickBot="1" x14ac:dyDescent="0.3">
      <c r="A12" s="181" t="s">
        <v>30</v>
      </c>
      <c r="B12" s="78">
        <v>2</v>
      </c>
      <c r="C12" s="293">
        <v>0</v>
      </c>
      <c r="D12" s="238">
        <v>0</v>
      </c>
      <c r="E12" s="5">
        <f t="shared" si="2"/>
        <v>2</v>
      </c>
      <c r="F12" s="184" t="s">
        <v>30</v>
      </c>
      <c r="G12" s="79">
        <v>10</v>
      </c>
      <c r="H12" s="277">
        <v>0</v>
      </c>
      <c r="I12" s="240">
        <v>0</v>
      </c>
      <c r="J12" s="64">
        <f t="shared" si="3"/>
        <v>10</v>
      </c>
      <c r="K12" s="181" t="s">
        <v>291</v>
      </c>
      <c r="L12" s="5">
        <v>1</v>
      </c>
      <c r="M12" s="5">
        <v>1</v>
      </c>
      <c r="N12" s="185">
        <f t="shared" ref="N12" si="7">SUM(L12/M12)*100</f>
        <v>100</v>
      </c>
      <c r="O12" s="7">
        <v>6</v>
      </c>
      <c r="P12" s="7">
        <v>8</v>
      </c>
      <c r="Q12" s="155">
        <v>75</v>
      </c>
      <c r="R12" s="7" t="s">
        <v>17</v>
      </c>
      <c r="S12" s="7" t="s">
        <v>17</v>
      </c>
      <c r="T12" s="155" t="s">
        <v>17</v>
      </c>
      <c r="U12" s="7">
        <v>7</v>
      </c>
      <c r="V12" s="7">
        <v>10</v>
      </c>
      <c r="W12" s="155">
        <f t="shared" ref="W12" si="8">SUM(U12/V12)*100</f>
        <v>70</v>
      </c>
      <c r="AC12" s="150">
        <v>9</v>
      </c>
      <c r="AD12" s="7">
        <v>13</v>
      </c>
      <c r="AE12" s="155">
        <f>SUM(AC12/AD12)*100</f>
        <v>69.230769230769226</v>
      </c>
      <c r="AF12" s="150" t="s">
        <v>17</v>
      </c>
      <c r="AG12" s="7" t="s">
        <v>17</v>
      </c>
      <c r="AH12" s="7" t="s">
        <v>17</v>
      </c>
      <c r="AI12" s="150" t="s">
        <v>17</v>
      </c>
      <c r="AJ12" s="7" t="s">
        <v>17</v>
      </c>
      <c r="AK12" s="7" t="s">
        <v>17</v>
      </c>
      <c r="AL12" s="150" t="s">
        <v>17</v>
      </c>
      <c r="AM12" s="7" t="s">
        <v>17</v>
      </c>
      <c r="AN12" s="7" t="s">
        <v>17</v>
      </c>
      <c r="AO12" s="150">
        <v>1</v>
      </c>
      <c r="AP12" s="7">
        <v>2</v>
      </c>
      <c r="AQ12" s="155">
        <f>SUM(AO12/AP12)*100</f>
        <v>50</v>
      </c>
      <c r="AR12" s="6" t="s">
        <v>17</v>
      </c>
      <c r="AS12" s="7" t="s">
        <v>17</v>
      </c>
      <c r="AT12" s="7" t="s">
        <v>17</v>
      </c>
      <c r="AU12" s="7" t="s">
        <v>17</v>
      </c>
      <c r="AV12" s="7" t="s">
        <v>17</v>
      </c>
      <c r="AW12" s="7" t="s">
        <v>17</v>
      </c>
      <c r="AX12" s="7" t="s">
        <v>17</v>
      </c>
      <c r="AY12" s="7" t="s">
        <v>17</v>
      </c>
      <c r="AZ12" s="7" t="s">
        <v>17</v>
      </c>
    </row>
    <row r="13" spans="1:65" ht="14.95" customHeight="1" thickBot="1" x14ac:dyDescent="0.3">
      <c r="A13" s="181" t="s">
        <v>291</v>
      </c>
      <c r="B13" s="78">
        <v>0</v>
      </c>
      <c r="C13" s="293">
        <v>0</v>
      </c>
      <c r="D13" s="238">
        <v>1</v>
      </c>
      <c r="E13" s="5">
        <f t="shared" si="2"/>
        <v>1</v>
      </c>
      <c r="F13" s="184" t="s">
        <v>291</v>
      </c>
      <c r="G13" s="79">
        <v>74</v>
      </c>
      <c r="H13" s="277">
        <v>2</v>
      </c>
      <c r="I13" s="240">
        <v>75</v>
      </c>
      <c r="J13" s="64">
        <f t="shared" si="3"/>
        <v>151</v>
      </c>
      <c r="K13" s="181" t="s">
        <v>177</v>
      </c>
      <c r="L13" s="5">
        <v>4</v>
      </c>
      <c r="M13" s="5">
        <v>5</v>
      </c>
      <c r="N13" s="185">
        <f t="shared" ref="N13" si="9">SUM(L13/M13)*100</f>
        <v>80</v>
      </c>
      <c r="O13" s="7" t="s">
        <v>17</v>
      </c>
      <c r="P13" s="7" t="s">
        <v>17</v>
      </c>
      <c r="Q13" s="155" t="s">
        <v>17</v>
      </c>
      <c r="R13" s="7" t="s">
        <v>17</v>
      </c>
      <c r="S13" s="7" t="s">
        <v>17</v>
      </c>
      <c r="T13" s="155" t="s">
        <v>17</v>
      </c>
      <c r="U13" s="7" t="s">
        <v>17</v>
      </c>
      <c r="V13" s="7" t="s">
        <v>17</v>
      </c>
      <c r="W13" s="155" t="s">
        <v>17</v>
      </c>
      <c r="AC13" s="6" t="s">
        <v>17</v>
      </c>
      <c r="AD13" s="7" t="s">
        <v>17</v>
      </c>
      <c r="AE13" s="155" t="s">
        <v>17</v>
      </c>
      <c r="AF13" s="7" t="s">
        <v>17</v>
      </c>
      <c r="AG13" s="7" t="s">
        <v>17</v>
      </c>
      <c r="AH13" s="155" t="s">
        <v>17</v>
      </c>
      <c r="AI13" s="150" t="s">
        <v>17</v>
      </c>
      <c r="AJ13" s="7" t="s">
        <v>17</v>
      </c>
      <c r="AK13" s="7" t="s">
        <v>17</v>
      </c>
      <c r="AL13" s="150" t="s">
        <v>17</v>
      </c>
      <c r="AM13" s="7" t="s">
        <v>17</v>
      </c>
      <c r="AN13" s="7" t="s">
        <v>17</v>
      </c>
      <c r="AO13" s="150" t="s">
        <v>17</v>
      </c>
      <c r="AP13" s="7" t="s">
        <v>17</v>
      </c>
      <c r="AQ13" s="7" t="s">
        <v>17</v>
      </c>
      <c r="AR13" s="150" t="s">
        <v>17</v>
      </c>
      <c r="AS13" s="7" t="s">
        <v>17</v>
      </c>
      <c r="AT13" s="7" t="s">
        <v>17</v>
      </c>
      <c r="AU13" s="7" t="s">
        <v>17</v>
      </c>
      <c r="AV13" s="7" t="s">
        <v>17</v>
      </c>
      <c r="AW13" s="7" t="s">
        <v>17</v>
      </c>
      <c r="AX13" s="7" t="s">
        <v>17</v>
      </c>
      <c r="AY13" s="7" t="s">
        <v>17</v>
      </c>
      <c r="AZ13" s="7" t="s">
        <v>17</v>
      </c>
    </row>
    <row r="14" spans="1:65" ht="14.95" customHeight="1" thickBot="1" x14ac:dyDescent="0.3">
      <c r="A14" s="181" t="s">
        <v>817</v>
      </c>
      <c r="B14" s="78">
        <v>0</v>
      </c>
      <c r="C14" s="293">
        <v>0</v>
      </c>
      <c r="D14" s="238">
        <v>0</v>
      </c>
      <c r="E14" s="5">
        <f t="shared" si="2"/>
        <v>0</v>
      </c>
      <c r="F14" s="184" t="s">
        <v>289</v>
      </c>
      <c r="G14" s="79">
        <v>0</v>
      </c>
      <c r="H14" s="277">
        <v>0</v>
      </c>
      <c r="I14" s="240">
        <v>0</v>
      </c>
      <c r="J14" s="64">
        <f t="shared" si="3"/>
        <v>0</v>
      </c>
    </row>
    <row r="15" spans="1:65" ht="14.95" customHeight="1" thickBot="1" x14ac:dyDescent="0.3">
      <c r="A15" s="181" t="s">
        <v>818</v>
      </c>
      <c r="B15" s="78">
        <v>2</v>
      </c>
      <c r="C15" s="293">
        <v>0</v>
      </c>
      <c r="D15" s="238">
        <v>2</v>
      </c>
      <c r="E15" s="5">
        <f t="shared" si="2"/>
        <v>4</v>
      </c>
      <c r="F15" s="184" t="s">
        <v>818</v>
      </c>
      <c r="G15" s="79">
        <v>10</v>
      </c>
      <c r="H15" s="277">
        <v>0</v>
      </c>
      <c r="I15" s="240">
        <v>10</v>
      </c>
      <c r="J15" s="64">
        <f t="shared" si="3"/>
        <v>20</v>
      </c>
      <c r="K15" s="463" t="s">
        <v>226</v>
      </c>
      <c r="L15" s="469" t="s">
        <v>16</v>
      </c>
      <c r="M15" s="470"/>
      <c r="N15" s="471"/>
      <c r="O15" s="469" t="s">
        <v>267</v>
      </c>
      <c r="P15" s="470"/>
      <c r="Q15" s="471"/>
      <c r="R15" s="469" t="s">
        <v>698</v>
      </c>
      <c r="S15" s="470"/>
      <c r="T15" s="471"/>
      <c r="U15" s="469" t="s">
        <v>562</v>
      </c>
      <c r="V15" s="470"/>
      <c r="W15" s="471"/>
      <c r="AC15" s="469" t="s">
        <v>463</v>
      </c>
      <c r="AD15" s="470"/>
      <c r="AE15" s="471"/>
      <c r="AF15" s="469" t="s">
        <v>355</v>
      </c>
      <c r="AG15" s="470"/>
      <c r="AH15" s="471"/>
      <c r="AI15" s="469" t="s">
        <v>260</v>
      </c>
      <c r="AJ15" s="470"/>
      <c r="AK15" s="471"/>
      <c r="AL15" s="469" t="s">
        <v>199</v>
      </c>
      <c r="AM15" s="470"/>
      <c r="AN15" s="471"/>
      <c r="AO15" s="469" t="s">
        <v>92</v>
      </c>
      <c r="AP15" s="470"/>
      <c r="AQ15" s="471"/>
      <c r="AR15" s="469" t="s">
        <v>63</v>
      </c>
      <c r="AS15" s="470"/>
      <c r="AT15" s="471"/>
      <c r="AU15" s="469" t="s">
        <v>59</v>
      </c>
      <c r="AV15" s="470"/>
      <c r="AW15" s="471"/>
      <c r="AX15" s="469" t="s">
        <v>69</v>
      </c>
      <c r="AY15" s="470"/>
      <c r="AZ15" s="471"/>
    </row>
    <row r="16" spans="1:65" ht="14.95" customHeight="1" thickBot="1" x14ac:dyDescent="0.3">
      <c r="A16" s="181" t="s">
        <v>847</v>
      </c>
      <c r="B16" s="78">
        <v>0</v>
      </c>
      <c r="C16" s="293">
        <v>0</v>
      </c>
      <c r="D16" s="238">
        <v>0</v>
      </c>
      <c r="E16" s="5">
        <f t="shared" si="2"/>
        <v>0</v>
      </c>
      <c r="F16" s="184" t="s">
        <v>847</v>
      </c>
      <c r="G16" s="79">
        <v>0</v>
      </c>
      <c r="H16" s="277">
        <v>0</v>
      </c>
      <c r="I16" s="240">
        <v>0</v>
      </c>
      <c r="J16" s="64">
        <f t="shared" si="3"/>
        <v>0</v>
      </c>
      <c r="K16" s="464"/>
      <c r="L16" s="472"/>
      <c r="M16" s="473"/>
      <c r="N16" s="474"/>
      <c r="O16" s="472"/>
      <c r="P16" s="473"/>
      <c r="Q16" s="474"/>
      <c r="R16" s="472"/>
      <c r="S16" s="473"/>
      <c r="T16" s="474"/>
      <c r="U16" s="472"/>
      <c r="V16" s="473"/>
      <c r="W16" s="474"/>
      <c r="AC16" s="472"/>
      <c r="AD16" s="473"/>
      <c r="AE16" s="474"/>
      <c r="AF16" s="472"/>
      <c r="AG16" s="473"/>
      <c r="AH16" s="474"/>
      <c r="AI16" s="472"/>
      <c r="AJ16" s="473"/>
      <c r="AK16" s="474"/>
      <c r="AL16" s="472"/>
      <c r="AM16" s="473"/>
      <c r="AN16" s="474"/>
      <c r="AO16" s="472"/>
      <c r="AP16" s="473"/>
      <c r="AQ16" s="474"/>
      <c r="AR16" s="472"/>
      <c r="AS16" s="473"/>
      <c r="AT16" s="474"/>
      <c r="AU16" s="472"/>
      <c r="AV16" s="473"/>
      <c r="AW16" s="474"/>
      <c r="AX16" s="472"/>
      <c r="AY16" s="473"/>
      <c r="AZ16" s="474"/>
    </row>
    <row r="17" spans="1:52" ht="14.95" customHeight="1" thickBot="1" x14ac:dyDescent="0.3">
      <c r="A17" s="181" t="s">
        <v>581</v>
      </c>
      <c r="B17" s="78">
        <v>0</v>
      </c>
      <c r="C17" s="293">
        <v>0</v>
      </c>
      <c r="D17" s="238">
        <v>0</v>
      </c>
      <c r="E17" s="5">
        <f t="shared" ref="E17:E18" si="10">SUM(B17:D17)</f>
        <v>0</v>
      </c>
      <c r="F17" s="184" t="s">
        <v>581</v>
      </c>
      <c r="G17" s="79">
        <v>0</v>
      </c>
      <c r="H17" s="277">
        <v>0</v>
      </c>
      <c r="I17" s="240">
        <v>0</v>
      </c>
      <c r="J17" s="64">
        <f t="shared" ref="J17:J18" si="11">SUM(G17:I17)</f>
        <v>0</v>
      </c>
      <c r="K17" s="263" t="s">
        <v>25</v>
      </c>
      <c r="L17" s="7" t="s">
        <v>55</v>
      </c>
      <c r="M17" s="7" t="s">
        <v>11</v>
      </c>
      <c r="N17" s="7" t="s">
        <v>12</v>
      </c>
      <c r="O17" s="7" t="s">
        <v>55</v>
      </c>
      <c r="P17" s="7" t="s">
        <v>11</v>
      </c>
      <c r="Q17" s="7" t="s">
        <v>12</v>
      </c>
      <c r="R17" s="7" t="s">
        <v>55</v>
      </c>
      <c r="S17" s="7" t="s">
        <v>11</v>
      </c>
      <c r="T17" s="7" t="s">
        <v>12</v>
      </c>
      <c r="U17" s="7" t="s">
        <v>55</v>
      </c>
      <c r="V17" s="7" t="s">
        <v>11</v>
      </c>
      <c r="W17" s="7" t="s">
        <v>12</v>
      </c>
      <c r="AC17" s="150" t="s">
        <v>55</v>
      </c>
      <c r="AD17" s="7" t="s">
        <v>11</v>
      </c>
      <c r="AE17" s="7" t="s">
        <v>12</v>
      </c>
      <c r="AF17" s="85" t="s">
        <v>55</v>
      </c>
      <c r="AG17" s="80" t="s">
        <v>11</v>
      </c>
      <c r="AH17" s="80" t="s">
        <v>12</v>
      </c>
      <c r="AI17" s="150" t="s">
        <v>55</v>
      </c>
      <c r="AJ17" s="7" t="s">
        <v>11</v>
      </c>
      <c r="AK17" s="7" t="s">
        <v>12</v>
      </c>
      <c r="AL17" s="150" t="s">
        <v>55</v>
      </c>
      <c r="AM17" s="7" t="s">
        <v>11</v>
      </c>
      <c r="AN17" s="7" t="s">
        <v>12</v>
      </c>
      <c r="AO17" s="150" t="s">
        <v>55</v>
      </c>
      <c r="AP17" s="7" t="s">
        <v>11</v>
      </c>
      <c r="AQ17" s="7" t="s">
        <v>12</v>
      </c>
      <c r="AR17" s="150" t="s">
        <v>55</v>
      </c>
      <c r="AS17" s="7" t="s">
        <v>11</v>
      </c>
      <c r="AT17" s="7" t="s">
        <v>12</v>
      </c>
      <c r="AU17" s="150" t="s">
        <v>55</v>
      </c>
      <c r="AV17" s="7" t="s">
        <v>11</v>
      </c>
      <c r="AW17" s="7" t="s">
        <v>12</v>
      </c>
      <c r="AX17" s="150" t="s">
        <v>55</v>
      </c>
      <c r="AY17" s="7" t="s">
        <v>11</v>
      </c>
      <c r="AZ17" s="7" t="s">
        <v>12</v>
      </c>
    </row>
    <row r="18" spans="1:52" ht="14.95" customHeight="1" thickBot="1" x14ac:dyDescent="0.3">
      <c r="A18" s="181" t="s">
        <v>629</v>
      </c>
      <c r="B18" s="78">
        <v>3</v>
      </c>
      <c r="C18" s="293">
        <v>0</v>
      </c>
      <c r="D18" s="238">
        <v>1</v>
      </c>
      <c r="E18" s="5">
        <f t="shared" si="10"/>
        <v>4</v>
      </c>
      <c r="F18" s="184" t="s">
        <v>629</v>
      </c>
      <c r="G18" s="79">
        <v>15</v>
      </c>
      <c r="H18" s="277">
        <v>0</v>
      </c>
      <c r="I18" s="240">
        <v>5</v>
      </c>
      <c r="J18" s="64">
        <f t="shared" si="11"/>
        <v>20</v>
      </c>
      <c r="K18" s="181" t="s">
        <v>291</v>
      </c>
      <c r="L18" s="7" t="s">
        <v>17</v>
      </c>
      <c r="M18" s="7" t="s">
        <v>17</v>
      </c>
      <c r="N18" s="155" t="s">
        <v>17</v>
      </c>
      <c r="O18" s="7" t="s">
        <v>17</v>
      </c>
      <c r="P18" s="7" t="s">
        <v>17</v>
      </c>
      <c r="Q18" s="155" t="s">
        <v>17</v>
      </c>
      <c r="R18" s="7" t="s">
        <v>17</v>
      </c>
      <c r="S18" s="7" t="s">
        <v>17</v>
      </c>
      <c r="T18" s="155" t="s">
        <v>17</v>
      </c>
      <c r="U18" s="7" t="s">
        <v>17</v>
      </c>
      <c r="V18" s="7" t="s">
        <v>17</v>
      </c>
      <c r="W18" s="155" t="s">
        <v>17</v>
      </c>
      <c r="AC18" s="150" t="s">
        <v>17</v>
      </c>
      <c r="AD18" s="7" t="s">
        <v>17</v>
      </c>
      <c r="AE18" s="7" t="s">
        <v>17</v>
      </c>
      <c r="AF18" s="150" t="s">
        <v>17</v>
      </c>
      <c r="AG18" s="7" t="s">
        <v>17</v>
      </c>
      <c r="AH18" s="7" t="s">
        <v>17</v>
      </c>
      <c r="AI18" s="150">
        <v>3</v>
      </c>
      <c r="AJ18" s="7">
        <v>3</v>
      </c>
      <c r="AK18" s="155">
        <v>100</v>
      </c>
      <c r="AL18" s="150" t="s">
        <v>17</v>
      </c>
      <c r="AM18" s="7" t="s">
        <v>17</v>
      </c>
      <c r="AN18" s="7" t="s">
        <v>17</v>
      </c>
      <c r="AO18" s="7" t="s">
        <v>17</v>
      </c>
      <c r="AP18" s="7" t="s">
        <v>17</v>
      </c>
      <c r="AQ18" s="7" t="s">
        <v>17</v>
      </c>
      <c r="AR18" s="7" t="s">
        <v>17</v>
      </c>
      <c r="AS18" s="7" t="s">
        <v>17</v>
      </c>
      <c r="AT18" s="7" t="s">
        <v>17</v>
      </c>
      <c r="AU18" s="7" t="s">
        <v>17</v>
      </c>
      <c r="AV18" s="7" t="s">
        <v>17</v>
      </c>
      <c r="AW18" s="7" t="s">
        <v>17</v>
      </c>
      <c r="AX18" s="7" t="s">
        <v>17</v>
      </c>
      <c r="AY18" s="7" t="s">
        <v>17</v>
      </c>
      <c r="AZ18" s="7" t="s">
        <v>17</v>
      </c>
    </row>
    <row r="19" spans="1:52" ht="14.95" customHeight="1" thickBot="1" x14ac:dyDescent="0.3">
      <c r="A19" s="181" t="s">
        <v>512</v>
      </c>
      <c r="B19" s="78">
        <v>0</v>
      </c>
      <c r="C19" s="293">
        <v>0</v>
      </c>
      <c r="D19" s="238">
        <v>0</v>
      </c>
      <c r="E19" s="5">
        <f t="shared" si="2"/>
        <v>0</v>
      </c>
      <c r="F19" s="184" t="s">
        <v>512</v>
      </c>
      <c r="G19" s="79">
        <v>0</v>
      </c>
      <c r="H19" s="277">
        <v>0</v>
      </c>
      <c r="I19" s="240">
        <v>0</v>
      </c>
      <c r="J19" s="64">
        <f t="shared" si="3"/>
        <v>0</v>
      </c>
      <c r="K19" s="181" t="s">
        <v>177</v>
      </c>
      <c r="L19" s="7" t="s">
        <v>17</v>
      </c>
      <c r="M19" s="7" t="s">
        <v>17</v>
      </c>
      <c r="N19" s="155" t="s">
        <v>17</v>
      </c>
      <c r="O19" s="7" t="s">
        <v>17</v>
      </c>
      <c r="P19" s="7" t="s">
        <v>17</v>
      </c>
      <c r="Q19" s="155" t="s">
        <v>17</v>
      </c>
      <c r="R19" s="7" t="s">
        <v>17</v>
      </c>
      <c r="S19" s="7" t="s">
        <v>17</v>
      </c>
      <c r="T19" s="155" t="s">
        <v>17</v>
      </c>
      <c r="U19" s="7" t="s">
        <v>17</v>
      </c>
      <c r="V19" s="7" t="s">
        <v>17</v>
      </c>
      <c r="W19" s="155" t="s">
        <v>17</v>
      </c>
      <c r="AC19" s="6" t="s">
        <v>17</v>
      </c>
      <c r="AD19" s="7" t="s">
        <v>17</v>
      </c>
      <c r="AE19" s="155" t="s">
        <v>17</v>
      </c>
      <c r="AF19" s="7" t="s">
        <v>17</v>
      </c>
      <c r="AG19" s="7" t="s">
        <v>17</v>
      </c>
      <c r="AH19" s="155" t="s">
        <v>17</v>
      </c>
      <c r="AI19" s="7" t="s">
        <v>17</v>
      </c>
      <c r="AJ19" s="7" t="s">
        <v>17</v>
      </c>
      <c r="AK19" s="155" t="s">
        <v>17</v>
      </c>
      <c r="AL19" s="150" t="s">
        <v>17</v>
      </c>
      <c r="AM19" s="7" t="s">
        <v>17</v>
      </c>
      <c r="AN19" s="7" t="s">
        <v>17</v>
      </c>
      <c r="AO19" s="150" t="s">
        <v>17</v>
      </c>
      <c r="AP19" s="7" t="s">
        <v>17</v>
      </c>
      <c r="AQ19" s="7" t="s">
        <v>17</v>
      </c>
      <c r="AR19" s="150" t="s">
        <v>17</v>
      </c>
      <c r="AS19" s="7" t="s">
        <v>17</v>
      </c>
      <c r="AT19" s="7" t="s">
        <v>17</v>
      </c>
      <c r="AU19" s="7" t="s">
        <v>17</v>
      </c>
      <c r="AV19" s="7" t="s">
        <v>17</v>
      </c>
      <c r="AW19" s="7" t="s">
        <v>17</v>
      </c>
      <c r="AX19" s="7" t="s">
        <v>17</v>
      </c>
      <c r="AY19" s="7" t="s">
        <v>17</v>
      </c>
      <c r="AZ19" s="7" t="s">
        <v>17</v>
      </c>
    </row>
    <row r="20" spans="1:52" ht="14.95" customHeight="1" thickBot="1" x14ac:dyDescent="0.3">
      <c r="A20" s="181" t="s">
        <v>538</v>
      </c>
      <c r="B20" s="78">
        <v>0</v>
      </c>
      <c r="C20" s="293">
        <v>2</v>
      </c>
      <c r="D20" s="238">
        <v>1</v>
      </c>
      <c r="E20" s="5">
        <f t="shared" si="2"/>
        <v>3</v>
      </c>
      <c r="F20" s="184" t="s">
        <v>538</v>
      </c>
      <c r="G20" s="79">
        <v>0</v>
      </c>
      <c r="H20" s="277">
        <v>10</v>
      </c>
      <c r="I20" s="240">
        <v>5</v>
      </c>
      <c r="J20" s="64">
        <f t="shared" si="3"/>
        <v>15</v>
      </c>
    </row>
    <row r="21" spans="1:52" ht="14.95" customHeight="1" thickBot="1" x14ac:dyDescent="0.3">
      <c r="A21" s="181" t="s">
        <v>851</v>
      </c>
      <c r="B21" s="78">
        <v>0</v>
      </c>
      <c r="C21" s="293">
        <v>0</v>
      </c>
      <c r="D21" s="238">
        <v>1</v>
      </c>
      <c r="E21" s="5">
        <f t="shared" si="2"/>
        <v>1</v>
      </c>
      <c r="F21" s="184" t="s">
        <v>851</v>
      </c>
      <c r="G21" s="79">
        <v>0</v>
      </c>
      <c r="H21" s="277">
        <v>0</v>
      </c>
      <c r="I21" s="240">
        <v>5</v>
      </c>
      <c r="J21" s="64">
        <f t="shared" si="3"/>
        <v>5</v>
      </c>
      <c r="K21" s="499" t="s">
        <v>93</v>
      </c>
      <c r="L21" s="453" t="s">
        <v>16</v>
      </c>
      <c r="M21" s="467"/>
      <c r="N21" s="454"/>
      <c r="O21" s="469" t="s">
        <v>267</v>
      </c>
      <c r="P21" s="470"/>
      <c r="Q21" s="471"/>
      <c r="R21" s="469" t="s">
        <v>698</v>
      </c>
      <c r="S21" s="470"/>
      <c r="T21" s="471"/>
      <c r="U21" s="469" t="s">
        <v>355</v>
      </c>
      <c r="V21" s="470"/>
      <c r="W21" s="471"/>
      <c r="AC21" s="469" t="s">
        <v>260</v>
      </c>
      <c r="AD21" s="470"/>
      <c r="AE21" s="471"/>
      <c r="AF21" s="469" t="s">
        <v>199</v>
      </c>
      <c r="AG21" s="470"/>
      <c r="AH21" s="471"/>
      <c r="AI21" s="469" t="s">
        <v>92</v>
      </c>
      <c r="AJ21" s="470"/>
      <c r="AK21" s="471"/>
      <c r="AL21" s="469" t="s">
        <v>63</v>
      </c>
      <c r="AM21" s="470"/>
      <c r="AN21" s="471"/>
      <c r="AO21" s="469" t="s">
        <v>59</v>
      </c>
      <c r="AP21" s="470"/>
      <c r="AQ21" s="471"/>
      <c r="AR21" s="469" t="s">
        <v>45</v>
      </c>
      <c r="AS21" s="470"/>
      <c r="AT21" s="471"/>
    </row>
    <row r="22" spans="1:52" ht="14.95" customHeight="1" thickBot="1" x14ac:dyDescent="0.3">
      <c r="A22" s="181" t="s">
        <v>938</v>
      </c>
      <c r="B22" s="78">
        <v>0</v>
      </c>
      <c r="C22" s="293">
        <v>0</v>
      </c>
      <c r="D22" s="238">
        <v>1</v>
      </c>
      <c r="E22" s="5">
        <f t="shared" si="2"/>
        <v>1</v>
      </c>
      <c r="F22" s="184" t="s">
        <v>938</v>
      </c>
      <c r="G22" s="79">
        <v>23</v>
      </c>
      <c r="H22" s="277">
        <v>0</v>
      </c>
      <c r="I22" s="240">
        <v>5</v>
      </c>
      <c r="J22" s="64">
        <f t="shared" si="3"/>
        <v>28</v>
      </c>
      <c r="K22" s="500"/>
      <c r="L22" s="455"/>
      <c r="M22" s="468"/>
      <c r="N22" s="456"/>
      <c r="O22" s="472"/>
      <c r="P22" s="473"/>
      <c r="Q22" s="474"/>
      <c r="R22" s="472"/>
      <c r="S22" s="473"/>
      <c r="T22" s="474"/>
      <c r="U22" s="472"/>
      <c r="V22" s="473"/>
      <c r="W22" s="474"/>
      <c r="AC22" s="472"/>
      <c r="AD22" s="473"/>
      <c r="AE22" s="474"/>
      <c r="AF22" s="472"/>
      <c r="AG22" s="473"/>
      <c r="AH22" s="474"/>
      <c r="AI22" s="472"/>
      <c r="AJ22" s="473"/>
      <c r="AK22" s="474"/>
      <c r="AL22" s="472"/>
      <c r="AM22" s="473"/>
      <c r="AN22" s="474"/>
      <c r="AO22" s="472"/>
      <c r="AP22" s="473"/>
      <c r="AQ22" s="474"/>
      <c r="AR22" s="472"/>
      <c r="AS22" s="473"/>
      <c r="AT22" s="474"/>
    </row>
    <row r="23" spans="1:52" ht="14.95" customHeight="1" thickBot="1" x14ac:dyDescent="0.3">
      <c r="A23" s="181" t="s">
        <v>822</v>
      </c>
      <c r="B23" s="78">
        <v>0</v>
      </c>
      <c r="C23" s="293">
        <v>0</v>
      </c>
      <c r="D23" s="238">
        <v>3</v>
      </c>
      <c r="E23" s="5">
        <f t="shared" si="2"/>
        <v>3</v>
      </c>
      <c r="F23" s="184" t="s">
        <v>822</v>
      </c>
      <c r="G23" s="79">
        <v>0</v>
      </c>
      <c r="H23" s="277">
        <v>0</v>
      </c>
      <c r="I23" s="240">
        <v>15</v>
      </c>
      <c r="J23" s="64">
        <f t="shared" si="3"/>
        <v>15</v>
      </c>
      <c r="K23" s="225" t="s">
        <v>25</v>
      </c>
      <c r="L23" s="3" t="s">
        <v>55</v>
      </c>
      <c r="M23" s="3" t="s">
        <v>11</v>
      </c>
      <c r="N23" s="3" t="s">
        <v>12</v>
      </c>
      <c r="O23" s="7" t="s">
        <v>55</v>
      </c>
      <c r="P23" s="7" t="s">
        <v>11</v>
      </c>
      <c r="Q23" s="7" t="s">
        <v>12</v>
      </c>
      <c r="R23" s="80" t="s">
        <v>55</v>
      </c>
      <c r="S23" s="80" t="s">
        <v>11</v>
      </c>
      <c r="T23" s="80" t="s">
        <v>12</v>
      </c>
      <c r="U23" s="80" t="s">
        <v>55</v>
      </c>
      <c r="V23" s="80" t="s">
        <v>11</v>
      </c>
      <c r="W23" s="80" t="s">
        <v>12</v>
      </c>
      <c r="AC23" s="150" t="s">
        <v>55</v>
      </c>
      <c r="AD23" s="7" t="s">
        <v>11</v>
      </c>
      <c r="AE23" s="7" t="s">
        <v>12</v>
      </c>
      <c r="AF23" s="150" t="s">
        <v>55</v>
      </c>
      <c r="AG23" s="7" t="s">
        <v>11</v>
      </c>
      <c r="AH23" s="7" t="s">
        <v>12</v>
      </c>
      <c r="AI23" s="150" t="s">
        <v>55</v>
      </c>
      <c r="AJ23" s="7" t="s">
        <v>11</v>
      </c>
      <c r="AK23" s="7" t="s">
        <v>12</v>
      </c>
      <c r="AL23" s="150" t="s">
        <v>55</v>
      </c>
      <c r="AM23" s="7" t="s">
        <v>11</v>
      </c>
      <c r="AN23" s="7" t="s">
        <v>12</v>
      </c>
      <c r="AO23" s="150" t="s">
        <v>55</v>
      </c>
      <c r="AP23" s="7" t="s">
        <v>11</v>
      </c>
      <c r="AQ23" s="7" t="s">
        <v>12</v>
      </c>
      <c r="AR23" s="150" t="s">
        <v>55</v>
      </c>
      <c r="AS23" s="7" t="s">
        <v>11</v>
      </c>
      <c r="AT23" s="7" t="s">
        <v>12</v>
      </c>
    </row>
    <row r="24" spans="1:52" ht="14.95" customHeight="1" thickBot="1" x14ac:dyDescent="0.3">
      <c r="A24" s="181" t="s">
        <v>823</v>
      </c>
      <c r="B24" s="78">
        <v>1</v>
      </c>
      <c r="C24" s="293">
        <v>0</v>
      </c>
      <c r="D24" s="238">
        <v>0</v>
      </c>
      <c r="E24" s="5">
        <f t="shared" si="2"/>
        <v>1</v>
      </c>
      <c r="F24" s="184" t="s">
        <v>823</v>
      </c>
      <c r="G24" s="79">
        <v>5</v>
      </c>
      <c r="H24" s="277">
        <v>0</v>
      </c>
      <c r="I24" s="240">
        <v>0</v>
      </c>
      <c r="J24" s="64">
        <f t="shared" si="3"/>
        <v>5</v>
      </c>
      <c r="K24" s="181" t="s">
        <v>291</v>
      </c>
      <c r="L24" s="5">
        <v>32</v>
      </c>
      <c r="M24" s="5">
        <v>41</v>
      </c>
      <c r="N24" s="185">
        <f t="shared" ref="N24:N25" si="12">SUM(L24/M24)*100</f>
        <v>78.048780487804876</v>
      </c>
      <c r="O24" s="7">
        <v>10</v>
      </c>
      <c r="P24" s="7">
        <v>13</v>
      </c>
      <c r="Q24" s="155">
        <v>71</v>
      </c>
      <c r="R24" s="7" t="s">
        <v>17</v>
      </c>
      <c r="S24" s="7" t="s">
        <v>17</v>
      </c>
      <c r="T24" s="7" t="s">
        <v>17</v>
      </c>
      <c r="U24" s="7" t="s">
        <v>17</v>
      </c>
      <c r="V24" s="7" t="s">
        <v>17</v>
      </c>
      <c r="W24" s="7" t="s">
        <v>17</v>
      </c>
      <c r="AC24" s="150">
        <v>12</v>
      </c>
      <c r="AD24" s="7">
        <v>15</v>
      </c>
      <c r="AE24" s="155">
        <f>SUM(AC24/AD24)*100</f>
        <v>80</v>
      </c>
      <c r="AF24" s="150" t="s">
        <v>17</v>
      </c>
      <c r="AG24" s="7" t="s">
        <v>17</v>
      </c>
      <c r="AH24" s="7" t="s">
        <v>17</v>
      </c>
      <c r="AI24" s="7">
        <v>3</v>
      </c>
      <c r="AJ24" s="7">
        <v>4</v>
      </c>
      <c r="AK24" s="155">
        <f>SUM(AI24/AJ24)*100</f>
        <v>75</v>
      </c>
      <c r="AL24" s="7" t="s">
        <v>17</v>
      </c>
      <c r="AM24" s="7" t="s">
        <v>17</v>
      </c>
      <c r="AN24" s="7" t="s">
        <v>17</v>
      </c>
      <c r="AO24" s="150" t="s">
        <v>17</v>
      </c>
      <c r="AP24" s="7" t="s">
        <v>17</v>
      </c>
      <c r="AQ24" s="7" t="s">
        <v>17</v>
      </c>
      <c r="AR24" s="7" t="s">
        <v>17</v>
      </c>
      <c r="AS24" s="7" t="s">
        <v>17</v>
      </c>
      <c r="AT24" s="7" t="s">
        <v>17</v>
      </c>
    </row>
    <row r="25" spans="1:52" ht="14.95" customHeight="1" thickBot="1" x14ac:dyDescent="0.3">
      <c r="A25" s="181" t="s">
        <v>840</v>
      </c>
      <c r="B25" s="78">
        <v>2</v>
      </c>
      <c r="C25" s="293">
        <v>2</v>
      </c>
      <c r="D25" s="238">
        <v>2</v>
      </c>
      <c r="E25" s="5">
        <f t="shared" si="2"/>
        <v>6</v>
      </c>
      <c r="F25" s="184" t="s">
        <v>840</v>
      </c>
      <c r="G25" s="79">
        <v>10</v>
      </c>
      <c r="H25" s="277">
        <v>10</v>
      </c>
      <c r="I25" s="240">
        <v>10</v>
      </c>
      <c r="J25" s="64">
        <f t="shared" si="3"/>
        <v>30</v>
      </c>
      <c r="K25" s="181" t="s">
        <v>177</v>
      </c>
      <c r="L25" s="5">
        <v>5</v>
      </c>
      <c r="M25" s="5">
        <v>5</v>
      </c>
      <c r="N25" s="185">
        <f t="shared" si="12"/>
        <v>100</v>
      </c>
      <c r="O25" s="150">
        <v>3</v>
      </c>
      <c r="P25" s="7">
        <v>3</v>
      </c>
      <c r="Q25" s="7">
        <v>100</v>
      </c>
      <c r="R25" s="150">
        <v>4</v>
      </c>
      <c r="S25" s="7">
        <v>6</v>
      </c>
      <c r="T25" s="7">
        <v>67</v>
      </c>
      <c r="U25" s="150">
        <v>2</v>
      </c>
      <c r="V25" s="7">
        <v>5</v>
      </c>
      <c r="W25" s="7">
        <v>40</v>
      </c>
      <c r="AC25" s="150" t="s">
        <v>17</v>
      </c>
      <c r="AD25" s="7" t="s">
        <v>17</v>
      </c>
      <c r="AE25" s="7" t="s">
        <v>17</v>
      </c>
      <c r="AF25" s="150" t="s">
        <v>17</v>
      </c>
      <c r="AG25" s="7" t="s">
        <v>17</v>
      </c>
      <c r="AH25" s="7" t="s">
        <v>17</v>
      </c>
      <c r="AI25" s="150" t="s">
        <v>17</v>
      </c>
      <c r="AJ25" s="7" t="s">
        <v>17</v>
      </c>
      <c r="AK25" s="7" t="s">
        <v>17</v>
      </c>
      <c r="AL25" s="7" t="s">
        <v>17</v>
      </c>
      <c r="AM25" s="7" t="s">
        <v>17</v>
      </c>
      <c r="AN25" s="7" t="s">
        <v>17</v>
      </c>
      <c r="AO25" s="150" t="s">
        <v>17</v>
      </c>
      <c r="AP25" s="7" t="s">
        <v>17</v>
      </c>
      <c r="AQ25" s="7" t="s">
        <v>17</v>
      </c>
      <c r="AR25" s="7" t="s">
        <v>17</v>
      </c>
      <c r="AS25" s="7" t="s">
        <v>17</v>
      </c>
      <c r="AT25" s="7" t="s">
        <v>17</v>
      </c>
    </row>
    <row r="26" spans="1:52" ht="14.95" customHeight="1" thickBot="1" x14ac:dyDescent="0.3">
      <c r="A26" s="181" t="s">
        <v>310</v>
      </c>
      <c r="B26" s="78">
        <v>0</v>
      </c>
      <c r="C26" s="293">
        <v>0</v>
      </c>
      <c r="D26" s="238">
        <v>0</v>
      </c>
      <c r="E26" s="5">
        <f t="shared" si="2"/>
        <v>0</v>
      </c>
      <c r="F26" s="184" t="s">
        <v>310</v>
      </c>
      <c r="G26" s="79">
        <v>0</v>
      </c>
      <c r="H26" s="277">
        <v>0</v>
      </c>
      <c r="I26" s="240">
        <v>0</v>
      </c>
      <c r="J26" s="64">
        <f t="shared" si="3"/>
        <v>0</v>
      </c>
      <c r="K26" s="479" t="s">
        <v>853</v>
      </c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</row>
    <row r="27" spans="1:52" ht="14.95" customHeight="1" thickBot="1" x14ac:dyDescent="0.3">
      <c r="A27" s="181" t="s">
        <v>824</v>
      </c>
      <c r="B27" s="78">
        <v>1</v>
      </c>
      <c r="C27" s="293">
        <v>0</v>
      </c>
      <c r="D27" s="238">
        <v>0</v>
      </c>
      <c r="E27" s="5">
        <f t="shared" si="2"/>
        <v>1</v>
      </c>
      <c r="F27" s="184" t="s">
        <v>824</v>
      </c>
      <c r="G27" s="79">
        <v>5</v>
      </c>
      <c r="H27" s="277">
        <v>0</v>
      </c>
      <c r="I27" s="240">
        <v>0</v>
      </c>
      <c r="J27" s="64">
        <f t="shared" si="3"/>
        <v>5</v>
      </c>
      <c r="K27" s="479" t="s">
        <v>1276</v>
      </c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546"/>
    </row>
    <row r="28" spans="1:52" ht="14.95" customHeight="1" thickBot="1" x14ac:dyDescent="0.3">
      <c r="A28" s="181" t="s">
        <v>558</v>
      </c>
      <c r="B28" s="78">
        <v>2</v>
      </c>
      <c r="C28" s="293">
        <v>1</v>
      </c>
      <c r="D28" s="238">
        <v>6</v>
      </c>
      <c r="E28" s="5">
        <f t="shared" si="2"/>
        <v>9</v>
      </c>
      <c r="F28" s="184" t="s">
        <v>558</v>
      </c>
      <c r="G28" s="79">
        <v>10</v>
      </c>
      <c r="H28" s="277">
        <v>5</v>
      </c>
      <c r="I28" s="240">
        <v>30</v>
      </c>
      <c r="J28" s="64">
        <f t="shared" si="3"/>
        <v>45</v>
      </c>
    </row>
    <row r="29" spans="1:52" ht="14.95" customHeight="1" thickBot="1" x14ac:dyDescent="0.3">
      <c r="A29" s="181" t="s">
        <v>647</v>
      </c>
      <c r="B29" s="78">
        <v>0</v>
      </c>
      <c r="C29" s="293">
        <v>0</v>
      </c>
      <c r="D29" s="238">
        <v>1</v>
      </c>
      <c r="E29" s="5">
        <f t="shared" si="2"/>
        <v>1</v>
      </c>
      <c r="F29" s="184" t="s">
        <v>647</v>
      </c>
      <c r="G29" s="79">
        <v>0</v>
      </c>
      <c r="H29" s="277">
        <v>0</v>
      </c>
      <c r="I29" s="240">
        <v>5</v>
      </c>
      <c r="J29" s="64">
        <f t="shared" si="3"/>
        <v>5</v>
      </c>
    </row>
    <row r="30" spans="1:52" ht="14.95" customHeight="1" thickBot="1" x14ac:dyDescent="0.3">
      <c r="A30" s="181" t="s">
        <v>582</v>
      </c>
      <c r="B30" s="78">
        <v>0</v>
      </c>
      <c r="C30" s="293">
        <v>0</v>
      </c>
      <c r="D30" s="238">
        <v>0</v>
      </c>
      <c r="E30" s="5">
        <f t="shared" ref="E30:E32" si="13">SUM(B30:D30)</f>
        <v>0</v>
      </c>
      <c r="F30" s="184" t="s">
        <v>582</v>
      </c>
      <c r="G30" s="79">
        <v>0</v>
      </c>
      <c r="H30" s="277">
        <v>0</v>
      </c>
      <c r="I30" s="240">
        <v>0</v>
      </c>
      <c r="J30" s="64">
        <f t="shared" ref="J30:J32" si="14">SUM(G30:I30)</f>
        <v>0</v>
      </c>
    </row>
    <row r="31" spans="1:52" ht="14.95" customHeight="1" thickBot="1" x14ac:dyDescent="0.3">
      <c r="A31" s="181" t="s">
        <v>845</v>
      </c>
      <c r="B31" s="78">
        <v>0</v>
      </c>
      <c r="C31" s="293">
        <v>0</v>
      </c>
      <c r="D31" s="238">
        <v>0</v>
      </c>
      <c r="E31" s="5">
        <f t="shared" si="13"/>
        <v>0</v>
      </c>
      <c r="F31" s="184" t="s">
        <v>845</v>
      </c>
      <c r="G31" s="79">
        <v>0</v>
      </c>
      <c r="H31" s="277">
        <v>0</v>
      </c>
      <c r="I31" s="240">
        <v>0</v>
      </c>
      <c r="J31" s="64">
        <f t="shared" si="14"/>
        <v>0</v>
      </c>
    </row>
    <row r="32" spans="1:52" ht="14.95" customHeight="1" thickBot="1" x14ac:dyDescent="0.3">
      <c r="A32" s="181" t="s">
        <v>849</v>
      </c>
      <c r="B32" s="78">
        <v>2</v>
      </c>
      <c r="C32" s="293">
        <v>0</v>
      </c>
      <c r="D32" s="238">
        <v>0</v>
      </c>
      <c r="E32" s="5">
        <f t="shared" si="13"/>
        <v>2</v>
      </c>
      <c r="F32" s="184" t="s">
        <v>849</v>
      </c>
      <c r="G32" s="79">
        <v>10</v>
      </c>
      <c r="H32" s="277">
        <v>0</v>
      </c>
      <c r="I32" s="240">
        <v>0</v>
      </c>
      <c r="J32" s="64">
        <f t="shared" si="14"/>
        <v>10</v>
      </c>
    </row>
    <row r="33" spans="1:10" ht="14.95" customHeight="1" thickBot="1" x14ac:dyDescent="0.3">
      <c r="A33" s="181" t="s">
        <v>829</v>
      </c>
      <c r="B33" s="78">
        <v>0</v>
      </c>
      <c r="C33" s="293">
        <v>0</v>
      </c>
      <c r="D33" s="238">
        <v>0</v>
      </c>
      <c r="E33" s="5">
        <f t="shared" si="2"/>
        <v>0</v>
      </c>
      <c r="F33" s="184" t="s">
        <v>829</v>
      </c>
      <c r="G33" s="79">
        <v>0</v>
      </c>
      <c r="H33" s="277">
        <v>0</v>
      </c>
      <c r="I33" s="240">
        <v>0</v>
      </c>
      <c r="J33" s="64">
        <f t="shared" si="3"/>
        <v>0</v>
      </c>
    </row>
    <row r="34" spans="1:10" ht="14.95" customHeight="1" thickBot="1" x14ac:dyDescent="0.3">
      <c r="A34" s="181" t="s">
        <v>342</v>
      </c>
      <c r="B34" s="78">
        <v>0</v>
      </c>
      <c r="C34" s="293">
        <v>0</v>
      </c>
      <c r="D34" s="238">
        <v>0</v>
      </c>
      <c r="E34" s="5">
        <f t="shared" si="2"/>
        <v>0</v>
      </c>
      <c r="F34" s="184" t="s">
        <v>342</v>
      </c>
      <c r="G34" s="79">
        <v>0</v>
      </c>
      <c r="H34" s="277">
        <v>0</v>
      </c>
      <c r="I34" s="240">
        <v>0</v>
      </c>
      <c r="J34" s="64">
        <f t="shared" si="3"/>
        <v>0</v>
      </c>
    </row>
    <row r="35" spans="1:10" ht="14.95" customHeight="1" thickBot="1" x14ac:dyDescent="0.3">
      <c r="A35" s="181" t="s">
        <v>831</v>
      </c>
      <c r="B35" s="78">
        <v>0</v>
      </c>
      <c r="C35" s="293">
        <v>0</v>
      </c>
      <c r="D35" s="238">
        <v>0</v>
      </c>
      <c r="E35" s="5">
        <f t="shared" si="2"/>
        <v>0</v>
      </c>
      <c r="F35" s="184" t="s">
        <v>831</v>
      </c>
      <c r="G35" s="79">
        <v>0</v>
      </c>
      <c r="H35" s="277">
        <v>0</v>
      </c>
      <c r="I35" s="240">
        <v>0</v>
      </c>
      <c r="J35" s="64">
        <f t="shared" si="3"/>
        <v>0</v>
      </c>
    </row>
    <row r="36" spans="1:10" ht="14.95" customHeight="1" thickBot="1" x14ac:dyDescent="0.3">
      <c r="A36" s="181" t="s">
        <v>653</v>
      </c>
      <c r="B36" s="78">
        <v>0</v>
      </c>
      <c r="C36" s="293">
        <v>0</v>
      </c>
      <c r="D36" s="238">
        <v>1</v>
      </c>
      <c r="E36" s="5">
        <f t="shared" si="2"/>
        <v>1</v>
      </c>
      <c r="F36" s="184" t="s">
        <v>653</v>
      </c>
      <c r="G36" s="79">
        <v>0</v>
      </c>
      <c r="H36" s="277">
        <v>0</v>
      </c>
      <c r="I36" s="240">
        <v>5</v>
      </c>
      <c r="J36" s="64">
        <f t="shared" si="3"/>
        <v>5</v>
      </c>
    </row>
    <row r="37" spans="1:10" ht="14.95" customHeight="1" thickBot="1" x14ac:dyDescent="0.3">
      <c r="A37" s="181" t="s">
        <v>833</v>
      </c>
      <c r="B37" s="78">
        <v>1</v>
      </c>
      <c r="C37" s="293">
        <v>0</v>
      </c>
      <c r="D37" s="238">
        <v>0</v>
      </c>
      <c r="E37" s="5">
        <f t="shared" si="2"/>
        <v>1</v>
      </c>
      <c r="F37" s="184" t="s">
        <v>833</v>
      </c>
      <c r="G37" s="79">
        <v>5</v>
      </c>
      <c r="H37" s="277">
        <v>0</v>
      </c>
      <c r="I37" s="240">
        <v>0</v>
      </c>
      <c r="J37" s="64">
        <f t="shared" si="3"/>
        <v>5</v>
      </c>
    </row>
    <row r="38" spans="1:10" ht="14.95" customHeight="1" thickBot="1" x14ac:dyDescent="0.3">
      <c r="A38" s="181" t="s">
        <v>1274</v>
      </c>
      <c r="B38" s="78">
        <v>0</v>
      </c>
      <c r="C38" s="293">
        <v>0</v>
      </c>
      <c r="D38" s="238">
        <v>1</v>
      </c>
      <c r="E38" s="5">
        <f t="shared" si="2"/>
        <v>1</v>
      </c>
      <c r="F38" s="184" t="s">
        <v>1274</v>
      </c>
      <c r="G38" s="79">
        <v>0</v>
      </c>
      <c r="H38" s="277">
        <v>0</v>
      </c>
      <c r="I38" s="240">
        <v>5</v>
      </c>
      <c r="J38" s="64">
        <f t="shared" si="3"/>
        <v>5</v>
      </c>
    </row>
    <row r="39" spans="1:10" ht="14.95" customHeight="1" thickBot="1" x14ac:dyDescent="0.3">
      <c r="A39" s="181" t="s">
        <v>4</v>
      </c>
      <c r="B39" s="78">
        <v>0</v>
      </c>
      <c r="C39" s="293">
        <v>0</v>
      </c>
      <c r="D39" s="238">
        <v>0</v>
      </c>
      <c r="E39" s="5">
        <f t="shared" si="2"/>
        <v>0</v>
      </c>
      <c r="F39" s="184" t="s">
        <v>4</v>
      </c>
      <c r="G39" s="79">
        <v>0</v>
      </c>
      <c r="H39" s="277">
        <v>0</v>
      </c>
      <c r="I39" s="240">
        <v>0</v>
      </c>
      <c r="J39" s="64">
        <f t="shared" si="3"/>
        <v>0</v>
      </c>
    </row>
    <row r="40" spans="1:10" ht="14.95" customHeight="1" thickBot="1" x14ac:dyDescent="0.3">
      <c r="A40" s="181" t="s">
        <v>701</v>
      </c>
      <c r="B40" s="78">
        <v>1</v>
      </c>
      <c r="C40" s="293">
        <v>1</v>
      </c>
      <c r="D40" s="238">
        <v>2</v>
      </c>
      <c r="E40" s="5">
        <f t="shared" si="2"/>
        <v>4</v>
      </c>
      <c r="F40" s="184" t="s">
        <v>701</v>
      </c>
      <c r="G40" s="79">
        <v>5</v>
      </c>
      <c r="H40" s="277">
        <v>5</v>
      </c>
      <c r="I40" s="240">
        <v>10</v>
      </c>
      <c r="J40" s="64">
        <f t="shared" si="3"/>
        <v>20</v>
      </c>
    </row>
    <row r="41" spans="1:10" ht="14.95" customHeight="1" thickBot="1" x14ac:dyDescent="0.3">
      <c r="A41" s="181" t="s">
        <v>292</v>
      </c>
      <c r="B41" s="78">
        <v>2</v>
      </c>
      <c r="C41" s="293">
        <v>1</v>
      </c>
      <c r="D41" s="238">
        <v>1</v>
      </c>
      <c r="E41" s="5">
        <f t="shared" si="2"/>
        <v>4</v>
      </c>
      <c r="F41" s="184" t="s">
        <v>292</v>
      </c>
      <c r="G41" s="79">
        <v>10</v>
      </c>
      <c r="H41" s="277">
        <v>5</v>
      </c>
      <c r="I41" s="240">
        <v>5</v>
      </c>
      <c r="J41" s="64">
        <f t="shared" si="3"/>
        <v>20</v>
      </c>
    </row>
    <row r="42" spans="1:10" ht="14.95" customHeight="1" thickBot="1" x14ac:dyDescent="0.3">
      <c r="A42" s="181" t="s">
        <v>651</v>
      </c>
      <c r="B42" s="78">
        <v>2</v>
      </c>
      <c r="C42" s="293">
        <v>0</v>
      </c>
      <c r="D42" s="238">
        <v>0</v>
      </c>
      <c r="E42" s="5">
        <f t="shared" si="2"/>
        <v>2</v>
      </c>
      <c r="F42" s="184" t="s">
        <v>651</v>
      </c>
      <c r="G42" s="79">
        <v>10</v>
      </c>
      <c r="H42" s="277">
        <v>0</v>
      </c>
      <c r="I42" s="240">
        <v>0</v>
      </c>
      <c r="J42" s="64">
        <f t="shared" si="3"/>
        <v>10</v>
      </c>
    </row>
    <row r="43" spans="1:10" ht="14.95" customHeight="1" thickBot="1" x14ac:dyDescent="0.3">
      <c r="A43" s="181" t="s">
        <v>560</v>
      </c>
      <c r="B43" s="78">
        <v>0</v>
      </c>
      <c r="C43" s="293">
        <v>0</v>
      </c>
      <c r="D43" s="238">
        <v>0</v>
      </c>
      <c r="E43" s="5">
        <f t="shared" si="2"/>
        <v>0</v>
      </c>
      <c r="F43" s="184" t="s">
        <v>560</v>
      </c>
      <c r="G43" s="79">
        <v>0</v>
      </c>
      <c r="H43" s="277">
        <v>0</v>
      </c>
      <c r="I43" s="240">
        <v>0</v>
      </c>
      <c r="J43" s="64">
        <f t="shared" si="3"/>
        <v>0</v>
      </c>
    </row>
    <row r="44" spans="1:10" ht="14.95" customHeight="1" thickBot="1" x14ac:dyDescent="0.3">
      <c r="A44" s="181" t="s">
        <v>257</v>
      </c>
      <c r="B44" s="78">
        <v>0</v>
      </c>
      <c r="C44" s="293">
        <v>0</v>
      </c>
      <c r="D44" s="238">
        <v>0</v>
      </c>
      <c r="E44" s="5">
        <f t="shared" si="2"/>
        <v>0</v>
      </c>
      <c r="F44" s="184" t="s">
        <v>257</v>
      </c>
      <c r="G44" s="79">
        <v>0</v>
      </c>
      <c r="H44" s="277">
        <v>0</v>
      </c>
      <c r="I44" s="240">
        <v>0</v>
      </c>
      <c r="J44" s="64">
        <f t="shared" si="3"/>
        <v>0</v>
      </c>
    </row>
    <row r="45" spans="1:10" ht="14.95" customHeight="1" thickBot="1" x14ac:dyDescent="0.3">
      <c r="A45" s="181" t="s">
        <v>26</v>
      </c>
      <c r="B45" s="78">
        <v>0</v>
      </c>
      <c r="C45" s="293">
        <v>0</v>
      </c>
      <c r="D45" s="238">
        <v>0</v>
      </c>
      <c r="E45" s="5">
        <f t="shared" si="2"/>
        <v>0</v>
      </c>
      <c r="F45" s="184" t="s">
        <v>26</v>
      </c>
      <c r="G45" s="79">
        <v>0</v>
      </c>
      <c r="H45" s="277">
        <v>0</v>
      </c>
      <c r="I45" s="240">
        <v>0</v>
      </c>
      <c r="J45" s="64">
        <f t="shared" si="3"/>
        <v>0</v>
      </c>
    </row>
    <row r="46" spans="1:10" ht="14.95" thickBot="1" x14ac:dyDescent="0.3">
      <c r="A46" s="181" t="s">
        <v>598</v>
      </c>
      <c r="B46" s="78">
        <v>0</v>
      </c>
      <c r="C46" s="293">
        <v>0</v>
      </c>
      <c r="D46" s="238">
        <v>1</v>
      </c>
      <c r="E46" s="5">
        <f t="shared" si="2"/>
        <v>1</v>
      </c>
      <c r="F46" s="184" t="s">
        <v>598</v>
      </c>
      <c r="G46" s="79">
        <v>0</v>
      </c>
      <c r="H46" s="277">
        <v>0</v>
      </c>
      <c r="I46" s="240">
        <v>5</v>
      </c>
      <c r="J46" s="64">
        <f t="shared" si="3"/>
        <v>5</v>
      </c>
    </row>
    <row r="47" spans="1:10" ht="14.95" thickBot="1" x14ac:dyDescent="0.3">
      <c r="A47" s="181" t="s">
        <v>299</v>
      </c>
      <c r="B47" s="78">
        <v>5</v>
      </c>
      <c r="C47" s="293">
        <v>0</v>
      </c>
      <c r="D47" s="238">
        <v>5</v>
      </c>
      <c r="E47" s="5">
        <f t="shared" si="2"/>
        <v>10</v>
      </c>
      <c r="F47" s="184" t="s">
        <v>299</v>
      </c>
      <c r="G47" s="79">
        <v>25</v>
      </c>
      <c r="H47" s="277">
        <v>0</v>
      </c>
      <c r="I47" s="240">
        <v>25</v>
      </c>
      <c r="J47" s="64">
        <f t="shared" si="3"/>
        <v>50</v>
      </c>
    </row>
    <row r="48" spans="1:10" ht="14.95" customHeight="1" thickBot="1" x14ac:dyDescent="0.3">
      <c r="A48" s="181" t="s">
        <v>77</v>
      </c>
      <c r="B48" s="78">
        <v>2</v>
      </c>
      <c r="C48" s="293">
        <v>0</v>
      </c>
      <c r="D48" s="238">
        <v>1</v>
      </c>
      <c r="E48" s="5">
        <f t="shared" si="2"/>
        <v>3</v>
      </c>
      <c r="F48" s="184" t="s">
        <v>77</v>
      </c>
      <c r="G48" s="79">
        <v>10</v>
      </c>
      <c r="H48" s="277">
        <v>0</v>
      </c>
      <c r="I48" s="240">
        <v>5</v>
      </c>
      <c r="J48" s="64">
        <f t="shared" si="3"/>
        <v>15</v>
      </c>
    </row>
    <row r="49" spans="1:10" ht="14.95" customHeight="1" thickBot="1" x14ac:dyDescent="0.3">
      <c r="A49" s="181" t="s">
        <v>459</v>
      </c>
      <c r="B49" s="78">
        <v>0</v>
      </c>
      <c r="C49" s="293">
        <v>0</v>
      </c>
      <c r="D49" s="238">
        <v>0</v>
      </c>
      <c r="E49" s="5">
        <f t="shared" si="2"/>
        <v>0</v>
      </c>
      <c r="F49" s="184" t="s">
        <v>459</v>
      </c>
      <c r="G49" s="79">
        <v>0</v>
      </c>
      <c r="H49" s="277">
        <v>0</v>
      </c>
      <c r="I49" s="240">
        <v>0</v>
      </c>
      <c r="J49" s="64">
        <f t="shared" si="3"/>
        <v>0</v>
      </c>
    </row>
    <row r="50" spans="1:10" ht="14.95" thickBot="1" x14ac:dyDescent="0.3">
      <c r="A50" s="181" t="s">
        <v>837</v>
      </c>
      <c r="B50" s="78">
        <v>0</v>
      </c>
      <c r="C50" s="293">
        <v>0</v>
      </c>
      <c r="D50" s="238">
        <v>0</v>
      </c>
      <c r="E50" s="5">
        <f t="shared" ref="E50" si="15">SUM(B50:D50)</f>
        <v>0</v>
      </c>
      <c r="F50" s="184" t="s">
        <v>837</v>
      </c>
      <c r="G50" s="79">
        <v>0</v>
      </c>
      <c r="H50" s="277">
        <v>0</v>
      </c>
      <c r="I50" s="240">
        <v>0</v>
      </c>
      <c r="J50" s="64">
        <f t="shared" ref="J50" si="16">SUM(G50:I50)</f>
        <v>0</v>
      </c>
    </row>
    <row r="51" spans="1:10" ht="14.95" thickBot="1" x14ac:dyDescent="0.3">
      <c r="A51" s="181" t="s">
        <v>294</v>
      </c>
      <c r="B51" s="78">
        <v>1</v>
      </c>
      <c r="C51" s="293">
        <v>0</v>
      </c>
      <c r="D51" s="238">
        <v>0</v>
      </c>
      <c r="E51" s="5">
        <f t="shared" si="2"/>
        <v>1</v>
      </c>
      <c r="F51" s="184" t="s">
        <v>294</v>
      </c>
      <c r="G51" s="79">
        <v>5</v>
      </c>
      <c r="H51" s="277">
        <v>0</v>
      </c>
      <c r="I51" s="240">
        <v>0</v>
      </c>
      <c r="J51" s="64">
        <f t="shared" si="3"/>
        <v>5</v>
      </c>
    </row>
    <row r="52" spans="1:10" ht="14.95" thickBot="1" x14ac:dyDescent="0.3">
      <c r="A52" s="181" t="s">
        <v>177</v>
      </c>
      <c r="B52" s="78">
        <v>0</v>
      </c>
      <c r="C52" s="293">
        <v>0</v>
      </c>
      <c r="D52" s="238">
        <v>0</v>
      </c>
      <c r="E52" s="5">
        <f t="shared" si="2"/>
        <v>0</v>
      </c>
      <c r="F52" s="184" t="s">
        <v>177</v>
      </c>
      <c r="G52" s="79">
        <v>0</v>
      </c>
      <c r="H52" s="277">
        <v>13</v>
      </c>
      <c r="I52" s="240">
        <v>10</v>
      </c>
      <c r="J52" s="64">
        <f t="shared" si="3"/>
        <v>23</v>
      </c>
    </row>
    <row r="53" spans="1:10" ht="14.95" thickBot="1" x14ac:dyDescent="0.3">
      <c r="A53" s="181" t="s">
        <v>3</v>
      </c>
      <c r="B53" s="78">
        <f>SUM(B3:B52)</f>
        <v>39</v>
      </c>
      <c r="C53" s="293">
        <f>SUM(C3:C52)</f>
        <v>8</v>
      </c>
      <c r="D53" s="238">
        <f>SUM(D3:D52)</f>
        <v>39</v>
      </c>
      <c r="E53" s="5">
        <f>SUM(E3:E52)</f>
        <v>86</v>
      </c>
      <c r="F53" s="183" t="s">
        <v>3</v>
      </c>
      <c r="G53" s="79">
        <f>SUM(G3:G52)</f>
        <v>292</v>
      </c>
      <c r="H53" s="277">
        <f>SUM(H3:H52)</f>
        <v>55</v>
      </c>
      <c r="I53" s="240">
        <f>SUM(I3:I52)</f>
        <v>275</v>
      </c>
      <c r="J53" s="64">
        <f>SUM(J3:J52)</f>
        <v>622</v>
      </c>
    </row>
    <row r="54" spans="1:10" x14ac:dyDescent="0.25">
      <c r="A54" s="477"/>
      <c r="B54" s="478"/>
      <c r="C54" s="478"/>
      <c r="D54" s="478"/>
      <c r="E54" s="478"/>
      <c r="F54" s="478"/>
      <c r="G54" s="478"/>
      <c r="H54" s="478"/>
      <c r="I54" s="37"/>
      <c r="J54" s="35"/>
    </row>
    <row r="55" spans="1:10" ht="14.95" thickBot="1" x14ac:dyDescent="0.3">
      <c r="A55" s="71" t="s">
        <v>14</v>
      </c>
      <c r="B55" s="135"/>
      <c r="C55" s="72"/>
      <c r="D55" s="72"/>
      <c r="E55" s="63"/>
      <c r="F55" s="37"/>
      <c r="G55" s="135"/>
      <c r="H55" s="105"/>
      <c r="I55" s="37"/>
      <c r="J55" s="37"/>
    </row>
    <row r="56" spans="1:10" ht="14.95" thickBot="1" x14ac:dyDescent="0.3">
      <c r="A56" s="180" t="s">
        <v>0</v>
      </c>
      <c r="B56" s="116" t="s">
        <v>259</v>
      </c>
      <c r="C56" s="292" t="s">
        <v>36</v>
      </c>
      <c r="D56" s="237" t="s">
        <v>383</v>
      </c>
      <c r="E56" s="109" t="s">
        <v>1</v>
      </c>
      <c r="F56" s="182" t="s">
        <v>2</v>
      </c>
      <c r="G56" s="111" t="s">
        <v>259</v>
      </c>
      <c r="H56" s="276" t="s">
        <v>36</v>
      </c>
      <c r="I56" s="239" t="s">
        <v>383</v>
      </c>
      <c r="J56" s="112" t="s">
        <v>1</v>
      </c>
    </row>
    <row r="57" spans="1:10" ht="14.95" thickBot="1" x14ac:dyDescent="0.3">
      <c r="A57" s="181" t="s">
        <v>283</v>
      </c>
      <c r="B57" s="78">
        <v>6</v>
      </c>
      <c r="C57" s="293">
        <v>0</v>
      </c>
      <c r="D57" s="238">
        <v>6</v>
      </c>
      <c r="E57" s="5">
        <f t="shared" ref="E57:E88" si="17">SUM(B57:D57)</f>
        <v>12</v>
      </c>
      <c r="F57" s="184" t="s">
        <v>291</v>
      </c>
      <c r="G57" s="79">
        <v>74</v>
      </c>
      <c r="H57" s="277">
        <v>2</v>
      </c>
      <c r="I57" s="240">
        <v>75</v>
      </c>
      <c r="J57" s="64">
        <f t="shared" ref="J57:J88" si="18">SUM(G57:I57)</f>
        <v>151</v>
      </c>
    </row>
    <row r="58" spans="1:10" ht="14.95" thickBot="1" x14ac:dyDescent="0.3">
      <c r="A58" s="181" t="s">
        <v>299</v>
      </c>
      <c r="B58" s="78">
        <v>5</v>
      </c>
      <c r="C58" s="293">
        <v>0</v>
      </c>
      <c r="D58" s="238">
        <v>5</v>
      </c>
      <c r="E58" s="5">
        <f t="shared" si="17"/>
        <v>10</v>
      </c>
      <c r="F58" s="184" t="s">
        <v>283</v>
      </c>
      <c r="G58" s="79">
        <v>30</v>
      </c>
      <c r="H58" s="277">
        <v>0</v>
      </c>
      <c r="I58" s="240">
        <v>30</v>
      </c>
      <c r="J58" s="64">
        <f t="shared" si="18"/>
        <v>60</v>
      </c>
    </row>
    <row r="59" spans="1:10" ht="14.95" thickBot="1" x14ac:dyDescent="0.3">
      <c r="A59" s="181" t="s">
        <v>558</v>
      </c>
      <c r="B59" s="78">
        <v>2</v>
      </c>
      <c r="C59" s="293">
        <v>1</v>
      </c>
      <c r="D59" s="238">
        <v>6</v>
      </c>
      <c r="E59" s="5">
        <f t="shared" si="17"/>
        <v>9</v>
      </c>
      <c r="F59" s="184" t="s">
        <v>299</v>
      </c>
      <c r="G59" s="79">
        <v>25</v>
      </c>
      <c r="H59" s="277">
        <v>0</v>
      </c>
      <c r="I59" s="240">
        <v>25</v>
      </c>
      <c r="J59" s="64">
        <f t="shared" si="18"/>
        <v>50</v>
      </c>
    </row>
    <row r="60" spans="1:10" ht="14.95" thickBot="1" x14ac:dyDescent="0.3">
      <c r="A60" s="181" t="s">
        <v>840</v>
      </c>
      <c r="B60" s="78">
        <v>2</v>
      </c>
      <c r="C60" s="293">
        <v>2</v>
      </c>
      <c r="D60" s="238">
        <v>2</v>
      </c>
      <c r="E60" s="5">
        <f t="shared" si="17"/>
        <v>6</v>
      </c>
      <c r="F60" s="184" t="s">
        <v>558</v>
      </c>
      <c r="G60" s="79">
        <v>10</v>
      </c>
      <c r="H60" s="277">
        <v>5</v>
      </c>
      <c r="I60" s="240">
        <v>30</v>
      </c>
      <c r="J60" s="64">
        <f t="shared" si="18"/>
        <v>45</v>
      </c>
    </row>
    <row r="61" spans="1:10" ht="14.95" thickBot="1" x14ac:dyDescent="0.3">
      <c r="A61" s="181" t="s">
        <v>818</v>
      </c>
      <c r="B61" s="78">
        <v>2</v>
      </c>
      <c r="C61" s="293">
        <v>0</v>
      </c>
      <c r="D61" s="238">
        <v>2</v>
      </c>
      <c r="E61" s="5">
        <f t="shared" si="17"/>
        <v>4</v>
      </c>
      <c r="F61" s="184" t="s">
        <v>840</v>
      </c>
      <c r="G61" s="79">
        <v>10</v>
      </c>
      <c r="H61" s="277">
        <v>10</v>
      </c>
      <c r="I61" s="240">
        <v>10</v>
      </c>
      <c r="J61" s="64">
        <f t="shared" si="18"/>
        <v>30</v>
      </c>
    </row>
    <row r="62" spans="1:10" ht="14.95" thickBot="1" x14ac:dyDescent="0.3">
      <c r="A62" s="181" t="s">
        <v>629</v>
      </c>
      <c r="B62" s="78">
        <v>3</v>
      </c>
      <c r="C62" s="293">
        <v>0</v>
      </c>
      <c r="D62" s="238">
        <v>1</v>
      </c>
      <c r="E62" s="5">
        <f t="shared" si="17"/>
        <v>4</v>
      </c>
      <c r="F62" s="184" t="s">
        <v>938</v>
      </c>
      <c r="G62" s="79">
        <v>23</v>
      </c>
      <c r="H62" s="277">
        <v>0</v>
      </c>
      <c r="I62" s="240">
        <v>5</v>
      </c>
      <c r="J62" s="64">
        <f t="shared" si="18"/>
        <v>28</v>
      </c>
    </row>
    <row r="63" spans="1:10" ht="14.95" thickBot="1" x14ac:dyDescent="0.3">
      <c r="A63" s="181" t="s">
        <v>701</v>
      </c>
      <c r="B63" s="78">
        <v>1</v>
      </c>
      <c r="C63" s="293">
        <v>1</v>
      </c>
      <c r="D63" s="238">
        <v>2</v>
      </c>
      <c r="E63" s="5">
        <f t="shared" si="17"/>
        <v>4</v>
      </c>
      <c r="F63" s="184" t="s">
        <v>177</v>
      </c>
      <c r="G63" s="79">
        <v>0</v>
      </c>
      <c r="H63" s="277">
        <v>13</v>
      </c>
      <c r="I63" s="240">
        <v>10</v>
      </c>
      <c r="J63" s="64">
        <f t="shared" si="18"/>
        <v>23</v>
      </c>
    </row>
    <row r="64" spans="1:10" ht="14.95" thickBot="1" x14ac:dyDescent="0.3">
      <c r="A64" s="181" t="s">
        <v>292</v>
      </c>
      <c r="B64" s="78">
        <v>2</v>
      </c>
      <c r="C64" s="293">
        <v>1</v>
      </c>
      <c r="D64" s="238">
        <v>1</v>
      </c>
      <c r="E64" s="5">
        <f t="shared" si="17"/>
        <v>4</v>
      </c>
      <c r="F64" s="184" t="s">
        <v>818</v>
      </c>
      <c r="G64" s="79">
        <v>10</v>
      </c>
      <c r="H64" s="277">
        <v>0</v>
      </c>
      <c r="I64" s="240">
        <v>10</v>
      </c>
      <c r="J64" s="64">
        <f t="shared" si="18"/>
        <v>20</v>
      </c>
    </row>
    <row r="65" spans="1:10" ht="14.95" thickBot="1" x14ac:dyDescent="0.3">
      <c r="A65" s="181" t="s">
        <v>287</v>
      </c>
      <c r="B65" s="78">
        <v>3</v>
      </c>
      <c r="C65" s="293">
        <v>0</v>
      </c>
      <c r="D65" s="238">
        <v>0</v>
      </c>
      <c r="E65" s="5">
        <f t="shared" si="17"/>
        <v>3</v>
      </c>
      <c r="F65" s="184" t="s">
        <v>629</v>
      </c>
      <c r="G65" s="79">
        <v>15</v>
      </c>
      <c r="H65" s="277">
        <v>0</v>
      </c>
      <c r="I65" s="240">
        <v>5</v>
      </c>
      <c r="J65" s="64">
        <f t="shared" si="18"/>
        <v>20</v>
      </c>
    </row>
    <row r="66" spans="1:10" ht="14.95" thickBot="1" x14ac:dyDescent="0.3">
      <c r="A66" s="181" t="s">
        <v>538</v>
      </c>
      <c r="B66" s="78">
        <v>0</v>
      </c>
      <c r="C66" s="293">
        <v>2</v>
      </c>
      <c r="D66" s="238">
        <v>1</v>
      </c>
      <c r="E66" s="5">
        <f t="shared" si="17"/>
        <v>3</v>
      </c>
      <c r="F66" s="184" t="s">
        <v>701</v>
      </c>
      <c r="G66" s="79">
        <v>5</v>
      </c>
      <c r="H66" s="277">
        <v>5</v>
      </c>
      <c r="I66" s="240">
        <v>10</v>
      </c>
      <c r="J66" s="64">
        <f t="shared" si="18"/>
        <v>20</v>
      </c>
    </row>
    <row r="67" spans="1:10" ht="14.95" thickBot="1" x14ac:dyDescent="0.3">
      <c r="A67" s="181" t="s">
        <v>822</v>
      </c>
      <c r="B67" s="78">
        <v>0</v>
      </c>
      <c r="C67" s="293">
        <v>0</v>
      </c>
      <c r="D67" s="238">
        <v>3</v>
      </c>
      <c r="E67" s="5">
        <f t="shared" si="17"/>
        <v>3</v>
      </c>
      <c r="F67" s="184" t="s">
        <v>292</v>
      </c>
      <c r="G67" s="79">
        <v>10</v>
      </c>
      <c r="H67" s="277">
        <v>5</v>
      </c>
      <c r="I67" s="240">
        <v>5</v>
      </c>
      <c r="J67" s="64">
        <f t="shared" si="18"/>
        <v>20</v>
      </c>
    </row>
    <row r="68" spans="1:10" ht="14.95" thickBot="1" x14ac:dyDescent="0.3">
      <c r="A68" s="181" t="s">
        <v>77</v>
      </c>
      <c r="B68" s="78">
        <v>2</v>
      </c>
      <c r="C68" s="293">
        <v>0</v>
      </c>
      <c r="D68" s="238">
        <v>1</v>
      </c>
      <c r="E68" s="5">
        <f t="shared" si="17"/>
        <v>3</v>
      </c>
      <c r="F68" s="184" t="s">
        <v>287</v>
      </c>
      <c r="G68" s="79">
        <v>15</v>
      </c>
      <c r="H68" s="277">
        <v>0</v>
      </c>
      <c r="I68" s="240">
        <v>0</v>
      </c>
      <c r="J68" s="64">
        <f t="shared" si="18"/>
        <v>15</v>
      </c>
    </row>
    <row r="69" spans="1:10" ht="14.95" thickBot="1" x14ac:dyDescent="0.3">
      <c r="A69" s="181" t="s">
        <v>7</v>
      </c>
      <c r="B69" s="78">
        <v>0</v>
      </c>
      <c r="C69" s="293">
        <v>1</v>
      </c>
      <c r="D69" s="238">
        <v>1</v>
      </c>
      <c r="E69" s="5">
        <f t="shared" si="17"/>
        <v>2</v>
      </c>
      <c r="F69" s="184" t="s">
        <v>538</v>
      </c>
      <c r="G69" s="79">
        <v>0</v>
      </c>
      <c r="H69" s="277">
        <v>10</v>
      </c>
      <c r="I69" s="240">
        <v>5</v>
      </c>
      <c r="J69" s="64">
        <f t="shared" si="18"/>
        <v>15</v>
      </c>
    </row>
    <row r="70" spans="1:10" ht="14.95" thickBot="1" x14ac:dyDescent="0.3">
      <c r="A70" s="181" t="s">
        <v>30</v>
      </c>
      <c r="B70" s="78">
        <v>2</v>
      </c>
      <c r="C70" s="293">
        <v>0</v>
      </c>
      <c r="D70" s="238">
        <v>0</v>
      </c>
      <c r="E70" s="5">
        <f t="shared" si="17"/>
        <v>2</v>
      </c>
      <c r="F70" s="184" t="s">
        <v>822</v>
      </c>
      <c r="G70" s="79">
        <v>0</v>
      </c>
      <c r="H70" s="277">
        <v>0</v>
      </c>
      <c r="I70" s="240">
        <v>15</v>
      </c>
      <c r="J70" s="64">
        <f t="shared" si="18"/>
        <v>15</v>
      </c>
    </row>
    <row r="71" spans="1:10" ht="14.95" thickBot="1" x14ac:dyDescent="0.3">
      <c r="A71" s="181" t="s">
        <v>849</v>
      </c>
      <c r="B71" s="78">
        <v>2</v>
      </c>
      <c r="C71" s="293">
        <v>0</v>
      </c>
      <c r="D71" s="238">
        <v>0</v>
      </c>
      <c r="E71" s="5">
        <f t="shared" si="17"/>
        <v>2</v>
      </c>
      <c r="F71" s="184" t="s">
        <v>77</v>
      </c>
      <c r="G71" s="79">
        <v>10</v>
      </c>
      <c r="H71" s="277">
        <v>0</v>
      </c>
      <c r="I71" s="240">
        <v>5</v>
      </c>
      <c r="J71" s="64">
        <f t="shared" si="18"/>
        <v>15</v>
      </c>
    </row>
    <row r="72" spans="1:10" ht="14.95" thickBot="1" x14ac:dyDescent="0.3">
      <c r="A72" s="181" t="s">
        <v>651</v>
      </c>
      <c r="B72" s="78">
        <v>2</v>
      </c>
      <c r="C72" s="293">
        <v>0</v>
      </c>
      <c r="D72" s="238">
        <v>0</v>
      </c>
      <c r="E72" s="5">
        <f t="shared" si="17"/>
        <v>2</v>
      </c>
      <c r="F72" s="184" t="s">
        <v>7</v>
      </c>
      <c r="G72" s="79">
        <v>0</v>
      </c>
      <c r="H72" s="277">
        <v>5</v>
      </c>
      <c r="I72" s="240">
        <v>5</v>
      </c>
      <c r="J72" s="64">
        <f t="shared" si="18"/>
        <v>10</v>
      </c>
    </row>
    <row r="73" spans="1:10" ht="14.95" thickBot="1" x14ac:dyDescent="0.3">
      <c r="A73" s="181" t="s">
        <v>842</v>
      </c>
      <c r="B73" s="78">
        <v>1</v>
      </c>
      <c r="C73" s="293">
        <v>0</v>
      </c>
      <c r="D73" s="238">
        <v>0</v>
      </c>
      <c r="E73" s="5">
        <f t="shared" si="17"/>
        <v>1</v>
      </c>
      <c r="F73" s="184" t="s">
        <v>30</v>
      </c>
      <c r="G73" s="79">
        <v>10</v>
      </c>
      <c r="H73" s="277">
        <v>0</v>
      </c>
      <c r="I73" s="240">
        <v>0</v>
      </c>
      <c r="J73" s="64">
        <f t="shared" si="18"/>
        <v>10</v>
      </c>
    </row>
    <row r="74" spans="1:10" ht="14.95" thickBot="1" x14ac:dyDescent="0.3">
      <c r="A74" s="181" t="s">
        <v>285</v>
      </c>
      <c r="B74" s="78">
        <v>0</v>
      </c>
      <c r="C74" s="293">
        <v>0</v>
      </c>
      <c r="D74" s="238">
        <v>1</v>
      </c>
      <c r="E74" s="5">
        <f t="shared" si="17"/>
        <v>1</v>
      </c>
      <c r="F74" s="184" t="s">
        <v>849</v>
      </c>
      <c r="G74" s="79">
        <v>10</v>
      </c>
      <c r="H74" s="277">
        <v>0</v>
      </c>
      <c r="I74" s="240">
        <v>0</v>
      </c>
      <c r="J74" s="64">
        <f t="shared" si="18"/>
        <v>10</v>
      </c>
    </row>
    <row r="75" spans="1:10" ht="14.95" thickBot="1" x14ac:dyDescent="0.3">
      <c r="A75" s="181" t="s">
        <v>291</v>
      </c>
      <c r="B75" s="78">
        <v>0</v>
      </c>
      <c r="C75" s="293">
        <v>0</v>
      </c>
      <c r="D75" s="238">
        <v>1</v>
      </c>
      <c r="E75" s="5">
        <f t="shared" si="17"/>
        <v>1</v>
      </c>
      <c r="F75" s="184" t="s">
        <v>651</v>
      </c>
      <c r="G75" s="79">
        <v>10</v>
      </c>
      <c r="H75" s="277">
        <v>0</v>
      </c>
      <c r="I75" s="240">
        <v>0</v>
      </c>
      <c r="J75" s="64">
        <f t="shared" si="18"/>
        <v>10</v>
      </c>
    </row>
    <row r="76" spans="1:10" ht="14.95" thickBot="1" x14ac:dyDescent="0.3">
      <c r="A76" s="181" t="s">
        <v>851</v>
      </c>
      <c r="B76" s="78">
        <v>0</v>
      </c>
      <c r="C76" s="293">
        <v>0</v>
      </c>
      <c r="D76" s="238">
        <v>1</v>
      </c>
      <c r="E76" s="5">
        <f t="shared" si="17"/>
        <v>1</v>
      </c>
      <c r="F76" s="184" t="s">
        <v>842</v>
      </c>
      <c r="G76" s="79">
        <v>5</v>
      </c>
      <c r="H76" s="277">
        <v>0</v>
      </c>
      <c r="I76" s="240">
        <v>0</v>
      </c>
      <c r="J76" s="64">
        <f t="shared" si="18"/>
        <v>5</v>
      </c>
    </row>
    <row r="77" spans="1:10" ht="14.95" thickBot="1" x14ac:dyDescent="0.3">
      <c r="A77" s="181" t="s">
        <v>938</v>
      </c>
      <c r="B77" s="78">
        <v>0</v>
      </c>
      <c r="C77" s="293">
        <v>0</v>
      </c>
      <c r="D77" s="238">
        <v>1</v>
      </c>
      <c r="E77" s="5">
        <f t="shared" si="17"/>
        <v>1</v>
      </c>
      <c r="F77" s="184" t="s">
        <v>285</v>
      </c>
      <c r="G77" s="79">
        <v>0</v>
      </c>
      <c r="H77" s="277">
        <v>0</v>
      </c>
      <c r="I77" s="240">
        <v>5</v>
      </c>
      <c r="J77" s="64">
        <f t="shared" si="18"/>
        <v>5</v>
      </c>
    </row>
    <row r="78" spans="1:10" ht="14.95" thickBot="1" x14ac:dyDescent="0.3">
      <c r="A78" s="181" t="s">
        <v>823</v>
      </c>
      <c r="B78" s="78">
        <v>1</v>
      </c>
      <c r="C78" s="293">
        <v>0</v>
      </c>
      <c r="D78" s="238">
        <v>0</v>
      </c>
      <c r="E78" s="5">
        <f t="shared" si="17"/>
        <v>1</v>
      </c>
      <c r="F78" s="184" t="s">
        <v>851</v>
      </c>
      <c r="G78" s="79">
        <v>0</v>
      </c>
      <c r="H78" s="277">
        <v>0</v>
      </c>
      <c r="I78" s="240">
        <v>5</v>
      </c>
      <c r="J78" s="64">
        <f t="shared" si="18"/>
        <v>5</v>
      </c>
    </row>
    <row r="79" spans="1:10" ht="14.95" thickBot="1" x14ac:dyDescent="0.3">
      <c r="A79" s="181" t="s">
        <v>824</v>
      </c>
      <c r="B79" s="78">
        <v>1</v>
      </c>
      <c r="C79" s="293">
        <v>0</v>
      </c>
      <c r="D79" s="238">
        <v>0</v>
      </c>
      <c r="E79" s="5">
        <f t="shared" si="17"/>
        <v>1</v>
      </c>
      <c r="F79" s="184" t="s">
        <v>823</v>
      </c>
      <c r="G79" s="79">
        <v>5</v>
      </c>
      <c r="H79" s="277">
        <v>0</v>
      </c>
      <c r="I79" s="240">
        <v>0</v>
      </c>
      <c r="J79" s="64">
        <f t="shared" si="18"/>
        <v>5</v>
      </c>
    </row>
    <row r="80" spans="1:10" ht="14.95" thickBot="1" x14ac:dyDescent="0.3">
      <c r="A80" s="181" t="s">
        <v>647</v>
      </c>
      <c r="B80" s="78">
        <v>0</v>
      </c>
      <c r="C80" s="293">
        <v>0</v>
      </c>
      <c r="D80" s="238">
        <v>1</v>
      </c>
      <c r="E80" s="5">
        <f t="shared" si="17"/>
        <v>1</v>
      </c>
      <c r="F80" s="184" t="s">
        <v>824</v>
      </c>
      <c r="G80" s="79">
        <v>5</v>
      </c>
      <c r="H80" s="277">
        <v>0</v>
      </c>
      <c r="I80" s="240">
        <v>0</v>
      </c>
      <c r="J80" s="64">
        <f t="shared" si="18"/>
        <v>5</v>
      </c>
    </row>
    <row r="81" spans="1:10" ht="14.95" thickBot="1" x14ac:dyDescent="0.3">
      <c r="A81" s="181" t="s">
        <v>653</v>
      </c>
      <c r="B81" s="78">
        <v>0</v>
      </c>
      <c r="C81" s="293">
        <v>0</v>
      </c>
      <c r="D81" s="238">
        <v>1</v>
      </c>
      <c r="E81" s="5">
        <f t="shared" si="17"/>
        <v>1</v>
      </c>
      <c r="F81" s="184" t="s">
        <v>647</v>
      </c>
      <c r="G81" s="79">
        <v>0</v>
      </c>
      <c r="H81" s="277">
        <v>0</v>
      </c>
      <c r="I81" s="240">
        <v>5</v>
      </c>
      <c r="J81" s="64">
        <f t="shared" si="18"/>
        <v>5</v>
      </c>
    </row>
    <row r="82" spans="1:10" ht="14.95" thickBot="1" x14ac:dyDescent="0.3">
      <c r="A82" s="181" t="s">
        <v>833</v>
      </c>
      <c r="B82" s="78">
        <v>1</v>
      </c>
      <c r="C82" s="293">
        <v>0</v>
      </c>
      <c r="D82" s="238">
        <v>0</v>
      </c>
      <c r="E82" s="5">
        <f t="shared" si="17"/>
        <v>1</v>
      </c>
      <c r="F82" s="184" t="s">
        <v>653</v>
      </c>
      <c r="G82" s="79">
        <v>0</v>
      </c>
      <c r="H82" s="277">
        <v>0</v>
      </c>
      <c r="I82" s="240">
        <v>5</v>
      </c>
      <c r="J82" s="64">
        <f t="shared" si="18"/>
        <v>5</v>
      </c>
    </row>
    <row r="83" spans="1:10" ht="14.95" thickBot="1" x14ac:dyDescent="0.3">
      <c r="A83" s="181" t="s">
        <v>1274</v>
      </c>
      <c r="B83" s="78">
        <v>0</v>
      </c>
      <c r="C83" s="293">
        <v>0</v>
      </c>
      <c r="D83" s="238">
        <v>1</v>
      </c>
      <c r="E83" s="5">
        <f t="shared" si="17"/>
        <v>1</v>
      </c>
      <c r="F83" s="184" t="s">
        <v>833</v>
      </c>
      <c r="G83" s="79">
        <v>5</v>
      </c>
      <c r="H83" s="277">
        <v>0</v>
      </c>
      <c r="I83" s="240">
        <v>0</v>
      </c>
      <c r="J83" s="64">
        <f t="shared" si="18"/>
        <v>5</v>
      </c>
    </row>
    <row r="84" spans="1:10" ht="14.95" thickBot="1" x14ac:dyDescent="0.3">
      <c r="A84" s="181" t="s">
        <v>598</v>
      </c>
      <c r="B84" s="78">
        <v>0</v>
      </c>
      <c r="C84" s="293">
        <v>0</v>
      </c>
      <c r="D84" s="238">
        <v>1</v>
      </c>
      <c r="E84" s="5">
        <f t="shared" si="17"/>
        <v>1</v>
      </c>
      <c r="F84" s="184" t="s">
        <v>1274</v>
      </c>
      <c r="G84" s="79">
        <v>0</v>
      </c>
      <c r="H84" s="277">
        <v>0</v>
      </c>
      <c r="I84" s="240">
        <v>5</v>
      </c>
      <c r="J84" s="64">
        <f t="shared" si="18"/>
        <v>5</v>
      </c>
    </row>
    <row r="85" spans="1:10" ht="14.95" thickBot="1" x14ac:dyDescent="0.3">
      <c r="A85" s="181" t="s">
        <v>294</v>
      </c>
      <c r="B85" s="78">
        <v>1</v>
      </c>
      <c r="C85" s="293">
        <v>0</v>
      </c>
      <c r="D85" s="238">
        <v>0</v>
      </c>
      <c r="E85" s="5">
        <f t="shared" si="17"/>
        <v>1</v>
      </c>
      <c r="F85" s="184" t="s">
        <v>598</v>
      </c>
      <c r="G85" s="79">
        <v>0</v>
      </c>
      <c r="H85" s="277">
        <v>0</v>
      </c>
      <c r="I85" s="240">
        <v>5</v>
      </c>
      <c r="J85" s="64">
        <f t="shared" si="18"/>
        <v>5</v>
      </c>
    </row>
    <row r="86" spans="1:10" ht="14.95" thickBot="1" x14ac:dyDescent="0.3">
      <c r="A86" s="181" t="s">
        <v>815</v>
      </c>
      <c r="B86" s="78">
        <v>0</v>
      </c>
      <c r="C86" s="293">
        <v>0</v>
      </c>
      <c r="D86" s="238">
        <v>0</v>
      </c>
      <c r="E86" s="5">
        <f t="shared" si="17"/>
        <v>0</v>
      </c>
      <c r="F86" s="184" t="s">
        <v>294</v>
      </c>
      <c r="G86" s="79">
        <v>5</v>
      </c>
      <c r="H86" s="277">
        <v>0</v>
      </c>
      <c r="I86" s="240">
        <v>0</v>
      </c>
      <c r="J86" s="64">
        <f t="shared" si="18"/>
        <v>5</v>
      </c>
    </row>
    <row r="87" spans="1:10" ht="14.95" thickBot="1" x14ac:dyDescent="0.3">
      <c r="A87" s="181" t="s">
        <v>644</v>
      </c>
      <c r="B87" s="78">
        <v>0</v>
      </c>
      <c r="C87" s="293">
        <v>0</v>
      </c>
      <c r="D87" s="238">
        <v>0</v>
      </c>
      <c r="E87" s="5">
        <f t="shared" si="17"/>
        <v>0</v>
      </c>
      <c r="F87" s="184" t="s">
        <v>815</v>
      </c>
      <c r="G87" s="79">
        <v>0</v>
      </c>
      <c r="H87" s="277">
        <v>0</v>
      </c>
      <c r="I87" s="240">
        <v>0</v>
      </c>
      <c r="J87" s="64">
        <f t="shared" si="18"/>
        <v>0</v>
      </c>
    </row>
    <row r="88" spans="1:10" ht="14.95" thickBot="1" x14ac:dyDescent="0.3">
      <c r="A88" s="181" t="s">
        <v>255</v>
      </c>
      <c r="B88" s="78">
        <v>0</v>
      </c>
      <c r="C88" s="293">
        <v>0</v>
      </c>
      <c r="D88" s="238">
        <v>0</v>
      </c>
      <c r="E88" s="5">
        <f t="shared" si="17"/>
        <v>0</v>
      </c>
      <c r="F88" s="184" t="s">
        <v>645</v>
      </c>
      <c r="G88" s="79">
        <v>0</v>
      </c>
      <c r="H88" s="277">
        <v>0</v>
      </c>
      <c r="I88" s="240">
        <v>0</v>
      </c>
      <c r="J88" s="64">
        <f t="shared" si="18"/>
        <v>0</v>
      </c>
    </row>
    <row r="89" spans="1:10" ht="14.95" thickBot="1" x14ac:dyDescent="0.3">
      <c r="A89" s="181" t="s">
        <v>673</v>
      </c>
      <c r="B89" s="78">
        <v>0</v>
      </c>
      <c r="C89" s="293">
        <v>0</v>
      </c>
      <c r="D89" s="238">
        <v>0</v>
      </c>
      <c r="E89" s="5">
        <f t="shared" ref="E89:E106" si="19">SUM(B89:D89)</f>
        <v>0</v>
      </c>
      <c r="F89" s="184" t="s">
        <v>255</v>
      </c>
      <c r="G89" s="79">
        <v>0</v>
      </c>
      <c r="H89" s="277">
        <v>0</v>
      </c>
      <c r="I89" s="240">
        <v>0</v>
      </c>
      <c r="J89" s="64">
        <f t="shared" ref="J89:J106" si="20">SUM(G89:I89)</f>
        <v>0</v>
      </c>
    </row>
    <row r="90" spans="1:10" ht="14.95" thickBot="1" x14ac:dyDescent="0.3">
      <c r="A90" s="181" t="s">
        <v>817</v>
      </c>
      <c r="B90" s="78">
        <v>0</v>
      </c>
      <c r="C90" s="293">
        <v>0</v>
      </c>
      <c r="D90" s="238">
        <v>0</v>
      </c>
      <c r="E90" s="5">
        <f t="shared" si="19"/>
        <v>0</v>
      </c>
      <c r="F90" s="184" t="s">
        <v>673</v>
      </c>
      <c r="G90" s="79">
        <v>0</v>
      </c>
      <c r="H90" s="277">
        <v>0</v>
      </c>
      <c r="I90" s="240">
        <v>0</v>
      </c>
      <c r="J90" s="64">
        <f t="shared" si="20"/>
        <v>0</v>
      </c>
    </row>
    <row r="91" spans="1:10" ht="14.95" thickBot="1" x14ac:dyDescent="0.3">
      <c r="A91" s="181" t="s">
        <v>847</v>
      </c>
      <c r="B91" s="78">
        <v>0</v>
      </c>
      <c r="C91" s="293">
        <v>0</v>
      </c>
      <c r="D91" s="238">
        <v>0</v>
      </c>
      <c r="E91" s="5">
        <f t="shared" si="19"/>
        <v>0</v>
      </c>
      <c r="F91" s="184" t="s">
        <v>289</v>
      </c>
      <c r="G91" s="79">
        <v>0</v>
      </c>
      <c r="H91" s="277">
        <v>0</v>
      </c>
      <c r="I91" s="240">
        <v>0</v>
      </c>
      <c r="J91" s="64">
        <f t="shared" si="20"/>
        <v>0</v>
      </c>
    </row>
    <row r="92" spans="1:10" ht="14.95" thickBot="1" x14ac:dyDescent="0.3">
      <c r="A92" s="181" t="s">
        <v>581</v>
      </c>
      <c r="B92" s="78">
        <v>0</v>
      </c>
      <c r="C92" s="293">
        <v>0</v>
      </c>
      <c r="D92" s="238">
        <v>0</v>
      </c>
      <c r="E92" s="5">
        <f t="shared" si="19"/>
        <v>0</v>
      </c>
      <c r="F92" s="184" t="s">
        <v>847</v>
      </c>
      <c r="G92" s="79">
        <v>0</v>
      </c>
      <c r="H92" s="277">
        <v>0</v>
      </c>
      <c r="I92" s="240">
        <v>0</v>
      </c>
      <c r="J92" s="64">
        <f t="shared" si="20"/>
        <v>0</v>
      </c>
    </row>
    <row r="93" spans="1:10" ht="14.95" thickBot="1" x14ac:dyDescent="0.3">
      <c r="A93" s="181" t="s">
        <v>512</v>
      </c>
      <c r="B93" s="78">
        <v>0</v>
      </c>
      <c r="C93" s="293">
        <v>0</v>
      </c>
      <c r="D93" s="238">
        <v>0</v>
      </c>
      <c r="E93" s="5">
        <f t="shared" si="19"/>
        <v>0</v>
      </c>
      <c r="F93" s="184" t="s">
        <v>581</v>
      </c>
      <c r="G93" s="79">
        <v>0</v>
      </c>
      <c r="H93" s="277">
        <v>0</v>
      </c>
      <c r="I93" s="240">
        <v>0</v>
      </c>
      <c r="J93" s="64">
        <f t="shared" si="20"/>
        <v>0</v>
      </c>
    </row>
    <row r="94" spans="1:10" ht="14.95" thickBot="1" x14ac:dyDescent="0.3">
      <c r="A94" s="181" t="s">
        <v>310</v>
      </c>
      <c r="B94" s="78">
        <v>0</v>
      </c>
      <c r="C94" s="293">
        <v>0</v>
      </c>
      <c r="D94" s="238">
        <v>0</v>
      </c>
      <c r="E94" s="5">
        <f t="shared" si="19"/>
        <v>0</v>
      </c>
      <c r="F94" s="184" t="s">
        <v>512</v>
      </c>
      <c r="G94" s="79">
        <v>0</v>
      </c>
      <c r="H94" s="277">
        <v>0</v>
      </c>
      <c r="I94" s="240">
        <v>0</v>
      </c>
      <c r="J94" s="64">
        <f t="shared" si="20"/>
        <v>0</v>
      </c>
    </row>
    <row r="95" spans="1:10" ht="14.95" thickBot="1" x14ac:dyDescent="0.3">
      <c r="A95" s="181" t="s">
        <v>582</v>
      </c>
      <c r="B95" s="78">
        <v>0</v>
      </c>
      <c r="C95" s="293">
        <v>0</v>
      </c>
      <c r="D95" s="238">
        <v>0</v>
      </c>
      <c r="E95" s="5">
        <f t="shared" si="19"/>
        <v>0</v>
      </c>
      <c r="F95" s="184" t="s">
        <v>310</v>
      </c>
      <c r="G95" s="79">
        <v>0</v>
      </c>
      <c r="H95" s="277">
        <v>0</v>
      </c>
      <c r="I95" s="240">
        <v>0</v>
      </c>
      <c r="J95" s="64">
        <f t="shared" si="20"/>
        <v>0</v>
      </c>
    </row>
    <row r="96" spans="1:10" ht="14.95" thickBot="1" x14ac:dyDescent="0.3">
      <c r="A96" s="181" t="s">
        <v>845</v>
      </c>
      <c r="B96" s="78">
        <v>0</v>
      </c>
      <c r="C96" s="293">
        <v>0</v>
      </c>
      <c r="D96" s="238">
        <v>0</v>
      </c>
      <c r="E96" s="5">
        <f t="shared" si="19"/>
        <v>0</v>
      </c>
      <c r="F96" s="184" t="s">
        <v>582</v>
      </c>
      <c r="G96" s="79">
        <v>0</v>
      </c>
      <c r="H96" s="277">
        <v>0</v>
      </c>
      <c r="I96" s="240">
        <v>0</v>
      </c>
      <c r="J96" s="64">
        <f t="shared" si="20"/>
        <v>0</v>
      </c>
    </row>
    <row r="97" spans="1:10" ht="14.95" thickBot="1" x14ac:dyDescent="0.3">
      <c r="A97" s="181" t="s">
        <v>829</v>
      </c>
      <c r="B97" s="78">
        <v>0</v>
      </c>
      <c r="C97" s="293">
        <v>0</v>
      </c>
      <c r="D97" s="238">
        <v>0</v>
      </c>
      <c r="E97" s="5">
        <f t="shared" si="19"/>
        <v>0</v>
      </c>
      <c r="F97" s="184" t="s">
        <v>845</v>
      </c>
      <c r="G97" s="79">
        <v>0</v>
      </c>
      <c r="H97" s="277">
        <v>0</v>
      </c>
      <c r="I97" s="240">
        <v>0</v>
      </c>
      <c r="J97" s="64">
        <f t="shared" si="20"/>
        <v>0</v>
      </c>
    </row>
    <row r="98" spans="1:10" ht="14.95" thickBot="1" x14ac:dyDescent="0.3">
      <c r="A98" s="181" t="s">
        <v>342</v>
      </c>
      <c r="B98" s="78">
        <v>0</v>
      </c>
      <c r="C98" s="293">
        <v>0</v>
      </c>
      <c r="D98" s="238">
        <v>0</v>
      </c>
      <c r="E98" s="5">
        <f t="shared" si="19"/>
        <v>0</v>
      </c>
      <c r="F98" s="184" t="s">
        <v>829</v>
      </c>
      <c r="G98" s="79">
        <v>0</v>
      </c>
      <c r="H98" s="277">
        <v>0</v>
      </c>
      <c r="I98" s="240">
        <v>0</v>
      </c>
      <c r="J98" s="64">
        <f t="shared" si="20"/>
        <v>0</v>
      </c>
    </row>
    <row r="99" spans="1:10" ht="14.95" thickBot="1" x14ac:dyDescent="0.3">
      <c r="A99" s="181" t="s">
        <v>831</v>
      </c>
      <c r="B99" s="78">
        <v>0</v>
      </c>
      <c r="C99" s="293">
        <v>0</v>
      </c>
      <c r="D99" s="238">
        <v>0</v>
      </c>
      <c r="E99" s="5">
        <f t="shared" si="19"/>
        <v>0</v>
      </c>
      <c r="F99" s="184" t="s">
        <v>342</v>
      </c>
      <c r="G99" s="79">
        <v>0</v>
      </c>
      <c r="H99" s="277">
        <v>0</v>
      </c>
      <c r="I99" s="240">
        <v>0</v>
      </c>
      <c r="J99" s="64">
        <f t="shared" si="20"/>
        <v>0</v>
      </c>
    </row>
    <row r="100" spans="1:10" ht="14.95" thickBot="1" x14ac:dyDescent="0.3">
      <c r="A100" s="181" t="s">
        <v>4</v>
      </c>
      <c r="B100" s="78">
        <v>0</v>
      </c>
      <c r="C100" s="293">
        <v>0</v>
      </c>
      <c r="D100" s="238">
        <v>0</v>
      </c>
      <c r="E100" s="5">
        <f t="shared" si="19"/>
        <v>0</v>
      </c>
      <c r="F100" s="184" t="s">
        <v>831</v>
      </c>
      <c r="G100" s="79">
        <v>0</v>
      </c>
      <c r="H100" s="277">
        <v>0</v>
      </c>
      <c r="I100" s="240">
        <v>0</v>
      </c>
      <c r="J100" s="64">
        <f t="shared" si="20"/>
        <v>0</v>
      </c>
    </row>
    <row r="101" spans="1:10" ht="14.95" thickBot="1" x14ac:dyDescent="0.3">
      <c r="A101" s="181" t="s">
        <v>560</v>
      </c>
      <c r="B101" s="78">
        <v>0</v>
      </c>
      <c r="C101" s="293">
        <v>0</v>
      </c>
      <c r="D101" s="238">
        <v>0</v>
      </c>
      <c r="E101" s="5">
        <f t="shared" si="19"/>
        <v>0</v>
      </c>
      <c r="F101" s="184" t="s">
        <v>4</v>
      </c>
      <c r="G101" s="79">
        <v>0</v>
      </c>
      <c r="H101" s="277">
        <v>0</v>
      </c>
      <c r="I101" s="240">
        <v>0</v>
      </c>
      <c r="J101" s="64">
        <f t="shared" si="20"/>
        <v>0</v>
      </c>
    </row>
    <row r="102" spans="1:10" ht="14.95" thickBot="1" x14ac:dyDescent="0.3">
      <c r="A102" s="181" t="s">
        <v>257</v>
      </c>
      <c r="B102" s="78">
        <v>0</v>
      </c>
      <c r="C102" s="293">
        <v>0</v>
      </c>
      <c r="D102" s="238">
        <v>0</v>
      </c>
      <c r="E102" s="5">
        <f t="shared" si="19"/>
        <v>0</v>
      </c>
      <c r="F102" s="184" t="s">
        <v>560</v>
      </c>
      <c r="G102" s="79">
        <v>0</v>
      </c>
      <c r="H102" s="277">
        <v>0</v>
      </c>
      <c r="I102" s="240">
        <v>0</v>
      </c>
      <c r="J102" s="64">
        <f t="shared" si="20"/>
        <v>0</v>
      </c>
    </row>
    <row r="103" spans="1:10" ht="14.95" thickBot="1" x14ac:dyDescent="0.3">
      <c r="A103" s="181" t="s">
        <v>26</v>
      </c>
      <c r="B103" s="78">
        <v>0</v>
      </c>
      <c r="C103" s="293">
        <v>0</v>
      </c>
      <c r="D103" s="238">
        <v>0</v>
      </c>
      <c r="E103" s="5">
        <f t="shared" si="19"/>
        <v>0</v>
      </c>
      <c r="F103" s="184" t="s">
        <v>257</v>
      </c>
      <c r="G103" s="79">
        <v>0</v>
      </c>
      <c r="H103" s="277">
        <v>0</v>
      </c>
      <c r="I103" s="240">
        <v>0</v>
      </c>
      <c r="J103" s="64">
        <f t="shared" si="20"/>
        <v>0</v>
      </c>
    </row>
    <row r="104" spans="1:10" ht="14.95" thickBot="1" x14ac:dyDescent="0.3">
      <c r="A104" s="181" t="s">
        <v>459</v>
      </c>
      <c r="B104" s="78">
        <v>0</v>
      </c>
      <c r="C104" s="293">
        <v>0</v>
      </c>
      <c r="D104" s="238">
        <v>0</v>
      </c>
      <c r="E104" s="5">
        <f t="shared" si="19"/>
        <v>0</v>
      </c>
      <c r="F104" s="184" t="s">
        <v>26</v>
      </c>
      <c r="G104" s="79">
        <v>0</v>
      </c>
      <c r="H104" s="277">
        <v>0</v>
      </c>
      <c r="I104" s="240">
        <v>0</v>
      </c>
      <c r="J104" s="64">
        <f t="shared" si="20"/>
        <v>0</v>
      </c>
    </row>
    <row r="105" spans="1:10" ht="14.95" thickBot="1" x14ac:dyDescent="0.3">
      <c r="A105" s="181" t="s">
        <v>837</v>
      </c>
      <c r="B105" s="78">
        <v>0</v>
      </c>
      <c r="C105" s="293">
        <v>0</v>
      </c>
      <c r="D105" s="238">
        <v>0</v>
      </c>
      <c r="E105" s="5">
        <f t="shared" si="19"/>
        <v>0</v>
      </c>
      <c r="F105" s="184" t="s">
        <v>459</v>
      </c>
      <c r="G105" s="79">
        <v>0</v>
      </c>
      <c r="H105" s="277">
        <v>0</v>
      </c>
      <c r="I105" s="240">
        <v>0</v>
      </c>
      <c r="J105" s="64">
        <f t="shared" si="20"/>
        <v>0</v>
      </c>
    </row>
    <row r="106" spans="1:10" ht="14.95" thickBot="1" x14ac:dyDescent="0.3">
      <c r="A106" s="181" t="s">
        <v>177</v>
      </c>
      <c r="B106" s="78">
        <v>0</v>
      </c>
      <c r="C106" s="293">
        <v>0</v>
      </c>
      <c r="D106" s="238">
        <v>0</v>
      </c>
      <c r="E106" s="5">
        <f t="shared" si="19"/>
        <v>0</v>
      </c>
      <c r="F106" s="184" t="s">
        <v>837</v>
      </c>
      <c r="G106" s="79">
        <v>0</v>
      </c>
      <c r="H106" s="277">
        <v>0</v>
      </c>
      <c r="I106" s="240">
        <v>0</v>
      </c>
      <c r="J106" s="64">
        <f t="shared" si="20"/>
        <v>0</v>
      </c>
    </row>
    <row r="107" spans="1:10" ht="14.95" thickBot="1" x14ac:dyDescent="0.3">
      <c r="A107" s="181" t="s">
        <v>3</v>
      </c>
      <c r="B107" s="78">
        <f>SUM(B57:B106)</f>
        <v>39</v>
      </c>
      <c r="C107" s="293">
        <f>SUM(C57:C106)</f>
        <v>8</v>
      </c>
      <c r="D107" s="238">
        <f>SUM(D57:D106)</f>
        <v>39</v>
      </c>
      <c r="E107" s="5">
        <f>SUM(E57:E106)</f>
        <v>86</v>
      </c>
      <c r="F107" s="183" t="s">
        <v>3</v>
      </c>
      <c r="G107" s="79">
        <f>SUM(G57:G106)</f>
        <v>292</v>
      </c>
      <c r="H107" s="277">
        <f>SUM(H57:H106)</f>
        <v>55</v>
      </c>
      <c r="I107" s="240">
        <f>SUM(I57:I106)</f>
        <v>275</v>
      </c>
      <c r="J107" s="64">
        <f>SUM(J57:J106)</f>
        <v>622</v>
      </c>
    </row>
    <row r="108" spans="1:10" x14ac:dyDescent="0.25">
      <c r="A108" s="488" t="s">
        <v>42</v>
      </c>
      <c r="B108" s="480"/>
      <c r="C108" s="480"/>
      <c r="D108" s="480"/>
      <c r="E108" s="480"/>
      <c r="F108" s="480"/>
      <c r="G108" s="480"/>
      <c r="H108" s="480"/>
      <c r="I108" s="480"/>
      <c r="J108" s="480"/>
    </row>
  </sheetData>
  <sortState xmlns:xlrd2="http://schemas.microsoft.com/office/spreadsheetml/2017/richdata2" ref="F57:J106">
    <sortCondition descending="1" ref="J57:J106"/>
  </sortState>
  <mergeCells count="58">
    <mergeCell ref="A108:J108"/>
    <mergeCell ref="K26:W26"/>
    <mergeCell ref="BD1:BF2"/>
    <mergeCell ref="AU1:AW2"/>
    <mergeCell ref="AU9:AW10"/>
    <mergeCell ref="AX9:AZ10"/>
    <mergeCell ref="AL1:AN2"/>
    <mergeCell ref="AO9:AQ10"/>
    <mergeCell ref="AO1:AQ2"/>
    <mergeCell ref="AR1:AT2"/>
    <mergeCell ref="AR9:AT10"/>
    <mergeCell ref="BA1:BC2"/>
    <mergeCell ref="AX1:AZ2"/>
    <mergeCell ref="AL9:AN10"/>
    <mergeCell ref="AF21:AH22"/>
    <mergeCell ref="K9:K10"/>
    <mergeCell ref="AX15:AZ16"/>
    <mergeCell ref="U21:W22"/>
    <mergeCell ref="W1:Y2"/>
    <mergeCell ref="R9:T10"/>
    <mergeCell ref="U9:W10"/>
    <mergeCell ref="AL15:AN16"/>
    <mergeCell ref="AO15:AQ16"/>
    <mergeCell ref="AR15:AT16"/>
    <mergeCell ref="AU15:AW16"/>
    <mergeCell ref="AI21:AK22"/>
    <mergeCell ref="AL21:AN22"/>
    <mergeCell ref="AR21:AT22"/>
    <mergeCell ref="AO21:AQ22"/>
    <mergeCell ref="AI1:AK2"/>
    <mergeCell ref="AC21:AE22"/>
    <mergeCell ref="AI9:AK10"/>
    <mergeCell ref="AI15:AK16"/>
    <mergeCell ref="U15:W16"/>
    <mergeCell ref="R15:T16"/>
    <mergeCell ref="AF1:AH2"/>
    <mergeCell ref="AF9:AH10"/>
    <mergeCell ref="AF15:AH16"/>
    <mergeCell ref="AC1:AE2"/>
    <mergeCell ref="AC9:AE10"/>
    <mergeCell ref="AC15:AE16"/>
    <mergeCell ref="R1:S2"/>
    <mergeCell ref="A1:J1"/>
    <mergeCell ref="K21:K22"/>
    <mergeCell ref="L21:N22"/>
    <mergeCell ref="K27:Y27"/>
    <mergeCell ref="A54:H54"/>
    <mergeCell ref="K15:K16"/>
    <mergeCell ref="L15:N16"/>
    <mergeCell ref="K1:K2"/>
    <mergeCell ref="L1:N2"/>
    <mergeCell ref="O21:Q22"/>
    <mergeCell ref="R21:T22"/>
    <mergeCell ref="T1:V2"/>
    <mergeCell ref="L9:N10"/>
    <mergeCell ref="O9:Q10"/>
    <mergeCell ref="O15:Q16"/>
    <mergeCell ref="O1:Q2"/>
  </mergeCells>
  <pageMargins left="0.7" right="0.7" top="0.75" bottom="0.75" header="0.3" footer="0.3"/>
  <pageSetup paperSize="9" orientation="portrait" r:id="rId1"/>
  <ignoredErrors>
    <ignoredError sqref="E5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108"/>
  <sheetViews>
    <sheetView zoomScaleNormal="100" workbookViewId="0">
      <selection activeCell="P8" sqref="P8"/>
    </sheetView>
  </sheetViews>
  <sheetFormatPr defaultColWidth="8.875" defaultRowHeight="14.3" x14ac:dyDescent="0.25"/>
  <cols>
    <col min="1" max="1" width="16.625" bestFit="1" customWidth="1"/>
    <col min="2" max="2" width="3.75" customWidth="1"/>
    <col min="3" max="4" width="4.125" customWidth="1"/>
    <col min="5" max="5" width="4.75" customWidth="1"/>
    <col min="6" max="6" width="16.625" bestFit="1" customWidth="1"/>
    <col min="7" max="10" width="5.25" customWidth="1"/>
    <col min="11" max="11" width="16.75" customWidth="1"/>
    <col min="12" max="17" width="5.375" customWidth="1"/>
    <col min="18" max="52" width="5.75" customWidth="1"/>
    <col min="53" max="58" width="5.625" customWidth="1"/>
  </cols>
  <sheetData>
    <row r="1" spans="1:65" ht="14.95" customHeight="1" thickBot="1" x14ac:dyDescent="0.3">
      <c r="A1" s="547" t="s">
        <v>854</v>
      </c>
      <c r="B1" s="548"/>
      <c r="C1" s="548"/>
      <c r="D1" s="548"/>
      <c r="E1" s="548"/>
      <c r="F1" s="548"/>
      <c r="G1" s="548"/>
      <c r="H1" s="548"/>
      <c r="I1" s="548"/>
      <c r="J1" s="549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162"/>
      <c r="AB1" s="198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49</v>
      </c>
      <c r="BB1" s="470"/>
      <c r="BC1" s="471"/>
      <c r="BD1" s="469" t="s">
        <v>54</v>
      </c>
      <c r="BE1" s="470"/>
      <c r="BF1" s="471"/>
      <c r="BH1" s="4"/>
      <c r="BI1" s="4"/>
      <c r="BJ1" s="4"/>
      <c r="BM1" s="4"/>
    </row>
    <row r="2" spans="1:65" ht="14.95" customHeight="1" thickBot="1" x14ac:dyDescent="0.3">
      <c r="A2" s="122" t="s">
        <v>0</v>
      </c>
      <c r="B2" s="116" t="s">
        <v>259</v>
      </c>
      <c r="C2" s="269" t="s">
        <v>35</v>
      </c>
      <c r="D2" s="246" t="s">
        <v>383</v>
      </c>
      <c r="E2" s="130" t="s">
        <v>1</v>
      </c>
      <c r="F2" s="124" t="s">
        <v>2</v>
      </c>
      <c r="G2" s="139" t="s">
        <v>259</v>
      </c>
      <c r="H2" s="294" t="s">
        <v>35</v>
      </c>
      <c r="I2" s="215" t="s">
        <v>383</v>
      </c>
      <c r="J2" s="127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7"/>
      <c r="AA2" s="162"/>
      <c r="AB2" s="198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  <c r="BD2" s="472"/>
      <c r="BE2" s="473"/>
      <c r="BF2" s="474"/>
    </row>
    <row r="3" spans="1:65" ht="14.95" customHeight="1" thickBot="1" x14ac:dyDescent="0.3">
      <c r="A3" s="123" t="s">
        <v>421</v>
      </c>
      <c r="B3" s="78">
        <v>2</v>
      </c>
      <c r="C3" s="270">
        <v>5</v>
      </c>
      <c r="D3" s="247">
        <v>0</v>
      </c>
      <c r="E3" s="131">
        <f t="shared" ref="E3:E52" si="0">SUM(B3:D3)</f>
        <v>7</v>
      </c>
      <c r="F3" s="125" t="s">
        <v>421</v>
      </c>
      <c r="G3" s="137">
        <v>10</v>
      </c>
      <c r="H3" s="295">
        <v>25</v>
      </c>
      <c r="I3" s="216">
        <v>0</v>
      </c>
      <c r="J3" s="128">
        <f t="shared" ref="J3:J52" si="1">SUM(G3:I3)</f>
        <v>35</v>
      </c>
      <c r="K3" s="221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7" t="s">
        <v>55</v>
      </c>
      <c r="X3" s="7" t="s">
        <v>11</v>
      </c>
      <c r="Y3" s="7" t="s">
        <v>12</v>
      </c>
      <c r="Z3" s="94"/>
      <c r="AA3" s="95"/>
      <c r="AB3" s="199"/>
      <c r="AC3" s="7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  <c r="BD3" s="7" t="s">
        <v>55</v>
      </c>
      <c r="BE3" s="7" t="s">
        <v>11</v>
      </c>
      <c r="BF3" s="7" t="s">
        <v>12</v>
      </c>
    </row>
    <row r="4" spans="1:65" ht="14.95" customHeight="1" thickBot="1" x14ac:dyDescent="0.3">
      <c r="A4" s="123" t="s">
        <v>745</v>
      </c>
      <c r="B4" s="78">
        <v>0</v>
      </c>
      <c r="C4" s="270">
        <v>0</v>
      </c>
      <c r="D4" s="247">
        <v>1</v>
      </c>
      <c r="E4" s="131">
        <f t="shared" si="0"/>
        <v>1</v>
      </c>
      <c r="F4" s="125" t="s">
        <v>745</v>
      </c>
      <c r="G4" s="137">
        <v>0</v>
      </c>
      <c r="H4" s="295">
        <v>0</v>
      </c>
      <c r="I4" s="216">
        <v>5</v>
      </c>
      <c r="J4" s="128">
        <f t="shared" si="1"/>
        <v>5</v>
      </c>
      <c r="K4" s="123" t="s">
        <v>79</v>
      </c>
      <c r="L4" s="316" t="s">
        <v>17</v>
      </c>
      <c r="M4" s="316" t="s">
        <v>17</v>
      </c>
      <c r="N4" s="317" t="s">
        <v>17</v>
      </c>
      <c r="O4" s="131" t="s">
        <v>17</v>
      </c>
      <c r="P4" s="131" t="s">
        <v>17</v>
      </c>
      <c r="Q4" s="132" t="s">
        <v>17</v>
      </c>
      <c r="R4" s="131">
        <v>1</v>
      </c>
      <c r="S4" s="131">
        <v>1</v>
      </c>
      <c r="T4" s="7">
        <v>14</v>
      </c>
      <c r="U4" s="7">
        <v>20</v>
      </c>
      <c r="V4" s="155">
        <v>70</v>
      </c>
      <c r="W4" s="7">
        <v>17</v>
      </c>
      <c r="X4" s="7">
        <v>21</v>
      </c>
      <c r="Y4" s="155">
        <v>80.952380952380949</v>
      </c>
      <c r="Z4" s="94"/>
      <c r="AA4" s="95"/>
      <c r="AB4" s="199"/>
      <c r="AC4" s="7">
        <v>11</v>
      </c>
      <c r="AD4" s="7">
        <v>16</v>
      </c>
      <c r="AE4" s="155">
        <f t="shared" ref="AE4:AE5" si="2">SUM(AC4/AD4)*100</f>
        <v>68.75</v>
      </c>
      <c r="AF4" s="150" t="s">
        <v>17</v>
      </c>
      <c r="AG4" s="7" t="s">
        <v>17</v>
      </c>
      <c r="AH4" s="7" t="s">
        <v>17</v>
      </c>
      <c r="AI4" s="150" t="s">
        <v>17</v>
      </c>
      <c r="AJ4" s="7" t="s">
        <v>17</v>
      </c>
      <c r="AK4" s="7" t="s">
        <v>17</v>
      </c>
      <c r="AL4" s="150" t="s">
        <v>17</v>
      </c>
      <c r="AM4" s="7" t="s">
        <v>17</v>
      </c>
      <c r="AN4" s="7" t="s">
        <v>17</v>
      </c>
      <c r="AO4" s="150" t="s">
        <v>17</v>
      </c>
      <c r="AP4" s="7" t="s">
        <v>17</v>
      </c>
      <c r="AQ4" s="7" t="s">
        <v>17</v>
      </c>
      <c r="AR4" s="150" t="s">
        <v>17</v>
      </c>
      <c r="AS4" s="7" t="s">
        <v>17</v>
      </c>
      <c r="AT4" s="7" t="s">
        <v>17</v>
      </c>
      <c r="AU4" s="6" t="s">
        <v>17</v>
      </c>
      <c r="AV4" s="7" t="s">
        <v>17</v>
      </c>
      <c r="AW4" s="7" t="s">
        <v>17</v>
      </c>
      <c r="AX4" s="7" t="s">
        <v>17</v>
      </c>
      <c r="AY4" s="7" t="s">
        <v>17</v>
      </c>
      <c r="AZ4" s="7" t="s">
        <v>17</v>
      </c>
      <c r="BA4" s="7" t="s">
        <v>17</v>
      </c>
      <c r="BB4" s="7" t="s">
        <v>17</v>
      </c>
      <c r="BC4" s="7" t="s">
        <v>17</v>
      </c>
      <c r="BD4" s="7" t="s">
        <v>17</v>
      </c>
      <c r="BE4" s="7" t="s">
        <v>17</v>
      </c>
      <c r="BF4" s="7" t="s">
        <v>17</v>
      </c>
    </row>
    <row r="5" spans="1:65" ht="14.95" customHeight="1" thickBot="1" x14ac:dyDescent="0.3">
      <c r="A5" s="123" t="s">
        <v>405</v>
      </c>
      <c r="B5" s="78">
        <v>0</v>
      </c>
      <c r="C5" s="270">
        <v>0</v>
      </c>
      <c r="D5" s="247">
        <v>1</v>
      </c>
      <c r="E5" s="131">
        <f t="shared" si="0"/>
        <v>1</v>
      </c>
      <c r="F5" s="125" t="s">
        <v>405</v>
      </c>
      <c r="G5" s="137">
        <v>0</v>
      </c>
      <c r="H5" s="295">
        <v>0</v>
      </c>
      <c r="I5" s="216">
        <v>5</v>
      </c>
      <c r="J5" s="128">
        <f t="shared" si="1"/>
        <v>5</v>
      </c>
      <c r="K5" s="123" t="s">
        <v>51</v>
      </c>
      <c r="L5" s="316">
        <v>12</v>
      </c>
      <c r="M5" s="316">
        <v>14</v>
      </c>
      <c r="N5" s="317">
        <f t="shared" ref="N5:N8" si="3">SUM(L5/M5)*100</f>
        <v>85.714285714285708</v>
      </c>
      <c r="O5" s="131">
        <v>3</v>
      </c>
      <c r="P5" s="131">
        <v>4</v>
      </c>
      <c r="Q5" s="132">
        <f t="shared" ref="Q5" si="4">SUM(O5/P5)*100</f>
        <v>75</v>
      </c>
      <c r="R5" s="131">
        <v>-1</v>
      </c>
      <c r="S5" s="131">
        <v>-1</v>
      </c>
      <c r="T5" s="7">
        <v>0</v>
      </c>
      <c r="U5" s="7">
        <v>1</v>
      </c>
      <c r="V5" s="155">
        <v>0</v>
      </c>
      <c r="W5" s="7">
        <v>3</v>
      </c>
      <c r="X5" s="7">
        <v>6</v>
      </c>
      <c r="Y5" s="155">
        <v>50</v>
      </c>
      <c r="Z5" s="94"/>
      <c r="AA5" s="95"/>
      <c r="AB5" s="199"/>
      <c r="AC5" s="7">
        <v>2</v>
      </c>
      <c r="AD5" s="7">
        <v>4</v>
      </c>
      <c r="AE5" s="155">
        <f t="shared" si="2"/>
        <v>50</v>
      </c>
      <c r="AF5" s="150">
        <v>3</v>
      </c>
      <c r="AG5" s="7">
        <v>5</v>
      </c>
      <c r="AH5" s="7">
        <f t="shared" ref="AH5" si="5">SUM(AF5/AG5)*100</f>
        <v>60</v>
      </c>
      <c r="AI5" s="150" t="s">
        <v>17</v>
      </c>
      <c r="AJ5" s="7" t="s">
        <v>17</v>
      </c>
      <c r="AK5" s="7" t="s">
        <v>17</v>
      </c>
      <c r="AL5" s="150">
        <v>3</v>
      </c>
      <c r="AM5" s="7">
        <v>3</v>
      </c>
      <c r="AN5" s="7">
        <v>100</v>
      </c>
      <c r="AO5" s="150" t="s">
        <v>17</v>
      </c>
      <c r="AP5" s="7" t="s">
        <v>17</v>
      </c>
      <c r="AQ5" s="7" t="s">
        <v>17</v>
      </c>
      <c r="AR5" s="150" t="s">
        <v>17</v>
      </c>
      <c r="AS5" s="7" t="s">
        <v>17</v>
      </c>
      <c r="AT5" s="7" t="s">
        <v>17</v>
      </c>
      <c r="AU5" s="6" t="s">
        <v>17</v>
      </c>
      <c r="AV5" s="7" t="s">
        <v>17</v>
      </c>
      <c r="AW5" s="7" t="s">
        <v>17</v>
      </c>
      <c r="AX5" s="7" t="s">
        <v>17</v>
      </c>
      <c r="AY5" s="7" t="s">
        <v>17</v>
      </c>
      <c r="AZ5" s="7" t="s">
        <v>17</v>
      </c>
      <c r="BA5" s="7" t="s">
        <v>17</v>
      </c>
      <c r="BB5" s="7" t="s">
        <v>17</v>
      </c>
      <c r="BC5" s="7" t="s">
        <v>17</v>
      </c>
      <c r="BD5" s="7" t="s">
        <v>17</v>
      </c>
      <c r="BE5" s="7" t="s">
        <v>17</v>
      </c>
      <c r="BF5" s="7" t="s">
        <v>17</v>
      </c>
    </row>
    <row r="6" spans="1:65" ht="14.95" customHeight="1" thickBot="1" x14ac:dyDescent="0.3">
      <c r="A6" s="123" t="s">
        <v>7</v>
      </c>
      <c r="B6" s="78">
        <v>0</v>
      </c>
      <c r="C6" s="270">
        <v>0</v>
      </c>
      <c r="D6" s="247">
        <v>2</v>
      </c>
      <c r="E6" s="131">
        <f t="shared" si="0"/>
        <v>2</v>
      </c>
      <c r="F6" s="125" t="s">
        <v>7</v>
      </c>
      <c r="G6" s="137">
        <v>0</v>
      </c>
      <c r="H6" s="295">
        <v>0</v>
      </c>
      <c r="I6" s="216">
        <v>10</v>
      </c>
      <c r="J6" s="128">
        <f t="shared" si="1"/>
        <v>10</v>
      </c>
      <c r="K6" s="315" t="s">
        <v>308</v>
      </c>
      <c r="L6" s="316">
        <v>2</v>
      </c>
      <c r="M6" s="316">
        <v>2</v>
      </c>
      <c r="N6" s="317">
        <f t="shared" si="3"/>
        <v>100</v>
      </c>
      <c r="O6" s="131" t="s">
        <v>17</v>
      </c>
      <c r="P6" s="131" t="s">
        <v>17</v>
      </c>
      <c r="Q6" s="132" t="s">
        <v>17</v>
      </c>
      <c r="R6" s="316">
        <v>2</v>
      </c>
      <c r="S6" s="316">
        <v>2</v>
      </c>
      <c r="T6" s="7"/>
      <c r="U6" s="7"/>
      <c r="V6" s="155"/>
      <c r="W6" s="7"/>
      <c r="X6" s="7"/>
      <c r="Y6" s="155"/>
      <c r="Z6" s="95"/>
      <c r="AA6" s="95"/>
      <c r="AB6" s="95"/>
      <c r="AC6" s="7"/>
      <c r="AD6" s="7"/>
      <c r="AE6" s="155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65" ht="14.95" customHeight="1" thickBot="1" x14ac:dyDescent="0.3">
      <c r="A7" s="123" t="s">
        <v>194</v>
      </c>
      <c r="B7" s="78">
        <v>2</v>
      </c>
      <c r="C7" s="270">
        <v>3</v>
      </c>
      <c r="D7" s="247">
        <v>0</v>
      </c>
      <c r="E7" s="131">
        <f t="shared" si="0"/>
        <v>5</v>
      </c>
      <c r="F7" s="126" t="s">
        <v>194</v>
      </c>
      <c r="G7" s="137">
        <v>10</v>
      </c>
      <c r="H7" s="295">
        <v>15</v>
      </c>
      <c r="I7" s="216">
        <v>0</v>
      </c>
      <c r="J7" s="128">
        <f t="shared" si="1"/>
        <v>25</v>
      </c>
      <c r="K7" s="315" t="s">
        <v>1184</v>
      </c>
      <c r="L7" s="316">
        <v>5</v>
      </c>
      <c r="M7" s="316">
        <v>8</v>
      </c>
      <c r="N7" s="317">
        <f t="shared" ref="N7:N10" si="6">SUM(L7/M7)*100</f>
        <v>62.5</v>
      </c>
      <c r="O7" s="131" t="s">
        <v>17</v>
      </c>
      <c r="P7" s="131" t="s">
        <v>17</v>
      </c>
      <c r="Q7" s="132" t="s">
        <v>17</v>
      </c>
      <c r="R7" s="316">
        <v>-1</v>
      </c>
      <c r="S7" s="316">
        <v>5</v>
      </c>
      <c r="T7" s="7" t="s">
        <v>17</v>
      </c>
      <c r="U7" s="7" t="s">
        <v>17</v>
      </c>
      <c r="V7" s="155" t="s">
        <v>17</v>
      </c>
      <c r="W7" s="7" t="s">
        <v>17</v>
      </c>
      <c r="X7" s="7" t="s">
        <v>17</v>
      </c>
      <c r="Y7" s="155" t="s">
        <v>17</v>
      </c>
      <c r="Z7" s="95"/>
      <c r="AA7" s="95"/>
      <c r="AB7" s="95"/>
      <c r="AC7" s="6" t="s">
        <v>17</v>
      </c>
      <c r="AD7" s="7" t="s">
        <v>17</v>
      </c>
      <c r="AE7" s="155" t="s">
        <v>17</v>
      </c>
      <c r="AF7" s="7" t="s">
        <v>17</v>
      </c>
      <c r="AG7" s="7" t="s">
        <v>17</v>
      </c>
      <c r="AH7" s="155" t="s">
        <v>17</v>
      </c>
      <c r="AI7" s="7" t="s">
        <v>17</v>
      </c>
      <c r="AJ7" s="7" t="s">
        <v>17</v>
      </c>
      <c r="AK7" s="155" t="s">
        <v>17</v>
      </c>
      <c r="AL7" s="7" t="s">
        <v>17</v>
      </c>
      <c r="AM7" s="7" t="s">
        <v>17</v>
      </c>
      <c r="AN7" s="155" t="s">
        <v>17</v>
      </c>
      <c r="AO7" s="7" t="s">
        <v>17</v>
      </c>
      <c r="AP7" s="7" t="s">
        <v>17</v>
      </c>
      <c r="AQ7" s="155" t="s">
        <v>17</v>
      </c>
      <c r="AR7" s="7" t="s">
        <v>17</v>
      </c>
      <c r="AS7" s="7" t="s">
        <v>17</v>
      </c>
      <c r="AT7" s="155" t="s">
        <v>17</v>
      </c>
      <c r="AU7" s="7" t="s">
        <v>17</v>
      </c>
      <c r="AV7" s="7" t="s">
        <v>17</v>
      </c>
      <c r="AW7" s="155" t="s">
        <v>17</v>
      </c>
      <c r="AX7" s="7" t="s">
        <v>17</v>
      </c>
      <c r="AY7" s="7" t="s">
        <v>17</v>
      </c>
      <c r="AZ7" s="155" t="s">
        <v>17</v>
      </c>
      <c r="BA7" s="7" t="s">
        <v>17</v>
      </c>
      <c r="BB7" s="7" t="s">
        <v>17</v>
      </c>
      <c r="BC7" s="155" t="s">
        <v>17</v>
      </c>
      <c r="BD7" s="7" t="s">
        <v>17</v>
      </c>
      <c r="BE7" s="7" t="s">
        <v>17</v>
      </c>
      <c r="BF7" s="155" t="s">
        <v>17</v>
      </c>
    </row>
    <row r="8" spans="1:65" ht="14.95" customHeight="1" thickBot="1" x14ac:dyDescent="0.3">
      <c r="A8" s="123" t="s">
        <v>1085</v>
      </c>
      <c r="B8" s="78">
        <v>0</v>
      </c>
      <c r="C8" s="270">
        <v>0</v>
      </c>
      <c r="D8" s="247">
        <v>1</v>
      </c>
      <c r="E8" s="131">
        <f t="shared" si="0"/>
        <v>1</v>
      </c>
      <c r="F8" s="126" t="s">
        <v>1085</v>
      </c>
      <c r="G8" s="137">
        <v>0</v>
      </c>
      <c r="H8" s="295">
        <v>0</v>
      </c>
      <c r="I8" s="216">
        <v>5</v>
      </c>
      <c r="J8" s="128">
        <f t="shared" si="1"/>
        <v>5</v>
      </c>
      <c r="K8" s="315" t="s">
        <v>81</v>
      </c>
      <c r="L8" s="316">
        <v>2</v>
      </c>
      <c r="M8" s="316">
        <v>5</v>
      </c>
      <c r="N8" s="317">
        <f t="shared" si="3"/>
        <v>40</v>
      </c>
      <c r="O8" s="131" t="s">
        <v>17</v>
      </c>
      <c r="P8" s="131" t="s">
        <v>17</v>
      </c>
      <c r="Q8" s="132" t="s">
        <v>17</v>
      </c>
      <c r="R8" s="316">
        <v>1</v>
      </c>
      <c r="S8" s="316">
        <v>1</v>
      </c>
      <c r="T8" s="7" t="s">
        <v>17</v>
      </c>
      <c r="U8" s="7" t="s">
        <v>17</v>
      </c>
      <c r="V8" s="155" t="s">
        <v>17</v>
      </c>
      <c r="W8" s="7" t="s">
        <v>17</v>
      </c>
      <c r="X8" s="7" t="s">
        <v>17</v>
      </c>
      <c r="Y8" s="155" t="s">
        <v>17</v>
      </c>
      <c r="Z8" s="95"/>
      <c r="AA8" s="95"/>
      <c r="AB8" s="95"/>
      <c r="AC8" s="6" t="s">
        <v>17</v>
      </c>
      <c r="AD8" s="7" t="s">
        <v>17</v>
      </c>
      <c r="AE8" s="155" t="s">
        <v>17</v>
      </c>
      <c r="AF8" s="7" t="s">
        <v>17</v>
      </c>
      <c r="AG8" s="7" t="s">
        <v>17</v>
      </c>
      <c r="AH8" s="155" t="s">
        <v>17</v>
      </c>
      <c r="AI8" s="7" t="s">
        <v>17</v>
      </c>
      <c r="AJ8" s="7" t="s">
        <v>17</v>
      </c>
      <c r="AK8" s="155" t="s">
        <v>17</v>
      </c>
      <c r="AL8" s="7" t="s">
        <v>17</v>
      </c>
      <c r="AM8" s="7" t="s">
        <v>17</v>
      </c>
      <c r="AN8" s="155" t="s">
        <v>17</v>
      </c>
      <c r="AO8" s="7" t="s">
        <v>17</v>
      </c>
      <c r="AP8" s="7" t="s">
        <v>17</v>
      </c>
      <c r="AQ8" s="155" t="s">
        <v>17</v>
      </c>
      <c r="AR8" s="7" t="s">
        <v>17</v>
      </c>
      <c r="AS8" s="7" t="s">
        <v>17</v>
      </c>
      <c r="AT8" s="155" t="s">
        <v>17</v>
      </c>
      <c r="AU8" s="7" t="s">
        <v>17</v>
      </c>
      <c r="AV8" s="7" t="s">
        <v>17</v>
      </c>
      <c r="AW8" s="155" t="s">
        <v>17</v>
      </c>
      <c r="AX8" s="7" t="s">
        <v>17</v>
      </c>
      <c r="AY8" s="7" t="s">
        <v>17</v>
      </c>
      <c r="AZ8" s="155" t="s">
        <v>17</v>
      </c>
      <c r="BA8" s="7" t="s">
        <v>17</v>
      </c>
      <c r="BB8" s="7" t="s">
        <v>17</v>
      </c>
      <c r="BC8" s="155" t="s">
        <v>17</v>
      </c>
      <c r="BD8" s="7" t="s">
        <v>17</v>
      </c>
      <c r="BE8" s="7" t="s">
        <v>17</v>
      </c>
      <c r="BF8" s="155" t="s">
        <v>17</v>
      </c>
    </row>
    <row r="9" spans="1:65" ht="14.95" customHeight="1" thickBot="1" x14ac:dyDescent="0.3">
      <c r="A9" s="123" t="s">
        <v>329</v>
      </c>
      <c r="B9" s="78">
        <v>2</v>
      </c>
      <c r="C9" s="270">
        <v>0</v>
      </c>
      <c r="D9" s="247">
        <v>0</v>
      </c>
      <c r="E9" s="131">
        <f t="shared" si="0"/>
        <v>2</v>
      </c>
      <c r="F9" s="126" t="s">
        <v>329</v>
      </c>
      <c r="G9" s="137">
        <v>10</v>
      </c>
      <c r="H9" s="295">
        <v>0</v>
      </c>
      <c r="I9" s="216">
        <v>0</v>
      </c>
      <c r="J9" s="128">
        <f t="shared" si="1"/>
        <v>10</v>
      </c>
      <c r="K9" s="315" t="s">
        <v>657</v>
      </c>
      <c r="L9" s="316" t="s">
        <v>17</v>
      </c>
      <c r="M9" s="316" t="s">
        <v>17</v>
      </c>
      <c r="N9" s="317" t="s">
        <v>17</v>
      </c>
      <c r="O9" s="131" t="s">
        <v>17</v>
      </c>
      <c r="P9" s="131" t="s">
        <v>17</v>
      </c>
      <c r="Q9" s="132" t="s">
        <v>17</v>
      </c>
      <c r="R9" s="316">
        <v>2</v>
      </c>
      <c r="S9" s="316">
        <v>2</v>
      </c>
      <c r="T9" s="7">
        <v>4</v>
      </c>
      <c r="U9" s="7">
        <v>6</v>
      </c>
      <c r="V9" s="7">
        <v>67</v>
      </c>
      <c r="W9" s="7">
        <v>9</v>
      </c>
      <c r="X9" s="7">
        <v>11</v>
      </c>
      <c r="Y9" s="7">
        <v>82</v>
      </c>
      <c r="Z9" s="95"/>
      <c r="AA9" s="95"/>
      <c r="AB9" s="95"/>
      <c r="AC9" s="150" t="s">
        <v>17</v>
      </c>
      <c r="AD9" s="7" t="s">
        <v>17</v>
      </c>
      <c r="AE9" s="7" t="s">
        <v>17</v>
      </c>
      <c r="AF9" s="150">
        <v>2</v>
      </c>
      <c r="AG9" s="7">
        <v>3</v>
      </c>
      <c r="AH9" s="7">
        <v>67</v>
      </c>
      <c r="AI9" s="150" t="s">
        <v>17</v>
      </c>
      <c r="AJ9" s="7" t="s">
        <v>17</v>
      </c>
      <c r="AK9" s="7" t="s">
        <v>17</v>
      </c>
      <c r="AL9" s="150" t="s">
        <v>17</v>
      </c>
      <c r="AM9" s="7" t="s">
        <v>17</v>
      </c>
      <c r="AN9" s="7" t="s">
        <v>17</v>
      </c>
      <c r="AO9" s="150" t="s">
        <v>17</v>
      </c>
      <c r="AP9" s="7" t="s">
        <v>17</v>
      </c>
      <c r="AQ9" s="7" t="s">
        <v>17</v>
      </c>
      <c r="AR9" s="150" t="s">
        <v>17</v>
      </c>
      <c r="AS9" s="7" t="s">
        <v>17</v>
      </c>
      <c r="AT9" s="7" t="s">
        <v>17</v>
      </c>
      <c r="AU9" s="150" t="s">
        <v>17</v>
      </c>
      <c r="AV9" s="7" t="s">
        <v>17</v>
      </c>
      <c r="AW9" s="7" t="s">
        <v>17</v>
      </c>
      <c r="AX9" s="150" t="s">
        <v>17</v>
      </c>
      <c r="AY9" s="7" t="s">
        <v>17</v>
      </c>
      <c r="AZ9" s="7" t="s">
        <v>17</v>
      </c>
      <c r="BA9" s="150" t="s">
        <v>17</v>
      </c>
      <c r="BB9" s="7" t="s">
        <v>17</v>
      </c>
      <c r="BC9" s="7" t="s">
        <v>17</v>
      </c>
      <c r="BD9" s="150" t="s">
        <v>17</v>
      </c>
      <c r="BE9" s="7" t="s">
        <v>17</v>
      </c>
      <c r="BF9" s="7" t="s">
        <v>17</v>
      </c>
    </row>
    <row r="10" spans="1:65" ht="14.95" customHeight="1" thickBot="1" x14ac:dyDescent="0.3">
      <c r="A10" s="123" t="s">
        <v>188</v>
      </c>
      <c r="B10" s="78">
        <v>2</v>
      </c>
      <c r="C10" s="270">
        <v>1</v>
      </c>
      <c r="D10" s="247">
        <v>0</v>
      </c>
      <c r="E10" s="131">
        <f t="shared" si="0"/>
        <v>3</v>
      </c>
      <c r="F10" s="126" t="s">
        <v>188</v>
      </c>
      <c r="G10" s="137">
        <v>10</v>
      </c>
      <c r="H10" s="295">
        <v>5</v>
      </c>
      <c r="I10" s="216">
        <v>0</v>
      </c>
      <c r="J10" s="128">
        <f t="shared" si="1"/>
        <v>15</v>
      </c>
      <c r="K10" s="315" t="s">
        <v>553</v>
      </c>
      <c r="L10" s="316">
        <v>43</v>
      </c>
      <c r="M10" s="316">
        <v>53</v>
      </c>
      <c r="N10" s="317">
        <f t="shared" si="6"/>
        <v>81.132075471698116</v>
      </c>
      <c r="O10" s="131" t="s">
        <v>17</v>
      </c>
      <c r="P10" s="131" t="s">
        <v>17</v>
      </c>
      <c r="Q10" s="132" t="s">
        <v>17</v>
      </c>
      <c r="R10" s="316">
        <v>4</v>
      </c>
      <c r="S10" s="316">
        <v>7</v>
      </c>
      <c r="T10" s="7">
        <v>65</v>
      </c>
      <c r="U10" s="7">
        <v>80</v>
      </c>
      <c r="V10" s="155">
        <v>81.25</v>
      </c>
      <c r="W10" s="7">
        <v>47</v>
      </c>
      <c r="X10" s="7">
        <v>59</v>
      </c>
      <c r="Y10" s="155">
        <v>79.66101694915254</v>
      </c>
      <c r="Z10" s="95"/>
      <c r="AA10" s="95"/>
      <c r="AB10" s="95"/>
      <c r="AC10" s="6">
        <v>39</v>
      </c>
      <c r="AD10" s="7">
        <v>54</v>
      </c>
      <c r="AE10" s="155">
        <f>(AC10/AD10)*100</f>
        <v>72.222222222222214</v>
      </c>
      <c r="AF10" s="150">
        <v>2</v>
      </c>
      <c r="AG10" s="7">
        <v>5</v>
      </c>
      <c r="AH10" s="155">
        <f>(AF10/AG10)*100</f>
        <v>40</v>
      </c>
      <c r="AI10" s="150" t="s">
        <v>17</v>
      </c>
      <c r="AJ10" s="7" t="s">
        <v>17</v>
      </c>
      <c r="AK10" s="7" t="s">
        <v>17</v>
      </c>
      <c r="AL10" s="150" t="s">
        <v>17</v>
      </c>
      <c r="AM10" s="7" t="s">
        <v>17</v>
      </c>
      <c r="AN10" s="7" t="s">
        <v>17</v>
      </c>
      <c r="AO10" s="150" t="s">
        <v>17</v>
      </c>
      <c r="AP10" s="7" t="s">
        <v>17</v>
      </c>
      <c r="AQ10" s="7" t="s">
        <v>17</v>
      </c>
      <c r="AR10" s="150" t="s">
        <v>17</v>
      </c>
      <c r="AS10" s="7" t="s">
        <v>17</v>
      </c>
      <c r="AT10" s="7" t="s">
        <v>17</v>
      </c>
      <c r="AU10" s="6" t="s">
        <v>17</v>
      </c>
      <c r="AV10" s="7" t="s">
        <v>17</v>
      </c>
      <c r="AW10" s="7" t="s">
        <v>17</v>
      </c>
      <c r="AX10" s="7" t="s">
        <v>17</v>
      </c>
      <c r="AY10" s="7" t="s">
        <v>17</v>
      </c>
      <c r="AZ10" s="7" t="s">
        <v>17</v>
      </c>
      <c r="BA10" s="7" t="s">
        <v>17</v>
      </c>
      <c r="BB10" s="7" t="s">
        <v>17</v>
      </c>
      <c r="BC10" s="7" t="s">
        <v>17</v>
      </c>
      <c r="BD10" s="7" t="s">
        <v>17</v>
      </c>
      <c r="BE10" s="7" t="s">
        <v>17</v>
      </c>
      <c r="BF10" s="7" t="s">
        <v>17</v>
      </c>
    </row>
    <row r="11" spans="1:65" ht="14.95" customHeight="1" thickBot="1" x14ac:dyDescent="0.3">
      <c r="A11" s="123" t="s">
        <v>326</v>
      </c>
      <c r="B11" s="78">
        <v>7</v>
      </c>
      <c r="C11" s="270">
        <v>9</v>
      </c>
      <c r="D11" s="247">
        <v>0</v>
      </c>
      <c r="E11" s="131">
        <f t="shared" si="0"/>
        <v>16</v>
      </c>
      <c r="F11" s="125" t="s">
        <v>326</v>
      </c>
      <c r="G11" s="137">
        <v>35</v>
      </c>
      <c r="H11" s="295">
        <v>45</v>
      </c>
      <c r="I11" s="216">
        <v>0</v>
      </c>
      <c r="J11" s="128">
        <f t="shared" si="1"/>
        <v>80</v>
      </c>
    </row>
    <row r="12" spans="1:65" ht="14.95" customHeight="1" thickBot="1" x14ac:dyDescent="0.3">
      <c r="A12" s="123" t="s">
        <v>79</v>
      </c>
      <c r="B12" s="78">
        <v>2</v>
      </c>
      <c r="C12" s="270">
        <v>1</v>
      </c>
      <c r="D12" s="247">
        <v>0</v>
      </c>
      <c r="E12" s="131">
        <f t="shared" si="0"/>
        <v>3</v>
      </c>
      <c r="F12" s="125" t="s">
        <v>79</v>
      </c>
      <c r="G12" s="137">
        <v>10</v>
      </c>
      <c r="H12" s="295">
        <v>5</v>
      </c>
      <c r="I12" s="216">
        <v>0</v>
      </c>
      <c r="J12" s="128">
        <f t="shared" si="1"/>
        <v>15</v>
      </c>
      <c r="K12" s="463" t="s">
        <v>226</v>
      </c>
      <c r="L12" s="453" t="s">
        <v>16</v>
      </c>
      <c r="M12" s="467"/>
      <c r="N12" s="454"/>
      <c r="O12" s="469" t="s">
        <v>267</v>
      </c>
      <c r="P12" s="470"/>
      <c r="Q12" s="471"/>
      <c r="R12" s="469" t="s">
        <v>698</v>
      </c>
      <c r="S12" s="470"/>
      <c r="T12" s="471"/>
      <c r="U12" s="469" t="s">
        <v>562</v>
      </c>
      <c r="V12" s="470"/>
      <c r="W12" s="471"/>
      <c r="X12" s="162"/>
      <c r="Y12" s="162"/>
      <c r="Z12" s="162"/>
      <c r="AC12" s="469" t="s">
        <v>463</v>
      </c>
      <c r="AD12" s="470"/>
      <c r="AE12" s="471"/>
      <c r="AF12" s="469" t="s">
        <v>355</v>
      </c>
      <c r="AG12" s="470"/>
      <c r="AH12" s="471"/>
      <c r="AI12" s="469" t="s">
        <v>260</v>
      </c>
      <c r="AJ12" s="470"/>
      <c r="AK12" s="471"/>
      <c r="AL12" s="469" t="s">
        <v>199</v>
      </c>
      <c r="AM12" s="470"/>
      <c r="AN12" s="471"/>
      <c r="AO12" s="469" t="s">
        <v>92</v>
      </c>
      <c r="AP12" s="470"/>
      <c r="AQ12" s="471"/>
      <c r="AR12" s="469" t="s">
        <v>63</v>
      </c>
      <c r="AS12" s="470"/>
      <c r="AT12" s="471"/>
      <c r="AU12" s="469" t="s">
        <v>59</v>
      </c>
      <c r="AV12" s="470"/>
      <c r="AW12" s="471"/>
      <c r="AX12" s="469" t="s">
        <v>171</v>
      </c>
      <c r="AY12" s="470"/>
      <c r="AZ12" s="471"/>
    </row>
    <row r="13" spans="1:65" ht="14.95" customHeight="1" thickBot="1" x14ac:dyDescent="0.3">
      <c r="A13" s="123" t="s">
        <v>669</v>
      </c>
      <c r="B13" s="78">
        <v>1</v>
      </c>
      <c r="C13" s="270">
        <v>0</v>
      </c>
      <c r="D13" s="247">
        <v>0</v>
      </c>
      <c r="E13" s="131">
        <f t="shared" si="0"/>
        <v>1</v>
      </c>
      <c r="F13" s="125" t="s">
        <v>669</v>
      </c>
      <c r="G13" s="137">
        <v>5</v>
      </c>
      <c r="H13" s="295">
        <v>0</v>
      </c>
      <c r="I13" s="216">
        <v>0</v>
      </c>
      <c r="J13" s="128">
        <f t="shared" si="1"/>
        <v>5</v>
      </c>
      <c r="K13" s="464"/>
      <c r="L13" s="455"/>
      <c r="M13" s="468"/>
      <c r="N13" s="456"/>
      <c r="O13" s="472"/>
      <c r="P13" s="473"/>
      <c r="Q13" s="474"/>
      <c r="R13" s="472"/>
      <c r="S13" s="473"/>
      <c r="T13" s="474"/>
      <c r="U13" s="472"/>
      <c r="V13" s="473"/>
      <c r="W13" s="474"/>
      <c r="X13" s="162"/>
      <c r="Y13" s="162"/>
      <c r="Z13" s="162"/>
      <c r="AC13" s="472"/>
      <c r="AD13" s="473"/>
      <c r="AE13" s="474"/>
      <c r="AF13" s="472"/>
      <c r="AG13" s="473"/>
      <c r="AH13" s="474"/>
      <c r="AI13" s="472"/>
      <c r="AJ13" s="473"/>
      <c r="AK13" s="474"/>
      <c r="AL13" s="472"/>
      <c r="AM13" s="473"/>
      <c r="AN13" s="474"/>
      <c r="AO13" s="472"/>
      <c r="AP13" s="473"/>
      <c r="AQ13" s="474"/>
      <c r="AR13" s="472"/>
      <c r="AS13" s="473"/>
      <c r="AT13" s="474"/>
      <c r="AU13" s="472"/>
      <c r="AV13" s="473"/>
      <c r="AW13" s="474"/>
      <c r="AX13" s="472"/>
      <c r="AY13" s="473"/>
      <c r="AZ13" s="474"/>
    </row>
    <row r="14" spans="1:65" ht="14.95" customHeight="1" thickBot="1" x14ac:dyDescent="0.3">
      <c r="A14" s="123" t="s">
        <v>584</v>
      </c>
      <c r="B14" s="78">
        <v>1</v>
      </c>
      <c r="C14" s="270">
        <v>0</v>
      </c>
      <c r="D14" s="247">
        <v>2</v>
      </c>
      <c r="E14" s="131">
        <f t="shared" si="0"/>
        <v>3</v>
      </c>
      <c r="F14" s="125" t="s">
        <v>584</v>
      </c>
      <c r="G14" s="137">
        <v>5</v>
      </c>
      <c r="H14" s="295">
        <v>0</v>
      </c>
      <c r="I14" s="216">
        <v>10</v>
      </c>
      <c r="J14" s="128">
        <f t="shared" si="1"/>
        <v>15</v>
      </c>
      <c r="K14" s="263" t="s">
        <v>25</v>
      </c>
      <c r="L14" s="3" t="s">
        <v>55</v>
      </c>
      <c r="M14" s="3" t="s">
        <v>11</v>
      </c>
      <c r="N14" s="3" t="s">
        <v>12</v>
      </c>
      <c r="O14" s="7" t="s">
        <v>55</v>
      </c>
      <c r="P14" s="7" t="s">
        <v>11</v>
      </c>
      <c r="Q14" s="7" t="s">
        <v>12</v>
      </c>
      <c r="R14" s="7" t="s">
        <v>55</v>
      </c>
      <c r="S14" s="7" t="s">
        <v>11</v>
      </c>
      <c r="T14" s="7" t="s">
        <v>12</v>
      </c>
      <c r="U14" s="7" t="s">
        <v>55</v>
      </c>
      <c r="V14" s="7" t="s">
        <v>11</v>
      </c>
      <c r="W14" s="7" t="s">
        <v>12</v>
      </c>
      <c r="AC14" s="150" t="s">
        <v>55</v>
      </c>
      <c r="AD14" s="7" t="s">
        <v>11</v>
      </c>
      <c r="AE14" s="7" t="s">
        <v>12</v>
      </c>
      <c r="AF14" s="150" t="s">
        <v>55</v>
      </c>
      <c r="AG14" s="7" t="s">
        <v>11</v>
      </c>
      <c r="AH14" s="7" t="s">
        <v>12</v>
      </c>
      <c r="AI14" s="150" t="s">
        <v>55</v>
      </c>
      <c r="AJ14" s="7" t="s">
        <v>11</v>
      </c>
      <c r="AK14" s="7" t="s">
        <v>12</v>
      </c>
      <c r="AL14" s="150" t="s">
        <v>55</v>
      </c>
      <c r="AM14" s="7" t="s">
        <v>11</v>
      </c>
      <c r="AN14" s="7" t="s">
        <v>12</v>
      </c>
      <c r="AO14" s="150" t="s">
        <v>55</v>
      </c>
      <c r="AP14" s="7" t="s">
        <v>11</v>
      </c>
      <c r="AQ14" s="7" t="s">
        <v>12</v>
      </c>
      <c r="AR14" s="150" t="s">
        <v>55</v>
      </c>
      <c r="AS14" s="7" t="s">
        <v>11</v>
      </c>
      <c r="AT14" s="7" t="s">
        <v>12</v>
      </c>
      <c r="AU14" s="150" t="s">
        <v>55</v>
      </c>
      <c r="AV14" s="7" t="s">
        <v>11</v>
      </c>
      <c r="AW14" s="7" t="s">
        <v>12</v>
      </c>
      <c r="AX14" s="150" t="s">
        <v>55</v>
      </c>
      <c r="AY14" s="7" t="s">
        <v>11</v>
      </c>
      <c r="AZ14" s="7" t="s">
        <v>12</v>
      </c>
    </row>
    <row r="15" spans="1:65" ht="14.95" customHeight="1" thickBot="1" x14ac:dyDescent="0.3">
      <c r="A15" s="123" t="s">
        <v>303</v>
      </c>
      <c r="B15" s="78">
        <v>1</v>
      </c>
      <c r="C15" s="270">
        <v>0</v>
      </c>
      <c r="D15" s="247">
        <v>0</v>
      </c>
      <c r="E15" s="131">
        <f t="shared" si="0"/>
        <v>1</v>
      </c>
      <c r="F15" s="125" t="s">
        <v>303</v>
      </c>
      <c r="G15" s="137">
        <v>5</v>
      </c>
      <c r="H15" s="295">
        <v>0</v>
      </c>
      <c r="I15" s="216">
        <v>0</v>
      </c>
      <c r="J15" s="128">
        <f t="shared" si="1"/>
        <v>5</v>
      </c>
      <c r="K15" s="123" t="s">
        <v>79</v>
      </c>
      <c r="L15" s="131" t="s">
        <v>17</v>
      </c>
      <c r="M15" s="131" t="s">
        <v>17</v>
      </c>
      <c r="N15" s="132" t="s">
        <v>17</v>
      </c>
      <c r="O15" s="7" t="s">
        <v>17</v>
      </c>
      <c r="P15" s="7" t="s">
        <v>17</v>
      </c>
      <c r="Q15" s="155" t="s">
        <v>17</v>
      </c>
      <c r="R15" s="7" t="s">
        <v>17</v>
      </c>
      <c r="S15" s="7" t="s">
        <v>17</v>
      </c>
      <c r="T15" s="155" t="s">
        <v>17</v>
      </c>
      <c r="U15" s="7">
        <v>6</v>
      </c>
      <c r="V15" s="7">
        <v>8</v>
      </c>
      <c r="W15" s="155">
        <f t="shared" ref="W15" si="7">SUM(U15/V15)*100</f>
        <v>75</v>
      </c>
      <c r="AC15" s="150" t="s">
        <v>17</v>
      </c>
      <c r="AD15" s="7" t="s">
        <v>17</v>
      </c>
      <c r="AE15" s="7" t="s">
        <v>17</v>
      </c>
      <c r="AF15" s="150" t="s">
        <v>17</v>
      </c>
      <c r="AG15" s="7" t="s">
        <v>17</v>
      </c>
      <c r="AH15" s="7" t="s">
        <v>17</v>
      </c>
      <c r="AI15" s="6" t="s">
        <v>17</v>
      </c>
      <c r="AJ15" s="154" t="s">
        <v>17</v>
      </c>
      <c r="AK15" s="154" t="s">
        <v>17</v>
      </c>
      <c r="AL15" s="6" t="s">
        <v>17</v>
      </c>
      <c r="AM15" s="154" t="s">
        <v>17</v>
      </c>
      <c r="AN15" s="154" t="s">
        <v>17</v>
      </c>
      <c r="AO15" s="6" t="s">
        <v>17</v>
      </c>
      <c r="AP15" s="154" t="s">
        <v>17</v>
      </c>
      <c r="AQ15" s="154" t="s">
        <v>17</v>
      </c>
      <c r="AR15" s="6" t="s">
        <v>17</v>
      </c>
      <c r="AS15" s="154" t="s">
        <v>17</v>
      </c>
      <c r="AT15" s="154" t="s">
        <v>17</v>
      </c>
      <c r="AU15" s="6" t="s">
        <v>17</v>
      </c>
      <c r="AV15" s="154" t="s">
        <v>17</v>
      </c>
      <c r="AW15" s="154" t="s">
        <v>17</v>
      </c>
      <c r="AX15" s="154" t="s">
        <v>17</v>
      </c>
      <c r="AY15" s="154" t="s">
        <v>17</v>
      </c>
      <c r="AZ15" s="154" t="s">
        <v>17</v>
      </c>
    </row>
    <row r="16" spans="1:65" ht="14.95" customHeight="1" thickBot="1" x14ac:dyDescent="0.3">
      <c r="A16" s="123" t="s">
        <v>1065</v>
      </c>
      <c r="B16" s="78">
        <v>1</v>
      </c>
      <c r="C16" s="270">
        <v>0</v>
      </c>
      <c r="D16" s="247">
        <v>0</v>
      </c>
      <c r="E16" s="131">
        <f t="shared" si="0"/>
        <v>1</v>
      </c>
      <c r="F16" s="125" t="s">
        <v>1065</v>
      </c>
      <c r="G16" s="137">
        <v>5</v>
      </c>
      <c r="H16" s="295">
        <v>0</v>
      </c>
      <c r="I16" s="216">
        <v>0</v>
      </c>
      <c r="J16" s="128">
        <f t="shared" si="1"/>
        <v>5</v>
      </c>
      <c r="K16" s="123" t="s">
        <v>51</v>
      </c>
      <c r="L16" s="131">
        <v>5</v>
      </c>
      <c r="M16" s="131">
        <v>5</v>
      </c>
      <c r="N16" s="132">
        <f t="shared" ref="N16" si="8">SUM(L16/M16)*100</f>
        <v>100</v>
      </c>
      <c r="O16" s="7" t="s">
        <v>17</v>
      </c>
      <c r="P16" s="7" t="s">
        <v>17</v>
      </c>
      <c r="Q16" s="155" t="s">
        <v>17</v>
      </c>
      <c r="R16" s="7" t="s">
        <v>17</v>
      </c>
      <c r="S16" s="7" t="s">
        <v>17</v>
      </c>
      <c r="T16" s="155" t="s">
        <v>17</v>
      </c>
      <c r="U16" s="7" t="s">
        <v>17</v>
      </c>
      <c r="V16" s="7" t="s">
        <v>17</v>
      </c>
      <c r="W16" s="155" t="s">
        <v>17</v>
      </c>
      <c r="AC16" s="150">
        <v>2</v>
      </c>
      <c r="AD16" s="7">
        <v>3</v>
      </c>
      <c r="AE16" s="155">
        <f t="shared" ref="AE16" si="9">SUM(AC16/AD16)*100</f>
        <v>66.666666666666657</v>
      </c>
      <c r="AF16" s="150" t="s">
        <v>17</v>
      </c>
      <c r="AG16" s="7" t="s">
        <v>17</v>
      </c>
      <c r="AH16" s="155" t="s">
        <v>17</v>
      </c>
      <c r="AI16" s="6" t="s">
        <v>17</v>
      </c>
      <c r="AJ16" s="154" t="s">
        <v>17</v>
      </c>
      <c r="AK16" s="154" t="s">
        <v>17</v>
      </c>
      <c r="AL16" s="6" t="s">
        <v>17</v>
      </c>
      <c r="AM16" s="154" t="s">
        <v>17</v>
      </c>
      <c r="AN16" s="154" t="s">
        <v>17</v>
      </c>
      <c r="AO16" s="6" t="s">
        <v>17</v>
      </c>
      <c r="AP16" s="154" t="s">
        <v>17</v>
      </c>
      <c r="AQ16" s="154" t="s">
        <v>17</v>
      </c>
      <c r="AR16" s="6" t="s">
        <v>17</v>
      </c>
      <c r="AS16" s="154" t="s">
        <v>17</v>
      </c>
      <c r="AT16" s="154" t="s">
        <v>17</v>
      </c>
      <c r="AU16" s="6" t="s">
        <v>17</v>
      </c>
      <c r="AV16" s="154" t="s">
        <v>17</v>
      </c>
      <c r="AW16" s="154" t="s">
        <v>17</v>
      </c>
      <c r="AX16" s="154" t="s">
        <v>17</v>
      </c>
      <c r="AY16" s="154" t="s">
        <v>17</v>
      </c>
      <c r="AZ16" s="154" t="s">
        <v>17</v>
      </c>
    </row>
    <row r="17" spans="1:55" ht="14.95" customHeight="1" thickBot="1" x14ac:dyDescent="0.3">
      <c r="A17" s="123" t="s">
        <v>855</v>
      </c>
      <c r="B17" s="78">
        <v>3</v>
      </c>
      <c r="C17" s="270">
        <v>0</v>
      </c>
      <c r="D17" s="247">
        <v>0</v>
      </c>
      <c r="E17" s="131">
        <f t="shared" si="0"/>
        <v>3</v>
      </c>
      <c r="F17" s="125" t="s">
        <v>855</v>
      </c>
      <c r="G17" s="137">
        <v>15</v>
      </c>
      <c r="H17" s="295">
        <v>0</v>
      </c>
      <c r="I17" s="216">
        <v>0</v>
      </c>
      <c r="J17" s="128">
        <f t="shared" si="1"/>
        <v>15</v>
      </c>
      <c r="K17" s="228" t="s">
        <v>553</v>
      </c>
      <c r="L17" s="131">
        <v>33</v>
      </c>
      <c r="M17" s="131">
        <v>46</v>
      </c>
      <c r="N17" s="132">
        <f t="shared" ref="N17" si="10">SUM(L17/M17)*100</f>
        <v>71.739130434782609</v>
      </c>
      <c r="O17" s="7">
        <v>31</v>
      </c>
      <c r="P17" s="7">
        <v>42</v>
      </c>
      <c r="Q17" s="155">
        <v>73.80952380952381</v>
      </c>
      <c r="R17" s="7">
        <v>11</v>
      </c>
      <c r="S17" s="7">
        <v>13</v>
      </c>
      <c r="T17" s="155">
        <v>84.615384615384613</v>
      </c>
      <c r="U17" s="7" t="s">
        <v>17</v>
      </c>
      <c r="V17" s="7" t="s">
        <v>17</v>
      </c>
      <c r="W17" s="155" t="s">
        <v>17</v>
      </c>
      <c r="AC17" s="150" t="s">
        <v>17</v>
      </c>
      <c r="AD17" s="7" t="s">
        <v>17</v>
      </c>
      <c r="AE17" s="7" t="s">
        <v>17</v>
      </c>
      <c r="AF17" s="150" t="s">
        <v>17</v>
      </c>
      <c r="AG17" s="7" t="s">
        <v>17</v>
      </c>
      <c r="AH17" s="7" t="s">
        <v>17</v>
      </c>
      <c r="AI17" s="6" t="s">
        <v>17</v>
      </c>
      <c r="AJ17" s="154" t="s">
        <v>17</v>
      </c>
      <c r="AK17" s="154" t="s">
        <v>17</v>
      </c>
      <c r="AL17" s="150" t="s">
        <v>17</v>
      </c>
      <c r="AM17" s="7" t="s">
        <v>17</v>
      </c>
      <c r="AN17" s="7" t="s">
        <v>17</v>
      </c>
      <c r="AO17" s="150" t="s">
        <v>17</v>
      </c>
      <c r="AP17" s="7" t="s">
        <v>17</v>
      </c>
      <c r="AQ17" s="7" t="s">
        <v>17</v>
      </c>
      <c r="AR17" s="150" t="s">
        <v>17</v>
      </c>
      <c r="AS17" s="7" t="s">
        <v>17</v>
      </c>
      <c r="AT17" s="7" t="s">
        <v>17</v>
      </c>
      <c r="AU17" s="150" t="s">
        <v>17</v>
      </c>
      <c r="AV17" s="7" t="s">
        <v>17</v>
      </c>
      <c r="AW17" s="7" t="s">
        <v>17</v>
      </c>
      <c r="AX17" s="150" t="s">
        <v>17</v>
      </c>
      <c r="AY17" s="7" t="s">
        <v>17</v>
      </c>
      <c r="AZ17" s="7" t="s">
        <v>17</v>
      </c>
    </row>
    <row r="18" spans="1:55" ht="14.95" customHeight="1" thickBot="1" x14ac:dyDescent="0.3">
      <c r="A18" s="123" t="s">
        <v>410</v>
      </c>
      <c r="B18" s="78">
        <v>3</v>
      </c>
      <c r="C18" s="270">
        <v>1</v>
      </c>
      <c r="D18" s="247">
        <v>4</v>
      </c>
      <c r="E18" s="131">
        <f t="shared" si="0"/>
        <v>8</v>
      </c>
      <c r="F18" s="125" t="s">
        <v>410</v>
      </c>
      <c r="G18" s="137">
        <v>15</v>
      </c>
      <c r="H18" s="295">
        <v>5</v>
      </c>
      <c r="I18" s="216">
        <v>20</v>
      </c>
      <c r="J18" s="129">
        <f t="shared" si="1"/>
        <v>40</v>
      </c>
    </row>
    <row r="19" spans="1:55" ht="14.95" customHeight="1" thickBot="1" x14ac:dyDescent="0.3">
      <c r="A19" s="123" t="s">
        <v>345</v>
      </c>
      <c r="B19" s="78">
        <v>0</v>
      </c>
      <c r="C19" s="270">
        <v>0</v>
      </c>
      <c r="D19" s="247">
        <v>0</v>
      </c>
      <c r="E19" s="131">
        <f t="shared" si="0"/>
        <v>0</v>
      </c>
      <c r="F19" s="125" t="s">
        <v>345</v>
      </c>
      <c r="G19" s="137">
        <v>0</v>
      </c>
      <c r="H19" s="295">
        <v>0</v>
      </c>
      <c r="I19" s="216">
        <v>0</v>
      </c>
      <c r="J19" s="129">
        <f t="shared" si="1"/>
        <v>0</v>
      </c>
      <c r="K19" s="530" t="s">
        <v>227</v>
      </c>
      <c r="L19" s="469" t="s">
        <v>16</v>
      </c>
      <c r="M19" s="470"/>
      <c r="N19" s="471"/>
      <c r="O19" s="469" t="s">
        <v>267</v>
      </c>
      <c r="P19" s="470"/>
      <c r="Q19" s="471"/>
      <c r="R19" s="469" t="s">
        <v>698</v>
      </c>
      <c r="S19" s="470"/>
      <c r="T19" s="471"/>
      <c r="U19" s="469" t="s">
        <v>562</v>
      </c>
      <c r="V19" s="470"/>
      <c r="W19" s="471"/>
      <c r="AC19" s="469" t="s">
        <v>463</v>
      </c>
      <c r="AD19" s="470"/>
      <c r="AE19" s="471"/>
      <c r="AF19" s="469" t="s">
        <v>355</v>
      </c>
      <c r="AG19" s="470"/>
      <c r="AH19" s="471"/>
      <c r="AI19" s="469" t="s">
        <v>260</v>
      </c>
      <c r="AJ19" s="470"/>
      <c r="AK19" s="471"/>
      <c r="AL19" s="469" t="s">
        <v>199</v>
      </c>
      <c r="AM19" s="470"/>
      <c r="AN19" s="471"/>
      <c r="AO19" s="469" t="s">
        <v>92</v>
      </c>
      <c r="AP19" s="470"/>
      <c r="AQ19" s="471"/>
      <c r="AR19" s="469" t="s">
        <v>63</v>
      </c>
      <c r="AS19" s="470"/>
      <c r="AT19" s="471"/>
      <c r="AU19" s="469" t="s">
        <v>59</v>
      </c>
      <c r="AV19" s="470"/>
      <c r="AW19" s="471"/>
      <c r="AX19" s="469" t="s">
        <v>45</v>
      </c>
      <c r="AY19" s="470"/>
      <c r="AZ19" s="471"/>
    </row>
    <row r="20" spans="1:55" ht="14.95" customHeight="1" thickBot="1" x14ac:dyDescent="0.3">
      <c r="A20" s="123" t="s">
        <v>51</v>
      </c>
      <c r="B20" s="78">
        <v>2</v>
      </c>
      <c r="C20" s="270">
        <v>0</v>
      </c>
      <c r="D20" s="247">
        <v>0</v>
      </c>
      <c r="E20" s="131">
        <f t="shared" si="0"/>
        <v>2</v>
      </c>
      <c r="F20" s="125" t="s">
        <v>51</v>
      </c>
      <c r="G20" s="137">
        <v>35</v>
      </c>
      <c r="H20" s="295">
        <v>10</v>
      </c>
      <c r="I20" s="216">
        <v>6</v>
      </c>
      <c r="J20" s="128">
        <f t="shared" si="1"/>
        <v>51</v>
      </c>
      <c r="K20" s="531"/>
      <c r="L20" s="472"/>
      <c r="M20" s="473"/>
      <c r="N20" s="474"/>
      <c r="O20" s="472"/>
      <c r="P20" s="473"/>
      <c r="Q20" s="474"/>
      <c r="R20" s="472"/>
      <c r="S20" s="473"/>
      <c r="T20" s="474"/>
      <c r="U20" s="472"/>
      <c r="V20" s="473"/>
      <c r="W20" s="474"/>
      <c r="AC20" s="472"/>
      <c r="AD20" s="473"/>
      <c r="AE20" s="474"/>
      <c r="AF20" s="472"/>
      <c r="AG20" s="473"/>
      <c r="AH20" s="474"/>
      <c r="AI20" s="472"/>
      <c r="AJ20" s="473"/>
      <c r="AK20" s="474"/>
      <c r="AL20" s="472"/>
      <c r="AM20" s="473"/>
      <c r="AN20" s="474"/>
      <c r="AO20" s="472"/>
      <c r="AP20" s="473"/>
      <c r="AQ20" s="474"/>
      <c r="AR20" s="472"/>
      <c r="AS20" s="473"/>
      <c r="AT20" s="474"/>
      <c r="AU20" s="472"/>
      <c r="AV20" s="473"/>
      <c r="AW20" s="474"/>
      <c r="AX20" s="472"/>
      <c r="AY20" s="473"/>
      <c r="AZ20" s="474"/>
    </row>
    <row r="21" spans="1:55" ht="14.95" customHeight="1" thickBot="1" x14ac:dyDescent="0.3">
      <c r="A21" s="123" t="s">
        <v>681</v>
      </c>
      <c r="B21" s="78">
        <v>3</v>
      </c>
      <c r="C21" s="270">
        <v>0</v>
      </c>
      <c r="D21" s="247">
        <v>1</v>
      </c>
      <c r="E21" s="131">
        <f t="shared" si="0"/>
        <v>4</v>
      </c>
      <c r="F21" s="125" t="s">
        <v>681</v>
      </c>
      <c r="G21" s="137">
        <v>15</v>
      </c>
      <c r="H21" s="295">
        <v>0</v>
      </c>
      <c r="I21" s="216">
        <v>5</v>
      </c>
      <c r="J21" s="128">
        <f t="shared" si="1"/>
        <v>20</v>
      </c>
      <c r="K21" s="257" t="s">
        <v>25</v>
      </c>
      <c r="L21" s="7" t="s">
        <v>55</v>
      </c>
      <c r="M21" s="7" t="s">
        <v>11</v>
      </c>
      <c r="N21" s="7" t="s">
        <v>12</v>
      </c>
      <c r="O21" s="7" t="s">
        <v>55</v>
      </c>
      <c r="P21" s="7" t="s">
        <v>11</v>
      </c>
      <c r="Q21" s="7" t="s">
        <v>12</v>
      </c>
      <c r="R21" s="7" t="s">
        <v>55</v>
      </c>
      <c r="S21" s="7" t="s">
        <v>11</v>
      </c>
      <c r="T21" s="7" t="s">
        <v>12</v>
      </c>
      <c r="U21" s="7" t="s">
        <v>55</v>
      </c>
      <c r="V21" s="7" t="s">
        <v>11</v>
      </c>
      <c r="W21" s="7" t="s">
        <v>12</v>
      </c>
      <c r="AC21" s="150" t="s">
        <v>55</v>
      </c>
      <c r="AD21" s="7" t="s">
        <v>11</v>
      </c>
      <c r="AE21" s="7" t="s">
        <v>12</v>
      </c>
      <c r="AF21" s="150" t="s">
        <v>55</v>
      </c>
      <c r="AG21" s="7" t="s">
        <v>11</v>
      </c>
      <c r="AH21" s="7" t="s">
        <v>12</v>
      </c>
      <c r="AI21" s="150" t="s">
        <v>55</v>
      </c>
      <c r="AJ21" s="7" t="s">
        <v>11</v>
      </c>
      <c r="AK21" s="7" t="s">
        <v>12</v>
      </c>
      <c r="AL21" s="150" t="s">
        <v>55</v>
      </c>
      <c r="AM21" s="7" t="s">
        <v>11</v>
      </c>
      <c r="AN21" s="7" t="s">
        <v>12</v>
      </c>
      <c r="AO21" s="150" t="s">
        <v>55</v>
      </c>
      <c r="AP21" s="7" t="s">
        <v>11</v>
      </c>
      <c r="AQ21" s="7" t="s">
        <v>12</v>
      </c>
      <c r="AR21" s="150" t="s">
        <v>55</v>
      </c>
      <c r="AS21" s="7" t="s">
        <v>11</v>
      </c>
      <c r="AT21" s="7" t="s">
        <v>12</v>
      </c>
      <c r="AU21" s="150" t="s">
        <v>55</v>
      </c>
      <c r="AV21" s="7" t="s">
        <v>11</v>
      </c>
      <c r="AW21" s="7" t="s">
        <v>12</v>
      </c>
      <c r="AX21" s="150" t="s">
        <v>55</v>
      </c>
      <c r="AY21" s="7" t="s">
        <v>11</v>
      </c>
      <c r="AZ21" s="7" t="s">
        <v>12</v>
      </c>
    </row>
    <row r="22" spans="1:55" ht="14.95" customHeight="1" thickBot="1" x14ac:dyDescent="0.3">
      <c r="A22" s="123" t="s">
        <v>308</v>
      </c>
      <c r="B22" s="78">
        <v>2</v>
      </c>
      <c r="C22" s="270">
        <v>0</v>
      </c>
      <c r="D22" s="247">
        <v>4</v>
      </c>
      <c r="E22" s="131">
        <f t="shared" si="0"/>
        <v>6</v>
      </c>
      <c r="F22" s="125" t="s">
        <v>308</v>
      </c>
      <c r="G22" s="137">
        <v>14</v>
      </c>
      <c r="H22" s="295">
        <v>0</v>
      </c>
      <c r="I22" s="216">
        <v>20</v>
      </c>
      <c r="J22" s="128">
        <f t="shared" si="1"/>
        <v>34</v>
      </c>
      <c r="K22" s="123" t="s">
        <v>79</v>
      </c>
      <c r="L22" s="6" t="s">
        <v>17</v>
      </c>
      <c r="M22" s="154" t="s">
        <v>17</v>
      </c>
      <c r="N22" s="153" t="s">
        <v>17</v>
      </c>
      <c r="O22" s="6" t="s">
        <v>17</v>
      </c>
      <c r="P22" s="154" t="s">
        <v>17</v>
      </c>
      <c r="Q22" s="153" t="s">
        <v>17</v>
      </c>
      <c r="R22" s="6" t="s">
        <v>17</v>
      </c>
      <c r="S22" s="154" t="s">
        <v>17</v>
      </c>
      <c r="T22" s="153" t="s">
        <v>17</v>
      </c>
      <c r="U22" s="6">
        <v>1</v>
      </c>
      <c r="V22" s="154">
        <v>1</v>
      </c>
      <c r="W22" s="153">
        <f t="shared" ref="W22" si="11">SUM(U22/V22)*100</f>
        <v>100</v>
      </c>
      <c r="AC22" s="6" t="s">
        <v>17</v>
      </c>
      <c r="AD22" s="154" t="s">
        <v>17</v>
      </c>
      <c r="AE22" s="154" t="s">
        <v>17</v>
      </c>
      <c r="AF22" s="6" t="s">
        <v>17</v>
      </c>
      <c r="AG22" s="154" t="s">
        <v>17</v>
      </c>
      <c r="AH22" s="154" t="s">
        <v>17</v>
      </c>
      <c r="AI22" s="6" t="s">
        <v>17</v>
      </c>
      <c r="AJ22" s="154" t="s">
        <v>17</v>
      </c>
      <c r="AK22" s="154" t="s">
        <v>17</v>
      </c>
      <c r="AL22" s="6" t="s">
        <v>17</v>
      </c>
      <c r="AM22" s="154" t="s">
        <v>17</v>
      </c>
      <c r="AN22" s="154" t="s">
        <v>17</v>
      </c>
      <c r="AO22" s="6" t="s">
        <v>17</v>
      </c>
      <c r="AP22" s="154" t="s">
        <v>17</v>
      </c>
      <c r="AQ22" s="154" t="s">
        <v>17</v>
      </c>
      <c r="AR22" s="6" t="s">
        <v>17</v>
      </c>
      <c r="AS22" s="154" t="s">
        <v>17</v>
      </c>
      <c r="AT22" s="154" t="s">
        <v>17</v>
      </c>
      <c r="AU22" s="6" t="s">
        <v>17</v>
      </c>
      <c r="AV22" s="154" t="s">
        <v>17</v>
      </c>
      <c r="AW22" s="154" t="s">
        <v>17</v>
      </c>
      <c r="AX22" s="6" t="s">
        <v>17</v>
      </c>
      <c r="AY22" s="154" t="s">
        <v>17</v>
      </c>
      <c r="AZ22" s="154" t="s">
        <v>17</v>
      </c>
    </row>
    <row r="23" spans="1:55" ht="14.95" customHeight="1" thickBot="1" x14ac:dyDescent="0.3">
      <c r="A23" s="123" t="s">
        <v>933</v>
      </c>
      <c r="B23" s="78">
        <v>5</v>
      </c>
      <c r="C23" s="270">
        <v>0</v>
      </c>
      <c r="D23" s="247">
        <v>1</v>
      </c>
      <c r="E23" s="131">
        <f t="shared" si="0"/>
        <v>6</v>
      </c>
      <c r="F23" s="125" t="s">
        <v>933</v>
      </c>
      <c r="G23" s="137">
        <v>25</v>
      </c>
      <c r="H23" s="295">
        <v>0</v>
      </c>
      <c r="I23" s="216">
        <v>5</v>
      </c>
      <c r="J23" s="128">
        <f t="shared" si="1"/>
        <v>30</v>
      </c>
      <c r="K23" s="228" t="s">
        <v>51</v>
      </c>
      <c r="L23" s="6" t="s">
        <v>17</v>
      </c>
      <c r="M23" s="154" t="s">
        <v>17</v>
      </c>
      <c r="N23" s="153" t="s">
        <v>17</v>
      </c>
      <c r="O23" s="6" t="s">
        <v>17</v>
      </c>
      <c r="P23" s="154" t="s">
        <v>17</v>
      </c>
      <c r="Q23" s="153" t="s">
        <v>17</v>
      </c>
      <c r="R23" s="6" t="s">
        <v>17</v>
      </c>
      <c r="S23" s="154" t="s">
        <v>17</v>
      </c>
      <c r="T23" s="153" t="s">
        <v>17</v>
      </c>
      <c r="U23" s="6" t="s">
        <v>17</v>
      </c>
      <c r="V23" s="154" t="s">
        <v>17</v>
      </c>
      <c r="W23" s="153" t="s">
        <v>17</v>
      </c>
      <c r="AC23" s="6" t="s">
        <v>17</v>
      </c>
      <c r="AD23" s="154" t="s">
        <v>17</v>
      </c>
      <c r="AE23" s="154" t="s">
        <v>17</v>
      </c>
      <c r="AF23" s="6" t="s">
        <v>17</v>
      </c>
      <c r="AG23" s="154" t="s">
        <v>17</v>
      </c>
      <c r="AH23" s="154" t="s">
        <v>17</v>
      </c>
      <c r="AI23" s="6">
        <v>7</v>
      </c>
      <c r="AJ23" s="7">
        <v>7</v>
      </c>
      <c r="AK23" s="155">
        <f>SUM(AI23/AJ23)*100</f>
        <v>100</v>
      </c>
      <c r="AL23" s="6" t="s">
        <v>17</v>
      </c>
      <c r="AM23" s="7" t="s">
        <v>17</v>
      </c>
      <c r="AN23" s="155" t="s">
        <v>17</v>
      </c>
      <c r="AO23" s="7" t="s">
        <v>17</v>
      </c>
      <c r="AP23" s="7" t="s">
        <v>17</v>
      </c>
      <c r="AQ23" s="155" t="s">
        <v>17</v>
      </c>
      <c r="AR23" s="7" t="s">
        <v>17</v>
      </c>
      <c r="AS23" s="7" t="s">
        <v>17</v>
      </c>
      <c r="AT23" s="155" t="s">
        <v>17</v>
      </c>
      <c r="AU23" s="7" t="s">
        <v>17</v>
      </c>
      <c r="AV23" s="7" t="s">
        <v>17</v>
      </c>
      <c r="AW23" s="155" t="s">
        <v>17</v>
      </c>
      <c r="AX23" s="7" t="s">
        <v>17</v>
      </c>
      <c r="AY23" s="7" t="s">
        <v>17</v>
      </c>
      <c r="AZ23" s="155" t="s">
        <v>17</v>
      </c>
    </row>
    <row r="24" spans="1:55" ht="14.95" customHeight="1" thickBot="1" x14ac:dyDescent="0.3">
      <c r="A24" s="123" t="s">
        <v>857</v>
      </c>
      <c r="B24" s="78">
        <v>1</v>
      </c>
      <c r="C24" s="270">
        <v>4</v>
      </c>
      <c r="D24" s="247">
        <v>1</v>
      </c>
      <c r="E24" s="131">
        <f t="shared" ref="E24" si="12">SUM(B24:D24)</f>
        <v>6</v>
      </c>
      <c r="F24" s="125" t="s">
        <v>857</v>
      </c>
      <c r="G24" s="137">
        <v>5</v>
      </c>
      <c r="H24" s="295">
        <v>20</v>
      </c>
      <c r="I24" s="216">
        <v>5</v>
      </c>
      <c r="J24" s="128">
        <f t="shared" ref="J24" si="13">SUM(G24:I24)</f>
        <v>30</v>
      </c>
      <c r="K24" s="315" t="s">
        <v>657</v>
      </c>
      <c r="L24" s="6" t="s">
        <v>17</v>
      </c>
      <c r="M24" s="154" t="s">
        <v>17</v>
      </c>
      <c r="N24" s="153" t="s">
        <v>17</v>
      </c>
      <c r="O24" s="6" t="s">
        <v>17</v>
      </c>
      <c r="P24" s="154" t="s">
        <v>17</v>
      </c>
      <c r="Q24" s="153" t="s">
        <v>17</v>
      </c>
      <c r="R24" s="6" t="s">
        <v>17</v>
      </c>
      <c r="S24" s="154" t="s">
        <v>17</v>
      </c>
      <c r="T24" s="153" t="s">
        <v>17</v>
      </c>
      <c r="U24" s="7">
        <v>3</v>
      </c>
      <c r="V24" s="7">
        <v>4</v>
      </c>
      <c r="W24" s="155">
        <v>75</v>
      </c>
      <c r="AC24" s="6" t="s">
        <v>17</v>
      </c>
      <c r="AD24" s="154" t="s">
        <v>17</v>
      </c>
      <c r="AE24" s="154" t="s">
        <v>17</v>
      </c>
      <c r="AF24" s="6" t="s">
        <v>17</v>
      </c>
      <c r="AG24" s="154" t="s">
        <v>17</v>
      </c>
      <c r="AH24" s="154" t="s">
        <v>17</v>
      </c>
      <c r="AI24" s="6" t="s">
        <v>17</v>
      </c>
      <c r="AJ24" s="154" t="s">
        <v>17</v>
      </c>
      <c r="AK24" s="154" t="s">
        <v>17</v>
      </c>
      <c r="AL24" s="6" t="s">
        <v>17</v>
      </c>
      <c r="AM24" s="154" t="s">
        <v>17</v>
      </c>
      <c r="AN24" s="154" t="s">
        <v>17</v>
      </c>
      <c r="AO24" s="6" t="s">
        <v>17</v>
      </c>
      <c r="AP24" s="154" t="s">
        <v>17</v>
      </c>
      <c r="AQ24" s="154" t="s">
        <v>17</v>
      </c>
      <c r="AR24" s="6" t="s">
        <v>17</v>
      </c>
      <c r="AS24" s="154" t="s">
        <v>17</v>
      </c>
      <c r="AT24" s="154" t="s">
        <v>17</v>
      </c>
      <c r="AU24" s="6" t="s">
        <v>17</v>
      </c>
      <c r="AV24" s="154" t="s">
        <v>17</v>
      </c>
      <c r="AW24" s="154" t="s">
        <v>17</v>
      </c>
      <c r="AX24" s="6" t="s">
        <v>17</v>
      </c>
      <c r="AY24" s="154" t="s">
        <v>17</v>
      </c>
      <c r="AZ24" s="154" t="s">
        <v>17</v>
      </c>
      <c r="BA24" s="37"/>
      <c r="BB24" s="37"/>
      <c r="BC24" s="37"/>
    </row>
    <row r="25" spans="1:55" ht="14.95" customHeight="1" thickBot="1" x14ac:dyDescent="0.3">
      <c r="A25" s="123" t="s">
        <v>858</v>
      </c>
      <c r="B25" s="78">
        <v>0</v>
      </c>
      <c r="C25" s="270">
        <v>0</v>
      </c>
      <c r="D25" s="247">
        <v>0</v>
      </c>
      <c r="E25" s="131">
        <f t="shared" si="0"/>
        <v>0</v>
      </c>
      <c r="F25" s="125" t="s">
        <v>858</v>
      </c>
      <c r="G25" s="137">
        <v>0</v>
      </c>
      <c r="H25" s="295">
        <v>0</v>
      </c>
      <c r="I25" s="216">
        <v>0</v>
      </c>
      <c r="J25" s="128">
        <f t="shared" si="1"/>
        <v>0</v>
      </c>
      <c r="K25" s="315" t="s">
        <v>553</v>
      </c>
      <c r="L25" s="6" t="s">
        <v>17</v>
      </c>
      <c r="M25" s="154" t="s">
        <v>17</v>
      </c>
      <c r="N25" s="153" t="s">
        <v>17</v>
      </c>
      <c r="O25" s="6" t="s">
        <v>17</v>
      </c>
      <c r="P25" s="154" t="s">
        <v>17</v>
      </c>
      <c r="Q25" s="153" t="s">
        <v>17</v>
      </c>
      <c r="R25" s="6" t="s">
        <v>17</v>
      </c>
      <c r="S25" s="154" t="s">
        <v>17</v>
      </c>
      <c r="T25" s="153" t="s">
        <v>17</v>
      </c>
      <c r="U25" s="7">
        <v>9</v>
      </c>
      <c r="V25" s="7">
        <v>14</v>
      </c>
      <c r="W25" s="155">
        <v>64.285714285714292</v>
      </c>
      <c r="AC25" s="150" t="s">
        <v>17</v>
      </c>
      <c r="AD25" s="7" t="s">
        <v>17</v>
      </c>
      <c r="AE25" s="7" t="s">
        <v>17</v>
      </c>
      <c r="AF25" s="150" t="s">
        <v>17</v>
      </c>
      <c r="AG25" s="7" t="s">
        <v>17</v>
      </c>
      <c r="AH25" s="7" t="s">
        <v>17</v>
      </c>
      <c r="AI25" s="6" t="s">
        <v>17</v>
      </c>
      <c r="AJ25" s="154" t="s">
        <v>17</v>
      </c>
      <c r="AK25" s="154" t="s">
        <v>17</v>
      </c>
      <c r="AL25" s="150" t="s">
        <v>17</v>
      </c>
      <c r="AM25" s="7" t="s">
        <v>17</v>
      </c>
      <c r="AN25" s="7" t="s">
        <v>17</v>
      </c>
      <c r="AO25" s="150" t="s">
        <v>17</v>
      </c>
      <c r="AP25" s="7" t="s">
        <v>17</v>
      </c>
      <c r="AQ25" s="7" t="s">
        <v>17</v>
      </c>
      <c r="AR25" s="150" t="s">
        <v>17</v>
      </c>
      <c r="AS25" s="7" t="s">
        <v>17</v>
      </c>
      <c r="AT25" s="7" t="s">
        <v>17</v>
      </c>
      <c r="AU25" s="150" t="s">
        <v>17</v>
      </c>
      <c r="AV25" s="7" t="s">
        <v>17</v>
      </c>
      <c r="AW25" s="7" t="s">
        <v>17</v>
      </c>
      <c r="AX25" s="150" t="s">
        <v>17</v>
      </c>
      <c r="AY25" s="7" t="s">
        <v>17</v>
      </c>
      <c r="AZ25" s="7" t="s">
        <v>17</v>
      </c>
    </row>
    <row r="26" spans="1:55" ht="14.95" customHeight="1" thickBot="1" x14ac:dyDescent="0.3">
      <c r="A26" s="123" t="s">
        <v>409</v>
      </c>
      <c r="B26" s="78">
        <v>1</v>
      </c>
      <c r="C26" s="270">
        <v>0</v>
      </c>
      <c r="D26" s="247">
        <v>2</v>
      </c>
      <c r="E26" s="131">
        <f t="shared" si="0"/>
        <v>3</v>
      </c>
      <c r="F26" s="125" t="s">
        <v>409</v>
      </c>
      <c r="G26" s="137">
        <v>5</v>
      </c>
      <c r="H26" s="295">
        <v>0</v>
      </c>
      <c r="I26" s="216">
        <v>10</v>
      </c>
      <c r="J26" s="128">
        <f t="shared" si="1"/>
        <v>15</v>
      </c>
      <c r="K26" s="103"/>
      <c r="L26" s="95"/>
      <c r="M26" s="95"/>
      <c r="N26" s="95"/>
      <c r="AF26" s="37"/>
    </row>
    <row r="27" spans="1:55" ht="14.95" customHeight="1" thickBot="1" x14ac:dyDescent="0.3">
      <c r="A27" s="123" t="s">
        <v>514</v>
      </c>
      <c r="B27" s="78">
        <v>1</v>
      </c>
      <c r="C27" s="270">
        <v>1</v>
      </c>
      <c r="D27" s="247">
        <v>1</v>
      </c>
      <c r="E27" s="131">
        <f t="shared" si="0"/>
        <v>3</v>
      </c>
      <c r="F27" s="125" t="s">
        <v>514</v>
      </c>
      <c r="G27" s="137">
        <v>5</v>
      </c>
      <c r="H27" s="295">
        <v>5</v>
      </c>
      <c r="I27" s="216">
        <v>5</v>
      </c>
      <c r="J27" s="128">
        <f t="shared" si="1"/>
        <v>15</v>
      </c>
      <c r="K27" s="499" t="s">
        <v>93</v>
      </c>
      <c r="L27" s="513" t="s">
        <v>16</v>
      </c>
      <c r="M27" s="514"/>
      <c r="N27" s="515"/>
      <c r="O27" s="469" t="s">
        <v>267</v>
      </c>
      <c r="P27" s="470"/>
      <c r="Q27" s="471"/>
      <c r="R27" s="469" t="s">
        <v>698</v>
      </c>
      <c r="S27" s="470"/>
      <c r="T27" s="471"/>
      <c r="U27" s="469" t="s">
        <v>562</v>
      </c>
      <c r="V27" s="470"/>
      <c r="W27" s="471"/>
      <c r="AC27" s="469" t="s">
        <v>355</v>
      </c>
      <c r="AD27" s="470"/>
      <c r="AE27" s="471"/>
      <c r="AF27" s="469" t="s">
        <v>260</v>
      </c>
      <c r="AG27" s="470"/>
      <c r="AH27" s="471"/>
      <c r="AI27" s="469" t="s">
        <v>199</v>
      </c>
      <c r="AJ27" s="470"/>
      <c r="AK27" s="471"/>
      <c r="AL27" s="469" t="s">
        <v>92</v>
      </c>
      <c r="AM27" s="470"/>
      <c r="AN27" s="471"/>
      <c r="AO27" s="469" t="s">
        <v>59</v>
      </c>
      <c r="AP27" s="470"/>
      <c r="AQ27" s="471"/>
      <c r="AR27" s="469" t="s">
        <v>45</v>
      </c>
      <c r="AS27" s="470"/>
      <c r="AT27" s="471"/>
    </row>
    <row r="28" spans="1:55" ht="14.95" customHeight="1" thickBot="1" x14ac:dyDescent="0.3">
      <c r="A28" s="123" t="s">
        <v>859</v>
      </c>
      <c r="B28" s="78">
        <v>0</v>
      </c>
      <c r="C28" s="270">
        <v>0</v>
      </c>
      <c r="D28" s="247">
        <v>0</v>
      </c>
      <c r="E28" s="131">
        <f t="shared" si="0"/>
        <v>0</v>
      </c>
      <c r="F28" s="125" t="s">
        <v>859</v>
      </c>
      <c r="G28" s="137">
        <v>0</v>
      </c>
      <c r="H28" s="295">
        <v>0</v>
      </c>
      <c r="I28" s="216">
        <v>0</v>
      </c>
      <c r="J28" s="128">
        <f t="shared" si="1"/>
        <v>0</v>
      </c>
      <c r="K28" s="500"/>
      <c r="L28" s="516"/>
      <c r="M28" s="517"/>
      <c r="N28" s="518"/>
      <c r="O28" s="472"/>
      <c r="P28" s="473"/>
      <c r="Q28" s="474"/>
      <c r="R28" s="472"/>
      <c r="S28" s="473"/>
      <c r="T28" s="474"/>
      <c r="U28" s="472"/>
      <c r="V28" s="473"/>
      <c r="W28" s="474"/>
      <c r="AC28" s="472"/>
      <c r="AD28" s="473"/>
      <c r="AE28" s="474"/>
      <c r="AF28" s="472"/>
      <c r="AG28" s="473"/>
      <c r="AH28" s="474"/>
      <c r="AI28" s="472"/>
      <c r="AJ28" s="473"/>
      <c r="AK28" s="474"/>
      <c r="AL28" s="472"/>
      <c r="AM28" s="473"/>
      <c r="AN28" s="474"/>
      <c r="AO28" s="472"/>
      <c r="AP28" s="473"/>
      <c r="AQ28" s="474"/>
      <c r="AR28" s="472"/>
      <c r="AS28" s="473"/>
      <c r="AT28" s="474"/>
    </row>
    <row r="29" spans="1:55" ht="14.95" customHeight="1" thickBot="1" x14ac:dyDescent="0.3">
      <c r="A29" s="123" t="s">
        <v>860</v>
      </c>
      <c r="B29" s="78">
        <v>0</v>
      </c>
      <c r="C29" s="270">
        <v>0</v>
      </c>
      <c r="D29" s="247">
        <v>0</v>
      </c>
      <c r="E29" s="131">
        <f t="shared" si="0"/>
        <v>0</v>
      </c>
      <c r="F29" s="125" t="s">
        <v>860</v>
      </c>
      <c r="G29" s="137">
        <v>12</v>
      </c>
      <c r="H29" s="295">
        <v>0</v>
      </c>
      <c r="I29" s="216">
        <v>55</v>
      </c>
      <c r="J29" s="128">
        <f t="shared" si="1"/>
        <v>67</v>
      </c>
      <c r="K29" s="224" t="s">
        <v>25</v>
      </c>
      <c r="L29" s="165" t="s">
        <v>55</v>
      </c>
      <c r="M29" s="165" t="s">
        <v>11</v>
      </c>
      <c r="N29" s="165" t="s">
        <v>12</v>
      </c>
      <c r="O29" s="7" t="s">
        <v>55</v>
      </c>
      <c r="P29" s="7" t="s">
        <v>11</v>
      </c>
      <c r="Q29" s="7" t="s">
        <v>12</v>
      </c>
      <c r="R29" s="7" t="s">
        <v>55</v>
      </c>
      <c r="S29" s="7" t="s">
        <v>11</v>
      </c>
      <c r="T29" s="7" t="s">
        <v>12</v>
      </c>
      <c r="U29" s="7" t="s">
        <v>55</v>
      </c>
      <c r="V29" s="7" t="s">
        <v>11</v>
      </c>
      <c r="W29" s="7" t="s">
        <v>12</v>
      </c>
      <c r="AC29" s="150" t="s">
        <v>55</v>
      </c>
      <c r="AD29" s="7" t="s">
        <v>11</v>
      </c>
      <c r="AE29" s="7" t="s">
        <v>12</v>
      </c>
      <c r="AF29" s="150" t="s">
        <v>55</v>
      </c>
      <c r="AG29" s="7" t="s">
        <v>11</v>
      </c>
      <c r="AH29" s="7" t="s">
        <v>12</v>
      </c>
      <c r="AI29" s="150" t="s">
        <v>55</v>
      </c>
      <c r="AJ29" s="7" t="s">
        <v>11</v>
      </c>
      <c r="AK29" s="7" t="s">
        <v>12</v>
      </c>
      <c r="AL29" s="150" t="s">
        <v>55</v>
      </c>
      <c r="AM29" s="7" t="s">
        <v>11</v>
      </c>
      <c r="AN29" s="7" t="s">
        <v>12</v>
      </c>
      <c r="AO29" s="150" t="s">
        <v>55</v>
      </c>
      <c r="AP29" s="7" t="s">
        <v>11</v>
      </c>
      <c r="AQ29" s="7" t="s">
        <v>12</v>
      </c>
      <c r="AR29" s="150" t="s">
        <v>55</v>
      </c>
      <c r="AS29" s="7" t="s">
        <v>11</v>
      </c>
      <c r="AT29" s="7" t="s">
        <v>12</v>
      </c>
    </row>
    <row r="30" spans="1:55" ht="14.95" customHeight="1" thickBot="1" x14ac:dyDescent="0.3">
      <c r="A30" s="123" t="s">
        <v>861</v>
      </c>
      <c r="B30" s="78">
        <v>0</v>
      </c>
      <c r="C30" s="270">
        <v>1</v>
      </c>
      <c r="D30" s="247">
        <v>0</v>
      </c>
      <c r="E30" s="131">
        <f t="shared" si="0"/>
        <v>1</v>
      </c>
      <c r="F30" s="125" t="s">
        <v>861</v>
      </c>
      <c r="G30" s="137">
        <v>0</v>
      </c>
      <c r="H30" s="295">
        <v>5</v>
      </c>
      <c r="I30" s="216">
        <v>0</v>
      </c>
      <c r="J30" s="128">
        <f t="shared" si="1"/>
        <v>5</v>
      </c>
      <c r="K30" s="133" t="s">
        <v>51</v>
      </c>
      <c r="L30" s="229">
        <v>3</v>
      </c>
      <c r="M30" s="230">
        <v>4</v>
      </c>
      <c r="N30" s="248">
        <f t="shared" ref="N30" si="14">SUM(L30/M30)*100</f>
        <v>75</v>
      </c>
      <c r="O30" s="7">
        <v>2</v>
      </c>
      <c r="P30" s="7">
        <v>3</v>
      </c>
      <c r="Q30" s="155">
        <v>66.666666666666657</v>
      </c>
      <c r="R30" s="7" t="s">
        <v>17</v>
      </c>
      <c r="S30" s="7" t="s">
        <v>17</v>
      </c>
      <c r="T30" s="155" t="s">
        <v>17</v>
      </c>
      <c r="U30" s="7" t="s">
        <v>17</v>
      </c>
      <c r="V30" s="7" t="s">
        <v>17</v>
      </c>
      <c r="W30" s="155" t="s">
        <v>17</v>
      </c>
      <c r="AC30" s="6" t="s">
        <v>17</v>
      </c>
      <c r="AD30" s="7" t="s">
        <v>17</v>
      </c>
      <c r="AE30" s="155" t="s">
        <v>17</v>
      </c>
      <c r="AF30" s="7" t="s">
        <v>17</v>
      </c>
      <c r="AG30" s="7" t="s">
        <v>17</v>
      </c>
      <c r="AH30" s="155" t="s">
        <v>17</v>
      </c>
      <c r="AI30" s="7" t="s">
        <v>17</v>
      </c>
      <c r="AJ30" s="7" t="s">
        <v>17</v>
      </c>
      <c r="AK30" s="155" t="s">
        <v>17</v>
      </c>
      <c r="AL30" s="7" t="s">
        <v>17</v>
      </c>
      <c r="AM30" s="7" t="s">
        <v>17</v>
      </c>
      <c r="AN30" s="155" t="s">
        <v>17</v>
      </c>
      <c r="AO30" s="7" t="s">
        <v>17</v>
      </c>
      <c r="AP30" s="7" t="s">
        <v>17</v>
      </c>
      <c r="AQ30" s="155" t="s">
        <v>17</v>
      </c>
      <c r="AR30" s="7" t="s">
        <v>17</v>
      </c>
      <c r="AS30" s="7" t="s">
        <v>17</v>
      </c>
      <c r="AT30" s="155" t="s">
        <v>17</v>
      </c>
    </row>
    <row r="31" spans="1:55" ht="14.95" customHeight="1" thickBot="1" x14ac:dyDescent="0.3">
      <c r="A31" s="123" t="s">
        <v>586</v>
      </c>
      <c r="B31" s="78">
        <v>1</v>
      </c>
      <c r="C31" s="270">
        <v>0</v>
      </c>
      <c r="D31" s="247">
        <v>1</v>
      </c>
      <c r="E31" s="131">
        <f t="shared" si="0"/>
        <v>2</v>
      </c>
      <c r="F31" s="125" t="s">
        <v>586</v>
      </c>
      <c r="G31" s="137">
        <v>5</v>
      </c>
      <c r="H31" s="295">
        <v>0</v>
      </c>
      <c r="I31" s="216">
        <v>5</v>
      </c>
      <c r="J31" s="128">
        <f t="shared" si="1"/>
        <v>10</v>
      </c>
      <c r="K31" s="133" t="s">
        <v>79</v>
      </c>
      <c r="L31" s="131" t="s">
        <v>17</v>
      </c>
      <c r="M31" s="131" t="s">
        <v>17</v>
      </c>
      <c r="N31" s="132" t="s">
        <v>17</v>
      </c>
      <c r="O31" s="7">
        <v>4</v>
      </c>
      <c r="P31" s="7">
        <v>4</v>
      </c>
      <c r="Q31" s="155">
        <v>100</v>
      </c>
      <c r="R31" s="7" t="s">
        <v>17</v>
      </c>
      <c r="S31" s="7" t="s">
        <v>17</v>
      </c>
      <c r="T31" s="155" t="s">
        <v>17</v>
      </c>
      <c r="U31" s="7" t="s">
        <v>17</v>
      </c>
      <c r="V31" s="7" t="s">
        <v>17</v>
      </c>
      <c r="W31" s="155" t="s">
        <v>17</v>
      </c>
      <c r="AC31" s="150" t="s">
        <v>17</v>
      </c>
      <c r="AD31" s="7" t="s">
        <v>17</v>
      </c>
      <c r="AE31" s="155" t="s">
        <v>17</v>
      </c>
      <c r="AF31" s="150">
        <v>1</v>
      </c>
      <c r="AG31" s="7">
        <v>1</v>
      </c>
      <c r="AH31" s="155">
        <f t="shared" ref="AH31" si="15">SUM(AF31/AG31)*100</f>
        <v>100</v>
      </c>
      <c r="AI31" s="150" t="s">
        <v>17</v>
      </c>
      <c r="AJ31" s="7" t="s">
        <v>17</v>
      </c>
      <c r="AK31" s="7" t="s">
        <v>17</v>
      </c>
      <c r="AL31" s="150" t="s">
        <v>17</v>
      </c>
      <c r="AM31" s="7" t="s">
        <v>17</v>
      </c>
      <c r="AN31" s="7" t="s">
        <v>17</v>
      </c>
      <c r="AO31" s="150" t="s">
        <v>17</v>
      </c>
      <c r="AP31" s="7" t="s">
        <v>17</v>
      </c>
      <c r="AQ31" s="7" t="s">
        <v>17</v>
      </c>
      <c r="AR31" s="150" t="s">
        <v>17</v>
      </c>
      <c r="AS31" s="7" t="s">
        <v>17</v>
      </c>
      <c r="AT31" s="7" t="s">
        <v>17</v>
      </c>
    </row>
    <row r="32" spans="1:55" ht="14.95" customHeight="1" thickBot="1" x14ac:dyDescent="0.3">
      <c r="A32" s="123" t="s">
        <v>81</v>
      </c>
      <c r="B32" s="78">
        <v>2</v>
      </c>
      <c r="C32" s="270">
        <v>0</v>
      </c>
      <c r="D32" s="247">
        <v>0</v>
      </c>
      <c r="E32" s="131">
        <f t="shared" si="0"/>
        <v>2</v>
      </c>
      <c r="F32" s="125" t="s">
        <v>81</v>
      </c>
      <c r="G32" s="137">
        <v>14</v>
      </c>
      <c r="H32" s="295">
        <v>0</v>
      </c>
      <c r="I32" s="216">
        <v>0</v>
      </c>
      <c r="J32" s="128">
        <f t="shared" si="1"/>
        <v>14</v>
      </c>
      <c r="K32" s="315" t="s">
        <v>1184</v>
      </c>
      <c r="L32" s="131">
        <v>27</v>
      </c>
      <c r="M32" s="131">
        <v>36</v>
      </c>
      <c r="N32" s="132">
        <f t="shared" ref="N32" si="16">SUM(L32/M32)*100</f>
        <v>75</v>
      </c>
      <c r="O32" s="7" t="s">
        <v>17</v>
      </c>
      <c r="P32" s="7" t="s">
        <v>17</v>
      </c>
      <c r="Q32" s="155" t="s">
        <v>17</v>
      </c>
      <c r="R32" s="7" t="s">
        <v>17</v>
      </c>
      <c r="S32" s="7" t="s">
        <v>17</v>
      </c>
      <c r="T32" s="155" t="s">
        <v>17</v>
      </c>
      <c r="U32" s="7" t="s">
        <v>17</v>
      </c>
      <c r="V32" s="7" t="s">
        <v>17</v>
      </c>
      <c r="W32" s="155" t="s">
        <v>17</v>
      </c>
      <c r="AC32" s="6" t="s">
        <v>17</v>
      </c>
      <c r="AD32" s="7" t="s">
        <v>17</v>
      </c>
      <c r="AE32" s="155" t="s">
        <v>17</v>
      </c>
      <c r="AF32" s="7" t="s">
        <v>17</v>
      </c>
      <c r="AG32" s="7" t="s">
        <v>17</v>
      </c>
      <c r="AH32" s="155" t="s">
        <v>17</v>
      </c>
      <c r="AI32" s="7" t="s">
        <v>17</v>
      </c>
      <c r="AJ32" s="7" t="s">
        <v>17</v>
      </c>
      <c r="AK32" s="155" t="s">
        <v>17</v>
      </c>
      <c r="AL32" s="7" t="s">
        <v>17</v>
      </c>
      <c r="AM32" s="7" t="s">
        <v>17</v>
      </c>
      <c r="AN32" s="155" t="s">
        <v>17</v>
      </c>
      <c r="AO32" s="7" t="s">
        <v>17</v>
      </c>
      <c r="AP32" s="7" t="s">
        <v>17</v>
      </c>
      <c r="AQ32" s="155" t="s">
        <v>17</v>
      </c>
      <c r="AR32" s="7" t="s">
        <v>17</v>
      </c>
      <c r="AS32" s="7" t="s">
        <v>17</v>
      </c>
      <c r="AT32" s="155" t="s">
        <v>17</v>
      </c>
    </row>
    <row r="33" spans="1:52" ht="14.95" customHeight="1" thickBot="1" x14ac:dyDescent="0.3">
      <c r="A33" s="123" t="s">
        <v>587</v>
      </c>
      <c r="B33" s="78">
        <v>1</v>
      </c>
      <c r="C33" s="270">
        <v>0</v>
      </c>
      <c r="D33" s="247">
        <v>0</v>
      </c>
      <c r="E33" s="131">
        <f t="shared" si="0"/>
        <v>1</v>
      </c>
      <c r="F33" s="125" t="s">
        <v>587</v>
      </c>
      <c r="G33" s="137">
        <v>5</v>
      </c>
      <c r="H33" s="295">
        <v>0</v>
      </c>
      <c r="I33" s="216">
        <v>0</v>
      </c>
      <c r="J33" s="128">
        <f t="shared" si="1"/>
        <v>5</v>
      </c>
      <c r="K33" s="315" t="s">
        <v>553</v>
      </c>
      <c r="L33" s="131" t="s">
        <v>17</v>
      </c>
      <c r="M33" s="131" t="s">
        <v>17</v>
      </c>
      <c r="N33" s="132" t="s">
        <v>17</v>
      </c>
      <c r="O33" s="7">
        <v>13</v>
      </c>
      <c r="P33" s="7">
        <v>18</v>
      </c>
      <c r="Q33" s="155">
        <v>72.222222222222214</v>
      </c>
      <c r="R33" s="7" t="s">
        <v>17</v>
      </c>
      <c r="S33" s="7" t="s">
        <v>17</v>
      </c>
      <c r="T33" s="155" t="s">
        <v>17</v>
      </c>
      <c r="U33" s="7">
        <v>2</v>
      </c>
      <c r="V33" s="7">
        <v>4</v>
      </c>
      <c r="W33" s="155">
        <v>50</v>
      </c>
      <c r="AC33" s="150" t="s">
        <v>17</v>
      </c>
      <c r="AD33" s="7" t="s">
        <v>17</v>
      </c>
      <c r="AE33" s="7" t="s">
        <v>17</v>
      </c>
      <c r="AF33" s="150" t="s">
        <v>17</v>
      </c>
      <c r="AG33" s="7" t="s">
        <v>17</v>
      </c>
      <c r="AH33" s="7" t="s">
        <v>17</v>
      </c>
      <c r="AI33" s="6" t="s">
        <v>17</v>
      </c>
      <c r="AJ33" s="154" t="s">
        <v>17</v>
      </c>
      <c r="AK33" s="154" t="s">
        <v>17</v>
      </c>
      <c r="AL33" s="150" t="s">
        <v>17</v>
      </c>
      <c r="AM33" s="7" t="s">
        <v>17</v>
      </c>
      <c r="AN33" s="7" t="s">
        <v>17</v>
      </c>
      <c r="AO33" s="150" t="s">
        <v>17</v>
      </c>
      <c r="AP33" s="7" t="s">
        <v>17</v>
      </c>
      <c r="AQ33" s="7" t="s">
        <v>17</v>
      </c>
      <c r="AR33" s="150" t="s">
        <v>17</v>
      </c>
      <c r="AS33" s="7" t="s">
        <v>17</v>
      </c>
      <c r="AT33" s="6" t="s">
        <v>17</v>
      </c>
      <c r="AU33" s="87"/>
      <c r="AV33" s="87"/>
      <c r="AW33" s="87"/>
      <c r="AX33" s="87"/>
      <c r="AY33" s="87"/>
      <c r="AZ33" s="87"/>
    </row>
    <row r="34" spans="1:52" ht="14.95" customHeight="1" thickBot="1" x14ac:dyDescent="0.3">
      <c r="A34" s="123" t="s">
        <v>686</v>
      </c>
      <c r="B34" s="78">
        <v>0</v>
      </c>
      <c r="C34" s="270">
        <v>0</v>
      </c>
      <c r="D34" s="247">
        <v>0</v>
      </c>
      <c r="E34" s="131">
        <f t="shared" si="0"/>
        <v>0</v>
      </c>
      <c r="F34" s="125" t="s">
        <v>686</v>
      </c>
      <c r="G34" s="137">
        <v>0</v>
      </c>
      <c r="H34" s="295">
        <v>0</v>
      </c>
      <c r="I34" s="216">
        <v>0</v>
      </c>
      <c r="J34" s="128">
        <f t="shared" si="1"/>
        <v>0</v>
      </c>
      <c r="K34" s="550" t="s">
        <v>869</v>
      </c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</row>
    <row r="35" spans="1:52" ht="14.95" customHeight="1" thickBot="1" x14ac:dyDescent="0.3">
      <c r="A35" s="123" t="s">
        <v>1264</v>
      </c>
      <c r="B35" s="78">
        <v>0</v>
      </c>
      <c r="C35" s="270">
        <v>0</v>
      </c>
      <c r="D35" s="247">
        <v>1</v>
      </c>
      <c r="E35" s="131">
        <f t="shared" si="0"/>
        <v>1</v>
      </c>
      <c r="F35" s="125" t="s">
        <v>1264</v>
      </c>
      <c r="G35" s="137">
        <v>0</v>
      </c>
      <c r="H35" s="295">
        <v>0</v>
      </c>
      <c r="I35" s="216">
        <v>5</v>
      </c>
      <c r="J35" s="128">
        <f t="shared" si="1"/>
        <v>5</v>
      </c>
      <c r="K35" s="507" t="s">
        <v>25</v>
      </c>
      <c r="L35" s="546"/>
      <c r="M35" s="546"/>
      <c r="N35" s="546"/>
      <c r="O35" s="546"/>
      <c r="P35" s="546"/>
      <c r="Q35" s="546"/>
      <c r="R35" s="546"/>
      <c r="S35" s="546"/>
      <c r="T35" s="546"/>
      <c r="U35" s="546"/>
      <c r="V35" s="546"/>
      <c r="W35" s="546"/>
      <c r="X35" s="546"/>
      <c r="Y35" s="546"/>
    </row>
    <row r="36" spans="1:52" ht="14.95" customHeight="1" thickBot="1" x14ac:dyDescent="0.3">
      <c r="A36" s="123" t="s">
        <v>431</v>
      </c>
      <c r="B36" s="78">
        <v>5</v>
      </c>
      <c r="C36" s="270">
        <v>1</v>
      </c>
      <c r="D36" s="247">
        <v>0</v>
      </c>
      <c r="E36" s="131">
        <f t="shared" si="0"/>
        <v>6</v>
      </c>
      <c r="F36" s="125" t="s">
        <v>431</v>
      </c>
      <c r="G36" s="137">
        <v>25</v>
      </c>
      <c r="H36" s="295">
        <v>5</v>
      </c>
      <c r="I36" s="216">
        <v>0</v>
      </c>
      <c r="J36" s="128">
        <f t="shared" si="1"/>
        <v>30</v>
      </c>
      <c r="K36" s="477"/>
      <c r="L36" s="478"/>
      <c r="M36" s="478"/>
      <c r="N36" s="478"/>
      <c r="O36" s="478"/>
      <c r="P36" s="478"/>
      <c r="Q36" s="478"/>
      <c r="R36" s="478"/>
    </row>
    <row r="37" spans="1:52" ht="14.95" customHeight="1" thickBot="1" x14ac:dyDescent="0.3">
      <c r="A37" s="123" t="s">
        <v>4</v>
      </c>
      <c r="B37" s="78">
        <v>2</v>
      </c>
      <c r="C37" s="270">
        <v>0</v>
      </c>
      <c r="D37" s="247">
        <v>0</v>
      </c>
      <c r="E37" s="131">
        <f t="shared" si="0"/>
        <v>2</v>
      </c>
      <c r="F37" s="125" t="s">
        <v>4</v>
      </c>
      <c r="G37" s="137">
        <v>14</v>
      </c>
      <c r="H37" s="295">
        <v>0</v>
      </c>
      <c r="I37" s="216">
        <v>0</v>
      </c>
      <c r="J37" s="128">
        <f t="shared" si="1"/>
        <v>14</v>
      </c>
    </row>
    <row r="38" spans="1:52" ht="14.95" customHeight="1" thickBot="1" x14ac:dyDescent="0.3">
      <c r="A38" s="123" t="s">
        <v>1285</v>
      </c>
      <c r="B38" s="78">
        <v>1</v>
      </c>
      <c r="C38" s="270">
        <v>0</v>
      </c>
      <c r="D38" s="247">
        <v>1</v>
      </c>
      <c r="E38" s="131">
        <f t="shared" si="0"/>
        <v>2</v>
      </c>
      <c r="F38" s="125" t="s">
        <v>1285</v>
      </c>
      <c r="G38" s="137">
        <v>5</v>
      </c>
      <c r="H38" s="295">
        <v>0</v>
      </c>
      <c r="I38" s="216">
        <v>5</v>
      </c>
      <c r="J38" s="128">
        <f t="shared" si="1"/>
        <v>10</v>
      </c>
    </row>
    <row r="39" spans="1:52" ht="14.95" customHeight="1" thickBot="1" x14ac:dyDescent="0.3">
      <c r="A39" s="123" t="s">
        <v>508</v>
      </c>
      <c r="B39" s="78">
        <v>2</v>
      </c>
      <c r="C39" s="270">
        <v>7</v>
      </c>
      <c r="D39" s="247">
        <v>1</v>
      </c>
      <c r="E39" s="131">
        <f t="shared" si="0"/>
        <v>10</v>
      </c>
      <c r="F39" s="125" t="s">
        <v>508</v>
      </c>
      <c r="G39" s="137">
        <v>10</v>
      </c>
      <c r="H39" s="295">
        <v>35</v>
      </c>
      <c r="I39" s="216">
        <v>5</v>
      </c>
      <c r="J39" s="128">
        <f t="shared" si="1"/>
        <v>50</v>
      </c>
    </row>
    <row r="40" spans="1:52" ht="14.95" customHeight="1" thickBot="1" x14ac:dyDescent="0.3">
      <c r="A40" s="123" t="s">
        <v>495</v>
      </c>
      <c r="B40" s="78">
        <v>3</v>
      </c>
      <c r="C40" s="270">
        <v>2</v>
      </c>
      <c r="D40" s="247">
        <v>4</v>
      </c>
      <c r="E40" s="131">
        <f t="shared" si="0"/>
        <v>9</v>
      </c>
      <c r="F40" s="125" t="s">
        <v>495</v>
      </c>
      <c r="G40" s="137">
        <v>15</v>
      </c>
      <c r="H40" s="295">
        <v>10</v>
      </c>
      <c r="I40" s="216">
        <v>20</v>
      </c>
      <c r="J40" s="128">
        <f t="shared" si="1"/>
        <v>45</v>
      </c>
    </row>
    <row r="41" spans="1:52" ht="14.95" customHeight="1" thickBot="1" x14ac:dyDescent="0.3">
      <c r="A41" s="123" t="s">
        <v>655</v>
      </c>
      <c r="B41" s="78">
        <v>0</v>
      </c>
      <c r="C41" s="270">
        <v>0</v>
      </c>
      <c r="D41" s="247">
        <v>3</v>
      </c>
      <c r="E41" s="131">
        <f t="shared" si="0"/>
        <v>3</v>
      </c>
      <c r="F41" s="125" t="s">
        <v>655</v>
      </c>
      <c r="G41" s="137">
        <v>0</v>
      </c>
      <c r="H41" s="295">
        <v>0</v>
      </c>
      <c r="I41" s="216">
        <v>15</v>
      </c>
      <c r="J41" s="128">
        <f t="shared" si="1"/>
        <v>15</v>
      </c>
    </row>
    <row r="42" spans="1:52" ht="14.95" customHeight="1" thickBot="1" x14ac:dyDescent="0.3">
      <c r="A42" s="123" t="s">
        <v>516</v>
      </c>
      <c r="B42" s="78">
        <v>0</v>
      </c>
      <c r="C42" s="270">
        <v>0</v>
      </c>
      <c r="D42" s="247">
        <v>2</v>
      </c>
      <c r="E42" s="131">
        <f t="shared" si="0"/>
        <v>2</v>
      </c>
      <c r="F42" s="125" t="s">
        <v>516</v>
      </c>
      <c r="G42" s="137">
        <v>0</v>
      </c>
      <c r="H42" s="295">
        <v>0</v>
      </c>
      <c r="I42" s="216">
        <v>10</v>
      </c>
      <c r="J42" s="128">
        <f t="shared" si="1"/>
        <v>10</v>
      </c>
    </row>
    <row r="43" spans="1:52" ht="14.95" customHeight="1" thickBot="1" x14ac:dyDescent="0.3">
      <c r="A43" s="123" t="s">
        <v>91</v>
      </c>
      <c r="B43" s="78">
        <v>1</v>
      </c>
      <c r="C43" s="270">
        <v>3</v>
      </c>
      <c r="D43" s="247">
        <v>2</v>
      </c>
      <c r="E43" s="131">
        <f t="shared" si="0"/>
        <v>6</v>
      </c>
      <c r="F43" s="125" t="s">
        <v>91</v>
      </c>
      <c r="G43" s="137">
        <v>5</v>
      </c>
      <c r="H43" s="295">
        <v>15</v>
      </c>
      <c r="I43" s="216">
        <v>10</v>
      </c>
      <c r="J43" s="128">
        <f t="shared" si="1"/>
        <v>30</v>
      </c>
    </row>
    <row r="44" spans="1:52" ht="14.95" customHeight="1" thickBot="1" x14ac:dyDescent="0.3">
      <c r="A44" s="123" t="s">
        <v>621</v>
      </c>
      <c r="B44" s="78">
        <v>5</v>
      </c>
      <c r="C44" s="270">
        <v>0</v>
      </c>
      <c r="D44" s="247">
        <v>0</v>
      </c>
      <c r="E44" s="131">
        <f t="shared" si="0"/>
        <v>5</v>
      </c>
      <c r="F44" s="125" t="s">
        <v>621</v>
      </c>
      <c r="G44" s="137">
        <v>25</v>
      </c>
      <c r="H44" s="295">
        <v>0</v>
      </c>
      <c r="I44" s="216">
        <v>0</v>
      </c>
      <c r="J44" s="128">
        <f t="shared" si="1"/>
        <v>25</v>
      </c>
    </row>
    <row r="45" spans="1:52" ht="14.95" thickBot="1" x14ac:dyDescent="0.3">
      <c r="A45" s="123" t="s">
        <v>334</v>
      </c>
      <c r="B45" s="78">
        <v>1</v>
      </c>
      <c r="C45" s="270">
        <v>1</v>
      </c>
      <c r="D45" s="247">
        <v>0</v>
      </c>
      <c r="E45" s="131">
        <f t="shared" si="0"/>
        <v>2</v>
      </c>
      <c r="F45" s="125" t="s">
        <v>334</v>
      </c>
      <c r="G45" s="137">
        <v>104</v>
      </c>
      <c r="H45" s="295">
        <v>81</v>
      </c>
      <c r="I45" s="216">
        <v>0</v>
      </c>
      <c r="J45" s="128">
        <f t="shared" si="1"/>
        <v>185</v>
      </c>
    </row>
    <row r="46" spans="1:52" ht="14.95" thickBot="1" x14ac:dyDescent="0.3">
      <c r="A46" s="123" t="s">
        <v>445</v>
      </c>
      <c r="B46" s="78">
        <v>0</v>
      </c>
      <c r="C46" s="270">
        <v>0</v>
      </c>
      <c r="D46" s="247">
        <v>0</v>
      </c>
      <c r="E46" s="131">
        <f t="shared" si="0"/>
        <v>0</v>
      </c>
      <c r="F46" s="125" t="s">
        <v>445</v>
      </c>
      <c r="G46" s="137">
        <v>0</v>
      </c>
      <c r="H46" s="295">
        <v>0</v>
      </c>
      <c r="I46" s="216">
        <v>0</v>
      </c>
      <c r="J46" s="128">
        <f t="shared" si="1"/>
        <v>0</v>
      </c>
    </row>
    <row r="47" spans="1:52" ht="14.95" thickBot="1" x14ac:dyDescent="0.3">
      <c r="A47" s="123" t="s">
        <v>588</v>
      </c>
      <c r="B47" s="78">
        <v>0</v>
      </c>
      <c r="C47" s="270">
        <v>0</v>
      </c>
      <c r="D47" s="247">
        <v>0</v>
      </c>
      <c r="E47" s="131">
        <f t="shared" si="0"/>
        <v>0</v>
      </c>
      <c r="F47" s="125" t="s">
        <v>588</v>
      </c>
      <c r="G47" s="137">
        <v>0</v>
      </c>
      <c r="H47" s="295">
        <v>0</v>
      </c>
      <c r="I47" s="216">
        <v>0</v>
      </c>
      <c r="J47" s="128">
        <f t="shared" si="1"/>
        <v>0</v>
      </c>
    </row>
    <row r="48" spans="1:52" ht="14.95" thickBot="1" x14ac:dyDescent="0.3">
      <c r="A48" s="123" t="s">
        <v>24</v>
      </c>
      <c r="B48" s="78">
        <v>0</v>
      </c>
      <c r="C48" s="270">
        <v>1</v>
      </c>
      <c r="D48" s="247">
        <v>0</v>
      </c>
      <c r="E48" s="131">
        <f t="shared" si="0"/>
        <v>1</v>
      </c>
      <c r="F48" s="125" t="s">
        <v>24</v>
      </c>
      <c r="G48" s="137">
        <v>0</v>
      </c>
      <c r="H48" s="295">
        <v>5</v>
      </c>
      <c r="I48" s="216">
        <v>0</v>
      </c>
      <c r="J48" s="128">
        <f t="shared" si="1"/>
        <v>5</v>
      </c>
    </row>
    <row r="49" spans="1:10" ht="14.95" thickBot="1" x14ac:dyDescent="0.3">
      <c r="A49" s="123" t="s">
        <v>1326</v>
      </c>
      <c r="B49" s="78">
        <v>1</v>
      </c>
      <c r="C49" s="270">
        <v>0</v>
      </c>
      <c r="D49" s="247">
        <v>0</v>
      </c>
      <c r="E49" s="131">
        <f t="shared" si="0"/>
        <v>1</v>
      </c>
      <c r="F49" s="125" t="s">
        <v>1326</v>
      </c>
      <c r="G49" s="137">
        <v>5</v>
      </c>
      <c r="H49" s="295">
        <v>0</v>
      </c>
      <c r="I49" s="216">
        <v>0</v>
      </c>
      <c r="J49" s="128">
        <f t="shared" si="1"/>
        <v>5</v>
      </c>
    </row>
    <row r="50" spans="1:10" ht="14.95" thickBot="1" x14ac:dyDescent="0.3">
      <c r="A50" s="123" t="s">
        <v>865</v>
      </c>
      <c r="B50" s="78">
        <v>0</v>
      </c>
      <c r="C50" s="270">
        <v>0</v>
      </c>
      <c r="D50" s="247">
        <v>1</v>
      </c>
      <c r="E50" s="131">
        <f t="shared" si="0"/>
        <v>1</v>
      </c>
      <c r="F50" s="125" t="s">
        <v>865</v>
      </c>
      <c r="G50" s="137">
        <v>0</v>
      </c>
      <c r="H50" s="295">
        <v>0</v>
      </c>
      <c r="I50" s="216">
        <v>5</v>
      </c>
      <c r="J50" s="128">
        <f t="shared" si="1"/>
        <v>5</v>
      </c>
    </row>
    <row r="51" spans="1:10" ht="14.95" thickBot="1" x14ac:dyDescent="0.3">
      <c r="A51" s="123" t="s">
        <v>1280</v>
      </c>
      <c r="B51" s="78">
        <v>0</v>
      </c>
      <c r="C51" s="270">
        <v>0</v>
      </c>
      <c r="D51" s="247">
        <v>1</v>
      </c>
      <c r="E51" s="131">
        <f t="shared" si="0"/>
        <v>1</v>
      </c>
      <c r="F51" s="125" t="s">
        <v>1280</v>
      </c>
      <c r="G51" s="137">
        <v>0</v>
      </c>
      <c r="H51" s="295">
        <v>0</v>
      </c>
      <c r="I51" s="216">
        <v>5</v>
      </c>
      <c r="J51" s="128">
        <f t="shared" si="1"/>
        <v>5</v>
      </c>
    </row>
    <row r="52" spans="1:10" ht="14.95" thickBot="1" x14ac:dyDescent="0.3">
      <c r="A52" s="123" t="s">
        <v>866</v>
      </c>
      <c r="B52" s="78">
        <v>1</v>
      </c>
      <c r="C52" s="270">
        <v>0</v>
      </c>
      <c r="D52" s="247">
        <v>1</v>
      </c>
      <c r="E52" s="131">
        <f t="shared" si="0"/>
        <v>2</v>
      </c>
      <c r="F52" s="125" t="s">
        <v>866</v>
      </c>
      <c r="G52" s="137">
        <v>5</v>
      </c>
      <c r="H52" s="295">
        <v>0</v>
      </c>
      <c r="I52" s="216">
        <v>5</v>
      </c>
      <c r="J52" s="128">
        <f t="shared" si="1"/>
        <v>10</v>
      </c>
    </row>
    <row r="53" spans="1:10" ht="14.95" thickBot="1" x14ac:dyDescent="0.3">
      <c r="A53" s="123" t="s">
        <v>3</v>
      </c>
      <c r="B53" s="78">
        <f>SUM(B3:B52)</f>
        <v>68</v>
      </c>
      <c r="C53" s="270">
        <f>SUM(C3:C52)</f>
        <v>41</v>
      </c>
      <c r="D53" s="247">
        <f>SUM(D3:D52)</f>
        <v>39</v>
      </c>
      <c r="E53" s="131">
        <f>SUM(E3:E52)</f>
        <v>148</v>
      </c>
      <c r="F53" s="125" t="s">
        <v>3</v>
      </c>
      <c r="G53" s="137">
        <f>SUM(G3:G52)</f>
        <v>488</v>
      </c>
      <c r="H53" s="295">
        <f>SUM(H3:H52)</f>
        <v>291</v>
      </c>
      <c r="I53" s="216">
        <f>SUM(I3:I52)</f>
        <v>256</v>
      </c>
      <c r="J53" s="128">
        <f>SUM(J3:J52)</f>
        <v>1035</v>
      </c>
    </row>
    <row r="54" spans="1:10" x14ac:dyDescent="0.25">
      <c r="A54" s="477"/>
      <c r="B54" s="478"/>
      <c r="C54" s="478"/>
      <c r="D54" s="478"/>
      <c r="E54" s="478"/>
      <c r="F54" s="478"/>
      <c r="G54" s="478"/>
      <c r="H54" s="478"/>
      <c r="I54" s="318"/>
      <c r="J54" s="319"/>
    </row>
    <row r="55" spans="1:10" ht="14.95" thickBot="1" x14ac:dyDescent="0.3">
      <c r="A55" s="71" t="s">
        <v>14</v>
      </c>
      <c r="B55" s="134"/>
      <c r="E55" s="148"/>
      <c r="G55" s="134"/>
    </row>
    <row r="56" spans="1:10" ht="14.95" thickBot="1" x14ac:dyDescent="0.3">
      <c r="A56" s="122" t="s">
        <v>0</v>
      </c>
      <c r="B56" s="116" t="s">
        <v>259</v>
      </c>
      <c r="C56" s="269" t="s">
        <v>35</v>
      </c>
      <c r="D56" s="246" t="s">
        <v>383</v>
      </c>
      <c r="E56" s="130" t="s">
        <v>1</v>
      </c>
      <c r="F56" s="124" t="s">
        <v>2</v>
      </c>
      <c r="G56" s="139" t="s">
        <v>259</v>
      </c>
      <c r="H56" s="294" t="s">
        <v>35</v>
      </c>
      <c r="I56" s="215" t="s">
        <v>383</v>
      </c>
      <c r="J56" s="127" t="s">
        <v>1</v>
      </c>
    </row>
    <row r="57" spans="1:10" ht="14.95" thickBot="1" x14ac:dyDescent="0.3">
      <c r="A57" s="123" t="s">
        <v>326</v>
      </c>
      <c r="B57" s="78">
        <v>7</v>
      </c>
      <c r="C57" s="270">
        <v>9</v>
      </c>
      <c r="D57" s="247">
        <v>0</v>
      </c>
      <c r="E57" s="131">
        <f t="shared" ref="E57:E88" si="17">SUM(B57:D57)</f>
        <v>16</v>
      </c>
      <c r="F57" s="125" t="s">
        <v>334</v>
      </c>
      <c r="G57" s="137">
        <v>104</v>
      </c>
      <c r="H57" s="295">
        <v>81</v>
      </c>
      <c r="I57" s="216">
        <v>0</v>
      </c>
      <c r="J57" s="128">
        <f t="shared" ref="J57:J88" si="18">SUM(G57:I57)</f>
        <v>185</v>
      </c>
    </row>
    <row r="58" spans="1:10" ht="14.95" thickBot="1" x14ac:dyDescent="0.3">
      <c r="A58" s="123" t="s">
        <v>508</v>
      </c>
      <c r="B58" s="78">
        <v>2</v>
      </c>
      <c r="C58" s="270">
        <v>7</v>
      </c>
      <c r="D58" s="247">
        <v>1</v>
      </c>
      <c r="E58" s="131">
        <f t="shared" si="17"/>
        <v>10</v>
      </c>
      <c r="F58" s="125" t="s">
        <v>326</v>
      </c>
      <c r="G58" s="137">
        <v>35</v>
      </c>
      <c r="H58" s="295">
        <v>45</v>
      </c>
      <c r="I58" s="216">
        <v>0</v>
      </c>
      <c r="J58" s="128">
        <f t="shared" si="18"/>
        <v>80</v>
      </c>
    </row>
    <row r="59" spans="1:10" ht="14.95" thickBot="1" x14ac:dyDescent="0.3">
      <c r="A59" s="123" t="s">
        <v>495</v>
      </c>
      <c r="B59" s="78">
        <v>3</v>
      </c>
      <c r="C59" s="270">
        <v>2</v>
      </c>
      <c r="D59" s="247">
        <v>4</v>
      </c>
      <c r="E59" s="131">
        <f t="shared" si="17"/>
        <v>9</v>
      </c>
      <c r="F59" s="125" t="s">
        <v>860</v>
      </c>
      <c r="G59" s="137">
        <v>12</v>
      </c>
      <c r="H59" s="295">
        <v>0</v>
      </c>
      <c r="I59" s="216">
        <v>55</v>
      </c>
      <c r="J59" s="128">
        <f t="shared" si="18"/>
        <v>67</v>
      </c>
    </row>
    <row r="60" spans="1:10" ht="14.95" thickBot="1" x14ac:dyDescent="0.3">
      <c r="A60" s="123" t="s">
        <v>410</v>
      </c>
      <c r="B60" s="78">
        <v>3</v>
      </c>
      <c r="C60" s="270">
        <v>1</v>
      </c>
      <c r="D60" s="247">
        <v>4</v>
      </c>
      <c r="E60" s="131">
        <f t="shared" si="17"/>
        <v>8</v>
      </c>
      <c r="F60" s="125" t="s">
        <v>51</v>
      </c>
      <c r="G60" s="137">
        <v>35</v>
      </c>
      <c r="H60" s="295">
        <v>10</v>
      </c>
      <c r="I60" s="216">
        <v>6</v>
      </c>
      <c r="J60" s="128">
        <f t="shared" si="18"/>
        <v>51</v>
      </c>
    </row>
    <row r="61" spans="1:10" ht="14.95" thickBot="1" x14ac:dyDescent="0.3">
      <c r="A61" s="123" t="s">
        <v>421</v>
      </c>
      <c r="B61" s="78">
        <v>2</v>
      </c>
      <c r="C61" s="270">
        <v>5</v>
      </c>
      <c r="D61" s="247">
        <v>0</v>
      </c>
      <c r="E61" s="131">
        <f t="shared" si="17"/>
        <v>7</v>
      </c>
      <c r="F61" s="126" t="s">
        <v>508</v>
      </c>
      <c r="G61" s="137">
        <v>10</v>
      </c>
      <c r="H61" s="295">
        <v>35</v>
      </c>
      <c r="I61" s="216">
        <v>5</v>
      </c>
      <c r="J61" s="128">
        <f t="shared" si="18"/>
        <v>50</v>
      </c>
    </row>
    <row r="62" spans="1:10" ht="14.95" thickBot="1" x14ac:dyDescent="0.3">
      <c r="A62" s="123" t="s">
        <v>308</v>
      </c>
      <c r="B62" s="78">
        <v>2</v>
      </c>
      <c r="C62" s="270">
        <v>0</v>
      </c>
      <c r="D62" s="247">
        <v>4</v>
      </c>
      <c r="E62" s="131">
        <f t="shared" si="17"/>
        <v>6</v>
      </c>
      <c r="F62" s="126" t="s">
        <v>495</v>
      </c>
      <c r="G62" s="137">
        <v>15</v>
      </c>
      <c r="H62" s="295">
        <v>10</v>
      </c>
      <c r="I62" s="216">
        <v>20</v>
      </c>
      <c r="J62" s="128">
        <f t="shared" si="18"/>
        <v>45</v>
      </c>
    </row>
    <row r="63" spans="1:10" ht="14.95" thickBot="1" x14ac:dyDescent="0.3">
      <c r="A63" s="123" t="s">
        <v>933</v>
      </c>
      <c r="B63" s="78">
        <v>5</v>
      </c>
      <c r="C63" s="270">
        <v>0</v>
      </c>
      <c r="D63" s="247">
        <v>1</v>
      </c>
      <c r="E63" s="131">
        <f t="shared" si="17"/>
        <v>6</v>
      </c>
      <c r="F63" s="126" t="s">
        <v>410</v>
      </c>
      <c r="G63" s="137">
        <v>15</v>
      </c>
      <c r="H63" s="295">
        <v>5</v>
      </c>
      <c r="I63" s="216">
        <v>20</v>
      </c>
      <c r="J63" s="128">
        <f t="shared" si="18"/>
        <v>40</v>
      </c>
    </row>
    <row r="64" spans="1:10" ht="14.95" thickBot="1" x14ac:dyDescent="0.3">
      <c r="A64" s="123" t="s">
        <v>857</v>
      </c>
      <c r="B64" s="78">
        <v>1</v>
      </c>
      <c r="C64" s="270">
        <v>4</v>
      </c>
      <c r="D64" s="247">
        <v>1</v>
      </c>
      <c r="E64" s="131">
        <f t="shared" si="17"/>
        <v>6</v>
      </c>
      <c r="F64" s="126" t="s">
        <v>421</v>
      </c>
      <c r="G64" s="137">
        <v>10</v>
      </c>
      <c r="H64" s="295">
        <v>25</v>
      </c>
      <c r="I64" s="216">
        <v>0</v>
      </c>
      <c r="J64" s="128">
        <f t="shared" si="18"/>
        <v>35</v>
      </c>
    </row>
    <row r="65" spans="1:10" ht="14.95" thickBot="1" x14ac:dyDescent="0.3">
      <c r="A65" s="123" t="s">
        <v>431</v>
      </c>
      <c r="B65" s="78">
        <v>5</v>
      </c>
      <c r="C65" s="270">
        <v>1</v>
      </c>
      <c r="D65" s="247">
        <v>0</v>
      </c>
      <c r="E65" s="131">
        <f t="shared" si="17"/>
        <v>6</v>
      </c>
      <c r="F65" s="125" t="s">
        <v>308</v>
      </c>
      <c r="G65" s="137">
        <v>14</v>
      </c>
      <c r="H65" s="295">
        <v>0</v>
      </c>
      <c r="I65" s="216">
        <v>20</v>
      </c>
      <c r="J65" s="128">
        <f t="shared" si="18"/>
        <v>34</v>
      </c>
    </row>
    <row r="66" spans="1:10" ht="14.95" thickBot="1" x14ac:dyDescent="0.3">
      <c r="A66" s="123" t="s">
        <v>91</v>
      </c>
      <c r="B66" s="78">
        <v>1</v>
      </c>
      <c r="C66" s="270">
        <v>3</v>
      </c>
      <c r="D66" s="247">
        <v>2</v>
      </c>
      <c r="E66" s="131">
        <f t="shared" si="17"/>
        <v>6</v>
      </c>
      <c r="F66" s="125" t="s">
        <v>933</v>
      </c>
      <c r="G66" s="137">
        <v>25</v>
      </c>
      <c r="H66" s="295">
        <v>0</v>
      </c>
      <c r="I66" s="216">
        <v>5</v>
      </c>
      <c r="J66" s="128">
        <f t="shared" si="18"/>
        <v>30</v>
      </c>
    </row>
    <row r="67" spans="1:10" ht="14.95" thickBot="1" x14ac:dyDescent="0.3">
      <c r="A67" s="123" t="s">
        <v>194</v>
      </c>
      <c r="B67" s="78">
        <v>2</v>
      </c>
      <c r="C67" s="270">
        <v>3</v>
      </c>
      <c r="D67" s="247">
        <v>0</v>
      </c>
      <c r="E67" s="131">
        <f t="shared" si="17"/>
        <v>5</v>
      </c>
      <c r="F67" s="125" t="s">
        <v>857</v>
      </c>
      <c r="G67" s="137">
        <v>5</v>
      </c>
      <c r="H67" s="295">
        <v>20</v>
      </c>
      <c r="I67" s="216">
        <v>5</v>
      </c>
      <c r="J67" s="128">
        <f t="shared" si="18"/>
        <v>30</v>
      </c>
    </row>
    <row r="68" spans="1:10" ht="14.95" thickBot="1" x14ac:dyDescent="0.3">
      <c r="A68" s="123" t="s">
        <v>621</v>
      </c>
      <c r="B68" s="78">
        <v>5</v>
      </c>
      <c r="C68" s="270">
        <v>0</v>
      </c>
      <c r="D68" s="247">
        <v>0</v>
      </c>
      <c r="E68" s="131">
        <f t="shared" si="17"/>
        <v>5</v>
      </c>
      <c r="F68" s="125" t="s">
        <v>431</v>
      </c>
      <c r="G68" s="137">
        <v>25</v>
      </c>
      <c r="H68" s="295">
        <v>5</v>
      </c>
      <c r="I68" s="216">
        <v>0</v>
      </c>
      <c r="J68" s="128">
        <f t="shared" si="18"/>
        <v>30</v>
      </c>
    </row>
    <row r="69" spans="1:10" ht="14.95" thickBot="1" x14ac:dyDescent="0.3">
      <c r="A69" s="123" t="s">
        <v>681</v>
      </c>
      <c r="B69" s="78">
        <v>3</v>
      </c>
      <c r="C69" s="270">
        <v>0</v>
      </c>
      <c r="D69" s="247">
        <v>1</v>
      </c>
      <c r="E69" s="131">
        <f t="shared" si="17"/>
        <v>4</v>
      </c>
      <c r="F69" s="125" t="s">
        <v>91</v>
      </c>
      <c r="G69" s="137">
        <v>5</v>
      </c>
      <c r="H69" s="295">
        <v>15</v>
      </c>
      <c r="I69" s="216">
        <v>10</v>
      </c>
      <c r="J69" s="128">
        <f t="shared" si="18"/>
        <v>30</v>
      </c>
    </row>
    <row r="70" spans="1:10" ht="14.95" thickBot="1" x14ac:dyDescent="0.3">
      <c r="A70" s="123" t="s">
        <v>188</v>
      </c>
      <c r="B70" s="78">
        <v>2</v>
      </c>
      <c r="C70" s="270">
        <v>1</v>
      </c>
      <c r="D70" s="247">
        <v>0</v>
      </c>
      <c r="E70" s="131">
        <f t="shared" si="17"/>
        <v>3</v>
      </c>
      <c r="F70" s="125" t="s">
        <v>194</v>
      </c>
      <c r="G70" s="137">
        <v>10</v>
      </c>
      <c r="H70" s="295">
        <v>15</v>
      </c>
      <c r="I70" s="216">
        <v>0</v>
      </c>
      <c r="J70" s="128">
        <f t="shared" si="18"/>
        <v>25</v>
      </c>
    </row>
    <row r="71" spans="1:10" ht="14.95" thickBot="1" x14ac:dyDescent="0.3">
      <c r="A71" s="123" t="s">
        <v>79</v>
      </c>
      <c r="B71" s="78">
        <v>2</v>
      </c>
      <c r="C71" s="270">
        <v>1</v>
      </c>
      <c r="D71" s="247">
        <v>0</v>
      </c>
      <c r="E71" s="131">
        <f t="shared" si="17"/>
        <v>3</v>
      </c>
      <c r="F71" s="125" t="s">
        <v>621</v>
      </c>
      <c r="G71" s="137">
        <v>25</v>
      </c>
      <c r="H71" s="295">
        <v>0</v>
      </c>
      <c r="I71" s="216">
        <v>0</v>
      </c>
      <c r="J71" s="128">
        <f t="shared" si="18"/>
        <v>25</v>
      </c>
    </row>
    <row r="72" spans="1:10" ht="14.95" thickBot="1" x14ac:dyDescent="0.3">
      <c r="A72" s="123" t="s">
        <v>584</v>
      </c>
      <c r="B72" s="78">
        <v>1</v>
      </c>
      <c r="C72" s="270">
        <v>0</v>
      </c>
      <c r="D72" s="247">
        <v>2</v>
      </c>
      <c r="E72" s="131">
        <f t="shared" si="17"/>
        <v>3</v>
      </c>
      <c r="F72" s="125" t="s">
        <v>681</v>
      </c>
      <c r="G72" s="137">
        <v>15</v>
      </c>
      <c r="H72" s="295">
        <v>0</v>
      </c>
      <c r="I72" s="216">
        <v>5</v>
      </c>
      <c r="J72" s="129">
        <f t="shared" si="18"/>
        <v>20</v>
      </c>
    </row>
    <row r="73" spans="1:10" ht="14.95" thickBot="1" x14ac:dyDescent="0.3">
      <c r="A73" s="123" t="s">
        <v>855</v>
      </c>
      <c r="B73" s="78">
        <v>3</v>
      </c>
      <c r="C73" s="270">
        <v>0</v>
      </c>
      <c r="D73" s="247">
        <v>0</v>
      </c>
      <c r="E73" s="131">
        <f t="shared" si="17"/>
        <v>3</v>
      </c>
      <c r="F73" s="125" t="s">
        <v>188</v>
      </c>
      <c r="G73" s="137">
        <v>10</v>
      </c>
      <c r="H73" s="295">
        <v>5</v>
      </c>
      <c r="I73" s="216">
        <v>0</v>
      </c>
      <c r="J73" s="129">
        <f t="shared" si="18"/>
        <v>15</v>
      </c>
    </row>
    <row r="74" spans="1:10" ht="14.95" thickBot="1" x14ac:dyDescent="0.3">
      <c r="A74" s="123" t="s">
        <v>409</v>
      </c>
      <c r="B74" s="78">
        <v>1</v>
      </c>
      <c r="C74" s="270">
        <v>0</v>
      </c>
      <c r="D74" s="247">
        <v>2</v>
      </c>
      <c r="E74" s="131">
        <f t="shared" si="17"/>
        <v>3</v>
      </c>
      <c r="F74" s="125" t="s">
        <v>79</v>
      </c>
      <c r="G74" s="137">
        <v>10</v>
      </c>
      <c r="H74" s="295">
        <v>5</v>
      </c>
      <c r="I74" s="216">
        <v>0</v>
      </c>
      <c r="J74" s="128">
        <f t="shared" si="18"/>
        <v>15</v>
      </c>
    </row>
    <row r="75" spans="1:10" ht="14.95" thickBot="1" x14ac:dyDescent="0.3">
      <c r="A75" s="123" t="s">
        <v>514</v>
      </c>
      <c r="B75" s="78">
        <v>1</v>
      </c>
      <c r="C75" s="270">
        <v>1</v>
      </c>
      <c r="D75" s="247">
        <v>1</v>
      </c>
      <c r="E75" s="131">
        <f t="shared" si="17"/>
        <v>3</v>
      </c>
      <c r="F75" s="125" t="s">
        <v>584</v>
      </c>
      <c r="G75" s="137">
        <v>5</v>
      </c>
      <c r="H75" s="295">
        <v>0</v>
      </c>
      <c r="I75" s="216">
        <v>10</v>
      </c>
      <c r="J75" s="128">
        <f t="shared" si="18"/>
        <v>15</v>
      </c>
    </row>
    <row r="76" spans="1:10" ht="14.95" thickBot="1" x14ac:dyDescent="0.3">
      <c r="A76" s="123" t="s">
        <v>655</v>
      </c>
      <c r="B76" s="78">
        <v>0</v>
      </c>
      <c r="C76" s="270">
        <v>0</v>
      </c>
      <c r="D76" s="247">
        <v>3</v>
      </c>
      <c r="E76" s="131">
        <f t="shared" si="17"/>
        <v>3</v>
      </c>
      <c r="F76" s="125" t="s">
        <v>855</v>
      </c>
      <c r="G76" s="137">
        <v>15</v>
      </c>
      <c r="H76" s="295">
        <v>0</v>
      </c>
      <c r="I76" s="216">
        <v>0</v>
      </c>
      <c r="J76" s="128">
        <f t="shared" si="18"/>
        <v>15</v>
      </c>
    </row>
    <row r="77" spans="1:10" ht="14.95" thickBot="1" x14ac:dyDescent="0.3">
      <c r="A77" s="123" t="s">
        <v>7</v>
      </c>
      <c r="B77" s="78">
        <v>0</v>
      </c>
      <c r="C77" s="270">
        <v>0</v>
      </c>
      <c r="D77" s="247">
        <v>2</v>
      </c>
      <c r="E77" s="131">
        <f t="shared" si="17"/>
        <v>2</v>
      </c>
      <c r="F77" s="125" t="s">
        <v>409</v>
      </c>
      <c r="G77" s="137">
        <v>5</v>
      </c>
      <c r="H77" s="295">
        <v>0</v>
      </c>
      <c r="I77" s="216">
        <v>10</v>
      </c>
      <c r="J77" s="128">
        <f t="shared" si="18"/>
        <v>15</v>
      </c>
    </row>
    <row r="78" spans="1:10" ht="14.95" thickBot="1" x14ac:dyDescent="0.3">
      <c r="A78" s="123" t="s">
        <v>329</v>
      </c>
      <c r="B78" s="78">
        <v>2</v>
      </c>
      <c r="C78" s="270">
        <v>0</v>
      </c>
      <c r="D78" s="247">
        <v>0</v>
      </c>
      <c r="E78" s="131">
        <f t="shared" si="17"/>
        <v>2</v>
      </c>
      <c r="F78" s="125" t="s">
        <v>514</v>
      </c>
      <c r="G78" s="137">
        <v>5</v>
      </c>
      <c r="H78" s="295">
        <v>5</v>
      </c>
      <c r="I78" s="216">
        <v>5</v>
      </c>
      <c r="J78" s="128">
        <f t="shared" si="18"/>
        <v>15</v>
      </c>
    </row>
    <row r="79" spans="1:10" ht="14.95" thickBot="1" x14ac:dyDescent="0.3">
      <c r="A79" s="123" t="s">
        <v>51</v>
      </c>
      <c r="B79" s="78">
        <v>2</v>
      </c>
      <c r="C79" s="270">
        <v>0</v>
      </c>
      <c r="D79" s="247">
        <v>0</v>
      </c>
      <c r="E79" s="131">
        <f t="shared" si="17"/>
        <v>2</v>
      </c>
      <c r="F79" s="125" t="s">
        <v>655</v>
      </c>
      <c r="G79" s="137">
        <v>0</v>
      </c>
      <c r="H79" s="295">
        <v>0</v>
      </c>
      <c r="I79" s="216">
        <v>15</v>
      </c>
      <c r="J79" s="128">
        <f t="shared" si="18"/>
        <v>15</v>
      </c>
    </row>
    <row r="80" spans="1:10" ht="14.95" thickBot="1" x14ac:dyDescent="0.3">
      <c r="A80" s="123" t="s">
        <v>586</v>
      </c>
      <c r="B80" s="78">
        <v>1</v>
      </c>
      <c r="C80" s="270">
        <v>0</v>
      </c>
      <c r="D80" s="247">
        <v>1</v>
      </c>
      <c r="E80" s="131">
        <f t="shared" si="17"/>
        <v>2</v>
      </c>
      <c r="F80" s="125" t="s">
        <v>81</v>
      </c>
      <c r="G80" s="137">
        <v>14</v>
      </c>
      <c r="H80" s="295">
        <v>0</v>
      </c>
      <c r="I80" s="216">
        <v>0</v>
      </c>
      <c r="J80" s="128">
        <f t="shared" si="18"/>
        <v>14</v>
      </c>
    </row>
    <row r="81" spans="1:10" ht="14.95" thickBot="1" x14ac:dyDescent="0.3">
      <c r="A81" s="123" t="s">
        <v>81</v>
      </c>
      <c r="B81" s="78">
        <v>2</v>
      </c>
      <c r="C81" s="270">
        <v>0</v>
      </c>
      <c r="D81" s="247">
        <v>0</v>
      </c>
      <c r="E81" s="131">
        <f t="shared" si="17"/>
        <v>2</v>
      </c>
      <c r="F81" s="125" t="s">
        <v>4</v>
      </c>
      <c r="G81" s="137">
        <v>14</v>
      </c>
      <c r="H81" s="295">
        <v>0</v>
      </c>
      <c r="I81" s="216">
        <v>0</v>
      </c>
      <c r="J81" s="128">
        <f t="shared" si="18"/>
        <v>14</v>
      </c>
    </row>
    <row r="82" spans="1:10" ht="14.95" thickBot="1" x14ac:dyDescent="0.3">
      <c r="A82" s="123" t="s">
        <v>4</v>
      </c>
      <c r="B82" s="78">
        <v>2</v>
      </c>
      <c r="C82" s="270">
        <v>0</v>
      </c>
      <c r="D82" s="247">
        <v>0</v>
      </c>
      <c r="E82" s="131">
        <f t="shared" si="17"/>
        <v>2</v>
      </c>
      <c r="F82" s="125" t="s">
        <v>7</v>
      </c>
      <c r="G82" s="137">
        <v>0</v>
      </c>
      <c r="H82" s="295">
        <v>0</v>
      </c>
      <c r="I82" s="216">
        <v>10</v>
      </c>
      <c r="J82" s="128">
        <f t="shared" si="18"/>
        <v>10</v>
      </c>
    </row>
    <row r="83" spans="1:10" ht="14.95" thickBot="1" x14ac:dyDescent="0.3">
      <c r="A83" s="123" t="s">
        <v>1285</v>
      </c>
      <c r="B83" s="78">
        <v>1</v>
      </c>
      <c r="C83" s="270">
        <v>0</v>
      </c>
      <c r="D83" s="247">
        <v>1</v>
      </c>
      <c r="E83" s="131">
        <f t="shared" si="17"/>
        <v>2</v>
      </c>
      <c r="F83" s="125" t="s">
        <v>329</v>
      </c>
      <c r="G83" s="137">
        <v>10</v>
      </c>
      <c r="H83" s="295">
        <v>0</v>
      </c>
      <c r="I83" s="216">
        <v>0</v>
      </c>
      <c r="J83" s="128">
        <f t="shared" si="18"/>
        <v>10</v>
      </c>
    </row>
    <row r="84" spans="1:10" ht="14.95" thickBot="1" x14ac:dyDescent="0.3">
      <c r="A84" s="123" t="s">
        <v>516</v>
      </c>
      <c r="B84" s="78">
        <v>0</v>
      </c>
      <c r="C84" s="270">
        <v>0</v>
      </c>
      <c r="D84" s="247">
        <v>2</v>
      </c>
      <c r="E84" s="131">
        <f t="shared" si="17"/>
        <v>2</v>
      </c>
      <c r="F84" s="125" t="s">
        <v>586</v>
      </c>
      <c r="G84" s="137">
        <v>5</v>
      </c>
      <c r="H84" s="295">
        <v>0</v>
      </c>
      <c r="I84" s="216">
        <v>5</v>
      </c>
      <c r="J84" s="128">
        <f t="shared" si="18"/>
        <v>10</v>
      </c>
    </row>
    <row r="85" spans="1:10" ht="14.95" thickBot="1" x14ac:dyDescent="0.3">
      <c r="A85" s="123" t="s">
        <v>334</v>
      </c>
      <c r="B85" s="78">
        <v>1</v>
      </c>
      <c r="C85" s="270">
        <v>1</v>
      </c>
      <c r="D85" s="247">
        <v>0</v>
      </c>
      <c r="E85" s="131">
        <f t="shared" si="17"/>
        <v>2</v>
      </c>
      <c r="F85" s="125" t="s">
        <v>1285</v>
      </c>
      <c r="G85" s="137">
        <v>5</v>
      </c>
      <c r="H85" s="295">
        <v>0</v>
      </c>
      <c r="I85" s="216">
        <v>5</v>
      </c>
      <c r="J85" s="128">
        <f t="shared" si="18"/>
        <v>10</v>
      </c>
    </row>
    <row r="86" spans="1:10" ht="14.95" thickBot="1" x14ac:dyDescent="0.3">
      <c r="A86" s="123" t="s">
        <v>866</v>
      </c>
      <c r="B86" s="78">
        <v>1</v>
      </c>
      <c r="C86" s="270">
        <v>0</v>
      </c>
      <c r="D86" s="247">
        <v>1</v>
      </c>
      <c r="E86" s="131">
        <f t="shared" si="17"/>
        <v>2</v>
      </c>
      <c r="F86" s="125" t="s">
        <v>516</v>
      </c>
      <c r="G86" s="137">
        <v>0</v>
      </c>
      <c r="H86" s="295">
        <v>0</v>
      </c>
      <c r="I86" s="216">
        <v>10</v>
      </c>
      <c r="J86" s="128">
        <f t="shared" si="18"/>
        <v>10</v>
      </c>
    </row>
    <row r="87" spans="1:10" ht="14.95" thickBot="1" x14ac:dyDescent="0.3">
      <c r="A87" s="123" t="s">
        <v>745</v>
      </c>
      <c r="B87" s="78">
        <v>0</v>
      </c>
      <c r="C87" s="270">
        <v>0</v>
      </c>
      <c r="D87" s="247">
        <v>1</v>
      </c>
      <c r="E87" s="131">
        <f t="shared" si="17"/>
        <v>1</v>
      </c>
      <c r="F87" s="125" t="s">
        <v>866</v>
      </c>
      <c r="G87" s="137">
        <v>5</v>
      </c>
      <c r="H87" s="295">
        <v>0</v>
      </c>
      <c r="I87" s="216">
        <v>5</v>
      </c>
      <c r="J87" s="128">
        <f t="shared" si="18"/>
        <v>10</v>
      </c>
    </row>
    <row r="88" spans="1:10" ht="14.95" thickBot="1" x14ac:dyDescent="0.3">
      <c r="A88" s="123" t="s">
        <v>405</v>
      </c>
      <c r="B88" s="78">
        <v>0</v>
      </c>
      <c r="C88" s="270">
        <v>0</v>
      </c>
      <c r="D88" s="247">
        <v>1</v>
      </c>
      <c r="E88" s="131">
        <f t="shared" si="17"/>
        <v>1</v>
      </c>
      <c r="F88" s="125" t="s">
        <v>745</v>
      </c>
      <c r="G88" s="137">
        <v>0</v>
      </c>
      <c r="H88" s="295">
        <v>0</v>
      </c>
      <c r="I88" s="216">
        <v>5</v>
      </c>
      <c r="J88" s="128">
        <f t="shared" si="18"/>
        <v>5</v>
      </c>
    </row>
    <row r="89" spans="1:10" ht="14.95" thickBot="1" x14ac:dyDescent="0.3">
      <c r="A89" s="123" t="s">
        <v>1085</v>
      </c>
      <c r="B89" s="78">
        <v>0</v>
      </c>
      <c r="C89" s="270">
        <v>0</v>
      </c>
      <c r="D89" s="247">
        <v>1</v>
      </c>
      <c r="E89" s="131">
        <f t="shared" ref="E89:E106" si="19">SUM(B89:D89)</f>
        <v>1</v>
      </c>
      <c r="F89" s="125" t="s">
        <v>405</v>
      </c>
      <c r="G89" s="137">
        <v>0</v>
      </c>
      <c r="H89" s="295">
        <v>0</v>
      </c>
      <c r="I89" s="216">
        <v>5</v>
      </c>
      <c r="J89" s="128">
        <f t="shared" ref="J89:J106" si="20">SUM(G89:I89)</f>
        <v>5</v>
      </c>
    </row>
    <row r="90" spans="1:10" ht="14.95" thickBot="1" x14ac:dyDescent="0.3">
      <c r="A90" s="123" t="s">
        <v>669</v>
      </c>
      <c r="B90" s="78">
        <v>1</v>
      </c>
      <c r="C90" s="270">
        <v>0</v>
      </c>
      <c r="D90" s="247">
        <v>0</v>
      </c>
      <c r="E90" s="131">
        <f t="shared" si="19"/>
        <v>1</v>
      </c>
      <c r="F90" s="125" t="s">
        <v>1085</v>
      </c>
      <c r="G90" s="137">
        <v>0</v>
      </c>
      <c r="H90" s="295">
        <v>0</v>
      </c>
      <c r="I90" s="216">
        <v>5</v>
      </c>
      <c r="J90" s="128">
        <f t="shared" si="20"/>
        <v>5</v>
      </c>
    </row>
    <row r="91" spans="1:10" ht="14.95" thickBot="1" x14ac:dyDescent="0.3">
      <c r="A91" s="123" t="s">
        <v>303</v>
      </c>
      <c r="B91" s="78">
        <v>1</v>
      </c>
      <c r="C91" s="270">
        <v>0</v>
      </c>
      <c r="D91" s="247">
        <v>0</v>
      </c>
      <c r="E91" s="131">
        <f t="shared" si="19"/>
        <v>1</v>
      </c>
      <c r="F91" s="125" t="s">
        <v>669</v>
      </c>
      <c r="G91" s="137">
        <v>5</v>
      </c>
      <c r="H91" s="295">
        <v>0</v>
      </c>
      <c r="I91" s="216">
        <v>0</v>
      </c>
      <c r="J91" s="128">
        <f t="shared" si="20"/>
        <v>5</v>
      </c>
    </row>
    <row r="92" spans="1:10" ht="14.95" thickBot="1" x14ac:dyDescent="0.3">
      <c r="A92" s="123" t="s">
        <v>1065</v>
      </c>
      <c r="B92" s="78">
        <v>1</v>
      </c>
      <c r="C92" s="270">
        <v>0</v>
      </c>
      <c r="D92" s="247">
        <v>0</v>
      </c>
      <c r="E92" s="131">
        <f t="shared" si="19"/>
        <v>1</v>
      </c>
      <c r="F92" s="125" t="s">
        <v>303</v>
      </c>
      <c r="G92" s="137">
        <v>5</v>
      </c>
      <c r="H92" s="295">
        <v>0</v>
      </c>
      <c r="I92" s="216">
        <v>0</v>
      </c>
      <c r="J92" s="128">
        <f t="shared" si="20"/>
        <v>5</v>
      </c>
    </row>
    <row r="93" spans="1:10" ht="14.95" thickBot="1" x14ac:dyDescent="0.3">
      <c r="A93" s="123" t="s">
        <v>861</v>
      </c>
      <c r="B93" s="78">
        <v>0</v>
      </c>
      <c r="C93" s="270">
        <v>1</v>
      </c>
      <c r="D93" s="247">
        <v>0</v>
      </c>
      <c r="E93" s="131">
        <f t="shared" si="19"/>
        <v>1</v>
      </c>
      <c r="F93" s="125" t="s">
        <v>1065</v>
      </c>
      <c r="G93" s="137">
        <v>5</v>
      </c>
      <c r="H93" s="295">
        <v>0</v>
      </c>
      <c r="I93" s="216">
        <v>0</v>
      </c>
      <c r="J93" s="128">
        <f t="shared" si="20"/>
        <v>5</v>
      </c>
    </row>
    <row r="94" spans="1:10" ht="14.95" thickBot="1" x14ac:dyDescent="0.3">
      <c r="A94" s="123" t="s">
        <v>587</v>
      </c>
      <c r="B94" s="78">
        <v>1</v>
      </c>
      <c r="C94" s="270">
        <v>0</v>
      </c>
      <c r="D94" s="247">
        <v>0</v>
      </c>
      <c r="E94" s="131">
        <f t="shared" si="19"/>
        <v>1</v>
      </c>
      <c r="F94" s="125" t="s">
        <v>861</v>
      </c>
      <c r="G94" s="137">
        <v>0</v>
      </c>
      <c r="H94" s="295">
        <v>5</v>
      </c>
      <c r="I94" s="216">
        <v>0</v>
      </c>
      <c r="J94" s="128">
        <f t="shared" si="20"/>
        <v>5</v>
      </c>
    </row>
    <row r="95" spans="1:10" ht="14.95" thickBot="1" x14ac:dyDescent="0.3">
      <c r="A95" s="123" t="s">
        <v>1264</v>
      </c>
      <c r="B95" s="78">
        <v>0</v>
      </c>
      <c r="C95" s="270">
        <v>0</v>
      </c>
      <c r="D95" s="247">
        <v>1</v>
      </c>
      <c r="E95" s="131">
        <f t="shared" si="19"/>
        <v>1</v>
      </c>
      <c r="F95" s="125" t="s">
        <v>587</v>
      </c>
      <c r="G95" s="137">
        <v>5</v>
      </c>
      <c r="H95" s="295">
        <v>0</v>
      </c>
      <c r="I95" s="216">
        <v>0</v>
      </c>
      <c r="J95" s="128">
        <f t="shared" si="20"/>
        <v>5</v>
      </c>
    </row>
    <row r="96" spans="1:10" ht="14.95" thickBot="1" x14ac:dyDescent="0.3">
      <c r="A96" s="123" t="s">
        <v>24</v>
      </c>
      <c r="B96" s="78">
        <v>0</v>
      </c>
      <c r="C96" s="270">
        <v>1</v>
      </c>
      <c r="D96" s="247">
        <v>0</v>
      </c>
      <c r="E96" s="131">
        <f t="shared" si="19"/>
        <v>1</v>
      </c>
      <c r="F96" s="125" t="s">
        <v>1264</v>
      </c>
      <c r="G96" s="137">
        <v>0</v>
      </c>
      <c r="H96" s="295">
        <v>0</v>
      </c>
      <c r="I96" s="216">
        <v>5</v>
      </c>
      <c r="J96" s="128">
        <f t="shared" si="20"/>
        <v>5</v>
      </c>
    </row>
    <row r="97" spans="1:10" ht="14.95" thickBot="1" x14ac:dyDescent="0.3">
      <c r="A97" s="123" t="s">
        <v>1326</v>
      </c>
      <c r="B97" s="78">
        <v>1</v>
      </c>
      <c r="C97" s="270">
        <v>0</v>
      </c>
      <c r="D97" s="247">
        <v>0</v>
      </c>
      <c r="E97" s="131">
        <f t="shared" si="19"/>
        <v>1</v>
      </c>
      <c r="F97" s="125" t="s">
        <v>24</v>
      </c>
      <c r="G97" s="137">
        <v>0</v>
      </c>
      <c r="H97" s="295">
        <v>5</v>
      </c>
      <c r="I97" s="216">
        <v>0</v>
      </c>
      <c r="J97" s="128">
        <f t="shared" si="20"/>
        <v>5</v>
      </c>
    </row>
    <row r="98" spans="1:10" ht="14.95" thickBot="1" x14ac:dyDescent="0.3">
      <c r="A98" s="123" t="s">
        <v>865</v>
      </c>
      <c r="B98" s="78">
        <v>0</v>
      </c>
      <c r="C98" s="270">
        <v>0</v>
      </c>
      <c r="D98" s="247">
        <v>1</v>
      </c>
      <c r="E98" s="131">
        <f t="shared" si="19"/>
        <v>1</v>
      </c>
      <c r="F98" s="125" t="s">
        <v>1326</v>
      </c>
      <c r="G98" s="137">
        <v>5</v>
      </c>
      <c r="H98" s="295">
        <v>0</v>
      </c>
      <c r="I98" s="216">
        <v>0</v>
      </c>
      <c r="J98" s="128">
        <f t="shared" si="20"/>
        <v>5</v>
      </c>
    </row>
    <row r="99" spans="1:10" ht="14.95" thickBot="1" x14ac:dyDescent="0.3">
      <c r="A99" s="123" t="s">
        <v>1280</v>
      </c>
      <c r="B99" s="78">
        <v>0</v>
      </c>
      <c r="C99" s="270">
        <v>0</v>
      </c>
      <c r="D99" s="247">
        <v>1</v>
      </c>
      <c r="E99" s="131">
        <f t="shared" si="19"/>
        <v>1</v>
      </c>
      <c r="F99" s="125" t="s">
        <v>865</v>
      </c>
      <c r="G99" s="137">
        <v>0</v>
      </c>
      <c r="H99" s="295">
        <v>0</v>
      </c>
      <c r="I99" s="216">
        <v>5</v>
      </c>
      <c r="J99" s="128">
        <f t="shared" si="20"/>
        <v>5</v>
      </c>
    </row>
    <row r="100" spans="1:10" ht="14.95" thickBot="1" x14ac:dyDescent="0.3">
      <c r="A100" s="123" t="s">
        <v>345</v>
      </c>
      <c r="B100" s="78">
        <v>0</v>
      </c>
      <c r="C100" s="270">
        <v>0</v>
      </c>
      <c r="D100" s="247">
        <v>0</v>
      </c>
      <c r="E100" s="131">
        <f t="shared" si="19"/>
        <v>0</v>
      </c>
      <c r="F100" s="125" t="s">
        <v>1280</v>
      </c>
      <c r="G100" s="137">
        <v>0</v>
      </c>
      <c r="H100" s="295">
        <v>0</v>
      </c>
      <c r="I100" s="216">
        <v>5</v>
      </c>
      <c r="J100" s="128">
        <f t="shared" si="20"/>
        <v>5</v>
      </c>
    </row>
    <row r="101" spans="1:10" ht="14.95" thickBot="1" x14ac:dyDescent="0.3">
      <c r="A101" s="123" t="s">
        <v>858</v>
      </c>
      <c r="B101" s="78">
        <v>0</v>
      </c>
      <c r="C101" s="270">
        <v>0</v>
      </c>
      <c r="D101" s="247">
        <v>0</v>
      </c>
      <c r="E101" s="131">
        <f t="shared" si="19"/>
        <v>0</v>
      </c>
      <c r="F101" s="125" t="s">
        <v>345</v>
      </c>
      <c r="G101" s="137">
        <v>0</v>
      </c>
      <c r="H101" s="295">
        <v>0</v>
      </c>
      <c r="I101" s="216">
        <v>0</v>
      </c>
      <c r="J101" s="128">
        <f t="shared" si="20"/>
        <v>0</v>
      </c>
    </row>
    <row r="102" spans="1:10" ht="14.95" thickBot="1" x14ac:dyDescent="0.3">
      <c r="A102" s="123" t="s">
        <v>859</v>
      </c>
      <c r="B102" s="78">
        <v>0</v>
      </c>
      <c r="C102" s="270">
        <v>0</v>
      </c>
      <c r="D102" s="247">
        <v>0</v>
      </c>
      <c r="E102" s="131">
        <f t="shared" si="19"/>
        <v>0</v>
      </c>
      <c r="F102" s="125" t="s">
        <v>858</v>
      </c>
      <c r="G102" s="137">
        <v>0</v>
      </c>
      <c r="H102" s="295">
        <v>0</v>
      </c>
      <c r="I102" s="216">
        <v>0</v>
      </c>
      <c r="J102" s="128">
        <f t="shared" si="20"/>
        <v>0</v>
      </c>
    </row>
    <row r="103" spans="1:10" ht="14.95" thickBot="1" x14ac:dyDescent="0.3">
      <c r="A103" s="123" t="s">
        <v>860</v>
      </c>
      <c r="B103" s="78">
        <v>0</v>
      </c>
      <c r="C103" s="270">
        <v>0</v>
      </c>
      <c r="D103" s="247">
        <v>0</v>
      </c>
      <c r="E103" s="131">
        <f t="shared" si="19"/>
        <v>0</v>
      </c>
      <c r="F103" s="125" t="s">
        <v>859</v>
      </c>
      <c r="G103" s="137">
        <v>0</v>
      </c>
      <c r="H103" s="295">
        <v>0</v>
      </c>
      <c r="I103" s="216">
        <v>0</v>
      </c>
      <c r="J103" s="128">
        <f t="shared" si="20"/>
        <v>0</v>
      </c>
    </row>
    <row r="104" spans="1:10" ht="14.95" thickBot="1" x14ac:dyDescent="0.3">
      <c r="A104" s="123" t="s">
        <v>686</v>
      </c>
      <c r="B104" s="78">
        <v>0</v>
      </c>
      <c r="C104" s="270">
        <v>0</v>
      </c>
      <c r="D104" s="247">
        <v>0</v>
      </c>
      <c r="E104" s="131">
        <f t="shared" si="19"/>
        <v>0</v>
      </c>
      <c r="F104" s="125" t="s">
        <v>686</v>
      </c>
      <c r="G104" s="137">
        <v>0</v>
      </c>
      <c r="H104" s="295">
        <v>0</v>
      </c>
      <c r="I104" s="216">
        <v>0</v>
      </c>
      <c r="J104" s="128">
        <f t="shared" si="20"/>
        <v>0</v>
      </c>
    </row>
    <row r="105" spans="1:10" ht="14.95" thickBot="1" x14ac:dyDescent="0.3">
      <c r="A105" s="123" t="s">
        <v>445</v>
      </c>
      <c r="B105" s="78">
        <v>0</v>
      </c>
      <c r="C105" s="270">
        <v>0</v>
      </c>
      <c r="D105" s="247">
        <v>0</v>
      </c>
      <c r="E105" s="131">
        <f t="shared" si="19"/>
        <v>0</v>
      </c>
      <c r="F105" s="125" t="s">
        <v>445</v>
      </c>
      <c r="G105" s="137">
        <v>0</v>
      </c>
      <c r="H105" s="295">
        <v>0</v>
      </c>
      <c r="I105" s="216">
        <v>0</v>
      </c>
      <c r="J105" s="128">
        <f t="shared" si="20"/>
        <v>0</v>
      </c>
    </row>
    <row r="106" spans="1:10" ht="14.95" thickBot="1" x14ac:dyDescent="0.3">
      <c r="A106" s="123" t="s">
        <v>588</v>
      </c>
      <c r="B106" s="78">
        <v>0</v>
      </c>
      <c r="C106" s="270">
        <v>0</v>
      </c>
      <c r="D106" s="247">
        <v>0</v>
      </c>
      <c r="E106" s="131">
        <f t="shared" si="19"/>
        <v>0</v>
      </c>
      <c r="F106" s="125" t="s">
        <v>588</v>
      </c>
      <c r="G106" s="137">
        <v>0</v>
      </c>
      <c r="H106" s="295">
        <v>0</v>
      </c>
      <c r="I106" s="216">
        <v>0</v>
      </c>
      <c r="J106" s="128">
        <f t="shared" si="20"/>
        <v>0</v>
      </c>
    </row>
    <row r="107" spans="1:10" ht="14.3" customHeight="1" thickBot="1" x14ac:dyDescent="0.3">
      <c r="A107" s="123" t="s">
        <v>3</v>
      </c>
      <c r="B107" s="78">
        <f>SUM(B57:B106)</f>
        <v>68</v>
      </c>
      <c r="C107" s="270">
        <f>SUM(C57:C106)</f>
        <v>41</v>
      </c>
      <c r="D107" s="247">
        <f>SUM(D57:D106)</f>
        <v>39</v>
      </c>
      <c r="E107" s="131">
        <f>SUM(E57:E106)</f>
        <v>148</v>
      </c>
      <c r="F107" s="125" t="s">
        <v>3</v>
      </c>
      <c r="G107" s="137">
        <f>SUM(G57:G106)</f>
        <v>488</v>
      </c>
      <c r="H107" s="295">
        <f>SUM(H57:H106)</f>
        <v>291</v>
      </c>
      <c r="I107" s="216">
        <f>SUM(I57:I106)</f>
        <v>256</v>
      </c>
      <c r="J107" s="128">
        <f>SUM(J57:J106)</f>
        <v>1035</v>
      </c>
    </row>
    <row r="108" spans="1:10" x14ac:dyDescent="0.25">
      <c r="A108" s="488" t="s">
        <v>42</v>
      </c>
      <c r="B108" s="480"/>
      <c r="C108" s="480"/>
      <c r="D108" s="480"/>
      <c r="E108" s="480"/>
      <c r="F108" s="480"/>
      <c r="G108" s="480"/>
      <c r="H108" s="480"/>
      <c r="I108" s="480"/>
      <c r="J108" s="480"/>
    </row>
  </sheetData>
  <sortState xmlns:xlrd2="http://schemas.microsoft.com/office/spreadsheetml/2017/richdata2" ref="F57:J106">
    <sortCondition descending="1" ref="J57:J106"/>
  </sortState>
  <mergeCells count="59">
    <mergeCell ref="AL12:AN13"/>
    <mergeCell ref="K36:R36"/>
    <mergeCell ref="A54:H54"/>
    <mergeCell ref="K34:W34"/>
    <mergeCell ref="K35:Y35"/>
    <mergeCell ref="U27:W28"/>
    <mergeCell ref="R27:T28"/>
    <mergeCell ref="O27:Q28"/>
    <mergeCell ref="R12:T13"/>
    <mergeCell ref="U12:W13"/>
    <mergeCell ref="O12:Q13"/>
    <mergeCell ref="K19:K20"/>
    <mergeCell ref="L19:N20"/>
    <mergeCell ref="U19:W20"/>
    <mergeCell ref="R19:T20"/>
    <mergeCell ref="AR27:AT28"/>
    <mergeCell ref="AO27:AQ28"/>
    <mergeCell ref="AL27:AN28"/>
    <mergeCell ref="O19:Q20"/>
    <mergeCell ref="K27:K28"/>
    <mergeCell ref="L27:N28"/>
    <mergeCell ref="AF1:AH2"/>
    <mergeCell ref="AF12:AH13"/>
    <mergeCell ref="AF19:AH20"/>
    <mergeCell ref="AF27:AH28"/>
    <mergeCell ref="AI27:AK28"/>
    <mergeCell ref="AI1:AK2"/>
    <mergeCell ref="AI12:AK13"/>
    <mergeCell ref="AI19:AK20"/>
    <mergeCell ref="BD1:BF2"/>
    <mergeCell ref="AO19:AQ20"/>
    <mergeCell ref="AR19:AT20"/>
    <mergeCell ref="AL19:AN20"/>
    <mergeCell ref="AL1:AN2"/>
    <mergeCell ref="AR1:AT2"/>
    <mergeCell ref="AR12:AT13"/>
    <mergeCell ref="AO1:AQ2"/>
    <mergeCell ref="AO12:AQ13"/>
    <mergeCell ref="AU19:AW20"/>
    <mergeCell ref="AX19:AZ20"/>
    <mergeCell ref="BA1:BC2"/>
    <mergeCell ref="AX1:AZ2"/>
    <mergeCell ref="AU1:AW2"/>
    <mergeCell ref="AX12:AZ13"/>
    <mergeCell ref="AU12:AW13"/>
    <mergeCell ref="AC1:AE2"/>
    <mergeCell ref="AC12:AE13"/>
    <mergeCell ref="AC19:AE20"/>
    <mergeCell ref="AC27:AE28"/>
    <mergeCell ref="R1:S2"/>
    <mergeCell ref="W1:Y2"/>
    <mergeCell ref="A108:J108"/>
    <mergeCell ref="A1:J1"/>
    <mergeCell ref="T1:V2"/>
    <mergeCell ref="K12:K13"/>
    <mergeCell ref="K1:K2"/>
    <mergeCell ref="L1:N2"/>
    <mergeCell ref="O1:Q2"/>
    <mergeCell ref="L12:N13"/>
  </mergeCells>
  <pageMargins left="0.7" right="0.7" top="0.75" bottom="0.75" header="0.3" footer="0.3"/>
  <pageSetup paperSize="9" orientation="portrait" r:id="rId1"/>
  <ignoredErrors>
    <ignoredError sqref="E2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06"/>
  <sheetViews>
    <sheetView zoomScaleNormal="100" workbookViewId="0">
      <selection activeCell="Z15" sqref="Z15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9" width="5.75" customWidth="1"/>
    <col min="50" max="52" width="5.625" customWidth="1"/>
  </cols>
  <sheetData>
    <row r="1" spans="1:61" ht="14.95" customHeight="1" thickBot="1" x14ac:dyDescent="0.3">
      <c r="A1" s="551" t="s">
        <v>696</v>
      </c>
      <c r="B1" s="552"/>
      <c r="C1" s="552"/>
      <c r="D1" s="552"/>
      <c r="E1" s="552"/>
      <c r="F1" s="552"/>
      <c r="G1" s="552"/>
      <c r="H1" s="552"/>
      <c r="I1" s="552"/>
      <c r="J1" s="553"/>
      <c r="K1" s="465" t="s">
        <v>225</v>
      </c>
      <c r="L1" s="453" t="s">
        <v>16</v>
      </c>
      <c r="M1" s="467"/>
      <c r="N1" s="454"/>
      <c r="O1" s="453" t="s">
        <v>48</v>
      </c>
      <c r="P1" s="467"/>
      <c r="Q1" s="454"/>
      <c r="R1" s="453" t="s">
        <v>224</v>
      </c>
      <c r="S1" s="454"/>
      <c r="T1" s="469" t="s">
        <v>267</v>
      </c>
      <c r="U1" s="470"/>
      <c r="V1" s="471"/>
      <c r="W1" s="469" t="s">
        <v>698</v>
      </c>
      <c r="X1" s="470"/>
      <c r="Y1" s="471"/>
      <c r="Z1" s="197"/>
      <c r="AA1" s="162"/>
      <c r="AB1" s="198"/>
      <c r="AC1" s="469" t="s">
        <v>562</v>
      </c>
      <c r="AD1" s="470"/>
      <c r="AE1" s="471"/>
      <c r="AF1" s="469" t="s">
        <v>463</v>
      </c>
      <c r="AG1" s="470"/>
      <c r="AH1" s="471"/>
      <c r="AI1" s="469" t="s">
        <v>355</v>
      </c>
      <c r="AJ1" s="470"/>
      <c r="AK1" s="471"/>
      <c r="AL1" s="469" t="s">
        <v>260</v>
      </c>
      <c r="AM1" s="470"/>
      <c r="AN1" s="471"/>
      <c r="AO1" s="469" t="s">
        <v>199</v>
      </c>
      <c r="AP1" s="470"/>
      <c r="AQ1" s="471"/>
      <c r="AR1" s="469" t="s">
        <v>92</v>
      </c>
      <c r="AS1" s="470"/>
      <c r="AT1" s="471"/>
      <c r="AU1" s="469" t="s">
        <v>63</v>
      </c>
      <c r="AV1" s="470"/>
      <c r="AW1" s="471"/>
      <c r="AX1" s="469" t="s">
        <v>59</v>
      </c>
      <c r="AY1" s="470"/>
      <c r="AZ1" s="471"/>
      <c r="BA1" s="469" t="s">
        <v>45</v>
      </c>
      <c r="BB1" s="470"/>
      <c r="BC1" s="471"/>
      <c r="BD1" s="4"/>
      <c r="BE1" s="4"/>
      <c r="BF1" s="4"/>
      <c r="BI1" s="4"/>
    </row>
    <row r="2" spans="1:61" ht="14.95" customHeight="1" thickBot="1" x14ac:dyDescent="0.3">
      <c r="A2" s="324" t="s">
        <v>0</v>
      </c>
      <c r="B2" s="325" t="s">
        <v>259</v>
      </c>
      <c r="C2" s="326" t="s">
        <v>35</v>
      </c>
      <c r="D2" s="327" t="s">
        <v>383</v>
      </c>
      <c r="E2" s="328" t="s">
        <v>1</v>
      </c>
      <c r="F2" s="320" t="s">
        <v>2</v>
      </c>
      <c r="G2" s="145" t="s">
        <v>259</v>
      </c>
      <c r="H2" s="296" t="s">
        <v>35</v>
      </c>
      <c r="I2" s="232" t="s">
        <v>383</v>
      </c>
      <c r="J2" s="110" t="s">
        <v>1</v>
      </c>
      <c r="K2" s="466"/>
      <c r="L2" s="455"/>
      <c r="M2" s="468"/>
      <c r="N2" s="456"/>
      <c r="O2" s="455"/>
      <c r="P2" s="468"/>
      <c r="Q2" s="456"/>
      <c r="R2" s="455"/>
      <c r="S2" s="456"/>
      <c r="T2" s="472"/>
      <c r="U2" s="473"/>
      <c r="V2" s="474"/>
      <c r="W2" s="472"/>
      <c r="X2" s="473"/>
      <c r="Y2" s="474"/>
      <c r="Z2" s="197"/>
      <c r="AA2" s="162"/>
      <c r="AB2" s="198"/>
      <c r="AC2" s="472"/>
      <c r="AD2" s="473"/>
      <c r="AE2" s="474"/>
      <c r="AF2" s="472"/>
      <c r="AG2" s="473"/>
      <c r="AH2" s="474"/>
      <c r="AI2" s="472"/>
      <c r="AJ2" s="473"/>
      <c r="AK2" s="474"/>
      <c r="AL2" s="472"/>
      <c r="AM2" s="473"/>
      <c r="AN2" s="474"/>
      <c r="AO2" s="472"/>
      <c r="AP2" s="473"/>
      <c r="AQ2" s="474"/>
      <c r="AR2" s="472"/>
      <c r="AS2" s="473"/>
      <c r="AT2" s="474"/>
      <c r="AU2" s="472"/>
      <c r="AV2" s="473"/>
      <c r="AW2" s="474"/>
      <c r="AX2" s="472"/>
      <c r="AY2" s="473"/>
      <c r="AZ2" s="474"/>
      <c r="BA2" s="472"/>
      <c r="BB2" s="473"/>
      <c r="BC2" s="474"/>
    </row>
    <row r="3" spans="1:61" ht="14.95" customHeight="1" thickBot="1" x14ac:dyDescent="0.3">
      <c r="A3" s="323" t="s">
        <v>872</v>
      </c>
      <c r="B3" s="329">
        <v>2</v>
      </c>
      <c r="C3" s="330">
        <v>0</v>
      </c>
      <c r="D3" s="331">
        <v>0</v>
      </c>
      <c r="E3" s="332">
        <f t="shared" ref="E3:E51" si="0">SUM(B3:D3)</f>
        <v>2</v>
      </c>
      <c r="F3" s="321" t="s">
        <v>872</v>
      </c>
      <c r="G3" s="146">
        <v>10</v>
      </c>
      <c r="H3" s="297">
        <v>0</v>
      </c>
      <c r="I3" s="233">
        <v>0</v>
      </c>
      <c r="J3" s="76">
        <f t="shared" ref="J3:J45" si="1">SUM(G3:I3)</f>
        <v>10</v>
      </c>
      <c r="K3" s="221" t="s">
        <v>25</v>
      </c>
      <c r="L3" s="3" t="s">
        <v>55</v>
      </c>
      <c r="M3" s="3" t="s">
        <v>11</v>
      </c>
      <c r="N3" s="3" t="s">
        <v>12</v>
      </c>
      <c r="O3" s="3" t="s">
        <v>55</v>
      </c>
      <c r="P3" s="3" t="s">
        <v>11</v>
      </c>
      <c r="Q3" s="3" t="s">
        <v>12</v>
      </c>
      <c r="R3" s="3" t="s">
        <v>20</v>
      </c>
      <c r="S3" s="3" t="s">
        <v>67</v>
      </c>
      <c r="T3" s="7" t="s">
        <v>55</v>
      </c>
      <c r="U3" s="7" t="s">
        <v>11</v>
      </c>
      <c r="V3" s="7" t="s">
        <v>12</v>
      </c>
      <c r="W3" s="150" t="s">
        <v>55</v>
      </c>
      <c r="X3" s="7" t="s">
        <v>11</v>
      </c>
      <c r="Y3" s="7" t="s">
        <v>12</v>
      </c>
      <c r="Z3" s="94"/>
      <c r="AA3" s="95"/>
      <c r="AB3" s="199"/>
      <c r="AC3" s="150" t="s">
        <v>55</v>
      </c>
      <c r="AD3" s="7" t="s">
        <v>11</v>
      </c>
      <c r="AE3" s="7" t="s">
        <v>12</v>
      </c>
      <c r="AF3" s="150" t="s">
        <v>55</v>
      </c>
      <c r="AG3" s="7" t="s">
        <v>11</v>
      </c>
      <c r="AH3" s="7" t="s">
        <v>12</v>
      </c>
      <c r="AI3" s="150" t="s">
        <v>55</v>
      </c>
      <c r="AJ3" s="7" t="s">
        <v>11</v>
      </c>
      <c r="AK3" s="7" t="s">
        <v>12</v>
      </c>
      <c r="AL3" s="150" t="s">
        <v>55</v>
      </c>
      <c r="AM3" s="7" t="s">
        <v>11</v>
      </c>
      <c r="AN3" s="7" t="s">
        <v>12</v>
      </c>
      <c r="AO3" s="150" t="s">
        <v>55</v>
      </c>
      <c r="AP3" s="7" t="s">
        <v>11</v>
      </c>
      <c r="AQ3" s="7" t="s">
        <v>12</v>
      </c>
      <c r="AR3" s="150" t="s">
        <v>55</v>
      </c>
      <c r="AS3" s="7" t="s">
        <v>11</v>
      </c>
      <c r="AT3" s="7" t="s">
        <v>12</v>
      </c>
      <c r="AU3" s="150" t="s">
        <v>55</v>
      </c>
      <c r="AV3" s="7" t="s">
        <v>11</v>
      </c>
      <c r="AW3" s="7" t="s">
        <v>12</v>
      </c>
      <c r="AX3" s="7" t="s">
        <v>55</v>
      </c>
      <c r="AY3" s="7" t="s">
        <v>11</v>
      </c>
      <c r="AZ3" s="7" t="s">
        <v>12</v>
      </c>
      <c r="BA3" s="7" t="s">
        <v>55</v>
      </c>
      <c r="BB3" s="7" t="s">
        <v>11</v>
      </c>
      <c r="BC3" s="7" t="s">
        <v>12</v>
      </c>
    </row>
    <row r="4" spans="1:61" ht="14.95" customHeight="1" thickBot="1" x14ac:dyDescent="0.3">
      <c r="A4" s="323" t="s">
        <v>888</v>
      </c>
      <c r="B4" s="329">
        <v>0</v>
      </c>
      <c r="C4" s="330">
        <v>0</v>
      </c>
      <c r="D4" s="331">
        <v>0</v>
      </c>
      <c r="E4" s="332">
        <f t="shared" si="0"/>
        <v>0</v>
      </c>
      <c r="F4" s="321" t="s">
        <v>888</v>
      </c>
      <c r="G4" s="146">
        <v>0</v>
      </c>
      <c r="H4" s="297">
        <v>0</v>
      </c>
      <c r="I4" s="233">
        <v>0</v>
      </c>
      <c r="J4" s="76">
        <f t="shared" si="1"/>
        <v>0</v>
      </c>
      <c r="K4" s="323" t="s">
        <v>181</v>
      </c>
      <c r="L4" s="332" t="s">
        <v>17</v>
      </c>
      <c r="M4" s="332" t="s">
        <v>17</v>
      </c>
      <c r="N4" s="333" t="s">
        <v>17</v>
      </c>
      <c r="O4" s="332" t="s">
        <v>17</v>
      </c>
      <c r="P4" s="332" t="s">
        <v>17</v>
      </c>
      <c r="Q4" s="333" t="s">
        <v>17</v>
      </c>
      <c r="R4" s="332" t="s">
        <v>21</v>
      </c>
      <c r="S4" s="332">
        <v>-1</v>
      </c>
      <c r="T4" s="7" t="s">
        <v>17</v>
      </c>
      <c r="U4" s="7" t="s">
        <v>17</v>
      </c>
      <c r="V4" s="155" t="s">
        <v>17</v>
      </c>
      <c r="W4" s="7" t="s">
        <v>17</v>
      </c>
      <c r="X4" s="7" t="s">
        <v>17</v>
      </c>
      <c r="Y4" s="155" t="s">
        <v>17</v>
      </c>
      <c r="Z4" s="94"/>
      <c r="AA4" s="95"/>
      <c r="AB4" s="199"/>
      <c r="AC4" s="7" t="s">
        <v>17</v>
      </c>
      <c r="AD4" s="7" t="s">
        <v>17</v>
      </c>
      <c r="AE4" s="155" t="s">
        <v>17</v>
      </c>
      <c r="AF4" s="150" t="s">
        <v>17</v>
      </c>
      <c r="AG4" s="7" t="s">
        <v>17</v>
      </c>
      <c r="AH4" s="7" t="s">
        <v>17</v>
      </c>
      <c r="AI4" s="150" t="s">
        <v>17</v>
      </c>
      <c r="AJ4" s="7" t="s">
        <v>17</v>
      </c>
      <c r="AK4" s="7" t="s">
        <v>17</v>
      </c>
      <c r="AL4" s="150">
        <v>1</v>
      </c>
      <c r="AM4" s="7">
        <v>1</v>
      </c>
      <c r="AN4" s="7">
        <v>100</v>
      </c>
      <c r="AO4" s="150" t="s">
        <v>17</v>
      </c>
      <c r="AP4" s="7" t="s">
        <v>17</v>
      </c>
      <c r="AQ4" s="7" t="s">
        <v>17</v>
      </c>
      <c r="AR4" s="150">
        <v>1</v>
      </c>
      <c r="AS4" s="7">
        <v>2</v>
      </c>
      <c r="AT4" s="155">
        <f t="shared" ref="AT4" si="2">SUM(AR4/AS4)*100</f>
        <v>50</v>
      </c>
      <c r="AU4" s="150" t="s">
        <v>17</v>
      </c>
      <c r="AV4" s="7" t="s">
        <v>17</v>
      </c>
      <c r="AW4" s="7" t="s">
        <v>17</v>
      </c>
      <c r="AX4" s="7" t="s">
        <v>17</v>
      </c>
      <c r="AY4" s="7" t="s">
        <v>17</v>
      </c>
      <c r="AZ4" s="7" t="s">
        <v>17</v>
      </c>
      <c r="BA4" s="7" t="s">
        <v>17</v>
      </c>
      <c r="BB4" s="7" t="s">
        <v>17</v>
      </c>
      <c r="BC4" s="7" t="s">
        <v>17</v>
      </c>
    </row>
    <row r="5" spans="1:61" ht="14.95" customHeight="1" thickBot="1" x14ac:dyDescent="0.3">
      <c r="A5" s="323" t="s">
        <v>589</v>
      </c>
      <c r="B5" s="329">
        <v>0</v>
      </c>
      <c r="C5" s="330">
        <v>0</v>
      </c>
      <c r="D5" s="331">
        <v>1</v>
      </c>
      <c r="E5" s="332">
        <f t="shared" si="0"/>
        <v>1</v>
      </c>
      <c r="F5" s="321" t="s">
        <v>589</v>
      </c>
      <c r="G5" s="146">
        <v>0</v>
      </c>
      <c r="H5" s="297">
        <v>0</v>
      </c>
      <c r="I5" s="233">
        <v>5</v>
      </c>
      <c r="J5" s="76">
        <f t="shared" si="1"/>
        <v>5</v>
      </c>
      <c r="K5" s="323" t="s">
        <v>183</v>
      </c>
      <c r="L5" s="332">
        <v>38</v>
      </c>
      <c r="M5" s="332">
        <v>55</v>
      </c>
      <c r="N5" s="333">
        <f t="shared" ref="N5:N6" si="3">SUM(L5/M5)*100</f>
        <v>69.090909090909093</v>
      </c>
      <c r="O5" s="332" t="s">
        <v>17</v>
      </c>
      <c r="P5" s="332" t="s">
        <v>17</v>
      </c>
      <c r="Q5" s="333" t="s">
        <v>17</v>
      </c>
      <c r="R5" s="332">
        <v>1</v>
      </c>
      <c r="S5" s="332">
        <v>1</v>
      </c>
      <c r="T5" s="7">
        <v>17</v>
      </c>
      <c r="U5" s="7">
        <v>23</v>
      </c>
      <c r="V5" s="155">
        <v>73.91304347826086</v>
      </c>
      <c r="W5" s="7">
        <v>63</v>
      </c>
      <c r="X5" s="7">
        <v>85</v>
      </c>
      <c r="Y5" s="155">
        <v>74.117647058823536</v>
      </c>
      <c r="Z5" s="94"/>
      <c r="AA5" s="95"/>
      <c r="AB5" s="199"/>
      <c r="AC5" s="7">
        <v>24</v>
      </c>
      <c r="AD5" s="7">
        <v>30</v>
      </c>
      <c r="AE5" s="155">
        <f t="shared" ref="AE5:AE6" si="4">SUM(AC5/AD5)*100</f>
        <v>80</v>
      </c>
      <c r="AF5" s="150">
        <v>21</v>
      </c>
      <c r="AG5" s="7">
        <v>29</v>
      </c>
      <c r="AH5" s="155">
        <f t="shared" ref="AH5" si="5">SUM(AF5/AG5)*100</f>
        <v>72.41379310344827</v>
      </c>
      <c r="AI5" s="150">
        <v>52</v>
      </c>
      <c r="AJ5" s="7">
        <v>77</v>
      </c>
      <c r="AK5" s="155">
        <f t="shared" ref="AK5" si="6">SUM(AI5/AJ5)*100</f>
        <v>67.532467532467535</v>
      </c>
      <c r="AL5" s="150">
        <v>26</v>
      </c>
      <c r="AM5" s="7">
        <v>34</v>
      </c>
      <c r="AN5" s="155">
        <f t="shared" ref="AN5:AN6" si="7">SUM(AL5/AM5)*100</f>
        <v>76.470588235294116</v>
      </c>
      <c r="AO5" s="150" t="s">
        <v>17</v>
      </c>
      <c r="AP5" s="7" t="s">
        <v>17</v>
      </c>
      <c r="AQ5" s="7" t="s">
        <v>17</v>
      </c>
      <c r="AR5" s="150" t="s">
        <v>17</v>
      </c>
      <c r="AS5" s="7" t="s">
        <v>17</v>
      </c>
      <c r="AT5" s="7" t="s">
        <v>17</v>
      </c>
      <c r="AU5" s="7" t="s">
        <v>17</v>
      </c>
      <c r="AV5" s="7" t="s">
        <v>17</v>
      </c>
      <c r="AW5" s="7" t="s">
        <v>17</v>
      </c>
      <c r="AX5" s="7" t="s">
        <v>17</v>
      </c>
      <c r="AY5" s="7" t="s">
        <v>17</v>
      </c>
      <c r="AZ5" s="7" t="s">
        <v>17</v>
      </c>
      <c r="BA5" s="7" t="s">
        <v>17</v>
      </c>
      <c r="BB5" s="7" t="s">
        <v>17</v>
      </c>
      <c r="BC5" s="7" t="s">
        <v>17</v>
      </c>
    </row>
    <row r="6" spans="1:61" ht="14.95" customHeight="1" thickBot="1" x14ac:dyDescent="0.3">
      <c r="A6" s="323" t="s">
        <v>41</v>
      </c>
      <c r="B6" s="329">
        <v>0</v>
      </c>
      <c r="C6" s="330">
        <v>0</v>
      </c>
      <c r="D6" s="331">
        <v>0</v>
      </c>
      <c r="E6" s="332">
        <f t="shared" si="0"/>
        <v>0</v>
      </c>
      <c r="F6" s="322" t="s">
        <v>41</v>
      </c>
      <c r="G6" s="146">
        <v>0</v>
      </c>
      <c r="H6" s="297">
        <v>0</v>
      </c>
      <c r="I6" s="233">
        <v>0</v>
      </c>
      <c r="J6" s="76">
        <f t="shared" si="1"/>
        <v>0</v>
      </c>
      <c r="K6" s="323" t="s">
        <v>117</v>
      </c>
      <c r="L6" s="332">
        <v>1</v>
      </c>
      <c r="M6" s="332">
        <v>2</v>
      </c>
      <c r="N6" s="333">
        <f t="shared" si="3"/>
        <v>50</v>
      </c>
      <c r="O6" s="332" t="s">
        <v>17</v>
      </c>
      <c r="P6" s="332" t="s">
        <v>17</v>
      </c>
      <c r="Q6" s="333" t="s">
        <v>17</v>
      </c>
      <c r="R6" s="332">
        <v>-1</v>
      </c>
      <c r="S6" s="332">
        <v>2</v>
      </c>
      <c r="T6" s="7" t="s">
        <v>17</v>
      </c>
      <c r="U6" s="7" t="s">
        <v>17</v>
      </c>
      <c r="V6" s="155" t="s">
        <v>17</v>
      </c>
      <c r="W6" s="7">
        <v>0</v>
      </c>
      <c r="X6" s="7">
        <v>1</v>
      </c>
      <c r="Y6" s="155">
        <v>0</v>
      </c>
      <c r="Z6" s="94"/>
      <c r="AA6" s="95"/>
      <c r="AB6" s="199"/>
      <c r="AC6" s="7">
        <v>2</v>
      </c>
      <c r="AD6" s="7">
        <v>6</v>
      </c>
      <c r="AE6" s="155">
        <f t="shared" si="4"/>
        <v>33.333333333333329</v>
      </c>
      <c r="AF6" s="150" t="s">
        <v>17</v>
      </c>
      <c r="AG6" s="7" t="s">
        <v>17</v>
      </c>
      <c r="AH6" s="155" t="s">
        <v>17</v>
      </c>
      <c r="AI6" s="150">
        <v>0</v>
      </c>
      <c r="AJ6" s="7">
        <v>2</v>
      </c>
      <c r="AK6" s="155">
        <v>0</v>
      </c>
      <c r="AL6" s="150">
        <v>0</v>
      </c>
      <c r="AM6" s="7">
        <v>1</v>
      </c>
      <c r="AN6" s="155">
        <f t="shared" si="7"/>
        <v>0</v>
      </c>
      <c r="AO6" s="150" t="s">
        <v>17</v>
      </c>
      <c r="AP6" s="7" t="s">
        <v>17</v>
      </c>
      <c r="AQ6" s="7" t="s">
        <v>17</v>
      </c>
      <c r="AR6" s="150" t="s">
        <v>17</v>
      </c>
      <c r="AS6" s="7" t="s">
        <v>17</v>
      </c>
      <c r="AT6" s="7" t="s">
        <v>17</v>
      </c>
      <c r="AU6" s="150" t="s">
        <v>17</v>
      </c>
      <c r="AV6" s="7" t="s">
        <v>17</v>
      </c>
      <c r="AW6" s="7" t="s">
        <v>17</v>
      </c>
      <c r="AX6" s="7" t="s">
        <v>17</v>
      </c>
      <c r="AY6" s="7" t="s">
        <v>17</v>
      </c>
      <c r="AZ6" s="7" t="s">
        <v>17</v>
      </c>
      <c r="BA6" s="7" t="s">
        <v>17</v>
      </c>
      <c r="BB6" s="7" t="s">
        <v>17</v>
      </c>
      <c r="BC6" s="7" t="s">
        <v>17</v>
      </c>
    </row>
    <row r="7" spans="1:61" ht="14.95" customHeight="1" thickBot="1" x14ac:dyDescent="0.3">
      <c r="A7" s="323" t="s">
        <v>892</v>
      </c>
      <c r="B7" s="329">
        <v>0</v>
      </c>
      <c r="C7" s="330">
        <v>0</v>
      </c>
      <c r="D7" s="331">
        <v>0</v>
      </c>
      <c r="E7" s="332">
        <f t="shared" si="0"/>
        <v>0</v>
      </c>
      <c r="F7" s="322" t="s">
        <v>892</v>
      </c>
      <c r="G7" s="146">
        <v>0</v>
      </c>
      <c r="H7" s="297">
        <v>0</v>
      </c>
      <c r="I7" s="233">
        <v>0</v>
      </c>
      <c r="J7" s="76">
        <f t="shared" si="1"/>
        <v>0</v>
      </c>
      <c r="K7" s="323" t="s">
        <v>550</v>
      </c>
      <c r="L7" s="332">
        <v>39</v>
      </c>
      <c r="M7" s="332">
        <v>47</v>
      </c>
      <c r="N7" s="333">
        <f t="shared" ref="N7" si="8">SUM(L7/M7)*100</f>
        <v>82.978723404255319</v>
      </c>
      <c r="O7" s="332">
        <v>4</v>
      </c>
      <c r="P7" s="332">
        <v>4</v>
      </c>
      <c r="Q7" s="333">
        <f t="shared" ref="Q7" si="9">SUM(O7/P7)*100</f>
        <v>100</v>
      </c>
      <c r="R7" s="332">
        <v>17</v>
      </c>
      <c r="S7" s="332">
        <v>17</v>
      </c>
      <c r="T7" s="7">
        <v>43</v>
      </c>
      <c r="U7" s="7">
        <v>62</v>
      </c>
      <c r="V7" s="155">
        <v>69.354838709677423</v>
      </c>
      <c r="W7" s="7">
        <v>26</v>
      </c>
      <c r="X7" s="7">
        <v>30</v>
      </c>
      <c r="Y7" s="155">
        <v>86.666666666666671</v>
      </c>
      <c r="Z7" s="94"/>
      <c r="AA7" s="95"/>
      <c r="AB7" s="199"/>
      <c r="AC7" s="7">
        <v>81</v>
      </c>
      <c r="AD7" s="7">
        <v>109</v>
      </c>
      <c r="AE7" s="155">
        <v>74.311926605504581</v>
      </c>
      <c r="AF7" s="150">
        <v>27</v>
      </c>
      <c r="AG7" s="7">
        <v>32</v>
      </c>
      <c r="AH7" s="155">
        <v>84.375</v>
      </c>
      <c r="AI7" s="150">
        <v>35</v>
      </c>
      <c r="AJ7" s="7">
        <v>40</v>
      </c>
      <c r="AK7" s="155">
        <v>87.5</v>
      </c>
      <c r="AL7" s="150">
        <v>77</v>
      </c>
      <c r="AM7" s="7">
        <v>91</v>
      </c>
      <c r="AN7" s="155">
        <v>84.615384615384613</v>
      </c>
      <c r="AO7" s="150">
        <v>61</v>
      </c>
      <c r="AP7" s="7">
        <v>77</v>
      </c>
      <c r="AQ7" s="7">
        <v>79</v>
      </c>
      <c r="AR7" s="150">
        <v>51</v>
      </c>
      <c r="AS7" s="7">
        <v>70</v>
      </c>
      <c r="AT7" s="7">
        <v>73</v>
      </c>
      <c r="AU7" s="150">
        <v>37</v>
      </c>
      <c r="AV7" s="7">
        <v>50</v>
      </c>
      <c r="AW7" s="7">
        <v>74</v>
      </c>
      <c r="AX7" s="7">
        <v>85</v>
      </c>
      <c r="AY7" s="7">
        <v>102</v>
      </c>
      <c r="AZ7" s="7">
        <v>83</v>
      </c>
      <c r="BA7" s="7">
        <v>87</v>
      </c>
      <c r="BB7" s="7">
        <v>122</v>
      </c>
      <c r="BC7" s="7">
        <v>71</v>
      </c>
    </row>
    <row r="8" spans="1:61" ht="14.95" customHeight="1" thickBot="1" x14ac:dyDescent="0.3">
      <c r="A8" s="323" t="s">
        <v>181</v>
      </c>
      <c r="B8" s="329">
        <v>0</v>
      </c>
      <c r="C8" s="330">
        <v>0</v>
      </c>
      <c r="D8" s="331">
        <v>1</v>
      </c>
      <c r="E8" s="332">
        <f t="shared" si="0"/>
        <v>1</v>
      </c>
      <c r="F8" s="322" t="s">
        <v>181</v>
      </c>
      <c r="G8" s="146">
        <v>0</v>
      </c>
      <c r="H8" s="297">
        <v>0</v>
      </c>
      <c r="I8" s="233">
        <v>5</v>
      </c>
      <c r="J8" s="76">
        <f t="shared" si="1"/>
        <v>5</v>
      </c>
      <c r="K8" s="323" t="s">
        <v>400</v>
      </c>
      <c r="L8" s="332" t="s">
        <v>17</v>
      </c>
      <c r="M8" s="332" t="s">
        <v>17</v>
      </c>
      <c r="N8" s="333" t="s">
        <v>17</v>
      </c>
      <c r="O8" s="332" t="s">
        <v>17</v>
      </c>
      <c r="P8" s="332" t="s">
        <v>17</v>
      </c>
      <c r="Q8" s="333" t="s">
        <v>17</v>
      </c>
      <c r="R8" s="332" t="s">
        <v>21</v>
      </c>
      <c r="S8" s="332">
        <v>2</v>
      </c>
      <c r="T8" s="7" t="s">
        <v>17</v>
      </c>
      <c r="U8" s="7" t="s">
        <v>17</v>
      </c>
      <c r="V8" s="155" t="s">
        <v>17</v>
      </c>
      <c r="W8" s="7" t="s">
        <v>17</v>
      </c>
      <c r="X8" s="7" t="s">
        <v>17</v>
      </c>
      <c r="Y8" s="155" t="s">
        <v>17</v>
      </c>
      <c r="Z8" s="94"/>
      <c r="AA8" s="95"/>
      <c r="AB8" s="199"/>
      <c r="AC8" s="7" t="s">
        <v>17</v>
      </c>
      <c r="AD8" s="7" t="s">
        <v>17</v>
      </c>
      <c r="AE8" s="155" t="s">
        <v>17</v>
      </c>
      <c r="AF8" s="7" t="s">
        <v>17</v>
      </c>
      <c r="AG8" s="7" t="s">
        <v>17</v>
      </c>
      <c r="AH8" s="155" t="s">
        <v>17</v>
      </c>
      <c r="AI8" s="7" t="s">
        <v>17</v>
      </c>
      <c r="AJ8" s="7" t="s">
        <v>17</v>
      </c>
      <c r="AK8" s="155" t="s">
        <v>17</v>
      </c>
      <c r="AL8" s="7" t="s">
        <v>17</v>
      </c>
      <c r="AM8" s="7" t="s">
        <v>17</v>
      </c>
      <c r="AN8" s="155" t="s">
        <v>17</v>
      </c>
      <c r="AO8" s="7" t="s">
        <v>17</v>
      </c>
      <c r="AP8" s="7" t="s">
        <v>17</v>
      </c>
      <c r="AQ8" s="155" t="s">
        <v>17</v>
      </c>
      <c r="AR8" s="7" t="s">
        <v>17</v>
      </c>
      <c r="AS8" s="7" t="s">
        <v>17</v>
      </c>
      <c r="AT8" s="155" t="s">
        <v>17</v>
      </c>
      <c r="AU8" s="7" t="s">
        <v>17</v>
      </c>
      <c r="AV8" s="7" t="s">
        <v>17</v>
      </c>
      <c r="AW8" s="155" t="s">
        <v>17</v>
      </c>
      <c r="AX8" s="7" t="s">
        <v>17</v>
      </c>
      <c r="AY8" s="7" t="s">
        <v>17</v>
      </c>
      <c r="AZ8" s="155" t="s">
        <v>17</v>
      </c>
      <c r="BA8" s="7" t="s">
        <v>17</v>
      </c>
      <c r="BB8" s="7" t="s">
        <v>17</v>
      </c>
      <c r="BC8" s="155" t="s">
        <v>17</v>
      </c>
    </row>
    <row r="9" spans="1:61" ht="14.95" customHeight="1" thickBot="1" x14ac:dyDescent="0.3">
      <c r="A9" s="323" t="s">
        <v>414</v>
      </c>
      <c r="B9" s="329">
        <v>0</v>
      </c>
      <c r="C9" s="330">
        <v>0</v>
      </c>
      <c r="D9" s="331">
        <v>0</v>
      </c>
      <c r="E9" s="332">
        <f t="shared" si="0"/>
        <v>0</v>
      </c>
      <c r="F9" s="322" t="s">
        <v>414</v>
      </c>
      <c r="G9" s="146">
        <v>0</v>
      </c>
      <c r="H9" s="297">
        <v>0</v>
      </c>
      <c r="I9" s="233">
        <v>0</v>
      </c>
      <c r="J9" s="76">
        <f t="shared" si="1"/>
        <v>0</v>
      </c>
    </row>
    <row r="10" spans="1:61" ht="14.95" customHeight="1" thickBot="1" x14ac:dyDescent="0.3">
      <c r="A10" s="323" t="s">
        <v>1109</v>
      </c>
      <c r="B10" s="329">
        <v>0</v>
      </c>
      <c r="C10" s="330">
        <v>0</v>
      </c>
      <c r="D10" s="331">
        <v>1</v>
      </c>
      <c r="E10" s="332">
        <f t="shared" si="0"/>
        <v>1</v>
      </c>
      <c r="F10" s="322" t="s">
        <v>1109</v>
      </c>
      <c r="G10" s="146">
        <v>0</v>
      </c>
      <c r="H10" s="297">
        <v>0</v>
      </c>
      <c r="I10" s="233">
        <v>5</v>
      </c>
      <c r="J10" s="76">
        <f t="shared" si="1"/>
        <v>5</v>
      </c>
      <c r="K10" s="522" t="s">
        <v>226</v>
      </c>
      <c r="L10" s="453" t="s">
        <v>16</v>
      </c>
      <c r="M10" s="467"/>
      <c r="N10" s="454"/>
      <c r="O10" s="469" t="s">
        <v>267</v>
      </c>
      <c r="P10" s="470"/>
      <c r="Q10" s="471"/>
      <c r="R10" s="469" t="s">
        <v>698</v>
      </c>
      <c r="S10" s="470"/>
      <c r="T10" s="471"/>
      <c r="U10" s="469" t="s">
        <v>562</v>
      </c>
      <c r="V10" s="470"/>
      <c r="W10" s="471"/>
      <c r="X10" s="86"/>
      <c r="Y10" s="86"/>
      <c r="Z10" s="86"/>
      <c r="AC10" s="469" t="s">
        <v>463</v>
      </c>
      <c r="AD10" s="470"/>
      <c r="AE10" s="471"/>
      <c r="AF10" s="469" t="s">
        <v>355</v>
      </c>
      <c r="AG10" s="470"/>
      <c r="AH10" s="471"/>
      <c r="AI10" s="457" t="s">
        <v>260</v>
      </c>
      <c r="AJ10" s="458"/>
      <c r="AK10" s="459"/>
      <c r="AL10" s="457" t="s">
        <v>199</v>
      </c>
      <c r="AM10" s="458"/>
      <c r="AN10" s="459"/>
      <c r="AO10" s="457" t="s">
        <v>92</v>
      </c>
      <c r="AP10" s="458"/>
      <c r="AQ10" s="459"/>
      <c r="AR10" s="457" t="s">
        <v>63</v>
      </c>
      <c r="AS10" s="458"/>
      <c r="AT10" s="459"/>
      <c r="AU10" s="457" t="s">
        <v>59</v>
      </c>
      <c r="AV10" s="458"/>
      <c r="AW10" s="459"/>
      <c r="AX10" s="457" t="s">
        <v>45</v>
      </c>
      <c r="AY10" s="458"/>
      <c r="AZ10" s="459"/>
    </row>
    <row r="11" spans="1:61" ht="14.95" customHeight="1" thickBot="1" x14ac:dyDescent="0.3">
      <c r="A11" s="323" t="s">
        <v>521</v>
      </c>
      <c r="B11" s="329">
        <v>0</v>
      </c>
      <c r="C11" s="330">
        <v>0</v>
      </c>
      <c r="D11" s="331">
        <v>0</v>
      </c>
      <c r="E11" s="332">
        <f t="shared" si="0"/>
        <v>0</v>
      </c>
      <c r="F11" s="322" t="s">
        <v>521</v>
      </c>
      <c r="G11" s="146">
        <v>0</v>
      </c>
      <c r="H11" s="297">
        <v>0</v>
      </c>
      <c r="I11" s="233">
        <v>0</v>
      </c>
      <c r="J11" s="76">
        <f t="shared" si="1"/>
        <v>0</v>
      </c>
      <c r="K11" s="523"/>
      <c r="L11" s="455"/>
      <c r="M11" s="468"/>
      <c r="N11" s="456"/>
      <c r="O11" s="472"/>
      <c r="P11" s="473"/>
      <c r="Q11" s="474"/>
      <c r="R11" s="472"/>
      <c r="S11" s="473"/>
      <c r="T11" s="474"/>
      <c r="U11" s="472"/>
      <c r="V11" s="473"/>
      <c r="W11" s="474"/>
      <c r="X11" s="86"/>
      <c r="Y11" s="86"/>
      <c r="Z11" s="86"/>
      <c r="AC11" s="472"/>
      <c r="AD11" s="473"/>
      <c r="AE11" s="474"/>
      <c r="AF11" s="472"/>
      <c r="AG11" s="473"/>
      <c r="AH11" s="474"/>
      <c r="AI11" s="460"/>
      <c r="AJ11" s="461"/>
      <c r="AK11" s="462"/>
      <c r="AL11" s="460"/>
      <c r="AM11" s="461"/>
      <c r="AN11" s="462"/>
      <c r="AO11" s="460"/>
      <c r="AP11" s="461"/>
      <c r="AQ11" s="462"/>
      <c r="AR11" s="460"/>
      <c r="AS11" s="461"/>
      <c r="AT11" s="462"/>
      <c r="AU11" s="460"/>
      <c r="AV11" s="461"/>
      <c r="AW11" s="462"/>
      <c r="AX11" s="460"/>
      <c r="AY11" s="461"/>
      <c r="AZ11" s="462"/>
    </row>
    <row r="12" spans="1:61" ht="14.95" customHeight="1" thickBot="1" x14ac:dyDescent="0.3">
      <c r="A12" s="323" t="s">
        <v>450</v>
      </c>
      <c r="B12" s="329">
        <v>4</v>
      </c>
      <c r="C12" s="330">
        <v>2</v>
      </c>
      <c r="D12" s="331">
        <v>0</v>
      </c>
      <c r="E12" s="332">
        <f t="shared" si="0"/>
        <v>6</v>
      </c>
      <c r="F12" s="322" t="s">
        <v>450</v>
      </c>
      <c r="G12" s="146">
        <v>20</v>
      </c>
      <c r="H12" s="297">
        <v>10</v>
      </c>
      <c r="I12" s="233">
        <v>0</v>
      </c>
      <c r="J12" s="76">
        <f t="shared" si="1"/>
        <v>30</v>
      </c>
      <c r="K12" s="263" t="s">
        <v>25</v>
      </c>
      <c r="L12" s="3" t="s">
        <v>55</v>
      </c>
      <c r="M12" s="3" t="s">
        <v>11</v>
      </c>
      <c r="N12" s="3" t="s">
        <v>12</v>
      </c>
      <c r="O12" s="7" t="s">
        <v>55</v>
      </c>
      <c r="P12" s="7" t="s">
        <v>11</v>
      </c>
      <c r="Q12" s="7" t="s">
        <v>12</v>
      </c>
      <c r="R12" s="7" t="s">
        <v>55</v>
      </c>
      <c r="S12" s="7" t="s">
        <v>11</v>
      </c>
      <c r="T12" s="7" t="s">
        <v>12</v>
      </c>
      <c r="U12" s="7" t="s">
        <v>55</v>
      </c>
      <c r="V12" s="7" t="s">
        <v>11</v>
      </c>
      <c r="W12" s="7" t="s">
        <v>12</v>
      </c>
      <c r="AC12" s="150" t="s">
        <v>55</v>
      </c>
      <c r="AD12" s="7" t="s">
        <v>11</v>
      </c>
      <c r="AE12" s="7" t="s">
        <v>12</v>
      </c>
      <c r="AF12" s="150" t="s">
        <v>55</v>
      </c>
      <c r="AG12" s="7" t="s">
        <v>11</v>
      </c>
      <c r="AH12" s="7" t="s">
        <v>12</v>
      </c>
      <c r="AI12" s="85" t="s">
        <v>55</v>
      </c>
      <c r="AJ12" s="80" t="s">
        <v>11</v>
      </c>
      <c r="AK12" s="80" t="s">
        <v>12</v>
      </c>
      <c r="AL12" s="85" t="s">
        <v>55</v>
      </c>
      <c r="AM12" s="80" t="s">
        <v>11</v>
      </c>
      <c r="AN12" s="80" t="s">
        <v>12</v>
      </c>
      <c r="AO12" s="85" t="s">
        <v>55</v>
      </c>
      <c r="AP12" s="80" t="s">
        <v>11</v>
      </c>
      <c r="AQ12" s="80" t="s">
        <v>12</v>
      </c>
      <c r="AR12" s="85" t="s">
        <v>55</v>
      </c>
      <c r="AS12" s="80" t="s">
        <v>11</v>
      </c>
      <c r="AT12" s="80" t="s">
        <v>12</v>
      </c>
      <c r="AU12" s="85" t="s">
        <v>55</v>
      </c>
      <c r="AV12" s="80" t="s">
        <v>11</v>
      </c>
      <c r="AW12" s="80" t="s">
        <v>12</v>
      </c>
      <c r="AX12" s="98" t="s">
        <v>55</v>
      </c>
      <c r="AY12" s="100" t="s">
        <v>11</v>
      </c>
      <c r="AZ12" s="100" t="s">
        <v>12</v>
      </c>
    </row>
    <row r="13" spans="1:61" ht="14.95" customHeight="1" thickBot="1" x14ac:dyDescent="0.3">
      <c r="A13" s="323" t="s">
        <v>38</v>
      </c>
      <c r="B13" s="329">
        <v>9</v>
      </c>
      <c r="C13" s="330">
        <v>0</v>
      </c>
      <c r="D13" s="331">
        <v>0</v>
      </c>
      <c r="E13" s="332">
        <f t="shared" si="0"/>
        <v>9</v>
      </c>
      <c r="F13" s="322" t="s">
        <v>38</v>
      </c>
      <c r="G13" s="146">
        <v>45</v>
      </c>
      <c r="H13" s="297">
        <v>0</v>
      </c>
      <c r="I13" s="233">
        <v>0</v>
      </c>
      <c r="J13" s="76">
        <f t="shared" si="1"/>
        <v>45</v>
      </c>
      <c r="K13" s="323" t="s">
        <v>181</v>
      </c>
      <c r="L13" s="332" t="s">
        <v>17</v>
      </c>
      <c r="M13" s="332" t="s">
        <v>17</v>
      </c>
      <c r="N13" s="333" t="s">
        <v>17</v>
      </c>
      <c r="O13" s="7">
        <v>1</v>
      </c>
      <c r="P13" s="7">
        <v>2</v>
      </c>
      <c r="Q13" s="155">
        <v>50</v>
      </c>
      <c r="R13" s="7" t="s">
        <v>17</v>
      </c>
      <c r="S13" s="7" t="s">
        <v>17</v>
      </c>
      <c r="T13" s="155" t="s">
        <v>17</v>
      </c>
      <c r="U13" s="7" t="s">
        <v>17</v>
      </c>
      <c r="V13" s="7" t="s">
        <v>17</v>
      </c>
      <c r="W13" s="155" t="s">
        <v>17</v>
      </c>
      <c r="AC13" s="150" t="s">
        <v>17</v>
      </c>
      <c r="AD13" s="7" t="s">
        <v>17</v>
      </c>
      <c r="AE13" s="155" t="s">
        <v>17</v>
      </c>
      <c r="AF13" s="150" t="s">
        <v>17</v>
      </c>
      <c r="AG13" s="7" t="s">
        <v>17</v>
      </c>
      <c r="AH13" s="7" t="s">
        <v>17</v>
      </c>
      <c r="AI13" s="150" t="s">
        <v>17</v>
      </c>
      <c r="AJ13" s="7" t="s">
        <v>17</v>
      </c>
      <c r="AK13" s="7" t="s">
        <v>17</v>
      </c>
      <c r="AL13" s="150" t="s">
        <v>17</v>
      </c>
      <c r="AM13" s="7" t="s">
        <v>17</v>
      </c>
      <c r="AN13" s="7" t="s">
        <v>17</v>
      </c>
      <c r="AO13" s="150" t="s">
        <v>17</v>
      </c>
      <c r="AP13" s="7" t="s">
        <v>17</v>
      </c>
      <c r="AQ13" s="7" t="s">
        <v>17</v>
      </c>
      <c r="AR13" s="6" t="s">
        <v>17</v>
      </c>
      <c r="AS13" s="7" t="s">
        <v>17</v>
      </c>
      <c r="AT13" s="7" t="s">
        <v>17</v>
      </c>
      <c r="AU13" s="6" t="s">
        <v>17</v>
      </c>
      <c r="AV13" s="7" t="s">
        <v>17</v>
      </c>
      <c r="AW13" s="7" t="s">
        <v>17</v>
      </c>
      <c r="AX13" s="7" t="s">
        <v>17</v>
      </c>
      <c r="AY13" s="7" t="s">
        <v>17</v>
      </c>
      <c r="AZ13" s="7" t="s">
        <v>17</v>
      </c>
      <c r="BA13" s="81"/>
      <c r="BB13" s="81"/>
    </row>
    <row r="14" spans="1:61" ht="14.95" customHeight="1" thickBot="1" x14ac:dyDescent="0.3">
      <c r="A14" s="323" t="s">
        <v>66</v>
      </c>
      <c r="B14" s="329">
        <v>2</v>
      </c>
      <c r="C14" s="330">
        <v>2</v>
      </c>
      <c r="D14" s="331">
        <v>0</v>
      </c>
      <c r="E14" s="332">
        <f t="shared" si="0"/>
        <v>4</v>
      </c>
      <c r="F14" s="322" t="s">
        <v>66</v>
      </c>
      <c r="G14" s="146">
        <v>10</v>
      </c>
      <c r="H14" s="297">
        <v>10</v>
      </c>
      <c r="I14" s="233">
        <v>0</v>
      </c>
      <c r="J14" s="76">
        <f t="shared" si="1"/>
        <v>20</v>
      </c>
      <c r="K14" s="323" t="s">
        <v>117</v>
      </c>
      <c r="L14" s="332" t="s">
        <v>17</v>
      </c>
      <c r="M14" s="332" t="s">
        <v>17</v>
      </c>
      <c r="N14" s="333" t="s">
        <v>17</v>
      </c>
      <c r="O14" s="7">
        <v>2</v>
      </c>
      <c r="P14" s="7">
        <v>2</v>
      </c>
      <c r="Q14" s="155">
        <v>100</v>
      </c>
      <c r="R14" s="7" t="s">
        <v>17</v>
      </c>
      <c r="S14" s="7" t="s">
        <v>17</v>
      </c>
      <c r="T14" s="155" t="s">
        <v>17</v>
      </c>
      <c r="U14" s="7" t="s">
        <v>17</v>
      </c>
      <c r="V14" s="7" t="s">
        <v>17</v>
      </c>
      <c r="W14" s="155" t="s">
        <v>17</v>
      </c>
      <c r="AC14" s="150" t="s">
        <v>17</v>
      </c>
      <c r="AD14" s="7" t="s">
        <v>17</v>
      </c>
      <c r="AE14" s="155" t="s">
        <v>17</v>
      </c>
      <c r="AF14" s="150">
        <v>1</v>
      </c>
      <c r="AG14" s="7">
        <v>1</v>
      </c>
      <c r="AH14" s="155">
        <v>100</v>
      </c>
      <c r="AI14" s="150" t="s">
        <v>17</v>
      </c>
      <c r="AJ14" s="7" t="s">
        <v>17</v>
      </c>
      <c r="AK14" s="7" t="s">
        <v>17</v>
      </c>
      <c r="AL14" s="150" t="s">
        <v>17</v>
      </c>
      <c r="AM14" s="7" t="s">
        <v>17</v>
      </c>
      <c r="AN14" s="7" t="s">
        <v>17</v>
      </c>
      <c r="AO14" s="150" t="s">
        <v>17</v>
      </c>
      <c r="AP14" s="7" t="s">
        <v>17</v>
      </c>
      <c r="AQ14" s="7" t="s">
        <v>17</v>
      </c>
      <c r="AR14" s="6" t="s">
        <v>17</v>
      </c>
      <c r="AS14" s="7" t="s">
        <v>17</v>
      </c>
      <c r="AT14" s="7" t="s">
        <v>17</v>
      </c>
      <c r="AU14" s="6" t="s">
        <v>17</v>
      </c>
      <c r="AV14" s="7" t="s">
        <v>17</v>
      </c>
      <c r="AW14" s="7" t="s">
        <v>17</v>
      </c>
      <c r="AX14" s="6" t="s">
        <v>17</v>
      </c>
      <c r="AY14" s="7" t="s">
        <v>17</v>
      </c>
      <c r="AZ14" s="7" t="s">
        <v>17</v>
      </c>
      <c r="BA14" s="81"/>
      <c r="BB14" s="81"/>
    </row>
    <row r="15" spans="1:61" ht="14.95" customHeight="1" thickBot="1" x14ac:dyDescent="0.3">
      <c r="A15" s="323" t="s">
        <v>64</v>
      </c>
      <c r="B15" s="329">
        <v>2</v>
      </c>
      <c r="C15" s="330">
        <v>0</v>
      </c>
      <c r="D15" s="331">
        <v>0</v>
      </c>
      <c r="E15" s="332">
        <f t="shared" si="0"/>
        <v>2</v>
      </c>
      <c r="F15" s="322" t="s">
        <v>64</v>
      </c>
      <c r="G15" s="146">
        <v>10</v>
      </c>
      <c r="H15" s="297">
        <v>0</v>
      </c>
      <c r="I15" s="233">
        <v>0</v>
      </c>
      <c r="J15" s="76">
        <f t="shared" si="1"/>
        <v>10</v>
      </c>
      <c r="K15" s="323" t="s">
        <v>183</v>
      </c>
      <c r="L15" s="332">
        <v>6</v>
      </c>
      <c r="M15" s="332">
        <v>8</v>
      </c>
      <c r="N15" s="333">
        <f t="shared" ref="N15:N16" si="10">SUM(L15/M15)*100</f>
        <v>75</v>
      </c>
      <c r="O15" s="7">
        <v>9</v>
      </c>
      <c r="P15" s="7">
        <v>9</v>
      </c>
      <c r="Q15" s="155">
        <v>100</v>
      </c>
      <c r="R15" s="7">
        <v>9</v>
      </c>
      <c r="S15" s="7">
        <v>14</v>
      </c>
      <c r="T15" s="155">
        <v>64.285714285714292</v>
      </c>
      <c r="U15" s="7">
        <v>17</v>
      </c>
      <c r="V15" s="7">
        <v>22</v>
      </c>
      <c r="W15" s="155">
        <f t="shared" ref="W15" si="11">SUM(U15/V15)*100</f>
        <v>77.272727272727266</v>
      </c>
      <c r="AC15" s="150">
        <v>2</v>
      </c>
      <c r="AD15" s="7">
        <v>3</v>
      </c>
      <c r="AE15" s="155">
        <f t="shared" ref="AE15" si="12">SUM(AC15/AD15)*100</f>
        <v>66.666666666666657</v>
      </c>
      <c r="AF15" s="150">
        <v>2</v>
      </c>
      <c r="AG15" s="7">
        <v>4</v>
      </c>
      <c r="AH15" s="155">
        <v>50</v>
      </c>
      <c r="AI15" s="150" t="s">
        <v>17</v>
      </c>
      <c r="AJ15" s="7" t="s">
        <v>17</v>
      </c>
      <c r="AK15" s="7" t="s">
        <v>17</v>
      </c>
      <c r="AL15" s="150" t="s">
        <v>17</v>
      </c>
      <c r="AM15" s="7" t="s">
        <v>17</v>
      </c>
      <c r="AN15" s="7" t="s">
        <v>17</v>
      </c>
      <c r="AO15" s="150" t="s">
        <v>17</v>
      </c>
      <c r="AP15" s="7" t="s">
        <v>17</v>
      </c>
      <c r="AQ15" s="7" t="s">
        <v>17</v>
      </c>
      <c r="AR15" s="6" t="s">
        <v>17</v>
      </c>
      <c r="AS15" s="7" t="s">
        <v>17</v>
      </c>
      <c r="AT15" s="7" t="s">
        <v>17</v>
      </c>
      <c r="AU15" s="6" t="s">
        <v>17</v>
      </c>
      <c r="AV15" s="7" t="s">
        <v>17</v>
      </c>
      <c r="AW15" s="7" t="s">
        <v>17</v>
      </c>
      <c r="AX15" s="7" t="s">
        <v>17</v>
      </c>
      <c r="AY15" s="7" t="s">
        <v>17</v>
      </c>
      <c r="AZ15" s="7" t="s">
        <v>17</v>
      </c>
      <c r="BA15" s="81"/>
      <c r="BB15" s="81"/>
    </row>
    <row r="16" spans="1:61" ht="14.95" customHeight="1" thickBot="1" x14ac:dyDescent="0.3">
      <c r="A16" s="323" t="s">
        <v>214</v>
      </c>
      <c r="B16" s="329">
        <v>0</v>
      </c>
      <c r="C16" s="330">
        <v>0</v>
      </c>
      <c r="D16" s="331">
        <v>0</v>
      </c>
      <c r="E16" s="332">
        <f t="shared" si="0"/>
        <v>0</v>
      </c>
      <c r="F16" s="322" t="s">
        <v>117</v>
      </c>
      <c r="G16" s="146">
        <v>3</v>
      </c>
      <c r="H16" s="297">
        <v>0</v>
      </c>
      <c r="I16" s="233">
        <v>48</v>
      </c>
      <c r="J16" s="76">
        <f t="shared" si="1"/>
        <v>51</v>
      </c>
      <c r="K16" s="323" t="s">
        <v>550</v>
      </c>
      <c r="L16" s="332">
        <v>5</v>
      </c>
      <c r="M16" s="332">
        <v>7</v>
      </c>
      <c r="N16" s="333">
        <f t="shared" si="10"/>
        <v>71.428571428571431</v>
      </c>
      <c r="O16" s="7">
        <v>4</v>
      </c>
      <c r="P16" s="7">
        <v>6</v>
      </c>
      <c r="Q16" s="155">
        <v>66.666666666666657</v>
      </c>
      <c r="R16" s="7" t="s">
        <v>17</v>
      </c>
      <c r="S16" s="7" t="s">
        <v>17</v>
      </c>
      <c r="T16" s="155" t="s">
        <v>17</v>
      </c>
      <c r="U16" s="7">
        <v>10</v>
      </c>
      <c r="V16" s="7">
        <v>15</v>
      </c>
      <c r="W16" s="155">
        <v>66.666666666666657</v>
      </c>
      <c r="AC16" s="150" t="s">
        <v>17</v>
      </c>
      <c r="AD16" s="7" t="s">
        <v>17</v>
      </c>
      <c r="AE16" s="155" t="s">
        <v>17</v>
      </c>
      <c r="AF16" s="150">
        <v>16</v>
      </c>
      <c r="AG16" s="7">
        <v>19</v>
      </c>
      <c r="AH16" s="155">
        <v>84.210526315789465</v>
      </c>
      <c r="AI16" s="150">
        <v>17</v>
      </c>
      <c r="AJ16" s="7">
        <v>21</v>
      </c>
      <c r="AK16" s="7">
        <v>81</v>
      </c>
      <c r="AL16" s="150">
        <v>21</v>
      </c>
      <c r="AM16" s="7">
        <v>24</v>
      </c>
      <c r="AN16" s="7">
        <v>88</v>
      </c>
      <c r="AO16" s="150">
        <v>20</v>
      </c>
      <c r="AP16" s="7">
        <v>25</v>
      </c>
      <c r="AQ16" s="7">
        <v>80</v>
      </c>
      <c r="AR16" s="6">
        <v>15</v>
      </c>
      <c r="AS16" s="7">
        <v>21</v>
      </c>
      <c r="AT16" s="7">
        <v>71</v>
      </c>
      <c r="AU16" s="6">
        <v>27</v>
      </c>
      <c r="AV16" s="7">
        <v>34</v>
      </c>
      <c r="AW16" s="7">
        <v>79</v>
      </c>
      <c r="AX16" s="7">
        <v>27</v>
      </c>
      <c r="AY16" s="7">
        <v>40</v>
      </c>
      <c r="AZ16" s="7">
        <v>68</v>
      </c>
      <c r="BA16" s="81"/>
      <c r="BB16" s="81"/>
    </row>
    <row r="17" spans="1:54" ht="14.95" customHeight="1" thickBot="1" x14ac:dyDescent="0.3">
      <c r="A17" s="323" t="s">
        <v>1226</v>
      </c>
      <c r="B17" s="329">
        <v>0</v>
      </c>
      <c r="C17" s="330">
        <v>0</v>
      </c>
      <c r="D17" s="331">
        <v>1</v>
      </c>
      <c r="E17" s="332">
        <f t="shared" si="0"/>
        <v>1</v>
      </c>
      <c r="F17" s="322" t="s">
        <v>1226</v>
      </c>
      <c r="G17" s="146">
        <v>0</v>
      </c>
      <c r="H17" s="297">
        <v>0</v>
      </c>
      <c r="I17" s="233">
        <v>5</v>
      </c>
      <c r="J17" s="76">
        <f t="shared" si="1"/>
        <v>5</v>
      </c>
      <c r="AF17" s="82" t="s">
        <v>25</v>
      </c>
      <c r="AG17" s="82" t="s">
        <v>25</v>
      </c>
    </row>
    <row r="18" spans="1:54" ht="14.95" customHeight="1" thickBot="1" x14ac:dyDescent="0.3">
      <c r="A18" s="323" t="s">
        <v>211</v>
      </c>
      <c r="B18" s="329">
        <v>2</v>
      </c>
      <c r="C18" s="330">
        <v>0</v>
      </c>
      <c r="D18" s="331">
        <v>0</v>
      </c>
      <c r="E18" s="332">
        <f t="shared" si="0"/>
        <v>2</v>
      </c>
      <c r="F18" s="322" t="s">
        <v>211</v>
      </c>
      <c r="G18" s="146">
        <v>10</v>
      </c>
      <c r="H18" s="297">
        <v>0</v>
      </c>
      <c r="I18" s="233">
        <v>0</v>
      </c>
      <c r="J18" s="76">
        <f t="shared" si="1"/>
        <v>10</v>
      </c>
      <c r="K18" s="530" t="s">
        <v>227</v>
      </c>
      <c r="L18" s="513" t="s">
        <v>16</v>
      </c>
      <c r="M18" s="514"/>
      <c r="N18" s="515"/>
      <c r="O18" s="469" t="s">
        <v>267</v>
      </c>
      <c r="P18" s="470"/>
      <c r="Q18" s="471"/>
      <c r="R18" s="469" t="s">
        <v>698</v>
      </c>
      <c r="S18" s="470"/>
      <c r="T18" s="471"/>
      <c r="U18" s="469" t="s">
        <v>562</v>
      </c>
      <c r="V18" s="470"/>
      <c r="W18" s="471"/>
      <c r="AC18" s="469" t="s">
        <v>463</v>
      </c>
      <c r="AD18" s="470"/>
      <c r="AE18" s="471"/>
      <c r="AF18" s="469" t="s">
        <v>355</v>
      </c>
      <c r="AG18" s="470"/>
      <c r="AH18" s="471"/>
      <c r="AI18" s="457" t="s">
        <v>260</v>
      </c>
      <c r="AJ18" s="458"/>
      <c r="AK18" s="459"/>
      <c r="AL18" s="457" t="s">
        <v>199</v>
      </c>
      <c r="AM18" s="458"/>
      <c r="AN18" s="459"/>
      <c r="AO18" s="457" t="s">
        <v>92</v>
      </c>
      <c r="AP18" s="458"/>
      <c r="AQ18" s="459"/>
      <c r="AR18" s="457" t="s">
        <v>63</v>
      </c>
      <c r="AS18" s="458"/>
      <c r="AT18" s="459"/>
      <c r="AU18" s="457" t="s">
        <v>59</v>
      </c>
      <c r="AV18" s="458"/>
      <c r="AW18" s="459"/>
      <c r="AX18" s="457" t="s">
        <v>45</v>
      </c>
      <c r="AY18" s="458"/>
      <c r="AZ18" s="459"/>
    </row>
    <row r="19" spans="1:54" ht="14.95" customHeight="1" thickBot="1" x14ac:dyDescent="0.3">
      <c r="A19" s="323" t="s">
        <v>191</v>
      </c>
      <c r="B19" s="329">
        <v>1</v>
      </c>
      <c r="C19" s="330">
        <v>1</v>
      </c>
      <c r="D19" s="331">
        <v>0</v>
      </c>
      <c r="E19" s="332">
        <f t="shared" si="0"/>
        <v>2</v>
      </c>
      <c r="F19" s="322" t="s">
        <v>191</v>
      </c>
      <c r="G19" s="146">
        <v>5</v>
      </c>
      <c r="H19" s="297">
        <v>5</v>
      </c>
      <c r="I19" s="233">
        <v>0</v>
      </c>
      <c r="J19" s="76">
        <f t="shared" si="1"/>
        <v>10</v>
      </c>
      <c r="K19" s="531"/>
      <c r="L19" s="516"/>
      <c r="M19" s="517"/>
      <c r="N19" s="518"/>
      <c r="O19" s="472"/>
      <c r="P19" s="473"/>
      <c r="Q19" s="474"/>
      <c r="R19" s="472"/>
      <c r="S19" s="473"/>
      <c r="T19" s="474"/>
      <c r="U19" s="472"/>
      <c r="V19" s="473"/>
      <c r="W19" s="474"/>
      <c r="AC19" s="472"/>
      <c r="AD19" s="473"/>
      <c r="AE19" s="474"/>
      <c r="AF19" s="472"/>
      <c r="AG19" s="473"/>
      <c r="AH19" s="474"/>
      <c r="AI19" s="460"/>
      <c r="AJ19" s="461"/>
      <c r="AK19" s="462"/>
      <c r="AL19" s="460"/>
      <c r="AM19" s="461"/>
      <c r="AN19" s="462"/>
      <c r="AO19" s="460"/>
      <c r="AP19" s="461"/>
      <c r="AQ19" s="462"/>
      <c r="AR19" s="460"/>
      <c r="AS19" s="461"/>
      <c r="AT19" s="462"/>
      <c r="AU19" s="460"/>
      <c r="AV19" s="461"/>
      <c r="AW19" s="462"/>
      <c r="AX19" s="460"/>
      <c r="AY19" s="461"/>
      <c r="AZ19" s="462"/>
    </row>
    <row r="20" spans="1:54" ht="14.95" customHeight="1" thickBot="1" x14ac:dyDescent="0.3">
      <c r="A20" s="323" t="s">
        <v>183</v>
      </c>
      <c r="B20" s="329">
        <v>5</v>
      </c>
      <c r="C20" s="330">
        <v>0</v>
      </c>
      <c r="D20" s="331">
        <v>0</v>
      </c>
      <c r="E20" s="332">
        <f t="shared" si="0"/>
        <v>5</v>
      </c>
      <c r="F20" s="322" t="s">
        <v>183</v>
      </c>
      <c r="G20" s="146">
        <v>113</v>
      </c>
      <c r="H20" s="297">
        <v>13</v>
      </c>
      <c r="I20" s="233">
        <v>0</v>
      </c>
      <c r="J20" s="76">
        <f t="shared" si="1"/>
        <v>126</v>
      </c>
      <c r="K20" s="298" t="s">
        <v>25</v>
      </c>
      <c r="L20" s="165" t="s">
        <v>55</v>
      </c>
      <c r="M20" s="165" t="s">
        <v>11</v>
      </c>
      <c r="N20" s="165" t="s">
        <v>12</v>
      </c>
      <c r="O20" s="7" t="s">
        <v>55</v>
      </c>
      <c r="P20" s="7" t="s">
        <v>11</v>
      </c>
      <c r="Q20" s="7" t="s">
        <v>12</v>
      </c>
      <c r="R20" s="7" t="s">
        <v>55</v>
      </c>
      <c r="S20" s="7" t="s">
        <v>11</v>
      </c>
      <c r="T20" s="7" t="s">
        <v>12</v>
      </c>
      <c r="U20" s="7" t="s">
        <v>55</v>
      </c>
      <c r="V20" s="7" t="s">
        <v>11</v>
      </c>
      <c r="W20" s="7" t="s">
        <v>12</v>
      </c>
      <c r="AC20" s="150" t="s">
        <v>55</v>
      </c>
      <c r="AD20" s="7" t="s">
        <v>11</v>
      </c>
      <c r="AE20" s="7" t="s">
        <v>12</v>
      </c>
      <c r="AF20" s="150" t="s">
        <v>55</v>
      </c>
      <c r="AG20" s="7" t="s">
        <v>11</v>
      </c>
      <c r="AH20" s="7" t="s">
        <v>12</v>
      </c>
      <c r="AI20" s="85" t="s">
        <v>55</v>
      </c>
      <c r="AJ20" s="80" t="s">
        <v>11</v>
      </c>
      <c r="AK20" s="80" t="s">
        <v>12</v>
      </c>
      <c r="AL20" s="85" t="s">
        <v>55</v>
      </c>
      <c r="AM20" s="80" t="s">
        <v>11</v>
      </c>
      <c r="AN20" s="80" t="s">
        <v>12</v>
      </c>
      <c r="AO20" s="85" t="s">
        <v>55</v>
      </c>
      <c r="AP20" s="80" t="s">
        <v>11</v>
      </c>
      <c r="AQ20" s="80" t="s">
        <v>12</v>
      </c>
      <c r="AR20" s="85" t="s">
        <v>55</v>
      </c>
      <c r="AS20" s="80" t="s">
        <v>11</v>
      </c>
      <c r="AT20" s="80" t="s">
        <v>12</v>
      </c>
      <c r="AU20" s="85" t="s">
        <v>55</v>
      </c>
      <c r="AV20" s="80" t="s">
        <v>11</v>
      </c>
      <c r="AW20" s="80" t="s">
        <v>12</v>
      </c>
      <c r="AX20" s="98" t="s">
        <v>55</v>
      </c>
      <c r="AY20" s="100" t="s">
        <v>11</v>
      </c>
      <c r="AZ20" s="100" t="s">
        <v>12</v>
      </c>
    </row>
    <row r="21" spans="1:54" ht="14.95" customHeight="1" thickBot="1" x14ac:dyDescent="0.3">
      <c r="A21" s="323" t="s">
        <v>407</v>
      </c>
      <c r="B21" s="329">
        <v>0</v>
      </c>
      <c r="C21" s="330">
        <v>0</v>
      </c>
      <c r="D21" s="331">
        <v>1</v>
      </c>
      <c r="E21" s="332">
        <f t="shared" si="0"/>
        <v>1</v>
      </c>
      <c r="F21" s="322" t="s">
        <v>407</v>
      </c>
      <c r="G21" s="146">
        <v>0</v>
      </c>
      <c r="H21" s="297">
        <v>0</v>
      </c>
      <c r="I21" s="233">
        <v>5</v>
      </c>
      <c r="J21" s="76">
        <f t="shared" si="1"/>
        <v>5</v>
      </c>
      <c r="K21" s="323" t="s">
        <v>117</v>
      </c>
      <c r="L21" s="332" t="s">
        <v>17</v>
      </c>
      <c r="M21" s="332" t="s">
        <v>17</v>
      </c>
      <c r="N21" s="333" t="s">
        <v>17</v>
      </c>
      <c r="O21" s="7" t="s">
        <v>17</v>
      </c>
      <c r="P21" s="7" t="s">
        <v>17</v>
      </c>
      <c r="Q21" s="155" t="s">
        <v>17</v>
      </c>
      <c r="R21" s="7" t="s">
        <v>17</v>
      </c>
      <c r="S21" s="7" t="s">
        <v>17</v>
      </c>
      <c r="T21" s="155" t="s">
        <v>17</v>
      </c>
      <c r="U21" s="7" t="s">
        <v>17</v>
      </c>
      <c r="V21" s="7" t="s">
        <v>17</v>
      </c>
      <c r="W21" s="155" t="s">
        <v>17</v>
      </c>
      <c r="AC21" s="150" t="s">
        <v>17</v>
      </c>
      <c r="AD21" s="7" t="s">
        <v>17</v>
      </c>
      <c r="AE21" s="155" t="s">
        <v>17</v>
      </c>
      <c r="AF21" s="150" t="s">
        <v>17</v>
      </c>
      <c r="AG21" s="7" t="s">
        <v>17</v>
      </c>
      <c r="AH21" s="155" t="s">
        <v>17</v>
      </c>
      <c r="AI21" s="150" t="s">
        <v>17</v>
      </c>
      <c r="AJ21" s="7" t="s">
        <v>17</v>
      </c>
      <c r="AK21" s="7" t="s">
        <v>17</v>
      </c>
      <c r="AL21" s="150" t="s">
        <v>17</v>
      </c>
      <c r="AM21" s="7" t="s">
        <v>17</v>
      </c>
      <c r="AN21" s="7" t="s">
        <v>17</v>
      </c>
      <c r="AO21" s="150" t="s">
        <v>17</v>
      </c>
      <c r="AP21" s="7" t="s">
        <v>17</v>
      </c>
      <c r="AQ21" s="7" t="s">
        <v>17</v>
      </c>
      <c r="AR21" s="6" t="s">
        <v>17</v>
      </c>
      <c r="AS21" s="7" t="s">
        <v>17</v>
      </c>
      <c r="AT21" s="7" t="s">
        <v>17</v>
      </c>
      <c r="AU21" s="6" t="s">
        <v>17</v>
      </c>
      <c r="AV21" s="7" t="s">
        <v>17</v>
      </c>
      <c r="AW21" s="7" t="s">
        <v>17</v>
      </c>
      <c r="AX21" s="6" t="s">
        <v>17</v>
      </c>
      <c r="AY21" s="7" t="s">
        <v>17</v>
      </c>
      <c r="AZ21" s="7" t="s">
        <v>17</v>
      </c>
      <c r="BA21" s="81"/>
      <c r="BB21" s="81"/>
    </row>
    <row r="22" spans="1:54" ht="14.95" customHeight="1" thickBot="1" x14ac:dyDescent="0.3">
      <c r="A22" s="323" t="s">
        <v>590</v>
      </c>
      <c r="B22" s="329">
        <v>0</v>
      </c>
      <c r="C22" s="330">
        <v>0</v>
      </c>
      <c r="D22" s="331">
        <v>6</v>
      </c>
      <c r="E22" s="332">
        <f t="shared" si="0"/>
        <v>6</v>
      </c>
      <c r="F22" s="322" t="s">
        <v>590</v>
      </c>
      <c r="G22" s="146">
        <v>0</v>
      </c>
      <c r="H22" s="297">
        <v>0</v>
      </c>
      <c r="I22" s="233">
        <v>30</v>
      </c>
      <c r="J22" s="76">
        <f t="shared" si="1"/>
        <v>30</v>
      </c>
      <c r="K22" s="323" t="s">
        <v>183</v>
      </c>
      <c r="L22" s="332" t="s">
        <v>17</v>
      </c>
      <c r="M22" s="332" t="s">
        <v>17</v>
      </c>
      <c r="N22" s="333" t="s">
        <v>17</v>
      </c>
      <c r="O22" s="7">
        <v>2</v>
      </c>
      <c r="P22" s="7">
        <v>3</v>
      </c>
      <c r="Q22" s="155">
        <v>66.666666666666657</v>
      </c>
      <c r="R22" s="7" t="s">
        <v>17</v>
      </c>
      <c r="S22" s="7" t="s">
        <v>17</v>
      </c>
      <c r="T22" s="155" t="s">
        <v>17</v>
      </c>
      <c r="U22" s="7" t="s">
        <v>17</v>
      </c>
      <c r="V22" s="7" t="s">
        <v>17</v>
      </c>
      <c r="W22" s="155" t="s">
        <v>17</v>
      </c>
      <c r="AC22" s="150" t="s">
        <v>17</v>
      </c>
      <c r="AD22" s="7" t="s">
        <v>17</v>
      </c>
      <c r="AE22" s="155" t="s">
        <v>17</v>
      </c>
      <c r="AF22" s="150">
        <v>2</v>
      </c>
      <c r="AG22" s="7">
        <v>3</v>
      </c>
      <c r="AH22" s="155">
        <f t="shared" ref="AH22" si="13">SUM(AF22/AG22)*100</f>
        <v>66.666666666666657</v>
      </c>
      <c r="AI22" s="150">
        <v>2</v>
      </c>
      <c r="AJ22" s="7">
        <v>2</v>
      </c>
      <c r="AK22" s="155">
        <f t="shared" ref="AK22" si="14">SUM(AI22/AJ22)*100</f>
        <v>100</v>
      </c>
      <c r="AL22" s="150" t="s">
        <v>17</v>
      </c>
      <c r="AM22" s="7" t="s">
        <v>17</v>
      </c>
      <c r="AN22" s="7" t="s">
        <v>17</v>
      </c>
      <c r="AO22" s="150" t="s">
        <v>17</v>
      </c>
      <c r="AP22" s="7" t="s">
        <v>17</v>
      </c>
      <c r="AQ22" s="7" t="s">
        <v>17</v>
      </c>
      <c r="AR22" s="6" t="s">
        <v>17</v>
      </c>
      <c r="AS22" s="7" t="s">
        <v>17</v>
      </c>
      <c r="AT22" s="7" t="s">
        <v>17</v>
      </c>
      <c r="AU22" s="6" t="s">
        <v>17</v>
      </c>
      <c r="AV22" s="7" t="s">
        <v>17</v>
      </c>
      <c r="AW22" s="7" t="s">
        <v>17</v>
      </c>
      <c r="AX22" s="7" t="s">
        <v>17</v>
      </c>
      <c r="AY22" s="7" t="s">
        <v>17</v>
      </c>
      <c r="AZ22" s="7" t="s">
        <v>17</v>
      </c>
      <c r="BA22" s="81"/>
      <c r="BB22" s="81"/>
    </row>
    <row r="23" spans="1:54" ht="14.95" customHeight="1" thickBot="1" x14ac:dyDescent="0.3">
      <c r="A23" s="323" t="s">
        <v>231</v>
      </c>
      <c r="B23" s="329">
        <v>1</v>
      </c>
      <c r="C23" s="330">
        <v>0</v>
      </c>
      <c r="D23" s="331">
        <v>0</v>
      </c>
      <c r="E23" s="332">
        <f t="shared" si="0"/>
        <v>1</v>
      </c>
      <c r="F23" s="322" t="s">
        <v>231</v>
      </c>
      <c r="G23" s="146">
        <v>105</v>
      </c>
      <c r="H23" s="297">
        <v>11</v>
      </c>
      <c r="I23" s="233">
        <v>0</v>
      </c>
      <c r="J23" s="76">
        <f t="shared" si="1"/>
        <v>116</v>
      </c>
      <c r="K23" s="323" t="s">
        <v>550</v>
      </c>
      <c r="L23" s="332" t="s">
        <v>17</v>
      </c>
      <c r="M23" s="332" t="s">
        <v>17</v>
      </c>
      <c r="N23" s="333" t="s">
        <v>17</v>
      </c>
      <c r="O23" s="7" t="s">
        <v>17</v>
      </c>
      <c r="P23" s="7" t="s">
        <v>17</v>
      </c>
      <c r="Q23" s="155" t="s">
        <v>17</v>
      </c>
      <c r="R23" s="7">
        <v>5</v>
      </c>
      <c r="S23" s="7">
        <v>5</v>
      </c>
      <c r="T23" s="155">
        <v>100</v>
      </c>
      <c r="U23" s="7" t="s">
        <v>17</v>
      </c>
      <c r="V23" s="7" t="s">
        <v>17</v>
      </c>
      <c r="W23" s="155" t="s">
        <v>17</v>
      </c>
      <c r="AC23" s="150">
        <v>15</v>
      </c>
      <c r="AD23" s="7">
        <v>19</v>
      </c>
      <c r="AE23" s="155">
        <f>SUM(AC23/AD23)*100</f>
        <v>78.94736842105263</v>
      </c>
      <c r="AF23" s="6">
        <v>16</v>
      </c>
      <c r="AG23" s="7">
        <v>19</v>
      </c>
      <c r="AH23" s="155">
        <f>SUM(AF23/AG23)*100</f>
        <v>84.210526315789465</v>
      </c>
      <c r="AI23" s="150"/>
      <c r="AJ23" s="7"/>
      <c r="AK23" s="155"/>
      <c r="AL23" s="150"/>
      <c r="AM23" s="7"/>
      <c r="AN23" s="7"/>
      <c r="AO23" s="150"/>
      <c r="AP23" s="7"/>
      <c r="AQ23" s="7"/>
      <c r="AR23" s="6"/>
      <c r="AS23" s="7"/>
      <c r="AT23" s="7"/>
      <c r="AU23" s="6"/>
      <c r="AV23" s="7"/>
      <c r="AW23" s="7"/>
      <c r="AX23" s="7"/>
      <c r="AY23" s="7"/>
      <c r="AZ23" s="7"/>
      <c r="BA23" s="81"/>
      <c r="BB23" s="81"/>
    </row>
    <row r="24" spans="1:54" ht="14.95" customHeight="1" thickBot="1" x14ac:dyDescent="0.3">
      <c r="A24" s="323" t="s">
        <v>890</v>
      </c>
      <c r="B24" s="329">
        <v>0</v>
      </c>
      <c r="C24" s="330">
        <v>0</v>
      </c>
      <c r="D24" s="331">
        <v>0</v>
      </c>
      <c r="E24" s="332">
        <f t="shared" si="0"/>
        <v>0</v>
      </c>
      <c r="F24" s="322" t="s">
        <v>890</v>
      </c>
      <c r="G24" s="146">
        <v>0</v>
      </c>
      <c r="H24" s="297">
        <v>0</v>
      </c>
      <c r="I24" s="233">
        <v>0</v>
      </c>
      <c r="J24" s="76">
        <f t="shared" si="1"/>
        <v>0</v>
      </c>
      <c r="AF24" s="82" t="s">
        <v>25</v>
      </c>
      <c r="AG24" s="82" t="s">
        <v>25</v>
      </c>
    </row>
    <row r="25" spans="1:54" ht="14.95" customHeight="1" thickBot="1" x14ac:dyDescent="0.3">
      <c r="A25" s="323" t="s">
        <v>23</v>
      </c>
      <c r="B25" s="329">
        <v>0</v>
      </c>
      <c r="C25" s="330">
        <v>0</v>
      </c>
      <c r="D25" s="331">
        <v>0</v>
      </c>
      <c r="E25" s="332">
        <f t="shared" si="0"/>
        <v>0</v>
      </c>
      <c r="F25" s="322" t="s">
        <v>23</v>
      </c>
      <c r="G25" s="146">
        <v>0</v>
      </c>
      <c r="H25" s="297">
        <v>0</v>
      </c>
      <c r="I25" s="233">
        <v>0</v>
      </c>
      <c r="J25" s="76">
        <f t="shared" si="1"/>
        <v>0</v>
      </c>
      <c r="K25" s="499" t="s">
        <v>93</v>
      </c>
      <c r="L25" s="453" t="s">
        <v>16</v>
      </c>
      <c r="M25" s="467"/>
      <c r="N25" s="454"/>
      <c r="O25" s="469" t="s">
        <v>267</v>
      </c>
      <c r="P25" s="470"/>
      <c r="Q25" s="471"/>
      <c r="R25" s="469" t="s">
        <v>698</v>
      </c>
      <c r="S25" s="470"/>
      <c r="T25" s="471"/>
      <c r="U25" s="469" t="s">
        <v>562</v>
      </c>
      <c r="V25" s="470"/>
      <c r="W25" s="471"/>
      <c r="AC25" s="469" t="s">
        <v>355</v>
      </c>
      <c r="AD25" s="470"/>
      <c r="AE25" s="471"/>
      <c r="AF25" s="457" t="s">
        <v>260</v>
      </c>
      <c r="AG25" s="458"/>
      <c r="AH25" s="459"/>
      <c r="AI25" s="457" t="s">
        <v>199</v>
      </c>
      <c r="AJ25" s="458"/>
      <c r="AK25" s="459"/>
      <c r="AL25" s="457" t="s">
        <v>92</v>
      </c>
      <c r="AM25" s="458"/>
      <c r="AN25" s="459"/>
      <c r="AO25" s="457" t="s">
        <v>59</v>
      </c>
      <c r="AP25" s="458"/>
      <c r="AQ25" s="459"/>
      <c r="AR25" s="457" t="s">
        <v>45</v>
      </c>
      <c r="AS25" s="458"/>
      <c r="AT25" s="459"/>
    </row>
    <row r="26" spans="1:54" ht="14.95" customHeight="1" thickBot="1" x14ac:dyDescent="0.3">
      <c r="A26" s="323" t="s">
        <v>451</v>
      </c>
      <c r="B26" s="329">
        <v>0</v>
      </c>
      <c r="C26" s="330">
        <v>0</v>
      </c>
      <c r="D26" s="331">
        <v>1</v>
      </c>
      <c r="E26" s="332">
        <f t="shared" si="0"/>
        <v>1</v>
      </c>
      <c r="F26" s="322" t="s">
        <v>451</v>
      </c>
      <c r="G26" s="146">
        <v>0</v>
      </c>
      <c r="H26" s="297">
        <v>0</v>
      </c>
      <c r="I26" s="233">
        <v>5</v>
      </c>
      <c r="J26" s="76">
        <f t="shared" si="1"/>
        <v>5</v>
      </c>
      <c r="K26" s="500"/>
      <c r="L26" s="455"/>
      <c r="M26" s="468"/>
      <c r="N26" s="456"/>
      <c r="O26" s="472"/>
      <c r="P26" s="473"/>
      <c r="Q26" s="474"/>
      <c r="R26" s="472"/>
      <c r="S26" s="473"/>
      <c r="T26" s="474"/>
      <c r="U26" s="472"/>
      <c r="V26" s="473"/>
      <c r="W26" s="474"/>
      <c r="AC26" s="472"/>
      <c r="AD26" s="473"/>
      <c r="AE26" s="474"/>
      <c r="AF26" s="460"/>
      <c r="AG26" s="461"/>
      <c r="AH26" s="462"/>
      <c r="AI26" s="460"/>
      <c r="AJ26" s="461"/>
      <c r="AK26" s="462"/>
      <c r="AL26" s="460"/>
      <c r="AM26" s="461"/>
      <c r="AN26" s="462"/>
      <c r="AO26" s="460"/>
      <c r="AP26" s="461"/>
      <c r="AQ26" s="462"/>
      <c r="AR26" s="460"/>
      <c r="AS26" s="461"/>
      <c r="AT26" s="462"/>
    </row>
    <row r="27" spans="1:54" ht="14.95" customHeight="1" thickBot="1" x14ac:dyDescent="0.3">
      <c r="A27" s="323" t="s">
        <v>34</v>
      </c>
      <c r="B27" s="329">
        <v>3</v>
      </c>
      <c r="C27" s="330">
        <v>1</v>
      </c>
      <c r="D27" s="331">
        <v>0</v>
      </c>
      <c r="E27" s="332">
        <f t="shared" si="0"/>
        <v>4</v>
      </c>
      <c r="F27" s="322" t="s">
        <v>34</v>
      </c>
      <c r="G27" s="146">
        <v>15</v>
      </c>
      <c r="H27" s="297">
        <v>5</v>
      </c>
      <c r="I27" s="233">
        <v>0</v>
      </c>
      <c r="J27" s="76">
        <f t="shared" si="1"/>
        <v>20</v>
      </c>
      <c r="K27" s="224" t="s">
        <v>25</v>
      </c>
      <c r="L27" s="3" t="s">
        <v>55</v>
      </c>
      <c r="M27" s="3" t="s">
        <v>11</v>
      </c>
      <c r="N27" s="3" t="s">
        <v>12</v>
      </c>
      <c r="O27" s="7" t="s">
        <v>55</v>
      </c>
      <c r="P27" s="7" t="s">
        <v>11</v>
      </c>
      <c r="Q27" s="7" t="s">
        <v>12</v>
      </c>
      <c r="R27" s="7" t="s">
        <v>55</v>
      </c>
      <c r="S27" s="7" t="s">
        <v>11</v>
      </c>
      <c r="T27" s="7" t="s">
        <v>12</v>
      </c>
      <c r="U27" s="7" t="s">
        <v>55</v>
      </c>
      <c r="V27" s="7" t="s">
        <v>11</v>
      </c>
      <c r="W27" s="7" t="s">
        <v>12</v>
      </c>
      <c r="AC27" s="150" t="s">
        <v>55</v>
      </c>
      <c r="AD27" s="7" t="s">
        <v>11</v>
      </c>
      <c r="AE27" s="7" t="s">
        <v>12</v>
      </c>
      <c r="AF27" s="98" t="s">
        <v>55</v>
      </c>
      <c r="AG27" s="80" t="s">
        <v>11</v>
      </c>
      <c r="AH27" s="80" t="s">
        <v>12</v>
      </c>
      <c r="AI27" s="85" t="s">
        <v>55</v>
      </c>
      <c r="AJ27" s="80" t="s">
        <v>11</v>
      </c>
      <c r="AK27" s="80" t="s">
        <v>12</v>
      </c>
      <c r="AL27" s="85" t="s">
        <v>55</v>
      </c>
      <c r="AM27" s="80" t="s">
        <v>11</v>
      </c>
      <c r="AN27" s="80" t="s">
        <v>12</v>
      </c>
      <c r="AO27" s="85" t="s">
        <v>55</v>
      </c>
      <c r="AP27" s="80" t="s">
        <v>11</v>
      </c>
      <c r="AQ27" s="80" t="s">
        <v>12</v>
      </c>
      <c r="AR27" s="85" t="s">
        <v>55</v>
      </c>
      <c r="AS27" s="80" t="s">
        <v>11</v>
      </c>
      <c r="AT27" s="80" t="s">
        <v>12</v>
      </c>
    </row>
    <row r="28" spans="1:54" ht="14.95" customHeight="1" thickBot="1" x14ac:dyDescent="0.3">
      <c r="A28" s="323" t="s">
        <v>308</v>
      </c>
      <c r="B28" s="329">
        <v>1</v>
      </c>
      <c r="C28" s="330">
        <v>1</v>
      </c>
      <c r="D28" s="331">
        <v>0</v>
      </c>
      <c r="E28" s="332">
        <f t="shared" si="0"/>
        <v>2</v>
      </c>
      <c r="F28" s="322" t="s">
        <v>308</v>
      </c>
      <c r="G28" s="146">
        <v>5</v>
      </c>
      <c r="H28" s="297">
        <v>5</v>
      </c>
      <c r="I28" s="233">
        <v>0</v>
      </c>
      <c r="J28" s="76">
        <f t="shared" si="1"/>
        <v>10</v>
      </c>
      <c r="K28" s="305" t="s">
        <v>117</v>
      </c>
      <c r="L28" s="332">
        <v>23</v>
      </c>
      <c r="M28" s="332">
        <v>31</v>
      </c>
      <c r="N28" s="333">
        <f t="shared" ref="N28" si="15">SUM(L28/M28)*100</f>
        <v>74.193548387096769</v>
      </c>
      <c r="O28" s="7">
        <v>10</v>
      </c>
      <c r="P28" s="7">
        <v>12</v>
      </c>
      <c r="Q28" s="155">
        <v>83</v>
      </c>
      <c r="R28" s="7">
        <v>12</v>
      </c>
      <c r="S28" s="7">
        <v>15</v>
      </c>
      <c r="T28" s="155">
        <v>80</v>
      </c>
      <c r="U28" s="7">
        <v>6</v>
      </c>
      <c r="V28" s="7">
        <v>10</v>
      </c>
      <c r="W28" s="155">
        <f t="shared" ref="W28" si="16">SUM(U28/V28)*100</f>
        <v>60</v>
      </c>
      <c r="AC28" s="150">
        <v>3</v>
      </c>
      <c r="AD28" s="7">
        <v>5</v>
      </c>
      <c r="AE28" s="155">
        <f>(AC28/AD28)*100</f>
        <v>60</v>
      </c>
      <c r="AF28" s="6" t="s">
        <v>17</v>
      </c>
      <c r="AG28" s="7" t="s">
        <v>17</v>
      </c>
      <c r="AH28" s="7" t="s">
        <v>17</v>
      </c>
      <c r="AI28" s="150" t="s">
        <v>17</v>
      </c>
      <c r="AJ28" s="7" t="s">
        <v>17</v>
      </c>
      <c r="AK28" s="7" t="s">
        <v>17</v>
      </c>
      <c r="AL28" s="150" t="s">
        <v>17</v>
      </c>
      <c r="AM28" s="7" t="s">
        <v>17</v>
      </c>
      <c r="AN28" s="7" t="s">
        <v>17</v>
      </c>
      <c r="AO28" s="150" t="s">
        <v>17</v>
      </c>
      <c r="AP28" s="7" t="s">
        <v>17</v>
      </c>
      <c r="AQ28" s="7" t="s">
        <v>17</v>
      </c>
      <c r="AR28" s="150" t="s">
        <v>17</v>
      </c>
      <c r="AS28" s="7" t="s">
        <v>17</v>
      </c>
      <c r="AT28" s="7" t="s">
        <v>17</v>
      </c>
    </row>
    <row r="29" spans="1:54" ht="14.95" customHeight="1" thickBot="1" x14ac:dyDescent="0.3">
      <c r="A29" s="323" t="s">
        <v>310</v>
      </c>
      <c r="B29" s="329">
        <v>0</v>
      </c>
      <c r="C29" s="330">
        <v>0</v>
      </c>
      <c r="D29" s="331">
        <v>1</v>
      </c>
      <c r="E29" s="332">
        <f t="shared" si="0"/>
        <v>1</v>
      </c>
      <c r="F29" s="322" t="s">
        <v>310</v>
      </c>
      <c r="G29" s="146">
        <v>0</v>
      </c>
      <c r="H29" s="297">
        <v>0</v>
      </c>
      <c r="I29" s="233">
        <v>5</v>
      </c>
      <c r="J29" s="76">
        <f t="shared" si="1"/>
        <v>5</v>
      </c>
      <c r="K29" s="305" t="s">
        <v>183</v>
      </c>
      <c r="L29" s="332" t="s">
        <v>17</v>
      </c>
      <c r="M29" s="332" t="s">
        <v>17</v>
      </c>
      <c r="N29" s="333" t="s">
        <v>17</v>
      </c>
      <c r="O29" s="7">
        <v>7</v>
      </c>
      <c r="P29" s="7">
        <v>7</v>
      </c>
      <c r="Q29" s="155">
        <v>100</v>
      </c>
      <c r="R29" s="7" t="s">
        <v>17</v>
      </c>
      <c r="S29" s="7" t="s">
        <v>17</v>
      </c>
      <c r="T29" s="155" t="s">
        <v>17</v>
      </c>
      <c r="U29" s="7">
        <v>4</v>
      </c>
      <c r="V29" s="7">
        <v>5</v>
      </c>
      <c r="W29" s="155">
        <f t="shared" ref="W29" si="17">SUM(U29/V29)*100</f>
        <v>80</v>
      </c>
      <c r="AC29" s="150">
        <v>19</v>
      </c>
      <c r="AD29" s="7">
        <v>25</v>
      </c>
      <c r="AE29" s="155">
        <f>(AC29/AD29)*100</f>
        <v>76</v>
      </c>
      <c r="AF29" s="6">
        <v>2</v>
      </c>
      <c r="AG29" s="7">
        <v>4</v>
      </c>
      <c r="AH29" s="155">
        <f t="shared" ref="AH29" si="18">SUM(AF29/AG29)*100</f>
        <v>50</v>
      </c>
      <c r="AI29" s="150" t="s">
        <v>17</v>
      </c>
      <c r="AJ29" s="7" t="s">
        <v>17</v>
      </c>
      <c r="AK29" s="7" t="s">
        <v>17</v>
      </c>
      <c r="AL29" s="150" t="s">
        <v>17</v>
      </c>
      <c r="AM29" s="7" t="s">
        <v>17</v>
      </c>
      <c r="AN29" s="7" t="s">
        <v>17</v>
      </c>
      <c r="AO29" s="6" t="s">
        <v>17</v>
      </c>
      <c r="AP29" s="7" t="s">
        <v>17</v>
      </c>
      <c r="AQ29" s="7" t="s">
        <v>17</v>
      </c>
      <c r="AR29" s="150" t="s">
        <v>17</v>
      </c>
      <c r="AS29" s="7" t="s">
        <v>17</v>
      </c>
      <c r="AT29" s="7" t="s">
        <v>17</v>
      </c>
    </row>
    <row r="30" spans="1:54" ht="14.95" customHeight="1" thickBot="1" x14ac:dyDescent="0.3">
      <c r="A30" s="323" t="s">
        <v>878</v>
      </c>
      <c r="B30" s="329">
        <v>4</v>
      </c>
      <c r="C30" s="330">
        <v>0</v>
      </c>
      <c r="D30" s="331">
        <v>1</v>
      </c>
      <c r="E30" s="332">
        <f t="shared" si="0"/>
        <v>5</v>
      </c>
      <c r="F30" s="322" t="s">
        <v>878</v>
      </c>
      <c r="G30" s="146">
        <v>20</v>
      </c>
      <c r="H30" s="297">
        <v>0</v>
      </c>
      <c r="I30" s="233">
        <v>5</v>
      </c>
      <c r="J30" s="76">
        <f t="shared" si="1"/>
        <v>25</v>
      </c>
      <c r="K30" s="323" t="s">
        <v>550</v>
      </c>
      <c r="L30" s="332" t="s">
        <v>17</v>
      </c>
      <c r="M30" s="332" t="s">
        <v>17</v>
      </c>
      <c r="N30" s="333" t="s">
        <v>17</v>
      </c>
      <c r="O30" s="7" t="s">
        <v>17</v>
      </c>
      <c r="P30" s="7" t="s">
        <v>17</v>
      </c>
      <c r="Q30" s="155" t="s">
        <v>17</v>
      </c>
      <c r="R30" s="7">
        <v>0</v>
      </c>
      <c r="S30" s="7">
        <v>1</v>
      </c>
      <c r="T30" s="155">
        <v>0</v>
      </c>
      <c r="U30" s="7" t="s">
        <v>17</v>
      </c>
      <c r="V30" s="7" t="s">
        <v>17</v>
      </c>
      <c r="W30" s="155" t="s">
        <v>17</v>
      </c>
      <c r="AC30" s="150" t="s">
        <v>17</v>
      </c>
      <c r="AD30" s="7" t="s">
        <v>17</v>
      </c>
      <c r="AE30" s="155" t="s">
        <v>17</v>
      </c>
      <c r="AF30" s="6" t="s">
        <v>17</v>
      </c>
      <c r="AG30" s="7" t="s">
        <v>17</v>
      </c>
      <c r="AH30" s="155" t="s">
        <v>17</v>
      </c>
      <c r="AI30" s="7" t="s">
        <v>17</v>
      </c>
      <c r="AJ30" s="7" t="s">
        <v>17</v>
      </c>
      <c r="AK30" s="155" t="s">
        <v>17</v>
      </c>
      <c r="AL30" s="7" t="s">
        <v>17</v>
      </c>
      <c r="AM30" s="7" t="s">
        <v>17</v>
      </c>
      <c r="AN30" s="155" t="s">
        <v>17</v>
      </c>
      <c r="AO30" s="7" t="s">
        <v>17</v>
      </c>
      <c r="AP30" s="7" t="s">
        <v>17</v>
      </c>
      <c r="AQ30" s="155" t="s">
        <v>17</v>
      </c>
      <c r="AR30" s="7" t="s">
        <v>17</v>
      </c>
      <c r="AS30" s="7" t="s">
        <v>17</v>
      </c>
      <c r="AT30" s="155" t="s">
        <v>17</v>
      </c>
    </row>
    <row r="31" spans="1:54" ht="14.95" customHeight="1" thickBot="1" x14ac:dyDescent="0.3">
      <c r="A31" s="323" t="s">
        <v>968</v>
      </c>
      <c r="B31" s="329">
        <v>2</v>
      </c>
      <c r="C31" s="330">
        <v>0</v>
      </c>
      <c r="D31" s="331">
        <v>5</v>
      </c>
      <c r="E31" s="332">
        <f t="shared" si="0"/>
        <v>7</v>
      </c>
      <c r="F31" s="322" t="s">
        <v>968</v>
      </c>
      <c r="G31" s="146">
        <v>10</v>
      </c>
      <c r="H31" s="297">
        <v>0</v>
      </c>
      <c r="I31" s="233">
        <v>25</v>
      </c>
      <c r="J31" s="76">
        <f t="shared" si="1"/>
        <v>35</v>
      </c>
      <c r="K31" s="305" t="s">
        <v>400</v>
      </c>
      <c r="L31" s="332" t="s">
        <v>17</v>
      </c>
      <c r="M31" s="332" t="s">
        <v>17</v>
      </c>
      <c r="N31" s="333" t="s">
        <v>17</v>
      </c>
      <c r="O31" s="7">
        <v>4</v>
      </c>
      <c r="P31" s="7">
        <v>7</v>
      </c>
      <c r="Q31" s="155">
        <v>57.142857142857139</v>
      </c>
      <c r="R31" s="7">
        <v>0</v>
      </c>
      <c r="S31" s="7">
        <v>0</v>
      </c>
      <c r="T31" s="155">
        <v>0</v>
      </c>
      <c r="U31" s="7">
        <v>0</v>
      </c>
      <c r="V31" s="7">
        <v>0</v>
      </c>
      <c r="W31" s="155">
        <v>0</v>
      </c>
      <c r="X31" s="87"/>
      <c r="Y31" s="87"/>
      <c r="Z31" s="87"/>
      <c r="AC31" s="150">
        <v>0</v>
      </c>
      <c r="AD31" s="7">
        <v>0</v>
      </c>
      <c r="AE31" s="155">
        <v>0</v>
      </c>
      <c r="AF31" s="6">
        <v>0</v>
      </c>
      <c r="AG31" s="7">
        <v>0</v>
      </c>
      <c r="AH31" s="155">
        <v>0</v>
      </c>
      <c r="AI31" s="150">
        <v>0</v>
      </c>
      <c r="AJ31" s="7">
        <v>0</v>
      </c>
      <c r="AK31" s="7">
        <v>0</v>
      </c>
      <c r="AL31" s="150">
        <v>0</v>
      </c>
      <c r="AM31" s="7">
        <v>0</v>
      </c>
      <c r="AN31" s="7">
        <v>0</v>
      </c>
      <c r="AO31" s="6">
        <v>0</v>
      </c>
      <c r="AP31" s="7">
        <v>0</v>
      </c>
      <c r="AQ31" s="7">
        <v>0</v>
      </c>
      <c r="AR31" s="150">
        <v>0</v>
      </c>
      <c r="AS31" s="7">
        <v>0</v>
      </c>
      <c r="AT31" s="7">
        <v>0</v>
      </c>
      <c r="AU31" s="158"/>
    </row>
    <row r="32" spans="1:54" ht="14.95" customHeight="1" thickBot="1" x14ac:dyDescent="0.3">
      <c r="A32" s="323" t="s">
        <v>541</v>
      </c>
      <c r="B32" s="329">
        <v>0</v>
      </c>
      <c r="C32" s="330">
        <v>0</v>
      </c>
      <c r="D32" s="331">
        <v>0</v>
      </c>
      <c r="E32" s="332">
        <f t="shared" si="0"/>
        <v>0</v>
      </c>
      <c r="F32" s="322" t="s">
        <v>541</v>
      </c>
      <c r="G32" s="146">
        <v>0</v>
      </c>
      <c r="H32" s="297">
        <v>0</v>
      </c>
      <c r="I32" s="233">
        <v>0</v>
      </c>
      <c r="J32" s="76">
        <f t="shared" si="1"/>
        <v>0</v>
      </c>
      <c r="K32" s="117" t="s">
        <v>1313</v>
      </c>
      <c r="AC32" s="117" t="s">
        <v>551</v>
      </c>
    </row>
    <row r="33" spans="1:23" ht="14.95" customHeight="1" thickBot="1" x14ac:dyDescent="0.3">
      <c r="A33" s="323" t="s">
        <v>876</v>
      </c>
      <c r="B33" s="329">
        <v>0</v>
      </c>
      <c r="C33" s="330">
        <v>0</v>
      </c>
      <c r="D33" s="331">
        <v>0</v>
      </c>
      <c r="E33" s="332">
        <f t="shared" si="0"/>
        <v>0</v>
      </c>
      <c r="F33" s="322" t="s">
        <v>876</v>
      </c>
      <c r="G33" s="146">
        <v>0</v>
      </c>
      <c r="H33" s="297">
        <v>0</v>
      </c>
      <c r="I33" s="233">
        <v>0</v>
      </c>
      <c r="J33" s="76">
        <f t="shared" si="1"/>
        <v>0</v>
      </c>
      <c r="K33" s="507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W33" s="546"/>
    </row>
    <row r="34" spans="1:23" ht="14.95" customHeight="1" thickBot="1" x14ac:dyDescent="0.3">
      <c r="A34" s="323" t="s">
        <v>73</v>
      </c>
      <c r="B34" s="329">
        <v>4</v>
      </c>
      <c r="C34" s="330">
        <v>1</v>
      </c>
      <c r="D34" s="331">
        <v>0</v>
      </c>
      <c r="E34" s="332">
        <f t="shared" si="0"/>
        <v>5</v>
      </c>
      <c r="F34" s="322" t="s">
        <v>73</v>
      </c>
      <c r="G34" s="146">
        <v>20</v>
      </c>
      <c r="H34" s="297">
        <v>5</v>
      </c>
      <c r="I34" s="233">
        <v>0</v>
      </c>
      <c r="J34" s="76">
        <f t="shared" si="1"/>
        <v>25</v>
      </c>
    </row>
    <row r="35" spans="1:23" ht="14.95" customHeight="1" thickBot="1" x14ac:dyDescent="0.3">
      <c r="A35" s="323" t="s">
        <v>591</v>
      </c>
      <c r="B35" s="329">
        <v>0</v>
      </c>
      <c r="C35" s="330">
        <v>0</v>
      </c>
      <c r="D35" s="331">
        <v>1</v>
      </c>
      <c r="E35" s="332">
        <f t="shared" si="0"/>
        <v>1</v>
      </c>
      <c r="F35" s="322" t="s">
        <v>591</v>
      </c>
      <c r="G35" s="146">
        <v>0</v>
      </c>
      <c r="H35" s="297">
        <v>0</v>
      </c>
      <c r="I35" s="233">
        <v>5</v>
      </c>
      <c r="J35" s="76">
        <f t="shared" si="1"/>
        <v>5</v>
      </c>
    </row>
    <row r="36" spans="1:23" ht="14.95" customHeight="1" thickBot="1" x14ac:dyDescent="0.3">
      <c r="A36" s="323" t="s">
        <v>882</v>
      </c>
      <c r="B36" s="329">
        <v>2</v>
      </c>
      <c r="C36" s="330">
        <v>0</v>
      </c>
      <c r="D36" s="331">
        <v>0</v>
      </c>
      <c r="E36" s="332">
        <f t="shared" si="0"/>
        <v>2</v>
      </c>
      <c r="F36" s="322" t="s">
        <v>882</v>
      </c>
      <c r="G36" s="146">
        <v>10</v>
      </c>
      <c r="H36" s="297">
        <v>0</v>
      </c>
      <c r="I36" s="233">
        <v>0</v>
      </c>
      <c r="J36" s="76">
        <f t="shared" si="1"/>
        <v>10</v>
      </c>
    </row>
    <row r="37" spans="1:23" ht="14.95" customHeight="1" thickBot="1" x14ac:dyDescent="0.3">
      <c r="A37" s="323" t="s">
        <v>4</v>
      </c>
      <c r="B37" s="329">
        <v>2</v>
      </c>
      <c r="C37" s="330">
        <v>1</v>
      </c>
      <c r="D37" s="331">
        <v>1</v>
      </c>
      <c r="E37" s="332">
        <f t="shared" si="0"/>
        <v>4</v>
      </c>
      <c r="F37" s="322" t="s">
        <v>4</v>
      </c>
      <c r="G37" s="146">
        <v>14</v>
      </c>
      <c r="H37" s="297">
        <v>7</v>
      </c>
      <c r="I37" s="233">
        <v>7</v>
      </c>
      <c r="J37" s="76">
        <f t="shared" si="1"/>
        <v>28</v>
      </c>
    </row>
    <row r="38" spans="1:23" ht="14.95" customHeight="1" thickBot="1" x14ac:dyDescent="0.3">
      <c r="A38" s="323" t="s">
        <v>337</v>
      </c>
      <c r="B38" s="329">
        <v>2</v>
      </c>
      <c r="C38" s="330">
        <v>0</v>
      </c>
      <c r="D38" s="331">
        <v>0</v>
      </c>
      <c r="E38" s="332">
        <f t="shared" si="0"/>
        <v>2</v>
      </c>
      <c r="F38" s="322" t="s">
        <v>337</v>
      </c>
      <c r="G38" s="146">
        <v>10</v>
      </c>
      <c r="H38" s="297">
        <v>0</v>
      </c>
      <c r="I38" s="233">
        <v>0</v>
      </c>
      <c r="J38" s="76">
        <f t="shared" si="1"/>
        <v>10</v>
      </c>
    </row>
    <row r="39" spans="1:23" ht="14.95" customHeight="1" thickBot="1" x14ac:dyDescent="0.3">
      <c r="A39" s="323" t="s">
        <v>87</v>
      </c>
      <c r="B39" s="329">
        <v>7</v>
      </c>
      <c r="C39" s="330">
        <v>1</v>
      </c>
      <c r="D39" s="331">
        <v>1</v>
      </c>
      <c r="E39" s="332">
        <f t="shared" si="0"/>
        <v>9</v>
      </c>
      <c r="F39" s="322" t="s">
        <v>87</v>
      </c>
      <c r="G39" s="146">
        <v>35</v>
      </c>
      <c r="H39" s="297">
        <v>5</v>
      </c>
      <c r="I39" s="233">
        <v>5</v>
      </c>
      <c r="J39" s="76">
        <f t="shared" si="1"/>
        <v>45</v>
      </c>
    </row>
    <row r="40" spans="1:23" ht="14.95" customHeight="1" thickBot="1" x14ac:dyDescent="0.3">
      <c r="A40" s="323" t="s">
        <v>474</v>
      </c>
      <c r="B40" s="329">
        <v>0</v>
      </c>
      <c r="C40" s="330">
        <v>0</v>
      </c>
      <c r="D40" s="331">
        <v>1</v>
      </c>
      <c r="E40" s="332">
        <f t="shared" si="0"/>
        <v>1</v>
      </c>
      <c r="F40" s="322" t="s">
        <v>474</v>
      </c>
      <c r="G40" s="146">
        <v>0</v>
      </c>
      <c r="H40" s="297">
        <v>0</v>
      </c>
      <c r="I40" s="233">
        <v>5</v>
      </c>
      <c r="J40" s="76">
        <f t="shared" si="1"/>
        <v>5</v>
      </c>
    </row>
    <row r="41" spans="1:23" ht="14.95" customHeight="1" thickBot="1" x14ac:dyDescent="0.3">
      <c r="A41" s="323" t="s">
        <v>323</v>
      </c>
      <c r="B41" s="329">
        <v>4</v>
      </c>
      <c r="C41" s="330">
        <v>1</v>
      </c>
      <c r="D41" s="331">
        <v>1</v>
      </c>
      <c r="E41" s="332">
        <f t="shared" si="0"/>
        <v>6</v>
      </c>
      <c r="F41" s="322" t="s">
        <v>323</v>
      </c>
      <c r="G41" s="146">
        <v>20</v>
      </c>
      <c r="H41" s="297">
        <v>5</v>
      </c>
      <c r="I41" s="233">
        <v>5</v>
      </c>
      <c r="J41" s="76">
        <f t="shared" si="1"/>
        <v>30</v>
      </c>
    </row>
    <row r="42" spans="1:23" ht="14.95" customHeight="1" thickBot="1" x14ac:dyDescent="0.3">
      <c r="A42" s="323" t="s">
        <v>212</v>
      </c>
      <c r="B42" s="329">
        <v>9</v>
      </c>
      <c r="C42" s="330">
        <v>3</v>
      </c>
      <c r="D42" s="331">
        <v>0</v>
      </c>
      <c r="E42" s="332">
        <f t="shared" si="0"/>
        <v>12</v>
      </c>
      <c r="F42" s="322" t="s">
        <v>212</v>
      </c>
      <c r="G42" s="146">
        <v>45</v>
      </c>
      <c r="H42" s="297">
        <v>15</v>
      </c>
      <c r="I42" s="233">
        <v>0</v>
      </c>
      <c r="J42" s="76">
        <f t="shared" si="1"/>
        <v>60</v>
      </c>
    </row>
    <row r="43" spans="1:23" ht="14.95" customHeight="1" thickBot="1" x14ac:dyDescent="0.3">
      <c r="A43" s="323" t="s">
        <v>874</v>
      </c>
      <c r="B43" s="329">
        <v>0</v>
      </c>
      <c r="C43" s="330">
        <v>0</v>
      </c>
      <c r="D43" s="331">
        <v>1</v>
      </c>
      <c r="E43" s="332">
        <f t="shared" si="0"/>
        <v>1</v>
      </c>
      <c r="F43" s="322" t="s">
        <v>874</v>
      </c>
      <c r="G43" s="146">
        <v>0</v>
      </c>
      <c r="H43" s="297">
        <v>0</v>
      </c>
      <c r="I43" s="233">
        <v>5</v>
      </c>
      <c r="J43" s="76">
        <f t="shared" si="1"/>
        <v>5</v>
      </c>
    </row>
    <row r="44" spans="1:23" ht="14.95" thickBot="1" x14ac:dyDescent="0.3">
      <c r="A44" s="323" t="s">
        <v>880</v>
      </c>
      <c r="B44" s="329">
        <v>0</v>
      </c>
      <c r="C44" s="330">
        <v>0</v>
      </c>
      <c r="D44" s="331">
        <v>0</v>
      </c>
      <c r="E44" s="332">
        <f t="shared" si="0"/>
        <v>0</v>
      </c>
      <c r="F44" s="322" t="s">
        <v>880</v>
      </c>
      <c r="G44" s="146">
        <v>0</v>
      </c>
      <c r="H44" s="297">
        <v>0</v>
      </c>
      <c r="I44" s="233">
        <v>0</v>
      </c>
      <c r="J44" s="76">
        <f t="shared" si="1"/>
        <v>0</v>
      </c>
    </row>
    <row r="45" spans="1:23" ht="14.95" thickBot="1" x14ac:dyDescent="0.3">
      <c r="A45" s="323" t="s">
        <v>62</v>
      </c>
      <c r="B45" s="329">
        <v>0</v>
      </c>
      <c r="C45" s="330">
        <v>0</v>
      </c>
      <c r="D45" s="331">
        <v>0</v>
      </c>
      <c r="E45" s="332">
        <f t="shared" si="0"/>
        <v>0</v>
      </c>
      <c r="F45" s="322" t="s">
        <v>62</v>
      </c>
      <c r="G45" s="146">
        <v>0</v>
      </c>
      <c r="H45" s="297">
        <v>0</v>
      </c>
      <c r="I45" s="233">
        <v>0</v>
      </c>
      <c r="J45" s="76">
        <f t="shared" si="1"/>
        <v>0</v>
      </c>
    </row>
    <row r="46" spans="1:23" ht="14.95" thickBot="1" x14ac:dyDescent="0.3">
      <c r="A46" s="323" t="s">
        <v>396</v>
      </c>
      <c r="B46" s="329">
        <v>0</v>
      </c>
      <c r="C46" s="330">
        <v>0</v>
      </c>
      <c r="D46" s="331">
        <v>0</v>
      </c>
      <c r="E46" s="332">
        <f t="shared" si="0"/>
        <v>0</v>
      </c>
      <c r="F46" s="322" t="s">
        <v>396</v>
      </c>
      <c r="G46" s="146">
        <v>0</v>
      </c>
      <c r="H46" s="297">
        <v>0</v>
      </c>
      <c r="I46" s="233">
        <v>0</v>
      </c>
      <c r="J46" s="76">
        <f t="shared" ref="J46" si="19">SUM(G46:I46)</f>
        <v>0</v>
      </c>
    </row>
    <row r="47" spans="1:23" ht="14.95" thickBot="1" x14ac:dyDescent="0.3">
      <c r="A47" s="323" t="s">
        <v>886</v>
      </c>
      <c r="B47" s="329">
        <v>0</v>
      </c>
      <c r="C47" s="330">
        <v>0</v>
      </c>
      <c r="D47" s="331">
        <v>0</v>
      </c>
      <c r="E47" s="332">
        <f t="shared" si="0"/>
        <v>0</v>
      </c>
      <c r="F47" s="322" t="s">
        <v>886</v>
      </c>
      <c r="G47" s="146">
        <v>0</v>
      </c>
      <c r="H47" s="297">
        <v>0</v>
      </c>
      <c r="I47" s="233">
        <v>0</v>
      </c>
      <c r="J47" s="76">
        <f>SUM(G47:I47)</f>
        <v>0</v>
      </c>
    </row>
    <row r="48" spans="1:23" ht="14.95" thickBot="1" x14ac:dyDescent="0.3">
      <c r="A48" s="323" t="s">
        <v>884</v>
      </c>
      <c r="B48" s="329">
        <v>0</v>
      </c>
      <c r="C48" s="330">
        <v>0</v>
      </c>
      <c r="D48" s="331">
        <v>0</v>
      </c>
      <c r="E48" s="332">
        <f t="shared" si="0"/>
        <v>0</v>
      </c>
      <c r="F48" s="322" t="s">
        <v>884</v>
      </c>
      <c r="G48" s="146">
        <v>0</v>
      </c>
      <c r="H48" s="297">
        <v>0</v>
      </c>
      <c r="I48" s="233">
        <v>0</v>
      </c>
      <c r="J48" s="76">
        <f>SUM(G48:I48)</f>
        <v>0</v>
      </c>
    </row>
    <row r="49" spans="1:10" ht="14.95" thickBot="1" x14ac:dyDescent="0.3">
      <c r="A49" s="323" t="s">
        <v>400</v>
      </c>
      <c r="B49" s="329">
        <v>2</v>
      </c>
      <c r="C49" s="330">
        <v>0</v>
      </c>
      <c r="D49" s="331">
        <v>0</v>
      </c>
      <c r="E49" s="332">
        <f t="shared" si="0"/>
        <v>2</v>
      </c>
      <c r="F49" s="322" t="s">
        <v>400</v>
      </c>
      <c r="G49" s="146">
        <v>10</v>
      </c>
      <c r="H49" s="297">
        <v>0</v>
      </c>
      <c r="I49" s="233">
        <v>0</v>
      </c>
      <c r="J49" s="76">
        <f>SUM(G49:I49)</f>
        <v>10</v>
      </c>
    </row>
    <row r="50" spans="1:10" ht="14.95" thickBot="1" x14ac:dyDescent="0.3">
      <c r="A50" s="323" t="s">
        <v>893</v>
      </c>
      <c r="B50" s="329">
        <v>0</v>
      </c>
      <c r="C50" s="330">
        <v>0</v>
      </c>
      <c r="D50" s="331">
        <v>3</v>
      </c>
      <c r="E50" s="332">
        <f t="shared" si="0"/>
        <v>3</v>
      </c>
      <c r="F50" s="322" t="s">
        <v>893</v>
      </c>
      <c r="G50" s="146">
        <v>0</v>
      </c>
      <c r="H50" s="297">
        <v>0</v>
      </c>
      <c r="I50" s="233">
        <v>15</v>
      </c>
      <c r="J50" s="76">
        <f>SUM(G50:I50)</f>
        <v>15</v>
      </c>
    </row>
    <row r="51" spans="1:10" ht="14.95" thickBot="1" x14ac:dyDescent="0.3">
      <c r="A51" s="323" t="s">
        <v>894</v>
      </c>
      <c r="B51" s="329">
        <v>0</v>
      </c>
      <c r="C51" s="330">
        <v>0</v>
      </c>
      <c r="D51" s="331">
        <v>0</v>
      </c>
      <c r="E51" s="332">
        <f t="shared" si="0"/>
        <v>0</v>
      </c>
      <c r="F51" s="322" t="s">
        <v>894</v>
      </c>
      <c r="G51" s="146">
        <v>0</v>
      </c>
      <c r="H51" s="297">
        <v>0</v>
      </c>
      <c r="I51" s="233">
        <v>0</v>
      </c>
      <c r="J51" s="76">
        <f>SUM(G51:I51)</f>
        <v>0</v>
      </c>
    </row>
    <row r="52" spans="1:10" ht="14.95" thickBot="1" x14ac:dyDescent="0.3">
      <c r="A52" s="323" t="s">
        <v>3</v>
      </c>
      <c r="B52" s="329">
        <f>SUM(B3:B51)</f>
        <v>70</v>
      </c>
      <c r="C52" s="330">
        <f>SUM(C3:C51)</f>
        <v>14</v>
      </c>
      <c r="D52" s="331">
        <f>SUM(D3:D51)</f>
        <v>28</v>
      </c>
      <c r="E52" s="332">
        <f>SUM(E3:E51)</f>
        <v>112</v>
      </c>
      <c r="F52" s="322" t="s">
        <v>3</v>
      </c>
      <c r="G52" s="146">
        <f>SUM(G3:G51)</f>
        <v>545</v>
      </c>
      <c r="H52" s="297">
        <f>SUM(H3:H51)</f>
        <v>96</v>
      </c>
      <c r="I52" s="233">
        <f>SUM(I3:I51)</f>
        <v>190</v>
      </c>
      <c r="J52" s="76">
        <f>SUM(J3:J51)</f>
        <v>831</v>
      </c>
    </row>
    <row r="53" spans="1:10" x14ac:dyDescent="0.25">
      <c r="B53" s="134"/>
      <c r="C53" s="68"/>
      <c r="D53" s="68"/>
      <c r="F53" s="104"/>
      <c r="G53" s="134"/>
      <c r="H53" s="68"/>
      <c r="I53" s="68"/>
    </row>
    <row r="54" spans="1:10" ht="14.95" thickBot="1" x14ac:dyDescent="0.3">
      <c r="A54" t="s">
        <v>14</v>
      </c>
      <c r="B54" s="134"/>
      <c r="C54" s="68"/>
      <c r="D54" s="68"/>
      <c r="F54" s="105"/>
      <c r="G54" s="135"/>
      <c r="H54" s="69"/>
      <c r="I54" s="69"/>
      <c r="J54" s="37"/>
    </row>
    <row r="55" spans="1:10" ht="14.95" thickBot="1" x14ac:dyDescent="0.3">
      <c r="A55" s="324" t="s">
        <v>0</v>
      </c>
      <c r="B55" s="325" t="s">
        <v>259</v>
      </c>
      <c r="C55" s="326" t="s">
        <v>35</v>
      </c>
      <c r="D55" s="327" t="s">
        <v>383</v>
      </c>
      <c r="E55" s="328" t="s">
        <v>1</v>
      </c>
      <c r="F55" s="320" t="s">
        <v>2</v>
      </c>
      <c r="G55" s="145" t="s">
        <v>259</v>
      </c>
      <c r="H55" s="296" t="s">
        <v>35</v>
      </c>
      <c r="I55" s="232" t="s">
        <v>383</v>
      </c>
      <c r="J55" s="110" t="s">
        <v>1</v>
      </c>
    </row>
    <row r="56" spans="1:10" ht="14.95" thickBot="1" x14ac:dyDescent="0.3">
      <c r="A56" s="323" t="s">
        <v>212</v>
      </c>
      <c r="B56" s="329">
        <v>9</v>
      </c>
      <c r="C56" s="330">
        <v>3</v>
      </c>
      <c r="D56" s="331">
        <v>0</v>
      </c>
      <c r="E56" s="332">
        <f t="shared" ref="E56:E87" si="20">SUM(B56:D56)</f>
        <v>12</v>
      </c>
      <c r="F56" s="321" t="s">
        <v>183</v>
      </c>
      <c r="G56" s="146">
        <v>113</v>
      </c>
      <c r="H56" s="297">
        <v>13</v>
      </c>
      <c r="I56" s="233">
        <v>0</v>
      </c>
      <c r="J56" s="76">
        <f t="shared" ref="J56:J87" si="21">SUM(G56:I56)</f>
        <v>126</v>
      </c>
    </row>
    <row r="57" spans="1:10" ht="14.95" thickBot="1" x14ac:dyDescent="0.3">
      <c r="A57" s="323" t="s">
        <v>38</v>
      </c>
      <c r="B57" s="329">
        <v>9</v>
      </c>
      <c r="C57" s="330">
        <v>0</v>
      </c>
      <c r="D57" s="331">
        <v>0</v>
      </c>
      <c r="E57" s="332">
        <f t="shared" si="20"/>
        <v>9</v>
      </c>
      <c r="F57" s="321" t="s">
        <v>231</v>
      </c>
      <c r="G57" s="146">
        <v>105</v>
      </c>
      <c r="H57" s="297">
        <v>11</v>
      </c>
      <c r="I57" s="233">
        <v>0</v>
      </c>
      <c r="J57" s="76">
        <f t="shared" si="21"/>
        <v>116</v>
      </c>
    </row>
    <row r="58" spans="1:10" ht="14.95" thickBot="1" x14ac:dyDescent="0.3">
      <c r="A58" s="323" t="s">
        <v>87</v>
      </c>
      <c r="B58" s="329">
        <v>7</v>
      </c>
      <c r="C58" s="330">
        <v>1</v>
      </c>
      <c r="D58" s="331">
        <v>1</v>
      </c>
      <c r="E58" s="332">
        <f t="shared" si="20"/>
        <v>9</v>
      </c>
      <c r="F58" s="321" t="s">
        <v>212</v>
      </c>
      <c r="G58" s="146">
        <v>45</v>
      </c>
      <c r="H58" s="297">
        <v>15</v>
      </c>
      <c r="I58" s="233">
        <v>0</v>
      </c>
      <c r="J58" s="76">
        <f t="shared" si="21"/>
        <v>60</v>
      </c>
    </row>
    <row r="59" spans="1:10" ht="14.95" thickBot="1" x14ac:dyDescent="0.3">
      <c r="A59" s="323" t="s">
        <v>968</v>
      </c>
      <c r="B59" s="329">
        <v>2</v>
      </c>
      <c r="C59" s="330">
        <v>0</v>
      </c>
      <c r="D59" s="331">
        <v>5</v>
      </c>
      <c r="E59" s="332">
        <f t="shared" si="20"/>
        <v>7</v>
      </c>
      <c r="F59" s="322" t="s">
        <v>117</v>
      </c>
      <c r="G59" s="146">
        <v>3</v>
      </c>
      <c r="H59" s="297">
        <v>0</v>
      </c>
      <c r="I59" s="233">
        <v>48</v>
      </c>
      <c r="J59" s="76">
        <f t="shared" si="21"/>
        <v>51</v>
      </c>
    </row>
    <row r="60" spans="1:10" ht="14.95" thickBot="1" x14ac:dyDescent="0.3">
      <c r="A60" s="323" t="s">
        <v>450</v>
      </c>
      <c r="B60" s="329">
        <v>4</v>
      </c>
      <c r="C60" s="330">
        <v>2</v>
      </c>
      <c r="D60" s="331">
        <v>0</v>
      </c>
      <c r="E60" s="332">
        <f t="shared" si="20"/>
        <v>6</v>
      </c>
      <c r="F60" s="322" t="s">
        <v>38</v>
      </c>
      <c r="G60" s="146">
        <v>45</v>
      </c>
      <c r="H60" s="297">
        <v>0</v>
      </c>
      <c r="I60" s="233">
        <v>0</v>
      </c>
      <c r="J60" s="76">
        <f t="shared" si="21"/>
        <v>45</v>
      </c>
    </row>
    <row r="61" spans="1:10" ht="14.95" thickBot="1" x14ac:dyDescent="0.3">
      <c r="A61" s="323" t="s">
        <v>590</v>
      </c>
      <c r="B61" s="329">
        <v>0</v>
      </c>
      <c r="C61" s="330">
        <v>0</v>
      </c>
      <c r="D61" s="331">
        <v>6</v>
      </c>
      <c r="E61" s="332">
        <f t="shared" si="20"/>
        <v>6</v>
      </c>
      <c r="F61" s="322" t="s">
        <v>87</v>
      </c>
      <c r="G61" s="146">
        <v>35</v>
      </c>
      <c r="H61" s="297">
        <v>5</v>
      </c>
      <c r="I61" s="233">
        <v>5</v>
      </c>
      <c r="J61" s="76">
        <f t="shared" si="21"/>
        <v>45</v>
      </c>
    </row>
    <row r="62" spans="1:10" ht="14.95" thickBot="1" x14ac:dyDescent="0.3">
      <c r="A62" s="323" t="s">
        <v>323</v>
      </c>
      <c r="B62" s="329">
        <v>4</v>
      </c>
      <c r="C62" s="330">
        <v>1</v>
      </c>
      <c r="D62" s="331">
        <v>1</v>
      </c>
      <c r="E62" s="332">
        <f t="shared" si="20"/>
        <v>6</v>
      </c>
      <c r="F62" s="322" t="s">
        <v>968</v>
      </c>
      <c r="G62" s="146">
        <v>10</v>
      </c>
      <c r="H62" s="297">
        <v>0</v>
      </c>
      <c r="I62" s="233">
        <v>25</v>
      </c>
      <c r="J62" s="76">
        <f t="shared" si="21"/>
        <v>35</v>
      </c>
    </row>
    <row r="63" spans="1:10" ht="14.95" thickBot="1" x14ac:dyDescent="0.3">
      <c r="A63" s="323" t="s">
        <v>183</v>
      </c>
      <c r="B63" s="329">
        <v>5</v>
      </c>
      <c r="C63" s="330">
        <v>0</v>
      </c>
      <c r="D63" s="331">
        <v>0</v>
      </c>
      <c r="E63" s="332">
        <f t="shared" si="20"/>
        <v>5</v>
      </c>
      <c r="F63" s="322" t="s">
        <v>450</v>
      </c>
      <c r="G63" s="146">
        <v>20</v>
      </c>
      <c r="H63" s="297">
        <v>10</v>
      </c>
      <c r="I63" s="233">
        <v>0</v>
      </c>
      <c r="J63" s="76">
        <f t="shared" si="21"/>
        <v>30</v>
      </c>
    </row>
    <row r="64" spans="1:10" ht="14.95" thickBot="1" x14ac:dyDescent="0.3">
      <c r="A64" s="323" t="s">
        <v>878</v>
      </c>
      <c r="B64" s="329">
        <v>4</v>
      </c>
      <c r="C64" s="330">
        <v>0</v>
      </c>
      <c r="D64" s="331">
        <v>1</v>
      </c>
      <c r="E64" s="332">
        <f t="shared" si="20"/>
        <v>5</v>
      </c>
      <c r="F64" s="322" t="s">
        <v>590</v>
      </c>
      <c r="G64" s="146">
        <v>0</v>
      </c>
      <c r="H64" s="297">
        <v>0</v>
      </c>
      <c r="I64" s="233">
        <v>30</v>
      </c>
      <c r="J64" s="76">
        <f t="shared" si="21"/>
        <v>30</v>
      </c>
    </row>
    <row r="65" spans="1:10" ht="14.95" thickBot="1" x14ac:dyDescent="0.3">
      <c r="A65" s="323" t="s">
        <v>73</v>
      </c>
      <c r="B65" s="329">
        <v>4</v>
      </c>
      <c r="C65" s="330">
        <v>1</v>
      </c>
      <c r="D65" s="331">
        <v>0</v>
      </c>
      <c r="E65" s="332">
        <f t="shared" si="20"/>
        <v>5</v>
      </c>
      <c r="F65" s="322" t="s">
        <v>323</v>
      </c>
      <c r="G65" s="146">
        <v>20</v>
      </c>
      <c r="H65" s="297">
        <v>5</v>
      </c>
      <c r="I65" s="233">
        <v>5</v>
      </c>
      <c r="J65" s="76">
        <f t="shared" si="21"/>
        <v>30</v>
      </c>
    </row>
    <row r="66" spans="1:10" ht="14.95" thickBot="1" x14ac:dyDescent="0.3">
      <c r="A66" s="323" t="s">
        <v>66</v>
      </c>
      <c r="B66" s="329">
        <v>2</v>
      </c>
      <c r="C66" s="330">
        <v>2</v>
      </c>
      <c r="D66" s="331">
        <v>0</v>
      </c>
      <c r="E66" s="332">
        <f t="shared" si="20"/>
        <v>4</v>
      </c>
      <c r="F66" s="322" t="s">
        <v>4</v>
      </c>
      <c r="G66" s="146">
        <v>14</v>
      </c>
      <c r="H66" s="297">
        <v>7</v>
      </c>
      <c r="I66" s="233">
        <v>7</v>
      </c>
      <c r="J66" s="76">
        <f t="shared" si="21"/>
        <v>28</v>
      </c>
    </row>
    <row r="67" spans="1:10" ht="14.95" thickBot="1" x14ac:dyDescent="0.3">
      <c r="A67" s="323" t="s">
        <v>34</v>
      </c>
      <c r="B67" s="329">
        <v>3</v>
      </c>
      <c r="C67" s="330">
        <v>1</v>
      </c>
      <c r="D67" s="331">
        <v>0</v>
      </c>
      <c r="E67" s="332">
        <f t="shared" si="20"/>
        <v>4</v>
      </c>
      <c r="F67" s="322" t="s">
        <v>878</v>
      </c>
      <c r="G67" s="146">
        <v>20</v>
      </c>
      <c r="H67" s="297">
        <v>0</v>
      </c>
      <c r="I67" s="233">
        <v>5</v>
      </c>
      <c r="J67" s="76">
        <f t="shared" si="21"/>
        <v>25</v>
      </c>
    </row>
    <row r="68" spans="1:10" ht="14.95" thickBot="1" x14ac:dyDescent="0.3">
      <c r="A68" s="323" t="s">
        <v>4</v>
      </c>
      <c r="B68" s="329">
        <v>2</v>
      </c>
      <c r="C68" s="330">
        <v>1</v>
      </c>
      <c r="D68" s="331">
        <v>1</v>
      </c>
      <c r="E68" s="332">
        <f t="shared" si="20"/>
        <v>4</v>
      </c>
      <c r="F68" s="322" t="s">
        <v>73</v>
      </c>
      <c r="G68" s="146">
        <v>20</v>
      </c>
      <c r="H68" s="297">
        <v>5</v>
      </c>
      <c r="I68" s="233">
        <v>0</v>
      </c>
      <c r="J68" s="76">
        <f t="shared" si="21"/>
        <v>25</v>
      </c>
    </row>
    <row r="69" spans="1:10" ht="14.95" thickBot="1" x14ac:dyDescent="0.3">
      <c r="A69" s="323" t="s">
        <v>893</v>
      </c>
      <c r="B69" s="329">
        <v>0</v>
      </c>
      <c r="C69" s="330">
        <v>0</v>
      </c>
      <c r="D69" s="331">
        <v>3</v>
      </c>
      <c r="E69" s="332">
        <f t="shared" si="20"/>
        <v>3</v>
      </c>
      <c r="F69" s="322" t="s">
        <v>66</v>
      </c>
      <c r="G69" s="146">
        <v>10</v>
      </c>
      <c r="H69" s="297">
        <v>10</v>
      </c>
      <c r="I69" s="233">
        <v>0</v>
      </c>
      <c r="J69" s="76">
        <f t="shared" si="21"/>
        <v>20</v>
      </c>
    </row>
    <row r="70" spans="1:10" ht="14.95" thickBot="1" x14ac:dyDescent="0.3">
      <c r="A70" s="323" t="s">
        <v>872</v>
      </c>
      <c r="B70" s="329">
        <v>2</v>
      </c>
      <c r="C70" s="330">
        <v>0</v>
      </c>
      <c r="D70" s="331">
        <v>0</v>
      </c>
      <c r="E70" s="332">
        <f t="shared" si="20"/>
        <v>2</v>
      </c>
      <c r="F70" s="322" t="s">
        <v>34</v>
      </c>
      <c r="G70" s="146">
        <v>15</v>
      </c>
      <c r="H70" s="297">
        <v>5</v>
      </c>
      <c r="I70" s="233">
        <v>0</v>
      </c>
      <c r="J70" s="76">
        <f t="shared" si="21"/>
        <v>20</v>
      </c>
    </row>
    <row r="71" spans="1:10" ht="14.95" thickBot="1" x14ac:dyDescent="0.3">
      <c r="A71" s="323" t="s">
        <v>64</v>
      </c>
      <c r="B71" s="329">
        <v>2</v>
      </c>
      <c r="C71" s="330">
        <v>0</v>
      </c>
      <c r="D71" s="331">
        <v>0</v>
      </c>
      <c r="E71" s="332">
        <f t="shared" si="20"/>
        <v>2</v>
      </c>
      <c r="F71" s="322" t="s">
        <v>893</v>
      </c>
      <c r="G71" s="146">
        <v>0</v>
      </c>
      <c r="H71" s="297">
        <v>0</v>
      </c>
      <c r="I71" s="233">
        <v>15</v>
      </c>
      <c r="J71" s="76">
        <f t="shared" si="21"/>
        <v>15</v>
      </c>
    </row>
    <row r="72" spans="1:10" ht="14.95" thickBot="1" x14ac:dyDescent="0.3">
      <c r="A72" s="323" t="s">
        <v>211</v>
      </c>
      <c r="B72" s="329">
        <v>2</v>
      </c>
      <c r="C72" s="330">
        <v>0</v>
      </c>
      <c r="D72" s="331">
        <v>0</v>
      </c>
      <c r="E72" s="332">
        <f t="shared" si="20"/>
        <v>2</v>
      </c>
      <c r="F72" s="322" t="s">
        <v>872</v>
      </c>
      <c r="G72" s="146">
        <v>10</v>
      </c>
      <c r="H72" s="297">
        <v>0</v>
      </c>
      <c r="I72" s="233">
        <v>0</v>
      </c>
      <c r="J72" s="76">
        <f t="shared" si="21"/>
        <v>10</v>
      </c>
    </row>
    <row r="73" spans="1:10" ht="14.95" thickBot="1" x14ac:dyDescent="0.3">
      <c r="A73" s="323" t="s">
        <v>191</v>
      </c>
      <c r="B73" s="329">
        <v>1</v>
      </c>
      <c r="C73" s="330">
        <v>1</v>
      </c>
      <c r="D73" s="331">
        <v>0</v>
      </c>
      <c r="E73" s="332">
        <f t="shared" si="20"/>
        <v>2</v>
      </c>
      <c r="F73" s="322" t="s">
        <v>64</v>
      </c>
      <c r="G73" s="146">
        <v>10</v>
      </c>
      <c r="H73" s="297">
        <v>0</v>
      </c>
      <c r="I73" s="233">
        <v>0</v>
      </c>
      <c r="J73" s="76">
        <f t="shared" si="21"/>
        <v>10</v>
      </c>
    </row>
    <row r="74" spans="1:10" ht="14.95" thickBot="1" x14ac:dyDescent="0.3">
      <c r="A74" s="323" t="s">
        <v>308</v>
      </c>
      <c r="B74" s="329">
        <v>1</v>
      </c>
      <c r="C74" s="330">
        <v>1</v>
      </c>
      <c r="D74" s="331">
        <v>0</v>
      </c>
      <c r="E74" s="332">
        <f t="shared" si="20"/>
        <v>2</v>
      </c>
      <c r="F74" s="322" t="s">
        <v>211</v>
      </c>
      <c r="G74" s="146">
        <v>10</v>
      </c>
      <c r="H74" s="297">
        <v>0</v>
      </c>
      <c r="I74" s="233">
        <v>0</v>
      </c>
      <c r="J74" s="76">
        <f t="shared" si="21"/>
        <v>10</v>
      </c>
    </row>
    <row r="75" spans="1:10" ht="14.95" thickBot="1" x14ac:dyDescent="0.3">
      <c r="A75" s="323" t="s">
        <v>882</v>
      </c>
      <c r="B75" s="329">
        <v>2</v>
      </c>
      <c r="C75" s="330">
        <v>0</v>
      </c>
      <c r="D75" s="331">
        <v>0</v>
      </c>
      <c r="E75" s="332">
        <f t="shared" si="20"/>
        <v>2</v>
      </c>
      <c r="F75" s="322" t="s">
        <v>191</v>
      </c>
      <c r="G75" s="146">
        <v>5</v>
      </c>
      <c r="H75" s="297">
        <v>5</v>
      </c>
      <c r="I75" s="233">
        <v>0</v>
      </c>
      <c r="J75" s="76">
        <f t="shared" si="21"/>
        <v>10</v>
      </c>
    </row>
    <row r="76" spans="1:10" ht="14.95" thickBot="1" x14ac:dyDescent="0.3">
      <c r="A76" s="323" t="s">
        <v>337</v>
      </c>
      <c r="B76" s="329">
        <v>2</v>
      </c>
      <c r="C76" s="330">
        <v>0</v>
      </c>
      <c r="D76" s="331">
        <v>0</v>
      </c>
      <c r="E76" s="332">
        <f t="shared" si="20"/>
        <v>2</v>
      </c>
      <c r="F76" s="322" t="s">
        <v>308</v>
      </c>
      <c r="G76" s="146">
        <v>5</v>
      </c>
      <c r="H76" s="297">
        <v>5</v>
      </c>
      <c r="I76" s="233">
        <v>0</v>
      </c>
      <c r="J76" s="76">
        <f t="shared" si="21"/>
        <v>10</v>
      </c>
    </row>
    <row r="77" spans="1:10" ht="14.95" thickBot="1" x14ac:dyDescent="0.3">
      <c r="A77" s="323" t="s">
        <v>400</v>
      </c>
      <c r="B77" s="329">
        <v>2</v>
      </c>
      <c r="C77" s="330">
        <v>0</v>
      </c>
      <c r="D77" s="331">
        <v>0</v>
      </c>
      <c r="E77" s="332">
        <f t="shared" si="20"/>
        <v>2</v>
      </c>
      <c r="F77" s="322" t="s">
        <v>882</v>
      </c>
      <c r="G77" s="146">
        <v>10</v>
      </c>
      <c r="H77" s="297">
        <v>0</v>
      </c>
      <c r="I77" s="233">
        <v>0</v>
      </c>
      <c r="J77" s="76">
        <f t="shared" si="21"/>
        <v>10</v>
      </c>
    </row>
    <row r="78" spans="1:10" ht="14.95" thickBot="1" x14ac:dyDescent="0.3">
      <c r="A78" s="323" t="s">
        <v>589</v>
      </c>
      <c r="B78" s="329">
        <v>0</v>
      </c>
      <c r="C78" s="330">
        <v>0</v>
      </c>
      <c r="D78" s="331">
        <v>1</v>
      </c>
      <c r="E78" s="332">
        <f t="shared" si="20"/>
        <v>1</v>
      </c>
      <c r="F78" s="322" t="s">
        <v>337</v>
      </c>
      <c r="G78" s="146">
        <v>10</v>
      </c>
      <c r="H78" s="297">
        <v>0</v>
      </c>
      <c r="I78" s="233">
        <v>0</v>
      </c>
      <c r="J78" s="76">
        <f t="shared" si="21"/>
        <v>10</v>
      </c>
    </row>
    <row r="79" spans="1:10" ht="14.95" thickBot="1" x14ac:dyDescent="0.3">
      <c r="A79" s="323" t="s">
        <v>181</v>
      </c>
      <c r="B79" s="329">
        <v>0</v>
      </c>
      <c r="C79" s="330">
        <v>0</v>
      </c>
      <c r="D79" s="331">
        <v>1</v>
      </c>
      <c r="E79" s="332">
        <f t="shared" si="20"/>
        <v>1</v>
      </c>
      <c r="F79" s="322" t="s">
        <v>400</v>
      </c>
      <c r="G79" s="146">
        <v>10</v>
      </c>
      <c r="H79" s="297">
        <v>0</v>
      </c>
      <c r="I79" s="233">
        <v>0</v>
      </c>
      <c r="J79" s="76">
        <f t="shared" si="21"/>
        <v>10</v>
      </c>
    </row>
    <row r="80" spans="1:10" ht="14.95" thickBot="1" x14ac:dyDescent="0.3">
      <c r="A80" s="323" t="s">
        <v>1109</v>
      </c>
      <c r="B80" s="329">
        <v>0</v>
      </c>
      <c r="C80" s="330">
        <v>0</v>
      </c>
      <c r="D80" s="331">
        <v>1</v>
      </c>
      <c r="E80" s="332">
        <f t="shared" si="20"/>
        <v>1</v>
      </c>
      <c r="F80" s="322" t="s">
        <v>589</v>
      </c>
      <c r="G80" s="146">
        <v>0</v>
      </c>
      <c r="H80" s="297">
        <v>0</v>
      </c>
      <c r="I80" s="233">
        <v>5</v>
      </c>
      <c r="J80" s="76">
        <f t="shared" si="21"/>
        <v>5</v>
      </c>
    </row>
    <row r="81" spans="1:10" ht="14.95" thickBot="1" x14ac:dyDescent="0.3">
      <c r="A81" s="323" t="s">
        <v>1226</v>
      </c>
      <c r="B81" s="329">
        <v>0</v>
      </c>
      <c r="C81" s="330">
        <v>0</v>
      </c>
      <c r="D81" s="331">
        <v>1</v>
      </c>
      <c r="E81" s="332">
        <f t="shared" si="20"/>
        <v>1</v>
      </c>
      <c r="F81" s="322" t="s">
        <v>181</v>
      </c>
      <c r="G81" s="146">
        <v>0</v>
      </c>
      <c r="H81" s="297">
        <v>0</v>
      </c>
      <c r="I81" s="233">
        <v>5</v>
      </c>
      <c r="J81" s="76">
        <f t="shared" si="21"/>
        <v>5</v>
      </c>
    </row>
    <row r="82" spans="1:10" ht="14.95" thickBot="1" x14ac:dyDescent="0.3">
      <c r="A82" s="323" t="s">
        <v>407</v>
      </c>
      <c r="B82" s="329">
        <v>0</v>
      </c>
      <c r="C82" s="330">
        <v>0</v>
      </c>
      <c r="D82" s="331">
        <v>1</v>
      </c>
      <c r="E82" s="332">
        <f t="shared" si="20"/>
        <v>1</v>
      </c>
      <c r="F82" s="322" t="s">
        <v>1109</v>
      </c>
      <c r="G82" s="146">
        <v>0</v>
      </c>
      <c r="H82" s="297">
        <v>0</v>
      </c>
      <c r="I82" s="233">
        <v>5</v>
      </c>
      <c r="J82" s="76">
        <f t="shared" si="21"/>
        <v>5</v>
      </c>
    </row>
    <row r="83" spans="1:10" ht="14.95" thickBot="1" x14ac:dyDescent="0.3">
      <c r="A83" s="323" t="s">
        <v>231</v>
      </c>
      <c r="B83" s="329">
        <v>1</v>
      </c>
      <c r="C83" s="330">
        <v>0</v>
      </c>
      <c r="D83" s="331">
        <v>0</v>
      </c>
      <c r="E83" s="332">
        <f t="shared" si="20"/>
        <v>1</v>
      </c>
      <c r="F83" s="322" t="s">
        <v>1226</v>
      </c>
      <c r="G83" s="146">
        <v>0</v>
      </c>
      <c r="H83" s="297">
        <v>0</v>
      </c>
      <c r="I83" s="233">
        <v>5</v>
      </c>
      <c r="J83" s="76">
        <f t="shared" si="21"/>
        <v>5</v>
      </c>
    </row>
    <row r="84" spans="1:10" ht="14.95" thickBot="1" x14ac:dyDescent="0.3">
      <c r="A84" s="323" t="s">
        <v>451</v>
      </c>
      <c r="B84" s="329">
        <v>0</v>
      </c>
      <c r="C84" s="330">
        <v>0</v>
      </c>
      <c r="D84" s="331">
        <v>1</v>
      </c>
      <c r="E84" s="332">
        <f t="shared" si="20"/>
        <v>1</v>
      </c>
      <c r="F84" s="322" t="s">
        <v>407</v>
      </c>
      <c r="G84" s="146">
        <v>0</v>
      </c>
      <c r="H84" s="297">
        <v>0</v>
      </c>
      <c r="I84" s="233">
        <v>5</v>
      </c>
      <c r="J84" s="76">
        <f t="shared" si="21"/>
        <v>5</v>
      </c>
    </row>
    <row r="85" spans="1:10" ht="14.95" thickBot="1" x14ac:dyDescent="0.3">
      <c r="A85" s="323" t="s">
        <v>310</v>
      </c>
      <c r="B85" s="329">
        <v>0</v>
      </c>
      <c r="C85" s="330">
        <v>0</v>
      </c>
      <c r="D85" s="331">
        <v>1</v>
      </c>
      <c r="E85" s="332">
        <f t="shared" si="20"/>
        <v>1</v>
      </c>
      <c r="F85" s="322" t="s">
        <v>451</v>
      </c>
      <c r="G85" s="146">
        <v>0</v>
      </c>
      <c r="H85" s="297">
        <v>0</v>
      </c>
      <c r="I85" s="233">
        <v>5</v>
      </c>
      <c r="J85" s="76">
        <f t="shared" si="21"/>
        <v>5</v>
      </c>
    </row>
    <row r="86" spans="1:10" ht="14.95" thickBot="1" x14ac:dyDescent="0.3">
      <c r="A86" s="323" t="s">
        <v>591</v>
      </c>
      <c r="B86" s="329">
        <v>0</v>
      </c>
      <c r="C86" s="330">
        <v>0</v>
      </c>
      <c r="D86" s="331">
        <v>1</v>
      </c>
      <c r="E86" s="332">
        <f t="shared" si="20"/>
        <v>1</v>
      </c>
      <c r="F86" s="322" t="s">
        <v>310</v>
      </c>
      <c r="G86" s="146">
        <v>0</v>
      </c>
      <c r="H86" s="297">
        <v>0</v>
      </c>
      <c r="I86" s="233">
        <v>5</v>
      </c>
      <c r="J86" s="76">
        <f t="shared" si="21"/>
        <v>5</v>
      </c>
    </row>
    <row r="87" spans="1:10" ht="14.95" thickBot="1" x14ac:dyDescent="0.3">
      <c r="A87" s="323" t="s">
        <v>474</v>
      </c>
      <c r="B87" s="329">
        <v>0</v>
      </c>
      <c r="C87" s="330">
        <v>0</v>
      </c>
      <c r="D87" s="331">
        <v>1</v>
      </c>
      <c r="E87" s="332">
        <f t="shared" si="20"/>
        <v>1</v>
      </c>
      <c r="F87" s="322" t="s">
        <v>591</v>
      </c>
      <c r="G87" s="146">
        <v>0</v>
      </c>
      <c r="H87" s="297">
        <v>0</v>
      </c>
      <c r="I87" s="233">
        <v>5</v>
      </c>
      <c r="J87" s="76">
        <f t="shared" si="21"/>
        <v>5</v>
      </c>
    </row>
    <row r="88" spans="1:10" ht="14.95" thickBot="1" x14ac:dyDescent="0.3">
      <c r="A88" s="323" t="s">
        <v>874</v>
      </c>
      <c r="B88" s="329">
        <v>0</v>
      </c>
      <c r="C88" s="330">
        <v>0</v>
      </c>
      <c r="D88" s="331">
        <v>1</v>
      </c>
      <c r="E88" s="332">
        <f t="shared" ref="E88:E104" si="22">SUM(B88:D88)</f>
        <v>1</v>
      </c>
      <c r="F88" s="322" t="s">
        <v>474</v>
      </c>
      <c r="G88" s="146">
        <v>0</v>
      </c>
      <c r="H88" s="297">
        <v>0</v>
      </c>
      <c r="I88" s="233">
        <v>5</v>
      </c>
      <c r="J88" s="76">
        <f t="shared" ref="J88:J104" si="23">SUM(G88:I88)</f>
        <v>5</v>
      </c>
    </row>
    <row r="89" spans="1:10" ht="14.95" thickBot="1" x14ac:dyDescent="0.3">
      <c r="A89" s="323" t="s">
        <v>888</v>
      </c>
      <c r="B89" s="329">
        <v>0</v>
      </c>
      <c r="C89" s="330">
        <v>0</v>
      </c>
      <c r="D89" s="331">
        <v>0</v>
      </c>
      <c r="E89" s="332">
        <f t="shared" si="22"/>
        <v>0</v>
      </c>
      <c r="F89" s="322" t="s">
        <v>874</v>
      </c>
      <c r="G89" s="146">
        <v>0</v>
      </c>
      <c r="H89" s="297">
        <v>0</v>
      </c>
      <c r="I89" s="233">
        <v>5</v>
      </c>
      <c r="J89" s="76">
        <f t="shared" si="23"/>
        <v>5</v>
      </c>
    </row>
    <row r="90" spans="1:10" ht="14.95" thickBot="1" x14ac:dyDescent="0.3">
      <c r="A90" s="323" t="s">
        <v>41</v>
      </c>
      <c r="B90" s="329">
        <v>0</v>
      </c>
      <c r="C90" s="330">
        <v>0</v>
      </c>
      <c r="D90" s="331">
        <v>0</v>
      </c>
      <c r="E90" s="332">
        <f t="shared" si="22"/>
        <v>0</v>
      </c>
      <c r="F90" s="322" t="s">
        <v>888</v>
      </c>
      <c r="G90" s="146">
        <v>0</v>
      </c>
      <c r="H90" s="297">
        <v>0</v>
      </c>
      <c r="I90" s="233">
        <v>0</v>
      </c>
      <c r="J90" s="76">
        <f t="shared" si="23"/>
        <v>0</v>
      </c>
    </row>
    <row r="91" spans="1:10" ht="14.95" thickBot="1" x14ac:dyDescent="0.3">
      <c r="A91" s="323" t="s">
        <v>892</v>
      </c>
      <c r="B91" s="329">
        <v>0</v>
      </c>
      <c r="C91" s="330">
        <v>0</v>
      </c>
      <c r="D91" s="331">
        <v>0</v>
      </c>
      <c r="E91" s="332">
        <f t="shared" si="22"/>
        <v>0</v>
      </c>
      <c r="F91" s="322" t="s">
        <v>41</v>
      </c>
      <c r="G91" s="146">
        <v>0</v>
      </c>
      <c r="H91" s="297">
        <v>0</v>
      </c>
      <c r="I91" s="233">
        <v>0</v>
      </c>
      <c r="J91" s="76">
        <f t="shared" si="23"/>
        <v>0</v>
      </c>
    </row>
    <row r="92" spans="1:10" ht="14.95" thickBot="1" x14ac:dyDescent="0.3">
      <c r="A92" s="323" t="s">
        <v>414</v>
      </c>
      <c r="B92" s="329">
        <v>0</v>
      </c>
      <c r="C92" s="330">
        <v>0</v>
      </c>
      <c r="D92" s="331">
        <v>0</v>
      </c>
      <c r="E92" s="332">
        <f t="shared" si="22"/>
        <v>0</v>
      </c>
      <c r="F92" s="322" t="s">
        <v>892</v>
      </c>
      <c r="G92" s="146">
        <v>0</v>
      </c>
      <c r="H92" s="297">
        <v>0</v>
      </c>
      <c r="I92" s="233">
        <v>0</v>
      </c>
      <c r="J92" s="76">
        <f t="shared" si="23"/>
        <v>0</v>
      </c>
    </row>
    <row r="93" spans="1:10" ht="14.95" thickBot="1" x14ac:dyDescent="0.3">
      <c r="A93" s="323" t="s">
        <v>521</v>
      </c>
      <c r="B93" s="329">
        <v>0</v>
      </c>
      <c r="C93" s="330">
        <v>0</v>
      </c>
      <c r="D93" s="331">
        <v>0</v>
      </c>
      <c r="E93" s="332">
        <f t="shared" si="22"/>
        <v>0</v>
      </c>
      <c r="F93" s="322" t="s">
        <v>414</v>
      </c>
      <c r="G93" s="146">
        <v>0</v>
      </c>
      <c r="H93" s="297">
        <v>0</v>
      </c>
      <c r="I93" s="233">
        <v>0</v>
      </c>
      <c r="J93" s="76">
        <f t="shared" si="23"/>
        <v>0</v>
      </c>
    </row>
    <row r="94" spans="1:10" ht="14.95" thickBot="1" x14ac:dyDescent="0.3">
      <c r="A94" s="323" t="s">
        <v>214</v>
      </c>
      <c r="B94" s="329">
        <v>0</v>
      </c>
      <c r="C94" s="330">
        <v>0</v>
      </c>
      <c r="D94" s="331">
        <v>0</v>
      </c>
      <c r="E94" s="332">
        <f t="shared" si="22"/>
        <v>0</v>
      </c>
      <c r="F94" s="322" t="s">
        <v>521</v>
      </c>
      <c r="G94" s="146">
        <v>0</v>
      </c>
      <c r="H94" s="297">
        <v>0</v>
      </c>
      <c r="I94" s="233">
        <v>0</v>
      </c>
      <c r="J94" s="76">
        <f t="shared" si="23"/>
        <v>0</v>
      </c>
    </row>
    <row r="95" spans="1:10" ht="14.95" thickBot="1" x14ac:dyDescent="0.3">
      <c r="A95" s="323" t="s">
        <v>890</v>
      </c>
      <c r="B95" s="329">
        <v>0</v>
      </c>
      <c r="C95" s="330">
        <v>0</v>
      </c>
      <c r="D95" s="331">
        <v>0</v>
      </c>
      <c r="E95" s="332">
        <f t="shared" si="22"/>
        <v>0</v>
      </c>
      <c r="F95" s="322" t="s">
        <v>890</v>
      </c>
      <c r="G95" s="146">
        <v>0</v>
      </c>
      <c r="H95" s="297">
        <v>0</v>
      </c>
      <c r="I95" s="233">
        <v>0</v>
      </c>
      <c r="J95" s="76">
        <f t="shared" si="23"/>
        <v>0</v>
      </c>
    </row>
    <row r="96" spans="1:10" ht="14.95" thickBot="1" x14ac:dyDescent="0.3">
      <c r="A96" s="323" t="s">
        <v>23</v>
      </c>
      <c r="B96" s="329">
        <v>0</v>
      </c>
      <c r="C96" s="330">
        <v>0</v>
      </c>
      <c r="D96" s="331">
        <v>0</v>
      </c>
      <c r="E96" s="332">
        <f t="shared" si="22"/>
        <v>0</v>
      </c>
      <c r="F96" s="322" t="s">
        <v>23</v>
      </c>
      <c r="G96" s="146">
        <v>0</v>
      </c>
      <c r="H96" s="297">
        <v>0</v>
      </c>
      <c r="I96" s="233">
        <v>0</v>
      </c>
      <c r="J96" s="76">
        <f t="shared" si="23"/>
        <v>0</v>
      </c>
    </row>
    <row r="97" spans="1:10" ht="14.95" thickBot="1" x14ac:dyDescent="0.3">
      <c r="A97" s="323" t="s">
        <v>541</v>
      </c>
      <c r="B97" s="329">
        <v>0</v>
      </c>
      <c r="C97" s="330">
        <v>0</v>
      </c>
      <c r="D97" s="331">
        <v>0</v>
      </c>
      <c r="E97" s="332">
        <f t="shared" si="22"/>
        <v>0</v>
      </c>
      <c r="F97" s="322" t="s">
        <v>541</v>
      </c>
      <c r="G97" s="146">
        <v>0</v>
      </c>
      <c r="H97" s="297">
        <v>0</v>
      </c>
      <c r="I97" s="233">
        <v>0</v>
      </c>
      <c r="J97" s="76">
        <f t="shared" si="23"/>
        <v>0</v>
      </c>
    </row>
    <row r="98" spans="1:10" ht="14.95" thickBot="1" x14ac:dyDescent="0.3">
      <c r="A98" s="323" t="s">
        <v>876</v>
      </c>
      <c r="B98" s="329">
        <v>0</v>
      </c>
      <c r="C98" s="330">
        <v>0</v>
      </c>
      <c r="D98" s="331">
        <v>0</v>
      </c>
      <c r="E98" s="332">
        <f t="shared" si="22"/>
        <v>0</v>
      </c>
      <c r="F98" s="322" t="s">
        <v>876</v>
      </c>
      <c r="G98" s="146">
        <v>0</v>
      </c>
      <c r="H98" s="297">
        <v>0</v>
      </c>
      <c r="I98" s="233">
        <v>0</v>
      </c>
      <c r="J98" s="76">
        <f t="shared" si="23"/>
        <v>0</v>
      </c>
    </row>
    <row r="99" spans="1:10" ht="14.95" thickBot="1" x14ac:dyDescent="0.3">
      <c r="A99" s="323" t="s">
        <v>880</v>
      </c>
      <c r="B99" s="329">
        <v>0</v>
      </c>
      <c r="C99" s="330">
        <v>0</v>
      </c>
      <c r="D99" s="331">
        <v>0</v>
      </c>
      <c r="E99" s="332">
        <f t="shared" si="22"/>
        <v>0</v>
      </c>
      <c r="F99" s="322" t="s">
        <v>880</v>
      </c>
      <c r="G99" s="146">
        <v>0</v>
      </c>
      <c r="H99" s="297">
        <v>0</v>
      </c>
      <c r="I99" s="233">
        <v>0</v>
      </c>
      <c r="J99" s="76">
        <f t="shared" si="23"/>
        <v>0</v>
      </c>
    </row>
    <row r="100" spans="1:10" ht="14.95" thickBot="1" x14ac:dyDescent="0.3">
      <c r="A100" s="323" t="s">
        <v>62</v>
      </c>
      <c r="B100" s="329">
        <v>0</v>
      </c>
      <c r="C100" s="330">
        <v>0</v>
      </c>
      <c r="D100" s="331">
        <v>0</v>
      </c>
      <c r="E100" s="332">
        <f t="shared" si="22"/>
        <v>0</v>
      </c>
      <c r="F100" s="322" t="s">
        <v>62</v>
      </c>
      <c r="G100" s="146">
        <v>0</v>
      </c>
      <c r="H100" s="297">
        <v>0</v>
      </c>
      <c r="I100" s="233">
        <v>0</v>
      </c>
      <c r="J100" s="76">
        <f t="shared" si="23"/>
        <v>0</v>
      </c>
    </row>
    <row r="101" spans="1:10" ht="14.95" thickBot="1" x14ac:dyDescent="0.3">
      <c r="A101" s="323" t="s">
        <v>396</v>
      </c>
      <c r="B101" s="329">
        <v>0</v>
      </c>
      <c r="C101" s="330">
        <v>0</v>
      </c>
      <c r="D101" s="331">
        <v>0</v>
      </c>
      <c r="E101" s="332">
        <f t="shared" si="22"/>
        <v>0</v>
      </c>
      <c r="F101" s="322" t="s">
        <v>396</v>
      </c>
      <c r="G101" s="146">
        <v>0</v>
      </c>
      <c r="H101" s="297">
        <v>0</v>
      </c>
      <c r="I101" s="233">
        <v>0</v>
      </c>
      <c r="J101" s="76">
        <f t="shared" si="23"/>
        <v>0</v>
      </c>
    </row>
    <row r="102" spans="1:10" ht="14.95" thickBot="1" x14ac:dyDescent="0.3">
      <c r="A102" s="323" t="s">
        <v>886</v>
      </c>
      <c r="B102" s="329">
        <v>0</v>
      </c>
      <c r="C102" s="330">
        <v>0</v>
      </c>
      <c r="D102" s="331">
        <v>0</v>
      </c>
      <c r="E102" s="332">
        <f t="shared" si="22"/>
        <v>0</v>
      </c>
      <c r="F102" s="322" t="s">
        <v>886</v>
      </c>
      <c r="G102" s="146">
        <v>0</v>
      </c>
      <c r="H102" s="297">
        <v>0</v>
      </c>
      <c r="I102" s="233">
        <v>0</v>
      </c>
      <c r="J102" s="76">
        <f t="shared" si="23"/>
        <v>0</v>
      </c>
    </row>
    <row r="103" spans="1:10" ht="14.95" thickBot="1" x14ac:dyDescent="0.3">
      <c r="A103" s="323" t="s">
        <v>884</v>
      </c>
      <c r="B103" s="329">
        <v>0</v>
      </c>
      <c r="C103" s="330">
        <v>0</v>
      </c>
      <c r="D103" s="331">
        <v>0</v>
      </c>
      <c r="E103" s="332">
        <f t="shared" si="22"/>
        <v>0</v>
      </c>
      <c r="F103" s="322" t="s">
        <v>884</v>
      </c>
      <c r="G103" s="146">
        <v>0</v>
      </c>
      <c r="H103" s="297">
        <v>0</v>
      </c>
      <c r="I103" s="233">
        <v>0</v>
      </c>
      <c r="J103" s="76">
        <f t="shared" si="23"/>
        <v>0</v>
      </c>
    </row>
    <row r="104" spans="1:10" ht="14.95" thickBot="1" x14ac:dyDescent="0.3">
      <c r="A104" s="323" t="s">
        <v>894</v>
      </c>
      <c r="B104" s="329">
        <v>0</v>
      </c>
      <c r="C104" s="330">
        <v>0</v>
      </c>
      <c r="D104" s="331">
        <v>0</v>
      </c>
      <c r="E104" s="332">
        <f t="shared" si="22"/>
        <v>0</v>
      </c>
      <c r="F104" s="322" t="s">
        <v>894</v>
      </c>
      <c r="G104" s="146">
        <v>0</v>
      </c>
      <c r="H104" s="297">
        <v>0</v>
      </c>
      <c r="I104" s="233">
        <v>0</v>
      </c>
      <c r="J104" s="76">
        <f t="shared" si="23"/>
        <v>0</v>
      </c>
    </row>
    <row r="105" spans="1:10" ht="14.95" thickBot="1" x14ac:dyDescent="0.3">
      <c r="A105" s="323" t="s">
        <v>3</v>
      </c>
      <c r="B105" s="329">
        <f>SUM(B56:B104)</f>
        <v>70</v>
      </c>
      <c r="C105" s="330">
        <f>SUM(C56:C104)</f>
        <v>14</v>
      </c>
      <c r="D105" s="331">
        <f>SUM(D56:D104)</f>
        <v>28</v>
      </c>
      <c r="E105" s="332">
        <f>SUM(E56:E104)</f>
        <v>112</v>
      </c>
      <c r="F105" s="322" t="s">
        <v>3</v>
      </c>
      <c r="G105" s="146">
        <f>SUM(G56:G104)</f>
        <v>545</v>
      </c>
      <c r="H105" s="297">
        <f>SUM(H56:H104)</f>
        <v>96</v>
      </c>
      <c r="I105" s="233">
        <f>SUM(I56:I104)</f>
        <v>190</v>
      </c>
      <c r="J105" s="76">
        <f>SUM(J56:J104)</f>
        <v>831</v>
      </c>
    </row>
    <row r="106" spans="1:10" x14ac:dyDescent="0.25">
      <c r="A106" s="488" t="s">
        <v>42</v>
      </c>
      <c r="B106" s="480"/>
      <c r="C106" s="480"/>
      <c r="D106" s="480"/>
      <c r="E106" s="480"/>
      <c r="F106" s="480"/>
      <c r="G106" s="480"/>
      <c r="H106" s="480"/>
      <c r="I106" s="480"/>
      <c r="J106" s="480"/>
    </row>
  </sheetData>
  <sortState xmlns:xlrd2="http://schemas.microsoft.com/office/spreadsheetml/2017/richdata2" ref="F56:J104">
    <sortCondition descending="1" ref="J56:J104"/>
  </sortState>
  <mergeCells count="55">
    <mergeCell ref="A106:J106"/>
    <mergeCell ref="O18:Q19"/>
    <mergeCell ref="AC18:AE19"/>
    <mergeCell ref="AC25:AE26"/>
    <mergeCell ref="K33:W33"/>
    <mergeCell ref="O25:Q26"/>
    <mergeCell ref="U25:W26"/>
    <mergeCell ref="R25:T26"/>
    <mergeCell ref="AX18:AZ19"/>
    <mergeCell ref="AR18:AT19"/>
    <mergeCell ref="AL25:AN26"/>
    <mergeCell ref="R18:T19"/>
    <mergeCell ref="AO18:AQ19"/>
    <mergeCell ref="AU18:AW19"/>
    <mergeCell ref="AR25:AT26"/>
    <mergeCell ref="AO25:AQ26"/>
    <mergeCell ref="AI25:AK26"/>
    <mergeCell ref="AF18:AH19"/>
    <mergeCell ref="AF25:AH26"/>
    <mergeCell ref="AI18:AK19"/>
    <mergeCell ref="AL18:AN19"/>
    <mergeCell ref="U18:W19"/>
    <mergeCell ref="AF1:AH2"/>
    <mergeCell ref="AF10:AH11"/>
    <mergeCell ref="R1:S2"/>
    <mergeCell ref="AC1:AE2"/>
    <mergeCell ref="AC10:AE11"/>
    <mergeCell ref="U10:W11"/>
    <mergeCell ref="W1:Y2"/>
    <mergeCell ref="T1:V2"/>
    <mergeCell ref="O10:Q11"/>
    <mergeCell ref="O1:Q2"/>
    <mergeCell ref="BA1:BC2"/>
    <mergeCell ref="AX1:AZ2"/>
    <mergeCell ref="AX10:AZ11"/>
    <mergeCell ref="AU10:AW11"/>
    <mergeCell ref="AR10:AT11"/>
    <mergeCell ref="AU1:AW2"/>
    <mergeCell ref="AR1:AT2"/>
    <mergeCell ref="AO1:AQ2"/>
    <mergeCell ref="AO10:AQ11"/>
    <mergeCell ref="AL1:AN2"/>
    <mergeCell ref="R10:T11"/>
    <mergeCell ref="AL10:AN11"/>
    <mergeCell ref="AI1:AK2"/>
    <mergeCell ref="AI10:AK11"/>
    <mergeCell ref="A1:J1"/>
    <mergeCell ref="K25:K26"/>
    <mergeCell ref="L25:N26"/>
    <mergeCell ref="K10:K11"/>
    <mergeCell ref="K1:K2"/>
    <mergeCell ref="L1:N2"/>
    <mergeCell ref="K18:K19"/>
    <mergeCell ref="L18:N19"/>
    <mergeCell ref="L10:N11"/>
  </mergeCells>
  <pageMargins left="0.7" right="0.7" top="0.75" bottom="0.75" header="0.3" footer="0.3"/>
  <pageSetup paperSize="9" orientation="portrait" r:id="rId1"/>
  <ignoredErrors>
    <ignoredError sqref="E46 E8 J8 J35 E35 J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1239</vt:i4>
      </vt:variant>
    </vt:vector>
  </HeadingPairs>
  <TitlesOfParts>
    <vt:vector size="1254" baseType="lpstr">
      <vt:lpstr>BTH</vt:lpstr>
      <vt:lpstr>BRI</vt:lpstr>
      <vt:lpstr>EXE</vt:lpstr>
      <vt:lpstr>GLO</vt:lpstr>
      <vt:lpstr>HAR</vt:lpstr>
      <vt:lpstr>LEI</vt:lpstr>
      <vt:lpstr>NEW</vt:lpstr>
      <vt:lpstr>NOR</vt:lpstr>
      <vt:lpstr>SAL</vt:lpstr>
      <vt:lpstr>SAR</vt:lpstr>
      <vt:lpstr>PREM - OVERALL</vt:lpstr>
      <vt:lpstr>PRM CUP - OVERALL</vt:lpstr>
      <vt:lpstr>BED</vt:lpstr>
      <vt:lpstr>DON</vt:lpstr>
      <vt:lpstr>EAL</vt:lpstr>
      <vt:lpstr>A_Wallerpts</vt:lpstr>
      <vt:lpstr>A_Wallertries</vt:lpstr>
      <vt:lpstr>Ackermannglopts</vt:lpstr>
      <vt:lpstr>Ackermannglotries</vt:lpstr>
      <vt:lpstr>Adderly_Jonesglopts</vt:lpstr>
      <vt:lpstr>Adderly_Jonesglotries</vt:lpstr>
      <vt:lpstr>Addisonsal2ndspellpts</vt:lpstr>
      <vt:lpstr>Addisonsal2ndspelltries</vt:lpstr>
      <vt:lpstr>Adejimisarpts</vt:lpstr>
      <vt:lpstr>Adejimisartries</vt:lpstr>
      <vt:lpstr>Alemannoglopts</vt:lpstr>
      <vt:lpstr>Alemannoglotries</vt:lpstr>
      <vt:lpstr>allinsonliatt</vt:lpstr>
      <vt:lpstr>allinsonligoals</vt:lpstr>
      <vt:lpstr>Allportglopts</vt:lpstr>
      <vt:lpstr>Allportglotries</vt:lpstr>
      <vt:lpstr>Andersonharpts</vt:lpstr>
      <vt:lpstr>Andersonhartries</vt:lpstr>
      <vt:lpstr>Andrewssalpts</vt:lpstr>
      <vt:lpstr>Andrewssaltries</vt:lpstr>
      <vt:lpstr>Annettbthpts</vt:lpstr>
      <vt:lpstr>Annettbthtries</vt:lpstr>
      <vt:lpstr>anscombegloatt</vt:lpstr>
      <vt:lpstr>anscombeglogls</vt:lpstr>
      <vt:lpstr>Anscombeglopts</vt:lpstr>
      <vt:lpstr>Anscombeglotries</vt:lpstr>
      <vt:lpstr>Anyanwuharpts</vt:lpstr>
      <vt:lpstr>Anyanwuhartries</vt:lpstr>
      <vt:lpstr>Armanddonpts</vt:lpstr>
      <vt:lpstr>Armanddontries</vt:lpstr>
      <vt:lpstr>Armstrongbripts</vt:lpstr>
      <vt:lpstr>Armstrongbritries</vt:lpstr>
      <vt:lpstr>ArmstrongEXEpts</vt:lpstr>
      <vt:lpstr>ArmstrongEXEtries</vt:lpstr>
      <vt:lpstr>Arnoldnewpts</vt:lpstr>
      <vt:lpstr>Arnoldnewtries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Attwoodpts</vt:lpstr>
      <vt:lpstr>Augustusnorpts</vt:lpstr>
      <vt:lpstr>Augustusnortries</vt:lpstr>
      <vt:lpstr>baileybthatt</vt:lpstr>
      <vt:lpstr>Baileybthgls</vt:lpstr>
      <vt:lpstr>Baileybthpts</vt:lpstr>
      <vt:lpstr>Baileybthtries</vt:lpstr>
      <vt:lpstr>Bakerbripts</vt:lpstr>
      <vt:lpstr>Bakerbritries</vt:lpstr>
      <vt:lpstr>Balmainsarpts</vt:lpstr>
      <vt:lpstr>Balmainsartries</vt:lpstr>
      <vt:lpstr>BamberSALpts</vt:lpstr>
      <vt:lpstr>BamberSALtries</vt:lpstr>
      <vt:lpstr>Barbearybthpts</vt:lpstr>
      <vt:lpstr>Barbearybthtries</vt:lpstr>
      <vt:lpstr>Barkerbripts</vt:lpstr>
      <vt:lpstr>Barkerbritries</vt:lpstr>
      <vt:lpstr>Barnesharpts</vt:lpstr>
      <vt:lpstr>Barneshartries</vt:lpstr>
      <vt:lpstr>Barringtonrichardpts</vt:lpstr>
      <vt:lpstr>Barringtonrichardtries</vt:lpstr>
      <vt:lpstr>Barrittbradpts</vt:lpstr>
      <vt:lpstr>Barrittbradtries</vt:lpstr>
      <vt:lpstr>Bartongloatt</vt:lpstr>
      <vt:lpstr>Bartonglogls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bazalgettebribriatt</vt:lpstr>
      <vt:lpstr>bazalgettebrigls</vt:lpstr>
      <vt:lpstr>Bazalgettebripts</vt:lpstr>
      <vt:lpstr>Bazalgettebritries</vt:lpstr>
      <vt:lpstr>beardharatt</vt:lpstr>
      <vt:lpstr>beardhargls</vt:lpstr>
      <vt:lpstr>Beardharpts</vt:lpstr>
      <vt:lpstr>Beardhartries</vt:lpstr>
      <vt:lpstr>Beatonsarpts</vt:lpstr>
      <vt:lpstr>Beatonsartries</vt:lpstr>
      <vt:lpstr>Beaumontsalpts</vt:lpstr>
      <vt:lpstr>Beaumontsaltries</vt:lpstr>
      <vt:lpstr>becconsallexeatt</vt:lpstr>
      <vt:lpstr>becconsallexegls</vt:lpstr>
      <vt:lpstr>Bedlow_Jsalpts</vt:lpstr>
      <vt:lpstr>Bedlow_Jsaltries</vt:lpstr>
      <vt:lpstr>Bedlowbripts</vt:lpstr>
      <vt:lpstr>bedlowbritries</vt:lpstr>
      <vt:lpstr>BedlowSAL_pts</vt:lpstr>
      <vt:lpstr>BedlowSAL_tries</vt:lpstr>
      <vt:lpstr>bedlowsalattcorrect</vt:lpstr>
      <vt:lpstr>bedlowsalglscorrect</vt:lpstr>
      <vt:lpstr>Beetsleicpts</vt:lpstr>
      <vt:lpstr>Beetsleictries</vt:lpstr>
      <vt:lpstr>Bellonewpts</vt:lpstr>
      <vt:lpstr>Bellonewtries</vt:lpstr>
      <vt:lpstr>bensonharatt</vt:lpstr>
      <vt:lpstr>bensonhargls</vt:lpstr>
      <vt:lpstr>Bensonharpts</vt:lpstr>
      <vt:lpstr>Bensonhartries</vt:lpstr>
      <vt:lpstr>Bensonnorpts</vt:lpstr>
      <vt:lpstr>Bensonnortries</vt:lpstr>
      <vt:lpstr>Bevingtonbstpts</vt:lpstr>
      <vt:lpstr>Bevingtonbsttries</vt:lpstr>
      <vt:lpstr>Birchsalpts</vt:lpstr>
      <vt:lpstr>Birchsaltries</vt:lpstr>
      <vt:lpstr>Blackmoreglopts</vt:lpstr>
      <vt:lpstr>Blackmoreglotries</vt:lpstr>
      <vt:lpstr>Blakeglopts</vt:lpstr>
      <vt:lpstr>Blakeglotries</vt:lpstr>
      <vt:lpstr>Blommetjiesleicpts</vt:lpstr>
      <vt:lpstr>Blommetjiesleictries</vt:lpstr>
      <vt:lpstr>Boschmarcelopts</vt:lpstr>
      <vt:lpstr>Boschmarcelotries</vt:lpstr>
      <vt:lpstr>Bracken_CSARPTS</vt:lpstr>
      <vt:lpstr>Bracken_CSARTRIES</vt:lpstr>
      <vt:lpstr>Brackensarpts</vt:lpstr>
      <vt:lpstr>Brackensartries</vt:lpstr>
      <vt:lpstr>Bradleyharpts</vt:lpstr>
      <vt:lpstr>Bradleyhartries</vt:lpstr>
      <vt:lpstr>Braleynorptscorrect</vt:lpstr>
      <vt:lpstr>Braleynortriescorrect</vt:lpstr>
      <vt:lpstr>Brantinghamsarpts</vt:lpstr>
      <vt:lpstr>Brantinghamsartries</vt:lpstr>
      <vt:lpstr>BristolPts</vt:lpstr>
      <vt:lpstr>BristolTries</vt:lpstr>
      <vt:lpstr>Brown_Bampoeexepts</vt:lpstr>
      <vt:lpstr>Brown_Bampoeexetries</vt:lpstr>
      <vt:lpstr>BrowneHARpts</vt:lpstr>
      <vt:lpstr>BrowneHARtries</vt:lpstr>
      <vt:lpstr>brownleipts</vt:lpstr>
      <vt:lpstr>brownleitries</vt:lpstr>
      <vt:lpstr>brownnewpts</vt:lpstr>
      <vt:lpstr>brownnewtries</vt:lpstr>
      <vt:lpstr>brownnorpts</vt:lpstr>
      <vt:lpstr>brownnortries</vt:lpstr>
      <vt:lpstr>Bryansarpts</vt:lpstr>
      <vt:lpstr>Bryansartries</vt:lpstr>
      <vt:lpstr>Burgerjacquespts</vt:lpstr>
      <vt:lpstr>Burgerjacquestries</vt:lpstr>
      <vt:lpstr>Burrellnewpts</vt:lpstr>
      <vt:lpstr>Burrellnewtries</vt:lpstr>
      <vt:lpstr>Burrowsalpts</vt:lpstr>
      <vt:lpstr>Burrowsaltries</vt:lpstr>
      <vt:lpstr>BurrowsEXEpts</vt:lpstr>
      <vt:lpstr>BurrowsEXEtries</vt:lpstr>
      <vt:lpstr>Butlerglopts</vt:lpstr>
      <vt:lpstr>Butlerglotries</vt:lpstr>
      <vt:lpstr>Buttbthpts</vt:lpstr>
      <vt:lpstr>Buttbthtries</vt:lpstr>
      <vt:lpstr>byrnebriatt</vt:lpstr>
      <vt:lpstr>Byrnebrigls</vt:lpstr>
      <vt:lpstr>Byrnehbripts</vt:lpstr>
      <vt:lpstr>Byrnehbritries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Care</vt:lpstr>
      <vt:lpstr>Carepts</vt:lpstr>
      <vt:lpstr>caretries</vt:lpstr>
      <vt:lpstr>Carnduffleipts</vt:lpstr>
      <vt:lpstr>Carnduffleitries</vt:lpstr>
      <vt:lpstr>Carpentersalpts</vt:lpstr>
      <vt:lpstr>Carpentersaltries</vt:lpstr>
      <vt:lpstr>carrerasgloatt</vt:lpstr>
      <vt:lpstr>Carrerasglogls</vt:lpstr>
      <vt:lpstr>Carrerasglopts</vt:lpstr>
      <vt:lpstr>Carrerasglotries</vt:lpstr>
      <vt:lpstr>Carrerasnewpts</vt:lpstr>
      <vt:lpstr>Carrerasnewtries</vt:lpstr>
      <vt:lpstr>Carresarpts</vt:lpstr>
      <vt:lpstr>Carresartries</vt:lpstr>
      <vt:lpstr>Carrharpts</vt:lpstr>
      <vt:lpstr>Carrhartries</vt:lpstr>
      <vt:lpstr>CaulfieldBRIpts</vt:lpstr>
      <vt:lpstr>CaulfieldBRItries</vt:lpstr>
      <vt:lpstr>Challengerbripts</vt:lpstr>
      <vt:lpstr>Challengerbritries</vt:lpstr>
      <vt:lpstr>chapmangloatt</vt:lpstr>
      <vt:lpstr>chapmanglogls</vt:lpstr>
      <vt:lpstr>Chapmanglopts</vt:lpstr>
      <vt:lpstr>Chapmanglotries</vt:lpstr>
      <vt:lpstr>Chessum_Lleipts</vt:lpstr>
      <vt:lpstr>Chessum_Lleitries</vt:lpstr>
      <vt:lpstr>Chessumleicpts</vt:lpstr>
      <vt:lpstr>Chessumleictries</vt:lpstr>
      <vt:lpstr>Chisholmjamesharpts</vt:lpstr>
      <vt:lpstr>Chisholmjameshartries</vt:lpstr>
      <vt:lpstr>Christiesarptscorrect</vt:lpstr>
      <vt:lpstr>Christiesartriescorrect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Clareysarptscorrect</vt:lpstr>
      <vt:lpstr>Clareysartriescorrect</vt:lpstr>
      <vt:lpstr>Clarkglopts</vt:lpstr>
      <vt:lpstr>Clarkglotries</vt:lpstr>
      <vt:lpstr>Clarknewpts</vt:lpstr>
      <vt:lpstr>Clarknewtries</vt:lpstr>
      <vt:lpstr>Cleavesharpts</vt:lpstr>
      <vt:lpstr>Cleaveshartries</vt:lpstr>
      <vt:lpstr>Coetzerglopts</vt:lpstr>
      <vt:lpstr>Coetzerglotries</vt:lpstr>
      <vt:lpstr>Cokanasigabthpts</vt:lpstr>
      <vt:lpstr>Cokanasigabthtries</vt:lpstr>
      <vt:lpstr>CokanasigaLEIpts</vt:lpstr>
      <vt:lpstr>CokanasigaLEItries</vt:lpstr>
      <vt:lpstr>Coleleipts</vt:lpstr>
      <vt:lpstr>Coleleitries</vt:lpstr>
      <vt:lpstr>Colesnorpts</vt:lpstr>
      <vt:lpstr>Colesnortries</vt:lpstr>
      <vt:lpstr>Connonnewptscorrectthisone</vt:lpstr>
      <vt:lpstr>Connonnewtriescorrectthsione</vt:lpstr>
      <vt:lpstr>Cookbthpts</vt:lpstr>
      <vt:lpstr>Cookbthtries</vt:lpstr>
      <vt:lpstr>Cookchrispts</vt:lpstr>
      <vt:lpstr>Cookchristries</vt:lpstr>
      <vt:lpstr>Cotgreaveglopts</vt:lpstr>
      <vt:lpstr>Cotgreaveglotries</vt:lpstr>
      <vt:lpstr>Courtlipts</vt:lpstr>
      <vt:lpstr>Courtlitries</vt:lpstr>
      <vt:lpstr>Cousinsnorpts</vt:lpstr>
      <vt:lpstr>Cousinsnortries</vt:lpstr>
      <vt:lpstr>Cowan_Dickiesalpts</vt:lpstr>
      <vt:lpstr>Cowan_Dickiesaltries</vt:lpstr>
      <vt:lpstr>Cowanbthpts</vt:lpstr>
      <vt:lpstr>Cowanbthtries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Creansarpts</vt:lpstr>
      <vt:lpstr>Creansartries</vt:lpstr>
      <vt:lpstr>Crippsbripts</vt:lpstr>
      <vt:lpstr>Crippsbritries</vt:lpstr>
      <vt:lpstr>Croninleipts</vt:lpstr>
      <vt:lpstr>Croninleitrie</vt:lpstr>
      <vt:lpstr>Crossdalesarptscorrect</vt:lpstr>
      <vt:lpstr>Crossdalesartriescorrect</vt:lpstr>
      <vt:lpstr>Cunningham_Sthharpts</vt:lpstr>
      <vt:lpstr>Cunningham_Sthhartries</vt:lpstr>
      <vt:lpstr>Curry_Bsalpts</vt:lpstr>
      <vt:lpstr>Curry_Bsaltries</vt:lpstr>
      <vt:lpstr>Curry_Tsalpts</vt:lpstr>
      <vt:lpstr>Curry_Tsaltries</vt:lpstr>
      <vt:lpstr>Curtissalpts</vt:lpstr>
      <vt:lpstr>Curtissaltries</vt:lpstr>
      <vt:lpstr>Cusickbripts</vt:lpstr>
      <vt:lpstr>Cusickbritries</vt:lpstr>
      <vt:lpstr>Daltonnewpts</vt:lpstr>
      <vt:lpstr>Daltonnewtries</vt:lpstr>
      <vt:lpstr>dalysarattcorrect</vt:lpstr>
      <vt:lpstr>dalysarglscorrect</vt:lpstr>
      <vt:lpstr>Dalysarptscorrect</vt:lpstr>
      <vt:lpstr>Dalysartriescorrect</vt:lpstr>
      <vt:lpstr>Dansarpts</vt:lpstr>
      <vt:lpstr>Dansartries</vt:lpstr>
      <vt:lpstr>Davidharpts</vt:lpstr>
      <vt:lpstr>Davidhartries</vt:lpstr>
      <vt:lpstr>DavidsonNORpts</vt:lpstr>
      <vt:lpstr>DavidsonNORtries</vt:lpstr>
      <vt:lpstr>Daviesbripts</vt:lpstr>
      <vt:lpstr>Daviesbritries</vt:lpstr>
      <vt:lpstr>Davisexepoints</vt:lpstr>
      <vt:lpstr>Davisexetrie</vt:lpstr>
      <vt:lpstr>Dawidiukglopts</vt:lpstr>
      <vt:lpstr>Dawidiukglotries</vt:lpstr>
      <vt:lpstr>de_Bruinnewpts</vt:lpstr>
      <vt:lpstr>de_Bruinnewtries</vt:lpstr>
      <vt:lpstr>de_ChavesNEWpts</vt:lpstr>
      <vt:lpstr>de_ChavesNEWtries</vt:lpstr>
      <vt:lpstr>de_Glanvillebthgls</vt:lpstr>
      <vt:lpstr>de_Jagersalpts</vt:lpstr>
      <vt:lpstr>de_Jagersaltries</vt:lpstr>
      <vt:lpstr>deglanvillebthatt</vt:lpstr>
      <vt:lpstr>Delmasbthpts</vt:lpstr>
      <vt:lpstr>Delmasbthtries</vt:lpstr>
      <vt:lpstr>Dentonglopts</vt:lpstr>
      <vt:lpstr>Dentonglotries</vt:lpstr>
      <vt:lpstr>Diaz_Bonilla_Jleicpts</vt:lpstr>
      <vt:lpstr>Diaz_Bonilla_Jleictries</vt:lpstr>
      <vt:lpstr>Dingwallnorpts</vt:lpstr>
      <vt:lpstr>Dingwallnortries</vt:lpstr>
      <vt:lpstr>Dohertynewpts</vt:lpstr>
      <vt:lpstr>Dohertynewtries</vt:lpstr>
      <vt:lpstr>Dombrandtharpts</vt:lpstr>
      <vt:lpstr>Dombrandthartries</vt:lpstr>
      <vt:lpstr>Donoghuebthpts</vt:lpstr>
      <vt:lpstr>Donoghuebthtries</vt:lpstr>
      <vt:lpstr>du_Plessissarpts</vt:lpstr>
      <vt:lpstr>du_Plessissartries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du_Toitbthpts</vt:lpstr>
      <vt:lpstr>du_Toitbthtries</vt:lpstr>
      <vt:lpstr>Dugdalesalpts</vt:lpstr>
      <vt:lpstr>Dugdalesaltries</vt:lpstr>
      <vt:lpstr>Dunnbattries</vt:lpstr>
      <vt:lpstr>Dunneexepts</vt:lpstr>
      <vt:lpstr>Dunneexetries</vt:lpstr>
      <vt:lpstr>Dunntompts</vt:lpstr>
      <vt:lpstr>dupreezsalatt</vt:lpstr>
      <vt:lpstr>dupreezsalgls</vt:lpstr>
      <vt:lpstr>dupreezsalpts</vt:lpstr>
      <vt:lpstr>Earlsarptscorrect</vt:lpstr>
      <vt:lpstr>Earlsartriescorrect</vt:lpstr>
      <vt:lpstr>Edenbripts</vt:lpstr>
      <vt:lpstr>Edenbritries</vt:lpstr>
      <vt:lpstr>Edensarpts</vt:lpstr>
      <vt:lpstr>Edensartries</vt:lpstr>
      <vt:lpstr>Edwardsharpts</vt:lpstr>
      <vt:lpstr>Edwardshartries</vt:lpstr>
      <vt:lpstr>elizaldebriatt</vt:lpstr>
      <vt:lpstr>elizaldebrigls</vt:lpstr>
      <vt:lpstr>Elizaldebritries</vt:lpstr>
      <vt:lpstr>Elizaldebtipts</vt:lpstr>
      <vt:lpstr>elliottsaratt</vt:lpstr>
      <vt:lpstr>elliottsargls</vt:lpstr>
      <vt:lpstr>Elliottsarpts</vt:lpstr>
      <vt:lpstr>Elliottsartries</vt:lpstr>
      <vt:lpstr>Emensbthpts</vt:lpstr>
      <vt:lpstr>Emensbthtries</vt:lpstr>
      <vt:lpstr>EneSALpts</vt:lpstr>
      <vt:lpstr>EneSALtries</vt:lpstr>
      <vt:lpstr>englefieldgloatt</vt:lpstr>
      <vt:lpstr>englefieldglogls</vt:lpstr>
      <vt:lpstr>Englefieldglopts</vt:lpstr>
      <vt:lpstr>Englefieldglotries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farrellsarglscorrect</vt:lpstr>
      <vt:lpstr>Farrellsarpts</vt:lpstr>
      <vt:lpstr>Farrellsarptscorrect</vt:lpstr>
      <vt:lpstr>farrellsartriescorrect</vt:lpstr>
      <vt:lpstr>Fenbylipts</vt:lpstr>
      <vt:lpstr>Fenbylitries</vt:lpstr>
      <vt:lpstr>Feyi_Wabosoexepts</vt:lpstr>
      <vt:lpstr>Feyi_Wabosoexetries</vt:lpstr>
      <vt:lpstr>Fisilau</vt:lpstr>
      <vt:lpstr>FisilauEXEpts</vt:lpstr>
      <vt:lpstr>FisilauEXEtries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Fowlielipts</vt:lpstr>
      <vt:lpstr>Fowlietomtries</vt:lpstr>
      <vt:lpstr>Freemannorpts</vt:lpstr>
      <vt:lpstr>Freemannortries</vt:lpstr>
      <vt:lpstr>Frischbripts</vt:lpstr>
      <vt:lpstr>Frischbritries</vt:lpstr>
      <vt:lpstr>Frostexepts</vt:lpstr>
      <vt:lpstr>Frostexetries</vt:lpstr>
      <vt:lpstr>furbanknoratt</vt:lpstr>
      <vt:lpstr>furbanknorgls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Garsidenorpts</vt:lpstr>
      <vt:lpstr>Garsidenortries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Gjaltemaharpts</vt:lpstr>
      <vt:lpstr>Gjaltemahartries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GOODESARATTCORRECT</vt:lpstr>
      <vt:lpstr>goodesarglscorrect</vt:lpstr>
      <vt:lpstr>Goodesarptscorrect</vt:lpstr>
      <vt:lpstr>Goodesartriescorrect</vt:lpstr>
      <vt:lpstr>Gordonnewpts</vt:lpstr>
      <vt:lpstr>Gordonnewtries</vt:lpstr>
      <vt:lpstr>Grahamslawbripts</vt:lpstr>
      <vt:lpstr>Grahamslawbritries</vt:lpstr>
      <vt:lpstr>Grayexeeurtries</vt:lpstr>
      <vt:lpstr>Grayexepts</vt:lpstr>
      <vt:lpstr>Grayexetries</vt:lpstr>
      <vt:lpstr>Grayjoeharpts</vt:lpstr>
      <vt:lpstr>Grayjoehartries</vt:lpstr>
      <vt:lpstr>Graysonnewatt</vt:lpstr>
      <vt:lpstr>Graysonnewgls</vt:lpstr>
      <vt:lpstr>Graysonnewpts</vt:lpstr>
      <vt:lpstr>Graysonnewtries</vt:lpstr>
      <vt:lpstr>Graysonnorpts</vt:lpstr>
      <vt:lpstr>Graysonnortries</vt:lpstr>
      <vt:lpstr>Greenbthptscorrect</vt:lpstr>
      <vt:lpstr>Greenbthtriescorrect</vt:lpstr>
      <vt:lpstr>Greenharpts</vt:lpstr>
      <vt:lpstr>Greenhartries</vt:lpstr>
      <vt:lpstr>Greennorpts</vt:lpstr>
      <vt:lpstr>Greennortries</vt:lpstr>
      <vt:lpstr>Griffinbthpts</vt:lpstr>
      <vt:lpstr>Griffinbthtries</vt:lpstr>
      <vt:lpstr>Grondona_Bbripts</vt:lpstr>
      <vt:lpstr>Grondona_Bbritries</vt:lpstr>
      <vt:lpstr>Grondona_Sbripts</vt:lpstr>
      <vt:lpstr>Grondona_Sbritries</vt:lpstr>
      <vt:lpstr>Gwilliambripts</vt:lpstr>
      <vt:lpstr>Gwilliambritries</vt:lpstr>
      <vt:lpstr>Hadfieldsarpts</vt:lpstr>
      <vt:lpstr>Hadfieldsartries</vt:lpstr>
      <vt:lpstr>Hainingbripts</vt:lpstr>
      <vt:lpstr>Hainingbritries</vt:lpstr>
      <vt:lpstr>Halaifonuaglopts</vt:lpstr>
      <vt:lpstr>Halaifonuaglotries</vt:lpstr>
      <vt:lpstr>halfpennyharatt</vt:lpstr>
      <vt:lpstr>Halfpennyhargls</vt:lpstr>
      <vt:lpstr>Halfpennyharpts</vt:lpstr>
      <vt:lpstr>Halfpennyhartries</vt:lpstr>
      <vt:lpstr>Halliwellbripts</vt:lpstr>
      <vt:lpstr>Halliwellbritries</vt:lpstr>
      <vt:lpstr>Hallsarpts</vt:lpstr>
      <vt:lpstr>Hallsartries</vt:lpstr>
      <vt:lpstr>HammersleyEXEpts</vt:lpstr>
      <vt:lpstr>HammersleyEXEtries</vt:lpstr>
      <vt:lpstr>Hammersleysalpts</vt:lpstr>
      <vt:lpstr>Hammersleysaltries</vt:lpstr>
      <vt:lpstr>Hammicksarpts</vt:lpstr>
      <vt:lpstr>Hammicksartries</vt:lpstr>
      <vt:lpstr>Hardingbripts</vt:lpstr>
      <vt:lpstr>Hardingbritries</vt:lpstr>
      <vt:lpstr>harisbthatt</vt:lpstr>
      <vt:lpstr>HarlequinsPts</vt:lpstr>
      <vt:lpstr>HarlequinsTries</vt:lpstr>
      <vt:lpstr>Harpersalpts</vt:lpstr>
      <vt:lpstr>Harpersaltries</vt:lpstr>
      <vt:lpstr>Harrisbthgls</vt:lpstr>
      <vt:lpstr>Harrisbthpts</vt:lpstr>
      <vt:lpstr>Harrisbthtries</vt:lpstr>
      <vt:lpstr>Harrisglopts</vt:lpstr>
      <vt:lpstr>Harrisglotries</vt:lpstr>
      <vt:lpstr>Harrisonsalpts</vt:lpstr>
      <vt:lpstr>Harrisonsaltris</vt:lpstr>
      <vt:lpstr>Harrisonsampts</vt:lpstr>
      <vt:lpstr>Harrisonsamtries</vt:lpstr>
      <vt:lpstr>Harrissarpts</vt:lpstr>
      <vt:lpstr>Harrissartries</vt:lpstr>
      <vt:lpstr>Hartleysarpts</vt:lpstr>
      <vt:lpstr>Hartleysartries</vt:lpstr>
      <vt:lpstr>Hartryscorers</vt:lpstr>
      <vt:lpstr>Hassell_CollinsLEIpts</vt:lpstr>
      <vt:lpstr>Hassell_CollinsLEItries</vt:lpstr>
      <vt:lpstr>HathawayGLOpts</vt:lpstr>
      <vt:lpstr>HathawayGLOtries</vt:lpstr>
      <vt:lpstr>HatherellLEIpts</vt:lpstr>
      <vt:lpstr>HatherellLEItries</vt:lpstr>
      <vt:lpstr>Haydon_WoodEXEtries</vt:lpstr>
      <vt:lpstr>Haydon_Woodnewpts</vt:lpstr>
      <vt:lpstr>Haydon_Woodnewtries</vt:lpstr>
      <vt:lpstr>HAYDONWOODEXEATT</vt:lpstr>
      <vt:lpstr>HAYDONWOODEXEGLS</vt:lpstr>
      <vt:lpstr>Haywood_WoodEXEpts</vt:lpstr>
      <vt:lpstr>Hearlenewpts</vt:lpstr>
      <vt:lpstr>Hearlenewtries</vt:lpstr>
      <vt:lpstr>Hearnlirpts</vt:lpstr>
      <vt:lpstr>Hearnlirtries</vt:lpstr>
      <vt:lpstr>Hendynorpts</vt:lpstr>
      <vt:lpstr>Hendynortries</vt:lpstr>
      <vt:lpstr>HennesseyBTHpts</vt:lpstr>
      <vt:lpstr>HennesseyBTHtries</vt:lpstr>
      <vt:lpstr>Herbstharpts</vt:lpstr>
      <vt:lpstr>Herbsthartries</vt:lpstr>
      <vt:lpstr>Herronharpts</vt:lpstr>
      <vt:lpstr>Herronhartries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Hobsonharpts</vt:lpstr>
      <vt:lpstr>Hobsonhartries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Hodgsonnorpts</vt:lpstr>
      <vt:lpstr>Hodgsonnortries</vt:lpstr>
      <vt:lpstr>Holmesexepts</vt:lpstr>
      <vt:lpstr>holmesexetries</vt:lpstr>
      <vt:lpstr>Holmesleicpts</vt:lpstr>
      <vt:lpstr>Holmesleictries</vt:lpstr>
      <vt:lpstr>Hortonleipts</vt:lpstr>
      <vt:lpstr>Hortonleitries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Hydeharpts</vt:lpstr>
      <vt:lpstr>Hydehartries</vt:lpstr>
      <vt:lpstr>ibitoyebriatt</vt:lpstr>
      <vt:lpstr>Ibitoyebrigls</vt:lpstr>
      <vt:lpstr>Ibitoyeharpts</vt:lpstr>
      <vt:lpstr>Ibitoyehartries</vt:lpstr>
      <vt:lpstr>Ilioneleipts</vt:lpstr>
      <vt:lpstr>Ilioneleitries</vt:lpstr>
      <vt:lpstr>Iosefa_Scottexepts</vt:lpstr>
      <vt:lpstr>Iosefa_Scottexetries</vt:lpstr>
      <vt:lpstr>Irvinenorpts</vt:lpstr>
      <vt:lpstr>Irvinenortries</vt:lpstr>
      <vt:lpstr>Isgroharpts</vt:lpstr>
      <vt:lpstr>Isgrohartries</vt:lpstr>
      <vt:lpstr>Isiekwesarptscorrect</vt:lpstr>
      <vt:lpstr>Isiekwesartriescorrect</vt:lpstr>
      <vt:lpstr>Itojesarpts</vt:lpstr>
      <vt:lpstr>Itojesarptscorrect</vt:lpstr>
      <vt:lpstr>Itojesartries</vt:lpstr>
      <vt:lpstr>Itojesartriescorrect</vt:lpstr>
      <vt:lpstr>Jacksonsarpts</vt:lpstr>
      <vt:lpstr>Jacksonsartries</vt:lpstr>
      <vt:lpstr>James_Lsalpts</vt:lpstr>
      <vt:lpstr>James_Lsaltries</vt:lpstr>
      <vt:lpstr>jamesnoratt</vt:lpstr>
      <vt:lpstr>Jamesnorgls</vt:lpstr>
      <vt:lpstr>Jamesnorpts</vt:lpstr>
      <vt:lpstr>Jamesnortries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Jibuluharpts</vt:lpstr>
      <vt:lpstr>Jibuluhartries</vt:lpstr>
      <vt:lpstr>Johnexepts</vt:lpstr>
      <vt:lpstr>Johnexetries</vt:lpstr>
      <vt:lpstr>Johnsonsarpts</vt:lpstr>
      <vt:lpstr>Johnsonsartries</vt:lpstr>
      <vt:lpstr>Jones_MGLOpts</vt:lpstr>
      <vt:lpstr>Jones_MGLOtries</vt:lpstr>
      <vt:lpstr>Jonesadamharpts</vt:lpstr>
      <vt:lpstr>Jonesadamhartries</vt:lpstr>
      <vt:lpstr>JonesHharpts</vt:lpstr>
      <vt:lpstr>JonesHhartries</vt:lpstr>
      <vt:lpstr>Joneswynharpts</vt:lpstr>
      <vt:lpstr>Joneswynhartries</vt:lpstr>
      <vt:lpstr>JosephHARPTS</vt:lpstr>
      <vt:lpstr>JosephHARtries</vt:lpstr>
      <vt:lpstr>Joussainleipts</vt:lpstr>
      <vt:lpstr>Joussainleitries</vt:lpstr>
      <vt:lpstr>Jureviciusharpts</vt:lpstr>
      <vt:lpstr>Jureviciushartries</vt:lpstr>
      <vt:lpstr>Keastexepts</vt:lpstr>
      <vt:lpstr>Keastexetries</vt:lpstr>
      <vt:lpstr>kellyleicatt</vt:lpstr>
      <vt:lpstr>Kellyleicgls</vt:lpstr>
      <vt:lpstr>Kellysalpts</vt:lpstr>
      <vt:lpstr>Kellysaltries</vt:lpstr>
      <vt:lpstr>Kemenynorpts</vt:lpstr>
      <vt:lpstr>Kemenynortries</vt:lpstr>
      <vt:lpstr>Kenninghamharpts</vt:lpstr>
      <vt:lpstr>Kenninghamhartries</vt:lpstr>
      <vt:lpstr>Kerrleicpts</vt:lpstr>
      <vt:lpstr>Kerrleictries</vt:lpstr>
      <vt:lpstr>Kirkbthpts</vt:lpstr>
      <vt:lpstr>Kirkbthtries</vt:lpstr>
      <vt:lpstr>Kitchenergrahamptscorrect</vt:lpstr>
      <vt:lpstr>Kitchenergrahamtriescorrect</vt:lpstr>
      <vt:lpstr>Knightciaranglopts</vt:lpstr>
      <vt:lpstr>Knightciaranglotries</vt:lpstr>
      <vt:lpstr>Knightgloptscorrect</vt:lpstr>
      <vt:lpstr>Knightglotriescorrect</vt:lpstr>
      <vt:lpstr>KnightSARpts</vt:lpstr>
      <vt:lpstr>KnightSARtries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Lamositeleharpts</vt:lpstr>
      <vt:lpstr>Lamositelehartries</vt:lpstr>
      <vt:lpstr>Lamositelesarpts</vt:lpstr>
      <vt:lpstr>Lamositelesartries</vt:lpstr>
      <vt:lpstr>lanebriatt</vt:lpstr>
      <vt:lpstr>lanebrigls</vt:lpstr>
      <vt:lpstr>Lanebripts</vt:lpstr>
      <vt:lpstr>Lanebritries</vt:lpstr>
      <vt:lpstr>LangdonNORpts</vt:lpstr>
      <vt:lpstr>LangdonNORtries</vt:lpstr>
      <vt:lpstr>Lawesnorpts</vt:lpstr>
      <vt:lpstr>Lawesnortries</vt:lpstr>
      <vt:lpstr>Lawrencebthpts</vt:lpstr>
      <vt:lpstr>Lawrencebthtries</vt:lpstr>
      <vt:lpstr>Laybripts</vt:lpstr>
      <vt:lpstr>Laybritries</vt:lpstr>
      <vt:lpstr>le_Rouxbthpts</vt:lpstr>
      <vt:lpstr>le_Rouxbthtries</vt:lpstr>
      <vt:lpstr>LeicesterPts</vt:lpstr>
      <vt:lpstr>LeicesterTries</vt:lpstr>
      <vt:lpstr>leicspentriespts</vt:lpstr>
      <vt:lpstr>leicspentriestries</vt:lpstr>
      <vt:lpstr>Lennonbripts</vt:lpstr>
      <vt:lpstr>Lennonbritries</vt:lpstr>
      <vt:lpstr>Lewingtontries</vt:lpstr>
      <vt:lpstr>Lewisdaveharpts</vt:lpstr>
      <vt:lpstr>Lewisdavehartries</vt:lpstr>
      <vt:lpstr>Lewisharpts</vt:lpstr>
      <vt:lpstr>Lewishartries</vt:lpstr>
      <vt:lpstr>Liebenbergleicpts</vt:lpstr>
      <vt:lpstr>Liebenbergleictries</vt:lpstr>
      <vt:lpstr>Lilleyexepts</vt:lpstr>
      <vt:lpstr>Lilleyexetries</vt:lpstr>
      <vt:lpstr>Lindsay_Haguenewpts</vt:lpstr>
      <vt:lpstr>Lindsay_Haguenewtries</vt:lpstr>
      <vt:lpstr>Litchfieldnorpts</vt:lpstr>
      <vt:lpstr>Litchfieldnortries</vt:lpstr>
      <vt:lpstr>LloydBriAtt</vt:lpstr>
      <vt:lpstr>LloydBriGls</vt:lpstr>
      <vt:lpstr>Lloydlirpts</vt:lpstr>
      <vt:lpstr>Lloydlirtries</vt:lpstr>
      <vt:lpstr>Lockettnorpts</vt:lpstr>
      <vt:lpstr>Lockettnortries</vt:lpstr>
      <vt:lpstr>Lowkierantries</vt:lpstr>
      <vt:lpstr>Lowlipts</vt:lpstr>
      <vt:lpstr>lozowksisarattcorrect</vt:lpstr>
      <vt:lpstr>lozowskisarattcorrect</vt:lpstr>
      <vt:lpstr>lozowskisarglscorrect</vt:lpstr>
      <vt:lpstr>Lozowskisarptscorrect</vt:lpstr>
      <vt:lpstr>Lozowskisartriescorrect</vt:lpstr>
      <vt:lpstr>Ludlamnorpts</vt:lpstr>
      <vt:lpstr>Ludlamnortries</vt:lpstr>
      <vt:lpstr>Ludlowglopts</vt:lpstr>
      <vt:lpstr>Ludlowglotries</vt:lpstr>
      <vt:lpstr>Ma_afusalesipts</vt:lpstr>
      <vt:lpstr>Ma_afusalesitries</vt:lpstr>
      <vt:lpstr>macgintybriatt</vt:lpstr>
      <vt:lpstr>MacGintybrigls</vt:lpstr>
      <vt:lpstr>MacGintybripts</vt:lpstr>
      <vt:lpstr>MacGintybritries</vt:lpstr>
      <vt:lpstr>Mafipts</vt:lpstr>
      <vt:lpstr>Makepeace_Cubittnoratt</vt:lpstr>
      <vt:lpstr>Makepeace_Cubittnorgls</vt:lpstr>
      <vt:lpstr>Malinsbripts</vt:lpstr>
      <vt:lpstr>Malinsbritries</vt:lpstr>
      <vt:lpstr>Malinssarpts</vt:lpstr>
      <vt:lpstr>Malinssartries</vt:lpstr>
      <vt:lpstr>Maloneyexepts</vt:lpstr>
      <vt:lpstr>Maloneyexetries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MarmionBRIpts</vt:lpstr>
      <vt:lpstr>MarmionBRItries</vt:lpstr>
      <vt:lpstr>Marshalllirpts</vt:lpstr>
      <vt:lpstr>Marshalllirtries</vt:lpstr>
      <vt:lpstr>Marshallnorpts</vt:lpstr>
      <vt:lpstr>Marshallnortries</vt:lpstr>
      <vt:lpstr>Martinleicpts</vt:lpstr>
      <vt:lpstr>Martinleictries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Mayhewlipts</vt:lpstr>
      <vt:lpstr>Mayhewlitries</vt:lpstr>
      <vt:lpstr>Mayleicpts</vt:lpstr>
      <vt:lpstr>Mayleictries</vt:lpstr>
      <vt:lpstr>McCallumnewpts</vt:lpstr>
      <vt:lpstr>McCallumnewtries</vt:lpstr>
      <vt:lpstr>McConnochiebthpts</vt:lpstr>
      <vt:lpstr>McConnochiebthtries</vt:lpstr>
      <vt:lpstr>McDonaldNEWpts</vt:lpstr>
      <vt:lpstr>McDonaldNEWtries</vt:lpstr>
      <vt:lpstr>McElroysalpts</vt:lpstr>
      <vt:lpstr>McElroysaltries</vt:lpstr>
      <vt:lpstr>McFarlandsarptscorrect</vt:lpstr>
      <vt:lpstr>McFarlandsartriescorrect</vt:lpstr>
      <vt:lpstr>McGuiganglopts</vt:lpstr>
      <vt:lpstr>McGuiganglotries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McParlandNORpts</vt:lpstr>
      <vt:lpstr>McParlandNORtries</vt:lpstr>
      <vt:lpstr>Meehanglopts</vt:lpstr>
      <vt:lpstr>Meehanglotries</vt:lpstr>
      <vt:lpstr>Meredithleipts</vt:lpstr>
      <vt:lpstr>Meredithleitries</vt:lpstr>
      <vt:lpstr>Merricknewpts</vt:lpstr>
      <vt:lpstr>Merricknewtries</vt:lpstr>
      <vt:lpstr>Metcalfnewpts</vt:lpstr>
      <vt:lpstr>Metcalfnewtries</vt:lpstr>
      <vt:lpstr>Mitchellnorpts</vt:lpstr>
      <vt:lpstr>Mitchellnortries</vt:lpstr>
      <vt:lpstr>mitchellnoryratt</vt:lpstr>
      <vt:lpstr>Mitchellnoryrgls</vt:lpstr>
      <vt:lpstr>Montoyaleicpts</vt:lpstr>
      <vt:lpstr>Montoyaleictries</vt:lpstr>
      <vt:lpstr>Moore_Aionosarpts</vt:lpstr>
      <vt:lpstr>Moore_Aionosartries</vt:lpstr>
      <vt:lpstr>Mooresalpts</vt:lpstr>
      <vt:lpstr>Mooresaltries</vt:lpstr>
      <vt:lpstr>Mooresarpts</vt:lpstr>
      <vt:lpstr>Mooresartries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Muirbthpts</vt:lpstr>
      <vt:lpstr>Muirbthtries</vt:lpstr>
      <vt:lpstr>Mulchronelipts</vt:lpstr>
      <vt:lpstr>MulchronelirtriesCORRECT</vt:lpstr>
      <vt:lpstr>Mulchronelitries</vt:lpstr>
      <vt:lpstr>Muldowneybripts</vt:lpstr>
      <vt:lpstr>Muldowneybritries</vt:lpstr>
      <vt:lpstr>MungaNORpts</vt:lpstr>
      <vt:lpstr>MungaNORtries</vt:lpstr>
      <vt:lpstr>Murleyharpts</vt:lpstr>
      <vt:lpstr>Murleyhartries</vt:lpstr>
      <vt:lpstr>Murrayharpts</vt:lpstr>
      <vt:lpstr>Murrayhartries</vt:lpstr>
      <vt:lpstr>Muskharpts</vt:lpstr>
      <vt:lpstr>Muskhartries</vt:lpstr>
      <vt:lpstr>Narrawaylipts</vt:lpstr>
      <vt:lpstr>Neildnewpts</vt:lpstr>
      <vt:lpstr>Neildnewtries</vt:lpstr>
      <vt:lpstr>Neildsalpts</vt:lpstr>
      <vt:lpstr>Neildsaltries</vt:lpstr>
      <vt:lpstr>Nelsonglopts</vt:lpstr>
      <vt:lpstr>Nelsonglotries</vt:lpstr>
      <vt:lpstr>Noreyexepts</vt:lpstr>
      <vt:lpstr>Noreyexetries</vt:lpstr>
      <vt:lpstr>NorthamptonPts</vt:lpstr>
      <vt:lpstr>NorthamptonTries</vt:lpstr>
      <vt:lpstr>Northmoreharpts</vt:lpstr>
      <vt:lpstr>Northmorehartries</vt:lpstr>
      <vt:lpstr>Obanobthpts</vt:lpstr>
      <vt:lpstr>Obanobthtries</vt:lpstr>
      <vt:lpstr>Obatoyinbonewpts</vt:lpstr>
      <vt:lpstr>Obatoyinbonewtries</vt:lpstr>
      <vt:lpstr>Odendaalnorpts</vt:lpstr>
      <vt:lpstr>Odendaalnortries</vt:lpstr>
      <vt:lpstr>odonoghuebthatt</vt:lpstr>
      <vt:lpstr>odonoghuebthgls</vt:lpstr>
      <vt:lpstr>Offiahbthpts</vt:lpstr>
      <vt:lpstr>Offiahbthtries</vt:lpstr>
      <vt:lpstr>Oghrebripts</vt:lpstr>
      <vt:lpstr>Oghrebritries</vt:lpstr>
      <vt:lpstr>OjomohBTHPTS</vt:lpstr>
      <vt:lpstr>OjomohBTHTRIES</vt:lpstr>
      <vt:lpstr>Olowofela_Jleicpts</vt:lpstr>
      <vt:lpstr>Olowofela_Jleictries</vt:lpstr>
      <vt:lpstr>OosthuizenSALpts</vt:lpstr>
      <vt:lpstr>OosthuizenSALtries</vt:lpstr>
      <vt:lpstr>Osborneharpts</vt:lpstr>
      <vt:lpstr>Osbornehartries</vt:lpstr>
      <vt:lpstr>Ostrikovandreitries</vt:lpstr>
      <vt:lpstr>OStrikovsalpts</vt:lpstr>
      <vt:lpstr>OwenBRIpts</vt:lpstr>
      <vt:lpstr>OwenBRItries</vt:lpstr>
      <vt:lpstr>Owennewptscorrect</vt:lpstr>
      <vt:lpstr>Owennewtriescorrect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Palframannewpts</vt:lpstr>
      <vt:lpstr>Palframannewtries</vt:lpstr>
      <vt:lpstr>Parlingleipts</vt:lpstr>
      <vt:lpstr>Parlingleitries</vt:lpstr>
      <vt:lpstr>Parrybthpts</vt:lpstr>
      <vt:lpstr>Parrybthtries</vt:lpstr>
      <vt:lpstr>Parsonsnewpts</vt:lpstr>
      <vt:lpstr>Parsonsnewtries</vt:lpstr>
      <vt:lpstr>PartonSARpts</vt:lpstr>
      <vt:lpstr>PartonSARtries</vt:lpstr>
      <vt:lpstr>Pasconorpts</vt:lpstr>
      <vt:lpstr>Pasconortries</vt:lpstr>
      <vt:lpstr>Paulolirpts</vt:lpstr>
      <vt:lpstr>paulolirtries</vt:lpstr>
      <vt:lpstr>Pearcebripts</vt:lpstr>
      <vt:lpstr>Pearcebritries</vt:lpstr>
      <vt:lpstr>Pearsonexepts</vt:lpstr>
      <vt:lpstr>Pearsonexetries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Pepper_MNEWpts</vt:lpstr>
      <vt:lpstr>Pepper_MNEWtries</vt:lpstr>
      <vt:lpstr>Pepperbthpts</vt:lpstr>
      <vt:lpstr>Pepperbthtries</vt:lpstr>
      <vt:lpstr>Petchglopts</vt:lpstr>
      <vt:lpstr>Petchglotries</vt:lpstr>
      <vt:lpstr>Petelo_Mapunorpts</vt:lpstr>
      <vt:lpstr>Petelo_Mapunortries</vt:lpstr>
      <vt:lpstr>Pifeletisarptscorrect</vt:lpstr>
      <vt:lpstr>Pifeletisartriescorrect</vt:lpstr>
      <vt:lpstr>Piutaubripts</vt:lpstr>
      <vt:lpstr>Piutaubritries</vt:lpstr>
      <vt:lpstr>pollardleicatt</vt:lpstr>
      <vt:lpstr>Pollardleicgls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PostlethwaiteEXEpts</vt:lpstr>
      <vt:lpstr>PostlethwaiteEXEtries</vt:lpstr>
      <vt:lpstr>pts</vt:lpstr>
      <vt:lpstr>quinspentriespts</vt:lpstr>
      <vt:lpstr>quinspentriestries</vt:lpstr>
      <vt:lpstr>Quirkesalpts</vt:lpstr>
      <vt:lpstr>Quirkesaltries</vt:lpstr>
      <vt:lpstr>Radwanleipts</vt:lpstr>
      <vt:lpstr>Radwanleitries</vt:lpstr>
      <vt:lpstr>Radwannewptscorrect</vt:lpstr>
      <vt:lpstr>Radwannewtriescorrect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Ravouvoubripts</vt:lpstr>
      <vt:lpstr>Ravouvoufijtries</vt:lpstr>
      <vt:lpstr>Readsalpts</vt:lpstr>
      <vt:lpstr>Readsaltries</vt:lpstr>
      <vt:lpstr>redpathbthatt</vt:lpstr>
      <vt:lpstr>Redpathbthpts</vt:lpstr>
      <vt:lpstr>Redpathbthtries</vt:lpstr>
      <vt:lpstr>redpathsalatt</vt:lpstr>
      <vt:lpstr>redpathsalegls</vt:lpstr>
      <vt:lpstr>Reevesglopts</vt:lpstr>
      <vt:lpstr>Reevesglotries</vt:lpstr>
      <vt:lpstr>Reltonexepts</vt:lpstr>
      <vt:lpstr>Reltonexetries</vt:lpstr>
      <vt:lpstr>repathbthgls</vt:lpstr>
      <vt:lpstr>Riccionisarptscorrect</vt:lpstr>
      <vt:lpstr>Riccionisartriescorrect</vt:lpstr>
      <vt:lpstr>Richardsbthpts</vt:lpstr>
      <vt:lpstr>Richardsbthtries</vt:lpstr>
      <vt:lpstr>Rileysalpts</vt:lpstr>
      <vt:lpstr>Rileysaltries</vt:lpstr>
      <vt:lpstr>Robertsbthpts</vt:lpstr>
      <vt:lpstr>Robertsbthtries</vt:lpstr>
      <vt:lpstr>Roddsalpts</vt:lpstr>
      <vt:lpstr>Roddsaltries</vt:lpstr>
      <vt:lpstr>Roebucksalpts</vt:lpstr>
      <vt:lpstr>Roebucksaltries</vt:lpstr>
      <vt:lpstr>Roetssalpts</vt:lpstr>
      <vt:lpstr>Roetssaltries</vt:lpstr>
      <vt:lpstr>RogersonLEIpts</vt:lpstr>
      <vt:lpstr>RogersonLEItries</vt:lpstr>
      <vt:lpstr>Rouxbthprempts</vt:lpstr>
      <vt:lpstr>Rouxbthpremtries</vt:lpstr>
      <vt:lpstr>rouxbthtries</vt:lpstr>
      <vt:lpstr>Rubiolonewpts</vt:lpstr>
      <vt:lpstr>Rubiolonewtries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Saumakileicpts</vt:lpstr>
      <vt:lpstr>Saumakileictries</vt:lpstr>
      <vt:lpstr>savalanoratt</vt:lpstr>
      <vt:lpstr>Savalanorgls</vt:lpstr>
      <vt:lpstr>Savalanorpts</vt:lpstr>
      <vt:lpstr>Savalanortries</vt:lpstr>
      <vt:lpstr>Schickerlingexepts</vt:lpstr>
      <vt:lpstr>Schickerlingexetries</vt:lpstr>
      <vt:lpstr>Schmidharpts</vt:lpstr>
      <vt:lpstr>Schmidhartries</vt:lpstr>
      <vt:lpstr>Schonertsalpts</vt:lpstr>
      <vt:lpstr>Schonertsaltries</vt:lpstr>
      <vt:lpstr>Schreuderbthpts</vt:lpstr>
      <vt:lpstr>Schreuderbthtries</vt:lpstr>
      <vt:lpstr>Scotland_W_sonharpts</vt:lpstr>
      <vt:lpstr>Scotland_W_sonhartries</vt:lpstr>
      <vt:lpstr>Scott_Youngnorpts</vt:lpstr>
      <vt:lpstr>Scott_Youngnortries</vt:lpstr>
      <vt:lpstr>Scullypts</vt:lpstr>
      <vt:lpstr>SeabrookNORpts</vt:lpstr>
      <vt:lpstr>SeabrookNORtries</vt:lpstr>
      <vt:lpstr>searlebthatt</vt:lpstr>
      <vt:lpstr>Searlebthgls</vt:lpstr>
      <vt:lpstr>Segunsarptscorrect</vt:lpstr>
      <vt:lpstr>Segunsartriescorrect</vt:lpstr>
      <vt:lpstr>shillcockleicatt</vt:lpstr>
      <vt:lpstr>Shillcockleicgls</vt:lpstr>
      <vt:lpstr>ShillcockLEIpts</vt:lpstr>
      <vt:lpstr>ShillcockLEItries</vt:lpstr>
      <vt:lpstr>Simmonsleicpts</vt:lpstr>
      <vt:lpstr>Simmonsleictries</vt:lpstr>
      <vt:lpstr>Simpson_Gsarpts</vt:lpstr>
      <vt:lpstr>Simpson_Gsartries</vt:lpstr>
      <vt:lpstr>Sinclairjebbpts</vt:lpstr>
      <vt:lpstr>Sinclairjebbtries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sladeatt</vt:lpstr>
      <vt:lpstr>Sladeexepts</vt:lpstr>
      <vt:lpstr>Sladeexetries</vt:lpstr>
      <vt:lpstr>sladegoals</vt:lpstr>
      <vt:lpstr>Sleightholmenorpts</vt:lpstr>
      <vt:lpstr>Sleightholmenortries</vt:lpstr>
      <vt:lpstr>SlevinHARatt</vt:lpstr>
      <vt:lpstr>SlevinHARgls</vt:lpstr>
      <vt:lpstr>SlevinHARglsPERCENT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Spandlerbthpts</vt:lpstr>
      <vt:lpstr>Spandlertbhtries</vt:lpstr>
      <vt:lpstr>spcncerbthgls</vt:lpstr>
      <vt:lpstr>Spencer_Bbthpts</vt:lpstr>
      <vt:lpstr>Spencer_Bbthtries</vt:lpstr>
      <vt:lpstr>spencerbthatt</vt:lpstr>
      <vt:lpstr>Stanleyglopts</vt:lpstr>
      <vt:lpstr>Stanleyglotries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Strangbripts</vt:lpstr>
      <vt:lpstr>Strangbritries</vt:lpstr>
      <vt:lpstr>Streetexepts</vt:lpstr>
      <vt:lpstr>Streetexetries</vt:lpstr>
      <vt:lpstr>Stuartbthpts</vt:lpstr>
      <vt:lpstr>Stuartbthtries</vt:lpstr>
      <vt:lpstr>Swielsaratt</vt:lpstr>
      <vt:lpstr>Swielsargls</vt:lpstr>
      <vt:lpstr>Swielsarpts</vt:lpstr>
      <vt:lpstr>Swielsartries</vt:lpstr>
      <vt:lpstr>Swinsonsarptscorrect</vt:lpstr>
      <vt:lpstr>Swinsonsartriescorrect</vt:lpstr>
      <vt:lpstr>Sylvestersarpts</vt:lpstr>
      <vt:lpstr>Sylvestersartries</vt:lpstr>
      <vt:lpstr>Taylor_Rglopts</vt:lpstr>
      <vt:lpstr>Taylor_Rglotries</vt:lpstr>
      <vt:lpstr>Taylorglopts</vt:lpstr>
      <vt:lpstr>Taylorglotries</vt:lpstr>
      <vt:lpstr>Taylortsalpts</vt:lpstr>
      <vt:lpstr>Taylortsaltries</vt:lpstr>
      <vt:lpstr>Terryglopts</vt:lpstr>
      <vt:lpstr>Terryglotries</vt:lpstr>
      <vt:lpstr>ThameNORpts</vt:lpstr>
      <vt:lpstr>ThameNORtries</vt:lpstr>
      <vt:lpstr>Theobald_Thomasleipts</vt:lpstr>
      <vt:lpstr>Theobold_Thomasleitries</vt:lpstr>
      <vt:lpstr>Thomasglopts</vt:lpstr>
      <vt:lpstr>Thomasglotries</vt:lpstr>
      <vt:lpstr>thomasnewatt</vt:lpstr>
      <vt:lpstr>thomasnewgls</vt:lpstr>
      <vt:lpstr>ThomasSALpts</vt:lpstr>
      <vt:lpstr>ThomasSALtries</vt:lpstr>
      <vt:lpstr>thompstonetries</vt:lpstr>
      <vt:lpstr>Thorleygloptscorrect</vt:lpstr>
      <vt:lpstr>Thorleyglotriescorrect</vt:lpstr>
      <vt:lpstr>threlfallleiatt</vt:lpstr>
      <vt:lpstr>threlfallleigls</vt:lpstr>
      <vt:lpstr>Threlfallleipts</vt:lpstr>
      <vt:lpstr>Threlfallleitries</vt:lpstr>
      <vt:lpstr>Tiffennewpts</vt:lpstr>
      <vt:lpstr>Tiffennewtries</vt:lpstr>
      <vt:lpstr>Tizardsarpts</vt:lpstr>
      <vt:lpstr>Tizardsartries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Trevettbripts</vt:lpstr>
      <vt:lpstr>Trevettbritries</vt:lpstr>
      <vt:lpstr>Trinderglopts</vt:lpstr>
      <vt:lpstr>Trindertriestries</vt:lpstr>
      <vt:lpstr>Tshiunzaexepts</vt:lpstr>
      <vt:lpstr>Tshiunzaexetries</vt:lpstr>
      <vt:lpstr>Tuaexepts</vt:lpstr>
      <vt:lpstr>Tuaexetries</vt:lpstr>
      <vt:lpstr>Tuimaexepts</vt:lpstr>
      <vt:lpstr>Tuimaexetries</vt:lpstr>
      <vt:lpstr>Tuipulotubthpts</vt:lpstr>
      <vt:lpstr>Tuipulotubthtries</vt:lpstr>
      <vt:lpstr>Tuipulotusarpts</vt:lpstr>
      <vt:lpstr>Tuipulotusartries</vt:lpstr>
      <vt:lpstr>Tuitupousampts</vt:lpstr>
      <vt:lpstr>Tuitupousamtries</vt:lpstr>
      <vt:lpstr>Underhillbthpts</vt:lpstr>
      <vt:lpstr>Underhillbthtries</vt:lpstr>
      <vt:lpstr>UrenBRITRIES</vt:lpstr>
      <vt:lpstr>van_der_Flierleipts</vt:lpstr>
      <vt:lpstr>van_der_Flierleitries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van_Zylsarptscorrect</vt:lpstr>
      <vt:lpstr>van_Zylsartriescorrect</vt:lpstr>
      <vt:lpstr>Vanesleicpts</vt:lpstr>
      <vt:lpstr>Vanesleictries</vt:lpstr>
      <vt:lpstr>varneygloatt</vt:lpstr>
      <vt:lpstr>Varneyglogls</vt:lpstr>
      <vt:lpstr>Veainusalpts</vt:lpstr>
      <vt:lpstr>Veainusaltries</vt:lpstr>
      <vt:lpstr>Visagieglopts</vt:lpstr>
      <vt:lpstr>Visagieglotries</vt:lpstr>
      <vt:lpstr>Volavolaleiatt</vt:lpstr>
      <vt:lpstr>Volavolaleigls</vt:lpstr>
      <vt:lpstr>Volavolaleipts</vt:lpstr>
      <vt:lpstr>Volavolaleitries</vt:lpstr>
      <vt:lpstr>Vuibripts</vt:lpstr>
      <vt:lpstr>Vuibritries</vt:lpstr>
      <vt:lpstr>Vunipola_Msaratt</vt:lpstr>
      <vt:lpstr>Vunipola_Msargls</vt:lpstr>
      <vt:lpstr>Wacokecokenewpts</vt:lpstr>
      <vt:lpstr>Wacokecokenewtries</vt:lpstr>
      <vt:lpstr>Wadeglopts</vt:lpstr>
      <vt:lpstr>Wadeglotries</vt:lpstr>
      <vt:lpstr>Waghornharpts</vt:lpstr>
      <vt:lpstr>Waghornhartries</vt:lpstr>
      <vt:lpstr>Walkerharpts</vt:lpstr>
      <vt:lpstr>Walkerhartries</vt:lpstr>
      <vt:lpstr>Walkernorpts</vt:lpstr>
      <vt:lpstr>Walkernortries</vt:lpstr>
      <vt:lpstr>Walshleipts</vt:lpstr>
      <vt:lpstr>Walshleitries</vt:lpstr>
      <vt:lpstr>Wardglopts</vt:lpstr>
      <vt:lpstr>Wardglotries</vt:lpstr>
      <vt:lpstr>WarrSALatt</vt:lpstr>
      <vt:lpstr>WarrSALgls</vt:lpstr>
      <vt:lpstr>Warrsalpts</vt:lpstr>
      <vt:lpstr>Warrsaltries</vt:lpstr>
      <vt:lpstr>Watersharpts</vt:lpstr>
      <vt:lpstr>Watershartries</vt:lpstr>
      <vt:lpstr>Watsonleicpts</vt:lpstr>
      <vt:lpstr>Watsonleictries</vt:lpstr>
      <vt:lpstr>Webbersalpts</vt:lpstr>
      <vt:lpstr>Webbersaltries</vt:lpstr>
      <vt:lpstr>Weimannnorpts</vt:lpstr>
      <vt:lpstr>Weimannnortries</vt:lpstr>
      <vt:lpstr>Wellsleicpts</vt:lpstr>
      <vt:lpstr>Wellsleictries</vt:lpstr>
      <vt:lpstr>Whiteleicpts</vt:lpstr>
      <vt:lpstr>Whiteleictries</vt:lpstr>
      <vt:lpstr>whiteleyleiatt</vt:lpstr>
      <vt:lpstr>whiteleyleigls</vt:lpstr>
      <vt:lpstr>WhiteleyLEIpts</vt:lpstr>
      <vt:lpstr>WhiteleyLEItries</vt:lpstr>
      <vt:lpstr>Whittenpts</vt:lpstr>
      <vt:lpstr>Whittentries</vt:lpstr>
      <vt:lpstr>Wieseleicpts</vt:lpstr>
      <vt:lpstr>Wieseleictries</vt:lpstr>
      <vt:lpstr>Wilkinsnorpts</vt:lpstr>
      <vt:lpstr>Wilkinsnortries</vt:lpstr>
      <vt:lpstr>williamsbriatt</vt:lpstr>
      <vt:lpstr>williamsbrigls</vt:lpstr>
      <vt:lpstr>Williamsbripts</vt:lpstr>
      <vt:lpstr>Williamsbritries</vt:lpstr>
      <vt:lpstr>Williamsexepts</vt:lpstr>
      <vt:lpstr>Williamsexetries</vt:lpstr>
      <vt:lpstr>williamsgloatt</vt:lpstr>
      <vt:lpstr>Williamsglogls</vt:lpstr>
      <vt:lpstr>Williamsliamsarpts</vt:lpstr>
      <vt:lpstr>Williamsliamsartries</vt:lpstr>
      <vt:lpstr>Williamssalpts</vt:lpstr>
      <vt:lpstr>Williamssaltries</vt:lpstr>
      <vt:lpstr>Williamstomasglotries</vt:lpstr>
      <vt:lpstr>Williamstomosglopts</vt:lpstr>
      <vt:lpstr>Wilson_Osarpts</vt:lpstr>
      <vt:lpstr>Wilson_Osartries</vt:lpstr>
      <vt:lpstr>Wilsonsarpts</vt:lpstr>
      <vt:lpstr>Wilsonsartries</vt:lpstr>
      <vt:lpstr>Witheatnorpts</vt:lpstr>
      <vt:lpstr>Witheatnortries</vt:lpstr>
      <vt:lpstr>Wolstenholmebripts</vt:lpstr>
      <vt:lpstr>Wolstenholmebritries</vt:lpstr>
      <vt:lpstr>Woodburnexepts</vt:lpstr>
      <vt:lpstr>Woodburnexetries</vt:lpstr>
      <vt:lpstr>WoodwardLEIpts</vt:lpstr>
      <vt:lpstr>WoodwardLEItries</vt:lpstr>
      <vt:lpstr>WoolstencroftEurTries</vt:lpstr>
      <vt:lpstr>Woolstencroftsarptscorrect</vt:lpstr>
      <vt:lpstr>Woolstencroftsartriescorrect</vt:lpstr>
      <vt:lpstr>worsleybriatt</vt:lpstr>
      <vt:lpstr>worsleybrigls</vt:lpstr>
      <vt:lpstr>Worsleybripts</vt:lpstr>
      <vt:lpstr>Worsleybritries</vt:lpstr>
      <vt:lpstr>Wyattexepts</vt:lpstr>
      <vt:lpstr>Wyattexetries</vt:lpstr>
      <vt:lpstr>Yeandlejackpts</vt:lpstr>
      <vt:lpstr>Yeandlejacktries</vt:lpstr>
      <vt:lpstr>youngsbatt</vt:lpstr>
      <vt:lpstr>Youngsbenptscorrect</vt:lpstr>
      <vt:lpstr>youngsbentries</vt:lpstr>
      <vt:lpstr>youngsbgoals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2025-07-01T10:19:34Z</dcterms:modified>
</cp:coreProperties>
</file>