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MLR/2026 MLR/"/>
    </mc:Choice>
  </mc:AlternateContent>
  <xr:revisionPtr revIDLastSave="0" documentId="8_{57330302-DFA3-41D6-AE0D-FB055EC8BE97}" xr6:coauthVersionLast="47" xr6:coauthVersionMax="47" xr10:uidLastSave="{00000000-0000-0000-0000-000000000000}"/>
  <bookViews>
    <workbookView xWindow="-109" yWindow="-109" windowWidth="26301" windowHeight="14169" activeTab="7" xr2:uid="{41FD1844-0260-8D43-B5C4-06858E0A0E73}"/>
  </bookViews>
  <sheets>
    <sheet name="ANT" sheetId="1" r:id="rId1"/>
    <sheet name="CAL" sheetId="2" r:id="rId2"/>
    <sheet name="CHI" sheetId="3" r:id="rId3"/>
    <sheet name="NEW" sheetId="4" r:id="rId4"/>
    <sheet name="OGDC" sheetId="5" r:id="rId5"/>
    <sheet name="SEA" sheetId="6" r:id="rId6"/>
    <sheet name="Results" sheetId="7" r:id="rId7"/>
    <sheet name="Stats" sheetId="8" r:id="rId8"/>
    <sheet name="Cards" sheetId="9" r:id="rId9"/>
    <sheet name="Table" sheetId="10" r:id="rId10"/>
    <sheet name="All-Time Table" sheetId="11" r:id="rId11"/>
  </sheets>
  <definedNames>
    <definedName name="_xlnm._FilterDatabase" localSheetId="8" hidden="1">Cards!$A$2:$F$9</definedName>
    <definedName name="_xlnm._FilterDatabase" localSheetId="7" hidden="1">Stats!$H$2:$I$8</definedName>
    <definedName name="_xlnm._FilterDatabase" localSheetId="9" hidden="1">Table!$A$3:$L$9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" l="1"/>
  <c r="AA8" i="1"/>
  <c r="V8" i="1"/>
  <c r="W8" i="1"/>
  <c r="X8" i="1"/>
  <c r="U8" i="1"/>
  <c r="E21" i="11"/>
  <c r="G61" i="11"/>
  <c r="F61" i="11"/>
  <c r="E61" i="11"/>
  <c r="D61" i="11"/>
  <c r="C61" i="11"/>
  <c r="G59" i="11"/>
  <c r="F59" i="11"/>
  <c r="H59" i="11" s="1"/>
  <c r="E59" i="11"/>
  <c r="D59" i="11"/>
  <c r="C59" i="11"/>
  <c r="G55" i="11"/>
  <c r="F55" i="11"/>
  <c r="H55" i="11" s="1"/>
  <c r="G54" i="11"/>
  <c r="F54" i="11"/>
  <c r="E55" i="11"/>
  <c r="D55" i="11"/>
  <c r="C55" i="11"/>
  <c r="H56" i="11"/>
  <c r="H57" i="11"/>
  <c r="H58" i="11"/>
  <c r="H60" i="11"/>
  <c r="H62" i="11"/>
  <c r="H63" i="11"/>
  <c r="H64" i="11"/>
  <c r="H65" i="11"/>
  <c r="H66" i="11"/>
  <c r="H67" i="11"/>
  <c r="H68" i="11"/>
  <c r="H69" i="11"/>
  <c r="E54" i="11"/>
  <c r="D54" i="11"/>
  <c r="C54" i="11"/>
  <c r="I32" i="11"/>
  <c r="I33" i="11"/>
  <c r="I34" i="11"/>
  <c r="I36" i="11"/>
  <c r="I37" i="11"/>
  <c r="I39" i="11"/>
  <c r="I40" i="11"/>
  <c r="I41" i="11"/>
  <c r="I42" i="11"/>
  <c r="I43" i="11"/>
  <c r="I44" i="11"/>
  <c r="I45" i="11"/>
  <c r="L29" i="11"/>
  <c r="L32" i="11"/>
  <c r="L33" i="11"/>
  <c r="L34" i="11"/>
  <c r="L36" i="11"/>
  <c r="L37" i="11"/>
  <c r="L39" i="11"/>
  <c r="L40" i="11"/>
  <c r="L41" i="11"/>
  <c r="L42" i="11"/>
  <c r="L43" i="11"/>
  <c r="L44" i="11"/>
  <c r="L45" i="11"/>
  <c r="H54" i="11" l="1"/>
  <c r="H61" i="11"/>
  <c r="I42" i="7" l="1"/>
  <c r="I41" i="7"/>
  <c r="I40" i="7"/>
  <c r="I38" i="7"/>
  <c r="I37" i="7"/>
  <c r="I36" i="7"/>
  <c r="I33" i="7"/>
  <c r="I32" i="7"/>
  <c r="I30" i="7"/>
  <c r="I29" i="7"/>
  <c r="I28" i="7"/>
  <c r="I26" i="7"/>
  <c r="I25" i="7"/>
  <c r="I24" i="7"/>
  <c r="I22" i="7"/>
  <c r="I21" i="7"/>
  <c r="I19" i="7"/>
  <c r="I18" i="7"/>
  <c r="I17" i="7"/>
  <c r="I15" i="7"/>
  <c r="I14" i="7"/>
  <c r="I13" i="7"/>
  <c r="I11" i="7"/>
  <c r="I10" i="7"/>
  <c r="I9" i="7"/>
  <c r="I7" i="7"/>
  <c r="I6" i="7"/>
  <c r="I5" i="7"/>
  <c r="I3" i="7"/>
  <c r="D41" i="7"/>
  <c r="D24" i="7"/>
  <c r="D21" i="7"/>
  <c r="D18" i="7"/>
  <c r="D9" i="7"/>
  <c r="D33" i="7"/>
  <c r="D26" i="7"/>
  <c r="D22" i="7"/>
  <c r="D14" i="7"/>
  <c r="D11" i="7"/>
  <c r="D40" i="7"/>
  <c r="D36" i="7"/>
  <c r="D30" i="7"/>
  <c r="D25" i="7"/>
  <c r="D19" i="7"/>
  <c r="D42" i="7"/>
  <c r="D38" i="7"/>
  <c r="D29" i="7"/>
  <c r="D17" i="7"/>
  <c r="D5" i="7"/>
  <c r="D37" i="7"/>
  <c r="D32" i="7"/>
  <c r="D13" i="7"/>
  <c r="D10" i="7"/>
  <c r="D6" i="7"/>
  <c r="D34" i="7"/>
  <c r="D28" i="7"/>
  <c r="D15" i="7"/>
  <c r="D7" i="7"/>
  <c r="D3" i="7"/>
  <c r="I10" i="6"/>
  <c r="I15" i="6" s="1"/>
  <c r="K30" i="11" s="1"/>
  <c r="J10" i="6"/>
  <c r="H10" i="6"/>
  <c r="G10" i="6"/>
  <c r="F10" i="6"/>
  <c r="F33" i="7" s="1"/>
  <c r="I8" i="6"/>
  <c r="J8" i="6"/>
  <c r="H8" i="6"/>
  <c r="G8" i="6"/>
  <c r="F8" i="6"/>
  <c r="F25" i="7" s="1"/>
  <c r="I7" i="6"/>
  <c r="J7" i="6"/>
  <c r="H7" i="6"/>
  <c r="G7" i="6"/>
  <c r="F7" i="6"/>
  <c r="F21" i="7" s="1"/>
  <c r="H5" i="6"/>
  <c r="G5" i="6"/>
  <c r="F15" i="7"/>
  <c r="I4" i="6"/>
  <c r="J4" i="6"/>
  <c r="H4" i="6"/>
  <c r="G4" i="6"/>
  <c r="F4" i="6"/>
  <c r="I10" i="5"/>
  <c r="J10" i="5"/>
  <c r="H10" i="5"/>
  <c r="G10" i="5"/>
  <c r="F10" i="5"/>
  <c r="F34" i="7" s="1"/>
  <c r="I7" i="5"/>
  <c r="J7" i="5"/>
  <c r="H7" i="5"/>
  <c r="G7" i="5"/>
  <c r="F7" i="5"/>
  <c r="F22" i="7" s="1"/>
  <c r="I5" i="5"/>
  <c r="J5" i="5"/>
  <c r="H5" i="5"/>
  <c r="G5" i="5"/>
  <c r="F5" i="5"/>
  <c r="F13" i="7" s="1"/>
  <c r="I4" i="5"/>
  <c r="J4" i="5"/>
  <c r="H4" i="5"/>
  <c r="G4" i="5"/>
  <c r="F4" i="5"/>
  <c r="F9" i="7" s="1"/>
  <c r="I3" i="5"/>
  <c r="J3" i="5"/>
  <c r="H3" i="5"/>
  <c r="G3" i="5"/>
  <c r="F3" i="5"/>
  <c r="I11" i="4"/>
  <c r="J11" i="4"/>
  <c r="H11" i="4"/>
  <c r="G11" i="4"/>
  <c r="F11" i="4"/>
  <c r="F38" i="7" s="1"/>
  <c r="M38" i="7" s="1"/>
  <c r="L38" i="7" s="1"/>
  <c r="I10" i="4"/>
  <c r="H10" i="4"/>
  <c r="G10" i="4"/>
  <c r="F10" i="4"/>
  <c r="F32" i="7" s="1"/>
  <c r="I9" i="4"/>
  <c r="J9" i="4"/>
  <c r="H9" i="4"/>
  <c r="G9" i="4"/>
  <c r="F9" i="4"/>
  <c r="F30" i="7" s="1"/>
  <c r="I5" i="4"/>
  <c r="J5" i="4"/>
  <c r="H5" i="4"/>
  <c r="G5" i="4"/>
  <c r="F5" i="4"/>
  <c r="F14" i="7" s="1"/>
  <c r="I3" i="4"/>
  <c r="J3" i="4"/>
  <c r="H3" i="4"/>
  <c r="G3" i="4"/>
  <c r="F3" i="4"/>
  <c r="F7" i="7" s="1"/>
  <c r="I12" i="3"/>
  <c r="J12" i="3"/>
  <c r="H12" i="3"/>
  <c r="G12" i="3"/>
  <c r="F12" i="3"/>
  <c r="F41" i="7" s="1"/>
  <c r="M41" i="7" s="1"/>
  <c r="L41" i="7" s="1"/>
  <c r="I11" i="3"/>
  <c r="J11" i="3"/>
  <c r="H11" i="3"/>
  <c r="G11" i="3"/>
  <c r="F11" i="3"/>
  <c r="F36" i="7" s="1"/>
  <c r="M36" i="7" s="1"/>
  <c r="L36" i="7" s="1"/>
  <c r="I9" i="3"/>
  <c r="J9" i="3"/>
  <c r="H9" i="3"/>
  <c r="G9" i="3"/>
  <c r="F9" i="3"/>
  <c r="F28" i="7" s="1"/>
  <c r="I6" i="3"/>
  <c r="J6" i="3"/>
  <c r="H6" i="3"/>
  <c r="G6" i="3"/>
  <c r="F6" i="3"/>
  <c r="F17" i="7" s="1"/>
  <c r="I3" i="3"/>
  <c r="J3" i="3"/>
  <c r="H3" i="3"/>
  <c r="G3" i="3"/>
  <c r="F3" i="3"/>
  <c r="I12" i="2"/>
  <c r="J12" i="2"/>
  <c r="G12" i="2"/>
  <c r="H12" i="2"/>
  <c r="F12" i="2"/>
  <c r="F42" i="7" s="1"/>
  <c r="I11" i="2"/>
  <c r="J11" i="2"/>
  <c r="H11" i="2"/>
  <c r="G11" i="2"/>
  <c r="F11" i="2"/>
  <c r="F37" i="7" s="1"/>
  <c r="J8" i="2"/>
  <c r="I8" i="2"/>
  <c r="H8" i="2"/>
  <c r="G8" i="2"/>
  <c r="F8" i="2"/>
  <c r="F24" i="7" s="1"/>
  <c r="M24" i="7" s="1"/>
  <c r="L24" i="7" s="1"/>
  <c r="J7" i="2"/>
  <c r="I7" i="2"/>
  <c r="H7" i="2"/>
  <c r="G7" i="2"/>
  <c r="F7" i="2"/>
  <c r="F19" i="7" s="1"/>
  <c r="J5" i="2"/>
  <c r="I5" i="2"/>
  <c r="H5" i="2"/>
  <c r="G5" i="2"/>
  <c r="F5" i="2"/>
  <c r="F11" i="7" s="1"/>
  <c r="J12" i="1"/>
  <c r="I12" i="1"/>
  <c r="H12" i="1"/>
  <c r="G12" i="1"/>
  <c r="F12" i="1"/>
  <c r="F40" i="7" s="1"/>
  <c r="M40" i="7" s="1"/>
  <c r="L40" i="7" s="1"/>
  <c r="F9" i="1"/>
  <c r="F29" i="7" s="1"/>
  <c r="G9" i="1"/>
  <c r="H9" i="1"/>
  <c r="I9" i="1"/>
  <c r="J9" i="1"/>
  <c r="J8" i="1"/>
  <c r="I8" i="1"/>
  <c r="H8" i="1"/>
  <c r="G8" i="1"/>
  <c r="F8" i="1"/>
  <c r="F26" i="7" s="1"/>
  <c r="J7" i="1"/>
  <c r="I7" i="1"/>
  <c r="H7" i="1"/>
  <c r="G7" i="1"/>
  <c r="F7" i="1"/>
  <c r="F18" i="7" s="1"/>
  <c r="M18" i="7" s="1"/>
  <c r="L18" i="7" s="1"/>
  <c r="J3" i="1"/>
  <c r="I3" i="1"/>
  <c r="H3" i="1"/>
  <c r="G3" i="1"/>
  <c r="F3" i="1"/>
  <c r="AB10" i="6"/>
  <c r="AJ10" i="6" s="1"/>
  <c r="AA10" i="6"/>
  <c r="AI10" i="6" s="1"/>
  <c r="Z10" i="6"/>
  <c r="Y10" i="6"/>
  <c r="AB8" i="6"/>
  <c r="AJ8" i="6" s="1"/>
  <c r="AA8" i="6"/>
  <c r="AI8" i="6" s="1"/>
  <c r="Z8" i="6"/>
  <c r="AH8" i="6" s="1"/>
  <c r="Y8" i="6"/>
  <c r="AG8" i="6" s="1"/>
  <c r="AB7" i="6"/>
  <c r="AJ7" i="6" s="1"/>
  <c r="AA7" i="6"/>
  <c r="AI7" i="6" s="1"/>
  <c r="Z7" i="6"/>
  <c r="AH7" i="6" s="1"/>
  <c r="Y7" i="6"/>
  <c r="AB5" i="6"/>
  <c r="AJ5" i="6" s="1"/>
  <c r="AA5" i="6"/>
  <c r="AI5" i="6" s="1"/>
  <c r="Z5" i="6"/>
  <c r="AH5" i="6" s="1"/>
  <c r="Y5" i="6"/>
  <c r="AG5" i="6" s="1"/>
  <c r="AB4" i="6"/>
  <c r="AJ4" i="6" s="1"/>
  <c r="AA4" i="6"/>
  <c r="AI4" i="6" s="1"/>
  <c r="Z4" i="6"/>
  <c r="AH4" i="6" s="1"/>
  <c r="Y4" i="6"/>
  <c r="AG4" i="6" s="1"/>
  <c r="AB10" i="5"/>
  <c r="AJ10" i="5" s="1"/>
  <c r="AA10" i="5"/>
  <c r="AI10" i="5" s="1"/>
  <c r="Z10" i="5"/>
  <c r="AH10" i="5" s="1"/>
  <c r="Y10" i="5"/>
  <c r="AG10" i="5" s="1"/>
  <c r="AB7" i="5"/>
  <c r="AJ7" i="5" s="1"/>
  <c r="AA7" i="5"/>
  <c r="AI7" i="5" s="1"/>
  <c r="Z7" i="5"/>
  <c r="AH7" i="5" s="1"/>
  <c r="Y7" i="5"/>
  <c r="AG7" i="5" s="1"/>
  <c r="AB5" i="5"/>
  <c r="AA5" i="5"/>
  <c r="Z5" i="5"/>
  <c r="Y5" i="5"/>
  <c r="AG5" i="5" s="1"/>
  <c r="AB4" i="5"/>
  <c r="AJ4" i="5" s="1"/>
  <c r="AA4" i="5"/>
  <c r="AI4" i="5" s="1"/>
  <c r="Z4" i="5"/>
  <c r="Y4" i="5"/>
  <c r="AG4" i="5" s="1"/>
  <c r="AB3" i="5"/>
  <c r="AJ3" i="5" s="1"/>
  <c r="AA3" i="5"/>
  <c r="AI3" i="5" s="1"/>
  <c r="Z3" i="5"/>
  <c r="AH3" i="5" s="1"/>
  <c r="Y3" i="5"/>
  <c r="AG3" i="5" s="1"/>
  <c r="AB11" i="4"/>
  <c r="AJ11" i="4" s="1"/>
  <c r="AA11" i="4"/>
  <c r="AI11" i="4" s="1"/>
  <c r="Z11" i="4"/>
  <c r="AH11" i="4" s="1"/>
  <c r="Y11" i="4"/>
  <c r="AG11" i="4" s="1"/>
  <c r="AB10" i="4"/>
  <c r="AJ10" i="4" s="1"/>
  <c r="AA10" i="4"/>
  <c r="AI10" i="4" s="1"/>
  <c r="Z10" i="4"/>
  <c r="AH10" i="4" s="1"/>
  <c r="Y10" i="4"/>
  <c r="AG10" i="4" s="1"/>
  <c r="AB9" i="4"/>
  <c r="AJ9" i="4" s="1"/>
  <c r="AA9" i="4"/>
  <c r="Z9" i="4"/>
  <c r="AH9" i="4" s="1"/>
  <c r="Y9" i="4"/>
  <c r="AB5" i="4"/>
  <c r="AA5" i="4"/>
  <c r="AI5" i="4" s="1"/>
  <c r="Z5" i="4"/>
  <c r="AH5" i="4" s="1"/>
  <c r="Y5" i="4"/>
  <c r="AG5" i="4" s="1"/>
  <c r="AB3" i="4"/>
  <c r="AJ3" i="4" s="1"/>
  <c r="AA3" i="4"/>
  <c r="AI3" i="4" s="1"/>
  <c r="Z3" i="4"/>
  <c r="Y3" i="4"/>
  <c r="AG3" i="4" s="1"/>
  <c r="AB12" i="3"/>
  <c r="AA12" i="3"/>
  <c r="AI12" i="3" s="1"/>
  <c r="Z12" i="3"/>
  <c r="AH12" i="3" s="1"/>
  <c r="Y12" i="3"/>
  <c r="AG12" i="3" s="1"/>
  <c r="AB11" i="3"/>
  <c r="AJ11" i="3" s="1"/>
  <c r="AA11" i="3"/>
  <c r="Z11" i="3"/>
  <c r="AH11" i="3" s="1"/>
  <c r="Y11" i="3"/>
  <c r="AG11" i="3" s="1"/>
  <c r="AB9" i="3"/>
  <c r="AJ9" i="3" s="1"/>
  <c r="AA9" i="3"/>
  <c r="AI9" i="3" s="1"/>
  <c r="Z9" i="3"/>
  <c r="AH9" i="3" s="1"/>
  <c r="Y9" i="3"/>
  <c r="AG9" i="3" s="1"/>
  <c r="AB6" i="3"/>
  <c r="AJ6" i="3" s="1"/>
  <c r="AA6" i="3"/>
  <c r="AI6" i="3" s="1"/>
  <c r="Z6" i="3"/>
  <c r="AH6" i="3" s="1"/>
  <c r="Y6" i="3"/>
  <c r="AG6" i="3" s="1"/>
  <c r="AB3" i="3"/>
  <c r="AJ3" i="3" s="1"/>
  <c r="AA3" i="3"/>
  <c r="AI3" i="3" s="1"/>
  <c r="Z3" i="3"/>
  <c r="Y3" i="3"/>
  <c r="AB12" i="2"/>
  <c r="AJ12" i="2" s="1"/>
  <c r="AA12" i="2"/>
  <c r="AI12" i="2" s="1"/>
  <c r="Z12" i="2"/>
  <c r="AH12" i="2" s="1"/>
  <c r="Y12" i="2"/>
  <c r="AG12" i="2" s="1"/>
  <c r="AB11" i="2"/>
  <c r="AJ11" i="2" s="1"/>
  <c r="AA11" i="2"/>
  <c r="Z11" i="2"/>
  <c r="AH11" i="2" s="1"/>
  <c r="Y11" i="2"/>
  <c r="AG11" i="2" s="1"/>
  <c r="AB8" i="2"/>
  <c r="AJ8" i="2" s="1"/>
  <c r="AA8" i="2"/>
  <c r="AI8" i="2" s="1"/>
  <c r="Z8" i="2"/>
  <c r="AH8" i="2" s="1"/>
  <c r="Y8" i="2"/>
  <c r="AG8" i="2" s="1"/>
  <c r="AB7" i="2"/>
  <c r="AA7" i="2"/>
  <c r="AI7" i="2" s="1"/>
  <c r="Z7" i="2"/>
  <c r="AH7" i="2" s="1"/>
  <c r="Y7" i="2"/>
  <c r="AG7" i="2" s="1"/>
  <c r="AB5" i="2"/>
  <c r="AJ5" i="2" s="1"/>
  <c r="AA5" i="2"/>
  <c r="AI5" i="2" s="1"/>
  <c r="Z5" i="2"/>
  <c r="Y5" i="2"/>
  <c r="AG5" i="2" s="1"/>
  <c r="AB12" i="1"/>
  <c r="AJ12" i="1" s="1"/>
  <c r="AA12" i="1"/>
  <c r="AI12" i="1" s="1"/>
  <c r="Z12" i="1"/>
  <c r="AH12" i="1" s="1"/>
  <c r="Y12" i="1"/>
  <c r="AG12" i="1" s="1"/>
  <c r="AB9" i="1"/>
  <c r="AJ9" i="1" s="1"/>
  <c r="AA9" i="1"/>
  <c r="Z9" i="1"/>
  <c r="Y9" i="1"/>
  <c r="AG9" i="1" s="1"/>
  <c r="AB8" i="1"/>
  <c r="AJ8" i="1" s="1"/>
  <c r="AI8" i="1"/>
  <c r="Z8" i="1"/>
  <c r="AH8" i="1" s="1"/>
  <c r="Y8" i="1"/>
  <c r="AB7" i="1"/>
  <c r="AJ7" i="1" s="1"/>
  <c r="AA7" i="1"/>
  <c r="AI7" i="1" s="1"/>
  <c r="Z7" i="1"/>
  <c r="Y7" i="1"/>
  <c r="AB3" i="1"/>
  <c r="AJ3" i="1" s="1"/>
  <c r="AA3" i="1"/>
  <c r="Z3" i="1"/>
  <c r="Y3" i="1"/>
  <c r="AC12" i="6"/>
  <c r="AD12" i="6"/>
  <c r="AE12" i="6"/>
  <c r="AF12" i="6"/>
  <c r="AD11" i="6"/>
  <c r="AE11" i="6"/>
  <c r="AF11" i="6"/>
  <c r="AC11" i="6"/>
  <c r="AG10" i="6"/>
  <c r="AD9" i="6"/>
  <c r="AE9" i="6"/>
  <c r="AF9" i="6"/>
  <c r="AC9" i="6"/>
  <c r="AG7" i="6"/>
  <c r="AD6" i="6"/>
  <c r="AE6" i="6"/>
  <c r="AF6" i="6"/>
  <c r="AF15" i="6" s="1"/>
  <c r="AF17" i="6" s="1"/>
  <c r="AC6" i="6"/>
  <c r="AD3" i="6"/>
  <c r="AE3" i="6"/>
  <c r="AF3" i="6"/>
  <c r="AC3" i="6"/>
  <c r="AC12" i="5"/>
  <c r="AD12" i="5"/>
  <c r="AE12" i="5"/>
  <c r="AF12" i="5"/>
  <c r="AD11" i="5"/>
  <c r="AE11" i="5"/>
  <c r="AF11" i="5"/>
  <c r="AC11" i="5"/>
  <c r="AC9" i="5"/>
  <c r="AD9" i="5"/>
  <c r="AE9" i="5"/>
  <c r="AF9" i="5"/>
  <c r="AD8" i="5"/>
  <c r="AE8" i="5"/>
  <c r="AF8" i="5"/>
  <c r="AC8" i="5"/>
  <c r="AD6" i="5"/>
  <c r="AE6" i="5"/>
  <c r="AF6" i="5"/>
  <c r="AC6" i="5"/>
  <c r="AH4" i="5"/>
  <c r="AH5" i="5"/>
  <c r="AD12" i="4"/>
  <c r="AE12" i="4"/>
  <c r="AF12" i="4"/>
  <c r="AC12" i="4"/>
  <c r="AC7" i="4"/>
  <c r="AD7" i="4"/>
  <c r="AE7" i="4"/>
  <c r="AF7" i="4"/>
  <c r="AC8" i="4"/>
  <c r="AD8" i="4"/>
  <c r="AE8" i="4"/>
  <c r="AF8" i="4"/>
  <c r="AD6" i="4"/>
  <c r="AE6" i="4"/>
  <c r="AF6" i="4"/>
  <c r="AC6" i="4"/>
  <c r="AD4" i="4"/>
  <c r="AE4" i="4"/>
  <c r="AF4" i="4"/>
  <c r="AC4" i="4"/>
  <c r="AH3" i="4"/>
  <c r="AJ12" i="3"/>
  <c r="AI11" i="3"/>
  <c r="AD10" i="3"/>
  <c r="AE10" i="3"/>
  <c r="AF10" i="3"/>
  <c r="AC10" i="3"/>
  <c r="AC8" i="3"/>
  <c r="AD8" i="3"/>
  <c r="AE8" i="3"/>
  <c r="AF8" i="3"/>
  <c r="AD7" i="3"/>
  <c r="AE7" i="3"/>
  <c r="AF7" i="3"/>
  <c r="AC7" i="3"/>
  <c r="AC5" i="3"/>
  <c r="AD5" i="3"/>
  <c r="AE5" i="3"/>
  <c r="AF5" i="3"/>
  <c r="AD4" i="3"/>
  <c r="AE4" i="3"/>
  <c r="AF4" i="3"/>
  <c r="AC4" i="3"/>
  <c r="AI11" i="2"/>
  <c r="AC10" i="2"/>
  <c r="AD10" i="2"/>
  <c r="AE10" i="2"/>
  <c r="AF10" i="2"/>
  <c r="AD9" i="2"/>
  <c r="AE9" i="2"/>
  <c r="AF9" i="2"/>
  <c r="AC9" i="2"/>
  <c r="AJ7" i="2"/>
  <c r="AD6" i="2"/>
  <c r="AE6" i="2"/>
  <c r="AF6" i="2"/>
  <c r="AC6" i="2"/>
  <c r="AC4" i="2"/>
  <c r="AD4" i="2"/>
  <c r="AE4" i="2"/>
  <c r="AF4" i="2"/>
  <c r="AD3" i="2"/>
  <c r="AE3" i="2"/>
  <c r="AF3" i="2"/>
  <c r="AC3" i="2"/>
  <c r="AC11" i="1"/>
  <c r="AD11" i="1"/>
  <c r="AE11" i="1"/>
  <c r="AF11" i="1"/>
  <c r="AD10" i="1"/>
  <c r="AE10" i="1"/>
  <c r="AF10" i="1"/>
  <c r="AC10" i="1"/>
  <c r="AG8" i="1"/>
  <c r="AH9" i="1"/>
  <c r="AI9" i="1"/>
  <c r="AH7" i="1"/>
  <c r="AG7" i="1"/>
  <c r="AC5" i="1"/>
  <c r="AD5" i="1"/>
  <c r="AE5" i="1"/>
  <c r="AF5" i="1"/>
  <c r="AC6" i="1"/>
  <c r="AD6" i="1"/>
  <c r="AE6" i="1"/>
  <c r="AF6" i="1"/>
  <c r="AD4" i="1"/>
  <c r="AE4" i="1"/>
  <c r="AF4" i="1"/>
  <c r="AC4" i="1"/>
  <c r="V10" i="6"/>
  <c r="W10" i="6"/>
  <c r="X10" i="6"/>
  <c r="U10" i="6"/>
  <c r="V8" i="6"/>
  <c r="W8" i="6"/>
  <c r="X8" i="6"/>
  <c r="U8" i="6"/>
  <c r="V7" i="6"/>
  <c r="W7" i="6"/>
  <c r="X7" i="6"/>
  <c r="U7" i="6"/>
  <c r="V5" i="6"/>
  <c r="W5" i="6"/>
  <c r="X5" i="6"/>
  <c r="U5" i="6"/>
  <c r="V4" i="6"/>
  <c r="W4" i="6"/>
  <c r="X4" i="6"/>
  <c r="U4" i="6"/>
  <c r="V10" i="5"/>
  <c r="W10" i="5"/>
  <c r="X10" i="5"/>
  <c r="U10" i="5"/>
  <c r="V7" i="5"/>
  <c r="W7" i="5"/>
  <c r="X7" i="5"/>
  <c r="U7" i="5"/>
  <c r="V5" i="5"/>
  <c r="W5" i="5"/>
  <c r="X5" i="5"/>
  <c r="U5" i="5"/>
  <c r="V4" i="5"/>
  <c r="W4" i="5"/>
  <c r="X4" i="5"/>
  <c r="U4" i="5"/>
  <c r="V3" i="5"/>
  <c r="W3" i="5"/>
  <c r="X3" i="5"/>
  <c r="U3" i="5"/>
  <c r="V11" i="4"/>
  <c r="W11" i="4"/>
  <c r="X11" i="4"/>
  <c r="U11" i="4"/>
  <c r="V10" i="4"/>
  <c r="W10" i="4"/>
  <c r="X10" i="4"/>
  <c r="U10" i="4"/>
  <c r="V9" i="4"/>
  <c r="W9" i="4"/>
  <c r="X9" i="4"/>
  <c r="U9" i="4"/>
  <c r="V5" i="4"/>
  <c r="W5" i="4"/>
  <c r="X5" i="4"/>
  <c r="U5" i="4"/>
  <c r="V3" i="4"/>
  <c r="W3" i="4"/>
  <c r="X3" i="4"/>
  <c r="U3" i="4"/>
  <c r="V12" i="3"/>
  <c r="W12" i="3"/>
  <c r="X12" i="3"/>
  <c r="U12" i="3"/>
  <c r="V11" i="3"/>
  <c r="W11" i="3"/>
  <c r="X11" i="3"/>
  <c r="U11" i="3"/>
  <c r="V9" i="3"/>
  <c r="W9" i="3"/>
  <c r="X9" i="3"/>
  <c r="U9" i="3"/>
  <c r="V6" i="3"/>
  <c r="W6" i="3"/>
  <c r="X6" i="3"/>
  <c r="U6" i="3"/>
  <c r="V3" i="3"/>
  <c r="W3" i="3"/>
  <c r="X3" i="3"/>
  <c r="U3" i="3"/>
  <c r="V12" i="2"/>
  <c r="W12" i="2"/>
  <c r="X12" i="2"/>
  <c r="U12" i="2"/>
  <c r="V11" i="2"/>
  <c r="W11" i="2"/>
  <c r="X11" i="2"/>
  <c r="U11" i="2"/>
  <c r="V8" i="2"/>
  <c r="W8" i="2"/>
  <c r="X8" i="2"/>
  <c r="U8" i="2"/>
  <c r="V7" i="2"/>
  <c r="W7" i="2"/>
  <c r="X7" i="2"/>
  <c r="U7" i="2"/>
  <c r="V5" i="2"/>
  <c r="W5" i="2"/>
  <c r="X5" i="2"/>
  <c r="U5" i="2"/>
  <c r="V12" i="1"/>
  <c r="W12" i="1"/>
  <c r="X12" i="1"/>
  <c r="U12" i="1"/>
  <c r="V9" i="1"/>
  <c r="W9" i="1"/>
  <c r="X9" i="1"/>
  <c r="U9" i="1"/>
  <c r="V7" i="1"/>
  <c r="W7" i="1"/>
  <c r="X7" i="1"/>
  <c r="U7" i="1"/>
  <c r="V3" i="1"/>
  <c r="W3" i="1"/>
  <c r="X3" i="1"/>
  <c r="U3" i="1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W4" i="6" s="1"/>
  <c r="AA16" i="6"/>
  <c r="Z16" i="6"/>
  <c r="AW3" i="6" s="1"/>
  <c r="Y16" i="6"/>
  <c r="AW2" i="6" s="1"/>
  <c r="AN15" i="6"/>
  <c r="AM15" i="6"/>
  <c r="AL15" i="6"/>
  <c r="AK15" i="6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W4" i="5" s="1"/>
  <c r="AA16" i="5"/>
  <c r="Z16" i="5"/>
  <c r="AW3" i="5" s="1"/>
  <c r="Y16" i="5"/>
  <c r="AW2" i="5" s="1"/>
  <c r="AN15" i="5"/>
  <c r="AM15" i="5"/>
  <c r="AM17" i="5" s="1"/>
  <c r="AL15" i="5"/>
  <c r="AK15" i="5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W4" i="4" s="1"/>
  <c r="AA16" i="4"/>
  <c r="Z16" i="4"/>
  <c r="AW3" i="4" s="1"/>
  <c r="Y16" i="4"/>
  <c r="AW2" i="4" s="1"/>
  <c r="AN15" i="4"/>
  <c r="AM15" i="4"/>
  <c r="AL15" i="4"/>
  <c r="AK15" i="4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W4" i="3" s="1"/>
  <c r="AA16" i="3"/>
  <c r="Z16" i="3"/>
  <c r="AW3" i="3" s="1"/>
  <c r="Y16" i="3"/>
  <c r="AW2" i="3" s="1"/>
  <c r="AN15" i="3"/>
  <c r="AN17" i="3" s="1"/>
  <c r="AM15" i="3"/>
  <c r="AL15" i="3"/>
  <c r="AK15" i="3"/>
  <c r="AK17" i="3" s="1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W4" i="2" s="1"/>
  <c r="AA16" i="2"/>
  <c r="Z16" i="2"/>
  <c r="AW3" i="2" s="1"/>
  <c r="Y16" i="2"/>
  <c r="AW2" i="2" s="1"/>
  <c r="AN15" i="2"/>
  <c r="AM15" i="2"/>
  <c r="AL15" i="2"/>
  <c r="AK15" i="2"/>
  <c r="Z16" i="1"/>
  <c r="AW3" i="1" s="1"/>
  <c r="AA16" i="1"/>
  <c r="AB16" i="1"/>
  <c r="AW4" i="1" s="1"/>
  <c r="AC16" i="1"/>
  <c r="AD16" i="1"/>
  <c r="AE16" i="1"/>
  <c r="AF16" i="1"/>
  <c r="AG16" i="1"/>
  <c r="AH16" i="1"/>
  <c r="AI16" i="1"/>
  <c r="AJ16" i="1"/>
  <c r="Y16" i="1"/>
  <c r="AW2" i="1" s="1"/>
  <c r="R16" i="6"/>
  <c r="E19" i="8" s="1"/>
  <c r="Q16" i="6"/>
  <c r="P16" i="6"/>
  <c r="O16" i="6"/>
  <c r="N16" i="6"/>
  <c r="M16" i="6"/>
  <c r="L16" i="6"/>
  <c r="K16" i="6"/>
  <c r="J16" i="6"/>
  <c r="C19" i="8" s="1"/>
  <c r="I16" i="6"/>
  <c r="H16" i="6"/>
  <c r="G16" i="6"/>
  <c r="AW6" i="6" s="1"/>
  <c r="F16" i="6"/>
  <c r="AW5" i="6" s="1"/>
  <c r="R15" i="6"/>
  <c r="G7" i="8" s="1"/>
  <c r="Q15" i="6"/>
  <c r="Q17" i="6" s="1"/>
  <c r="P15" i="6"/>
  <c r="O15" i="6"/>
  <c r="N15" i="6"/>
  <c r="N17" i="6" s="1"/>
  <c r="B6" i="9" s="1"/>
  <c r="M15" i="6"/>
  <c r="M17" i="6" s="1"/>
  <c r="L15" i="6"/>
  <c r="L17" i="6" s="1"/>
  <c r="K15" i="6"/>
  <c r="R16" i="5"/>
  <c r="E18" i="8" s="1"/>
  <c r="Q16" i="5"/>
  <c r="P16" i="5"/>
  <c r="O16" i="5"/>
  <c r="N16" i="5"/>
  <c r="M16" i="5"/>
  <c r="L16" i="5"/>
  <c r="K16" i="5"/>
  <c r="J16" i="5"/>
  <c r="C18" i="8" s="1"/>
  <c r="I16" i="5"/>
  <c r="H16" i="5"/>
  <c r="G16" i="5"/>
  <c r="AW6" i="5" s="1"/>
  <c r="F16" i="5"/>
  <c r="AW5" i="5" s="1"/>
  <c r="R15" i="5"/>
  <c r="G3" i="8" s="1"/>
  <c r="Q15" i="5"/>
  <c r="Q17" i="5" s="1"/>
  <c r="P15" i="5"/>
  <c r="I3" i="8" s="1"/>
  <c r="O15" i="5"/>
  <c r="N15" i="5"/>
  <c r="M15" i="5"/>
  <c r="L15" i="5"/>
  <c r="K15" i="5"/>
  <c r="K17" i="5" s="1"/>
  <c r="R16" i="4"/>
  <c r="E17" i="8" s="1"/>
  <c r="Q16" i="4"/>
  <c r="P16" i="4"/>
  <c r="O16" i="4"/>
  <c r="N16" i="4"/>
  <c r="M16" i="4"/>
  <c r="L16" i="4"/>
  <c r="K16" i="4"/>
  <c r="J16" i="4"/>
  <c r="C17" i="8" s="1"/>
  <c r="I16" i="4"/>
  <c r="H16" i="4"/>
  <c r="G16" i="4"/>
  <c r="AW6" i="4" s="1"/>
  <c r="F16" i="4"/>
  <c r="AW5" i="4" s="1"/>
  <c r="R15" i="4"/>
  <c r="G6" i="8" s="1"/>
  <c r="Q15" i="4"/>
  <c r="P15" i="4"/>
  <c r="I6" i="8" s="1"/>
  <c r="O15" i="4"/>
  <c r="N15" i="4"/>
  <c r="M15" i="4"/>
  <c r="L15" i="4"/>
  <c r="K15" i="4"/>
  <c r="R16" i="3"/>
  <c r="E16" i="8" s="1"/>
  <c r="Q16" i="3"/>
  <c r="P16" i="3"/>
  <c r="O16" i="3"/>
  <c r="N16" i="3"/>
  <c r="M16" i="3"/>
  <c r="L16" i="3"/>
  <c r="K16" i="3"/>
  <c r="J16" i="3"/>
  <c r="C16" i="8" s="1"/>
  <c r="I16" i="3"/>
  <c r="H16" i="3"/>
  <c r="G16" i="3"/>
  <c r="AW6" i="3" s="1"/>
  <c r="F16" i="3"/>
  <c r="AW5" i="3" s="1"/>
  <c r="R15" i="3"/>
  <c r="G4" i="8" s="1"/>
  <c r="Q15" i="3"/>
  <c r="Q17" i="3" s="1"/>
  <c r="P15" i="3"/>
  <c r="O15" i="3"/>
  <c r="N15" i="3"/>
  <c r="M15" i="3"/>
  <c r="L15" i="3"/>
  <c r="K15" i="3"/>
  <c r="R16" i="2"/>
  <c r="E15" i="8" s="1"/>
  <c r="Q16" i="2"/>
  <c r="P16" i="2"/>
  <c r="O16" i="2"/>
  <c r="N16" i="2"/>
  <c r="M16" i="2"/>
  <c r="L16" i="2"/>
  <c r="K16" i="2"/>
  <c r="J16" i="2"/>
  <c r="C15" i="8" s="1"/>
  <c r="I16" i="2"/>
  <c r="H16" i="2"/>
  <c r="G16" i="2"/>
  <c r="AW6" i="2" s="1"/>
  <c r="F16" i="2"/>
  <c r="AW5" i="2" s="1"/>
  <c r="R15" i="2"/>
  <c r="Q15" i="2"/>
  <c r="P15" i="2"/>
  <c r="O15" i="2"/>
  <c r="N15" i="2"/>
  <c r="M15" i="2"/>
  <c r="L15" i="2"/>
  <c r="K15" i="2"/>
  <c r="G16" i="1"/>
  <c r="AW6" i="1" s="1"/>
  <c r="H16" i="1"/>
  <c r="I16" i="1"/>
  <c r="J16" i="1"/>
  <c r="C14" i="8" s="1"/>
  <c r="K16" i="1"/>
  <c r="L16" i="1"/>
  <c r="M16" i="1"/>
  <c r="N16" i="1"/>
  <c r="O16" i="1"/>
  <c r="P16" i="1"/>
  <c r="Q16" i="1"/>
  <c r="R16" i="1"/>
  <c r="E14" i="8" s="1"/>
  <c r="F16" i="1"/>
  <c r="AW5" i="1" s="1"/>
  <c r="K15" i="1"/>
  <c r="K17" i="1" s="1"/>
  <c r="L15" i="1"/>
  <c r="L17" i="1" s="1"/>
  <c r="M15" i="1"/>
  <c r="N15" i="1"/>
  <c r="O15" i="1"/>
  <c r="P15" i="1"/>
  <c r="I8" i="8" s="1"/>
  <c r="Q15" i="1"/>
  <c r="Q17" i="1" s="1"/>
  <c r="R15" i="1"/>
  <c r="R17" i="1" s="1"/>
  <c r="N22" i="9"/>
  <c r="M22" i="9"/>
  <c r="L22" i="9"/>
  <c r="K22" i="9"/>
  <c r="J22" i="9"/>
  <c r="I22" i="9"/>
  <c r="O21" i="9"/>
  <c r="P21" i="9" s="1"/>
  <c r="O20" i="9"/>
  <c r="P20" i="9" s="1"/>
  <c r="O19" i="9"/>
  <c r="P19" i="9" s="1"/>
  <c r="O18" i="9"/>
  <c r="Q18" i="9" s="1"/>
  <c r="O17" i="9"/>
  <c r="Q17" i="9" s="1"/>
  <c r="O16" i="9"/>
  <c r="P16" i="9" s="1"/>
  <c r="N10" i="9"/>
  <c r="M10" i="9"/>
  <c r="L10" i="9"/>
  <c r="K10" i="9"/>
  <c r="J10" i="9"/>
  <c r="I10" i="9"/>
  <c r="O9" i="9"/>
  <c r="Q9" i="9" s="1"/>
  <c r="O8" i="9"/>
  <c r="P8" i="9" s="1"/>
  <c r="O7" i="9"/>
  <c r="P7" i="9" s="1"/>
  <c r="O6" i="9"/>
  <c r="Q6" i="9" s="1"/>
  <c r="O5" i="9"/>
  <c r="Q5" i="9" s="1"/>
  <c r="O4" i="9"/>
  <c r="P4" i="9" s="1"/>
  <c r="M47" i="7"/>
  <c r="L47" i="7" s="1"/>
  <c r="M45" i="7"/>
  <c r="L45" i="7" s="1"/>
  <c r="M44" i="7"/>
  <c r="L44" i="7" s="1"/>
  <c r="J15" i="1" l="1"/>
  <c r="J17" i="1" s="1"/>
  <c r="AQ8" i="1" s="1"/>
  <c r="I15" i="3"/>
  <c r="K38" i="11" s="1"/>
  <c r="AD15" i="3"/>
  <c r="AD17" i="3" s="1"/>
  <c r="M21" i="7"/>
  <c r="L21" i="7" s="1"/>
  <c r="M17" i="7"/>
  <c r="L17" i="7" s="1"/>
  <c r="H15" i="6"/>
  <c r="E6" i="8" s="1"/>
  <c r="M14" i="7"/>
  <c r="L14" i="7" s="1"/>
  <c r="M11" i="7"/>
  <c r="L11" i="7" s="1"/>
  <c r="M9" i="7"/>
  <c r="L9" i="7" s="1"/>
  <c r="M7" i="7"/>
  <c r="L7" i="7" s="1"/>
  <c r="I15" i="1"/>
  <c r="K47" i="11" s="1"/>
  <c r="L17" i="2"/>
  <c r="M42" i="7"/>
  <c r="L42" i="7" s="1"/>
  <c r="M22" i="7"/>
  <c r="L22" i="7" s="1"/>
  <c r="M26" i="7"/>
  <c r="L26" i="7" s="1"/>
  <c r="M37" i="7"/>
  <c r="L37" i="7" s="1"/>
  <c r="M32" i="7"/>
  <c r="L32" i="7" s="1"/>
  <c r="M25" i="7"/>
  <c r="L25" i="7" s="1"/>
  <c r="J15" i="5"/>
  <c r="C7" i="8" s="1"/>
  <c r="M13" i="7"/>
  <c r="L13" i="7" s="1"/>
  <c r="AL17" i="3"/>
  <c r="AM17" i="3"/>
  <c r="AE15" i="2"/>
  <c r="AE17" i="2" s="1"/>
  <c r="G15" i="4"/>
  <c r="AT7" i="4" s="1"/>
  <c r="P18" i="9"/>
  <c r="M17" i="4"/>
  <c r="L17" i="5"/>
  <c r="AC15" i="3"/>
  <c r="AC17" i="3" s="1"/>
  <c r="AE15" i="6"/>
  <c r="AE17" i="6" s="1"/>
  <c r="Q7" i="9"/>
  <c r="O17" i="3"/>
  <c r="D4" i="9" s="1"/>
  <c r="L17" i="3"/>
  <c r="AN17" i="4"/>
  <c r="AN17" i="5"/>
  <c r="AE15" i="1"/>
  <c r="AE17" i="1" s="1"/>
  <c r="AF15" i="3"/>
  <c r="AF17" i="3" s="1"/>
  <c r="AC15" i="5"/>
  <c r="AC17" i="5" s="1"/>
  <c r="R17" i="2"/>
  <c r="P17" i="3"/>
  <c r="M17" i="3"/>
  <c r="AN17" i="6"/>
  <c r="AD15" i="1"/>
  <c r="AD17" i="1" s="1"/>
  <c r="AE15" i="3"/>
  <c r="AE17" i="3" s="1"/>
  <c r="M29" i="7"/>
  <c r="L29" i="7" s="1"/>
  <c r="I15" i="2"/>
  <c r="AW7" i="1"/>
  <c r="Q21" i="9"/>
  <c r="O17" i="1"/>
  <c r="D7" i="9" s="1"/>
  <c r="P17" i="1"/>
  <c r="R17" i="6"/>
  <c r="AD15" i="2"/>
  <c r="AD17" i="2" s="1"/>
  <c r="AW7" i="3"/>
  <c r="N17" i="1"/>
  <c r="B7" i="9" s="1"/>
  <c r="AW7" i="4"/>
  <c r="M17" i="1"/>
  <c r="O17" i="6"/>
  <c r="D6" i="9" s="1"/>
  <c r="F6" i="9" s="1"/>
  <c r="AL17" i="6"/>
  <c r="AC15" i="1"/>
  <c r="AC17" i="1" s="1"/>
  <c r="AW7" i="5"/>
  <c r="K17" i="3"/>
  <c r="AW7" i="6"/>
  <c r="M28" i="7"/>
  <c r="L28" i="7" s="1"/>
  <c r="F15" i="5"/>
  <c r="F15" i="4"/>
  <c r="AT6" i="4" s="1"/>
  <c r="M34" i="7"/>
  <c r="L34" i="7" s="1"/>
  <c r="M15" i="7"/>
  <c r="L15" i="7" s="1"/>
  <c r="AA15" i="6"/>
  <c r="E30" i="11" s="1"/>
  <c r="AB15" i="6"/>
  <c r="F30" i="11" s="1"/>
  <c r="P17" i="2"/>
  <c r="M17" i="2"/>
  <c r="G15" i="6"/>
  <c r="I6" i="10" s="1"/>
  <c r="O17" i="2"/>
  <c r="D8" i="9" s="1"/>
  <c r="Q17" i="2"/>
  <c r="AK17" i="2"/>
  <c r="Z15" i="5"/>
  <c r="E8" i="10" s="1"/>
  <c r="J15" i="2"/>
  <c r="J17" i="2" s="1"/>
  <c r="AQ8" i="2" s="1"/>
  <c r="AF15" i="2"/>
  <c r="AF17" i="2" s="1"/>
  <c r="AB15" i="4"/>
  <c r="F31" i="11" s="1"/>
  <c r="H15" i="2"/>
  <c r="G15" i="2"/>
  <c r="AT7" i="2" s="1"/>
  <c r="H15" i="4"/>
  <c r="H15" i="5"/>
  <c r="Y15" i="4"/>
  <c r="Y17" i="4" s="1"/>
  <c r="I15" i="4"/>
  <c r="K17" i="2"/>
  <c r="AC15" i="2"/>
  <c r="AC17" i="2" s="1"/>
  <c r="F15" i="6"/>
  <c r="I17" i="6"/>
  <c r="K4" i="11" s="1"/>
  <c r="K17" i="6"/>
  <c r="Y15" i="6"/>
  <c r="C30" i="11" s="1"/>
  <c r="AC15" i="6"/>
  <c r="AC17" i="6" s="1"/>
  <c r="Z15" i="6"/>
  <c r="D30" i="11" s="1"/>
  <c r="J15" i="6"/>
  <c r="J17" i="6" s="1"/>
  <c r="AQ8" i="6" s="1"/>
  <c r="I15" i="5"/>
  <c r="AD15" i="6"/>
  <c r="AD17" i="6" s="1"/>
  <c r="AA15" i="4"/>
  <c r="E31" i="11" s="1"/>
  <c r="F15" i="3"/>
  <c r="P17" i="6"/>
  <c r="AK17" i="6"/>
  <c r="AH10" i="6"/>
  <c r="AH15" i="6" s="1"/>
  <c r="AH17" i="6" s="1"/>
  <c r="Z15" i="2"/>
  <c r="AT3" i="2" s="1"/>
  <c r="I4" i="8"/>
  <c r="F10" i="7"/>
  <c r="M10" i="7" s="1"/>
  <c r="L10" i="7" s="1"/>
  <c r="AM17" i="6"/>
  <c r="Z15" i="1"/>
  <c r="AI9" i="4"/>
  <c r="AE15" i="5"/>
  <c r="AE17" i="5" s="1"/>
  <c r="AK17" i="5"/>
  <c r="AD15" i="5"/>
  <c r="AD17" i="5" s="1"/>
  <c r="M30" i="7"/>
  <c r="L30" i="7" s="1"/>
  <c r="F5" i="7"/>
  <c r="M5" i="7" s="1"/>
  <c r="L5" i="7" s="1"/>
  <c r="Y15" i="1"/>
  <c r="F15" i="1"/>
  <c r="G15" i="3"/>
  <c r="I4" i="10" s="1"/>
  <c r="AA15" i="2"/>
  <c r="E46" i="11" s="1"/>
  <c r="M19" i="7"/>
  <c r="L19" i="7" s="1"/>
  <c r="AG9" i="4"/>
  <c r="AG15" i="4" s="1"/>
  <c r="AG17" i="4" s="1"/>
  <c r="AF15" i="5"/>
  <c r="AF17" i="5" s="1"/>
  <c r="H15" i="3"/>
  <c r="R17" i="5"/>
  <c r="Q17" i="4"/>
  <c r="K17" i="4"/>
  <c r="Y15" i="3"/>
  <c r="D4" i="10" s="1"/>
  <c r="AA15" i="5"/>
  <c r="E35" i="11" s="1"/>
  <c r="Z15" i="3"/>
  <c r="E4" i="10" s="1"/>
  <c r="Z15" i="4"/>
  <c r="Z17" i="4" s="1"/>
  <c r="AB15" i="5"/>
  <c r="F35" i="11" s="1"/>
  <c r="G15" i="1"/>
  <c r="G15" i="5"/>
  <c r="AD15" i="4"/>
  <c r="AD17" i="4" s="1"/>
  <c r="H15" i="1"/>
  <c r="AJ5" i="4"/>
  <c r="AJ15" i="4" s="1"/>
  <c r="AJ17" i="4" s="1"/>
  <c r="AC15" i="4"/>
  <c r="AC17" i="4" s="1"/>
  <c r="AB15" i="2"/>
  <c r="F46" i="11" s="1"/>
  <c r="J15" i="4"/>
  <c r="J17" i="4" s="1"/>
  <c r="AQ8" i="4" s="1"/>
  <c r="O17" i="4"/>
  <c r="D5" i="9" s="1"/>
  <c r="L17" i="4"/>
  <c r="N17" i="4"/>
  <c r="B5" i="9" s="1"/>
  <c r="M33" i="7"/>
  <c r="L33" i="7" s="1"/>
  <c r="AG3" i="3"/>
  <c r="AA15" i="1"/>
  <c r="E47" i="11" s="1"/>
  <c r="AH3" i="3"/>
  <c r="AH15" i="3" s="1"/>
  <c r="AH17" i="3" s="1"/>
  <c r="N17" i="3"/>
  <c r="B4" i="9" s="1"/>
  <c r="R17" i="3"/>
  <c r="AH5" i="2"/>
  <c r="I7" i="8"/>
  <c r="AB15" i="1"/>
  <c r="F47" i="11" s="1"/>
  <c r="I17" i="3"/>
  <c r="K12" i="11" s="1"/>
  <c r="AN17" i="2"/>
  <c r="Y15" i="5"/>
  <c r="AG3" i="1"/>
  <c r="AG15" i="1" s="1"/>
  <c r="AG17" i="1" s="1"/>
  <c r="I5" i="8"/>
  <c r="AL17" i="2"/>
  <c r="AB15" i="3"/>
  <c r="AW7" i="2"/>
  <c r="AM17" i="2"/>
  <c r="AI3" i="1"/>
  <c r="AI15" i="1" s="1"/>
  <c r="AI17" i="1" s="1"/>
  <c r="C21" i="8"/>
  <c r="E21" i="8"/>
  <c r="AH3" i="1"/>
  <c r="AH15" i="1" s="1"/>
  <c r="AH17" i="1" s="1"/>
  <c r="AJ15" i="3"/>
  <c r="AJ17" i="3" s="1"/>
  <c r="G5" i="8"/>
  <c r="N17" i="2"/>
  <c r="B8" i="9" s="1"/>
  <c r="Y15" i="2"/>
  <c r="AI15" i="3"/>
  <c r="AI17" i="3" s="1"/>
  <c r="AJ15" i="2"/>
  <c r="AJ17" i="2" s="1"/>
  <c r="F3" i="7"/>
  <c r="M3" i="7" s="1"/>
  <c r="L3" i="7" s="1"/>
  <c r="F6" i="7"/>
  <c r="M6" i="7" s="1"/>
  <c r="L6" i="7" s="1"/>
  <c r="AA15" i="3"/>
  <c r="G8" i="8"/>
  <c r="AJ5" i="5"/>
  <c r="AJ15" i="5" s="1"/>
  <c r="AJ17" i="5" s="1"/>
  <c r="AI5" i="5"/>
  <c r="AI15" i="5" s="1"/>
  <c r="AI17" i="5" s="1"/>
  <c r="AJ15" i="1"/>
  <c r="AJ17" i="1" s="1"/>
  <c r="F15" i="2"/>
  <c r="G46" i="11" s="1"/>
  <c r="AJ15" i="6"/>
  <c r="AJ17" i="6" s="1"/>
  <c r="J15" i="3"/>
  <c r="AT8" i="3" s="1"/>
  <c r="AG15" i="3"/>
  <c r="AG17" i="3" s="1"/>
  <c r="AG15" i="6"/>
  <c r="AG17" i="6" s="1"/>
  <c r="AI15" i="6"/>
  <c r="AI17" i="6" s="1"/>
  <c r="AG15" i="5"/>
  <c r="AG17" i="5" s="1"/>
  <c r="AH15" i="5"/>
  <c r="AH17" i="5" s="1"/>
  <c r="AH15" i="2"/>
  <c r="AH17" i="2" s="1"/>
  <c r="AI15" i="2"/>
  <c r="AI17" i="2" s="1"/>
  <c r="AG15" i="2"/>
  <c r="AG17" i="2" s="1"/>
  <c r="P17" i="5"/>
  <c r="M17" i="5"/>
  <c r="N17" i="5"/>
  <c r="B3" i="9" s="1"/>
  <c r="O17" i="5"/>
  <c r="D3" i="9" s="1"/>
  <c r="AL17" i="5"/>
  <c r="AH15" i="4"/>
  <c r="AH17" i="4" s="1"/>
  <c r="P17" i="4"/>
  <c r="AK17" i="4"/>
  <c r="AL17" i="4"/>
  <c r="AF15" i="4"/>
  <c r="AF17" i="4" s="1"/>
  <c r="AI15" i="4"/>
  <c r="AI17" i="4" s="1"/>
  <c r="R17" i="4"/>
  <c r="AM17" i="4"/>
  <c r="AE15" i="4"/>
  <c r="AE17" i="4" s="1"/>
  <c r="AF15" i="1"/>
  <c r="AF17" i="1" s="1"/>
  <c r="Q19" i="9"/>
  <c r="Q16" i="9"/>
  <c r="P17" i="9"/>
  <c r="Q20" i="9"/>
  <c r="O22" i="9"/>
  <c r="Q8" i="9"/>
  <c r="Q4" i="9"/>
  <c r="P5" i="9"/>
  <c r="P9" i="9"/>
  <c r="O10" i="9"/>
  <c r="P6" i="9"/>
  <c r="AT8" i="1" l="1"/>
  <c r="C6" i="8"/>
  <c r="AT8" i="5"/>
  <c r="F7" i="9"/>
  <c r="H17" i="6"/>
  <c r="J4" i="11" s="1"/>
  <c r="J30" i="11"/>
  <c r="L30" i="11" s="1"/>
  <c r="K6" i="10"/>
  <c r="F4" i="9"/>
  <c r="P22" i="9"/>
  <c r="F38" i="11"/>
  <c r="G4" i="10"/>
  <c r="E38" i="11"/>
  <c r="F4" i="10"/>
  <c r="I17" i="1"/>
  <c r="K22" i="11" s="1"/>
  <c r="Q10" i="9"/>
  <c r="AT5" i="4"/>
  <c r="F7" i="10"/>
  <c r="AT3" i="4"/>
  <c r="J17" i="5"/>
  <c r="AQ8" i="5" s="1"/>
  <c r="F17" i="4"/>
  <c r="AQ6" i="4" s="1"/>
  <c r="Q22" i="9"/>
  <c r="P10" i="9"/>
  <c r="G17" i="4"/>
  <c r="AQ7" i="4" s="1"/>
  <c r="AT4" i="6"/>
  <c r="F6" i="10"/>
  <c r="E6" i="10"/>
  <c r="G17" i="6"/>
  <c r="AQ7" i="6" s="1"/>
  <c r="E9" i="10"/>
  <c r="D47" i="11"/>
  <c r="AA17" i="1"/>
  <c r="E22" i="11" s="1"/>
  <c r="AB17" i="1"/>
  <c r="F22" i="11" s="1"/>
  <c r="D9" i="10"/>
  <c r="C47" i="11"/>
  <c r="E5" i="8"/>
  <c r="J47" i="11"/>
  <c r="C4" i="8"/>
  <c r="AT8" i="2"/>
  <c r="K5" i="10"/>
  <c r="I5" i="10"/>
  <c r="F17" i="1"/>
  <c r="G47" i="11"/>
  <c r="G17" i="1"/>
  <c r="H47" i="11"/>
  <c r="AQ3" i="4"/>
  <c r="D6" i="11"/>
  <c r="AT3" i="5"/>
  <c r="D35" i="11"/>
  <c r="I17" i="2"/>
  <c r="K21" i="11" s="1"/>
  <c r="K46" i="11"/>
  <c r="AT2" i="5"/>
  <c r="C35" i="11"/>
  <c r="Z17" i="2"/>
  <c r="D46" i="11"/>
  <c r="I17" i="4"/>
  <c r="K6" i="11" s="1"/>
  <c r="K31" i="11"/>
  <c r="H7" i="10"/>
  <c r="G31" i="11"/>
  <c r="D7" i="10"/>
  <c r="C31" i="11"/>
  <c r="H8" i="10"/>
  <c r="G35" i="11"/>
  <c r="I7" i="10"/>
  <c r="H31" i="11"/>
  <c r="H17" i="3"/>
  <c r="J12" i="11" s="1"/>
  <c r="J38" i="11"/>
  <c r="H17" i="5"/>
  <c r="J11" i="11" s="1"/>
  <c r="J35" i="11"/>
  <c r="E7" i="8"/>
  <c r="J31" i="11"/>
  <c r="AT7" i="6"/>
  <c r="H30" i="11"/>
  <c r="E5" i="10"/>
  <c r="AT5" i="5"/>
  <c r="H4" i="10"/>
  <c r="J4" i="10" s="1"/>
  <c r="G38" i="11"/>
  <c r="G17" i="2"/>
  <c r="H46" i="11"/>
  <c r="I46" i="11" s="1"/>
  <c r="AT7" i="5"/>
  <c r="H35" i="11"/>
  <c r="AQ2" i="4"/>
  <c r="C6" i="11"/>
  <c r="Y17" i="2"/>
  <c r="C46" i="11"/>
  <c r="E7" i="10"/>
  <c r="D31" i="11"/>
  <c r="AA17" i="4"/>
  <c r="E6" i="11" s="1"/>
  <c r="F17" i="6"/>
  <c r="G30" i="11"/>
  <c r="H17" i="2"/>
  <c r="J21" i="11" s="1"/>
  <c r="J46" i="11"/>
  <c r="Z17" i="3"/>
  <c r="D38" i="11"/>
  <c r="AA17" i="2"/>
  <c r="AB17" i="4"/>
  <c r="F6" i="11" s="1"/>
  <c r="AT5" i="6"/>
  <c r="AB17" i="3"/>
  <c r="F12" i="11" s="1"/>
  <c r="E8" i="8"/>
  <c r="AB17" i="2"/>
  <c r="F21" i="11" s="1"/>
  <c r="G17" i="3"/>
  <c r="H38" i="11"/>
  <c r="AA17" i="6"/>
  <c r="E4" i="11" s="1"/>
  <c r="AT2" i="3"/>
  <c r="C38" i="11"/>
  <c r="I17" i="5"/>
  <c r="K11" i="11" s="1"/>
  <c r="K35" i="11"/>
  <c r="F3" i="9"/>
  <c r="H6" i="10"/>
  <c r="J6" i="10" s="1"/>
  <c r="F17" i="5"/>
  <c r="AT6" i="5"/>
  <c r="G6" i="10"/>
  <c r="AT2" i="4"/>
  <c r="E4" i="8"/>
  <c r="K9" i="10"/>
  <c r="AT6" i="6"/>
  <c r="K4" i="10"/>
  <c r="AB17" i="6"/>
  <c r="F4" i="11" s="1"/>
  <c r="Z17" i="5"/>
  <c r="AQ4" i="6"/>
  <c r="K7" i="10"/>
  <c r="G8" i="10"/>
  <c r="E3" i="8"/>
  <c r="AT6" i="3"/>
  <c r="G7" i="10"/>
  <c r="D8" i="10"/>
  <c r="H17" i="4"/>
  <c r="J6" i="11" s="1"/>
  <c r="F17" i="3"/>
  <c r="K8" i="10"/>
  <c r="Y17" i="1"/>
  <c r="AQ4" i="1"/>
  <c r="Y17" i="5"/>
  <c r="AT5" i="2"/>
  <c r="I8" i="10"/>
  <c r="F5" i="10"/>
  <c r="F8" i="9"/>
  <c r="AQ4" i="2"/>
  <c r="AT4" i="4"/>
  <c r="F9" i="10"/>
  <c r="AT3" i="1"/>
  <c r="Z17" i="1"/>
  <c r="C8" i="8"/>
  <c r="AT8" i="4"/>
  <c r="C5" i="8"/>
  <c r="AT8" i="6"/>
  <c r="AT4" i="1"/>
  <c r="Y17" i="3"/>
  <c r="AT7" i="3"/>
  <c r="AT2" i="1"/>
  <c r="H17" i="1"/>
  <c r="J22" i="11" s="1"/>
  <c r="Z17" i="6"/>
  <c r="AT3" i="6"/>
  <c r="Y17" i="6"/>
  <c r="AT2" i="6"/>
  <c r="D6" i="10"/>
  <c r="H9" i="10"/>
  <c r="AT6" i="1"/>
  <c r="AT3" i="3"/>
  <c r="G5" i="10"/>
  <c r="I9" i="10"/>
  <c r="G17" i="5"/>
  <c r="D9" i="9"/>
  <c r="AT7" i="1"/>
  <c r="F8" i="10"/>
  <c r="AT4" i="5"/>
  <c r="AQ4" i="5"/>
  <c r="AB17" i="5"/>
  <c r="F11" i="11" s="1"/>
  <c r="AA17" i="5"/>
  <c r="E11" i="11" s="1"/>
  <c r="G9" i="10"/>
  <c r="AT4" i="2"/>
  <c r="F5" i="9"/>
  <c r="AT5" i="1"/>
  <c r="AT2" i="2"/>
  <c r="I10" i="8"/>
  <c r="B9" i="9"/>
  <c r="D5" i="10"/>
  <c r="AT5" i="3"/>
  <c r="G10" i="8"/>
  <c r="F17" i="2"/>
  <c r="H5" i="10"/>
  <c r="AT6" i="2"/>
  <c r="AA17" i="3"/>
  <c r="E12" i="11" s="1"/>
  <c r="AT4" i="3"/>
  <c r="AQ4" i="3"/>
  <c r="J17" i="3"/>
  <c r="AQ8" i="3" s="1"/>
  <c r="C3" i="8"/>
  <c r="I47" i="11" l="1"/>
  <c r="L31" i="11"/>
  <c r="G6" i="11"/>
  <c r="L6" i="10"/>
  <c r="H4" i="11"/>
  <c r="J7" i="10"/>
  <c r="I30" i="11"/>
  <c r="H6" i="11"/>
  <c r="I6" i="11" s="1"/>
  <c r="L7" i="10"/>
  <c r="J5" i="10"/>
  <c r="I31" i="11"/>
  <c r="L47" i="11"/>
  <c r="I38" i="11"/>
  <c r="L8" i="10"/>
  <c r="E10" i="8"/>
  <c r="J8" i="10"/>
  <c r="AQ3" i="1"/>
  <c r="D22" i="11"/>
  <c r="L22" i="11" s="1"/>
  <c r="L5" i="10"/>
  <c r="AQ5" i="1"/>
  <c r="AQ2" i="1"/>
  <c r="C22" i="11"/>
  <c r="AQ6" i="1"/>
  <c r="G22" i="11"/>
  <c r="AQ7" i="1"/>
  <c r="H22" i="11"/>
  <c r="AQ6" i="2"/>
  <c r="G21" i="11"/>
  <c r="AQ5" i="5"/>
  <c r="AQ3" i="5"/>
  <c r="D11" i="11"/>
  <c r="L11" i="11" s="1"/>
  <c r="AQ5" i="4"/>
  <c r="AQ4" i="4"/>
  <c r="L46" i="11"/>
  <c r="AQ6" i="3"/>
  <c r="G12" i="11"/>
  <c r="AQ5" i="6"/>
  <c r="AQ5" i="2"/>
  <c r="AQ3" i="2"/>
  <c r="D21" i="11"/>
  <c r="L21" i="11" s="1"/>
  <c r="AQ2" i="3"/>
  <c r="C12" i="11"/>
  <c r="L38" i="11"/>
  <c r="AQ7" i="2"/>
  <c r="H21" i="11"/>
  <c r="L35" i="11"/>
  <c r="AQ5" i="3"/>
  <c r="AQ3" i="3"/>
  <c r="D12" i="11"/>
  <c r="L12" i="11" s="1"/>
  <c r="AQ2" i="2"/>
  <c r="C21" i="11"/>
  <c r="AQ2" i="5"/>
  <c r="C11" i="11"/>
  <c r="AQ2" i="6"/>
  <c r="C4" i="11"/>
  <c r="AQ6" i="6"/>
  <c r="G4" i="11"/>
  <c r="L6" i="11"/>
  <c r="AQ7" i="5"/>
  <c r="H11" i="11"/>
  <c r="AQ3" i="6"/>
  <c r="D4" i="11"/>
  <c r="AQ6" i="5"/>
  <c r="G11" i="11"/>
  <c r="AQ7" i="3"/>
  <c r="H12" i="11"/>
  <c r="I35" i="11"/>
  <c r="L4" i="10"/>
  <c r="L9" i="10"/>
  <c r="J9" i="10"/>
  <c r="C10" i="8"/>
  <c r="I11" i="10"/>
  <c r="H11" i="10"/>
  <c r="I4" i="11" l="1"/>
  <c r="I22" i="11"/>
  <c r="I11" i="11"/>
  <c r="I21" i="11"/>
  <c r="I12" i="11"/>
  <c r="L4" i="11"/>
</calcChain>
</file>

<file path=xl/sharedStrings.xml><?xml version="1.0" encoding="utf-8"?>
<sst xmlns="http://schemas.openxmlformats.org/spreadsheetml/2006/main" count="1297" uniqueCount="273">
  <si>
    <t>HOME</t>
  </si>
  <si>
    <t>AWAY</t>
  </si>
  <si>
    <t>HT</t>
  </si>
  <si>
    <t>VENUE</t>
  </si>
  <si>
    <t>1st</t>
  </si>
  <si>
    <t>2nd</t>
  </si>
  <si>
    <t>Points Scored</t>
  </si>
  <si>
    <t>Week 1</t>
  </si>
  <si>
    <t>California Legion</t>
  </si>
  <si>
    <t>Anthem</t>
  </si>
  <si>
    <t>Week 2</t>
  </si>
  <si>
    <t>Seattle</t>
  </si>
  <si>
    <t>Old Glory</t>
  </si>
  <si>
    <t>Chicago</t>
  </si>
  <si>
    <t>Seattle Seawolves</t>
  </si>
  <si>
    <t>Anthem RC</t>
  </si>
  <si>
    <t>Chicago Hounds</t>
  </si>
  <si>
    <t>New England Free Jacks</t>
  </si>
  <si>
    <t>Week 3</t>
  </si>
  <si>
    <t>Old Glory DC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</si>
  <si>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</si>
  <si>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</si>
  <si>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</si>
  <si>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</si>
  <si>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</si>
  <si>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</si>
  <si>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</si>
  <si>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</si>
  <si>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Semi-Finals</t>
  </si>
  <si>
    <t>Final</t>
  </si>
  <si>
    <t>REGULAR SEASON</t>
  </si>
  <si>
    <t>Tries Scored</t>
  </si>
  <si>
    <t>California</t>
  </si>
  <si>
    <t>New England</t>
  </si>
  <si>
    <t>Try Bonus Points</t>
  </si>
  <si>
    <t>Tries Conceded</t>
  </si>
  <si>
    <t>Try Bonus Conceded</t>
  </si>
  <si>
    <t>TOTAL</t>
  </si>
  <si>
    <t>POST SEASON</t>
  </si>
  <si>
    <t>MLR CARDS 2026</t>
  </si>
  <si>
    <t>TOTALS</t>
  </si>
  <si>
    <t>Yellow Cards</t>
  </si>
  <si>
    <t>Red Cards</t>
  </si>
  <si>
    <t>"Pts"</t>
  </si>
  <si>
    <t>Clubs ordered on unofficial "points" ratio of "2" for a Red and "1" for a Yellow</t>
  </si>
  <si>
    <t>RED CARDS ARE 20 MINUTES THEN A SUBSTITUTION IS ALLOWED</t>
  </si>
  <si>
    <t xml:space="preserve"> </t>
  </si>
  <si>
    <t>Minutes S/handed</t>
  </si>
  <si>
    <t>Ave per 10 mins</t>
  </si>
  <si>
    <t>F</t>
  </si>
  <si>
    <t>A</t>
  </si>
  <si>
    <t>14 men</t>
  </si>
  <si>
    <t>13 men</t>
  </si>
  <si>
    <t>12 men</t>
  </si>
  <si>
    <t>11 men</t>
  </si>
  <si>
    <t>Total</t>
  </si>
  <si>
    <t>Totals</t>
  </si>
  <si>
    <r>
      <t>MLR POWERPLAYS</t>
    </r>
    <r>
      <rPr>
        <b/>
        <sz val="11"/>
        <color rgb="FFFF0000"/>
        <rFont val="Aptos Narrow"/>
        <family val="2"/>
        <scheme val="minor"/>
      </rPr>
      <t xml:space="preserve"> (periods when teams are playing </t>
    </r>
    <r>
      <rPr>
        <b/>
        <u/>
        <sz val="11"/>
        <color rgb="FFFF0000"/>
        <rFont val="Aptos Narrow"/>
        <family val="2"/>
        <scheme val="minor"/>
      </rPr>
      <t>against short-handed opposition only</t>
    </r>
    <r>
      <rPr>
        <b/>
        <sz val="11"/>
        <color rgb="FFFF0000"/>
        <rFont val="Aptos Narrow"/>
        <family val="2"/>
        <scheme val="minor"/>
      </rPr>
      <t>)</t>
    </r>
  </si>
  <si>
    <t>MAJOR LEAGUE RUGBY</t>
  </si>
  <si>
    <t>Pos</t>
  </si>
  <si>
    <t>Chg</t>
  </si>
  <si>
    <t>Pl</t>
  </si>
  <si>
    <t>W</t>
  </si>
  <si>
    <t>D</t>
  </si>
  <si>
    <t>L</t>
  </si>
  <si>
    <t>P DIFF</t>
  </si>
  <si>
    <t>PTS</t>
  </si>
  <si>
    <t>BP</t>
  </si>
  <si>
    <t>↑</t>
  </si>
  <si>
    <t>↓</t>
  </si>
  <si>
    <t>→</t>
  </si>
  <si>
    <t>Result</t>
  </si>
  <si>
    <t>Bonus</t>
  </si>
  <si>
    <t>Scores</t>
  </si>
  <si>
    <t>Cards</t>
  </si>
  <si>
    <t>Conceded</t>
  </si>
  <si>
    <t>Att</t>
  </si>
  <si>
    <t>Referee</t>
  </si>
  <si>
    <t>AR1</t>
  </si>
  <si>
    <t>AR2</t>
  </si>
  <si>
    <t>OVERALL</t>
  </si>
  <si>
    <t xml:space="preserve">HOME </t>
  </si>
  <si>
    <t>NEUTRAL</t>
  </si>
  <si>
    <t>Date</t>
  </si>
  <si>
    <t>Cmp</t>
  </si>
  <si>
    <t>Opponents</t>
  </si>
  <si>
    <t>Gd</t>
  </si>
  <si>
    <t>R</t>
  </si>
  <si>
    <t>TB</t>
  </si>
  <si>
    <t>LB</t>
  </si>
  <si>
    <t>T</t>
  </si>
  <si>
    <t>C</t>
  </si>
  <si>
    <t>P</t>
  </si>
  <si>
    <t>Y</t>
  </si>
  <si>
    <t>PL</t>
  </si>
  <si>
    <t>H</t>
  </si>
  <si>
    <t>MLR (TOTALS)</t>
  </si>
  <si>
    <t>© Hillsport Media Ltd</t>
  </si>
  <si>
    <t>ANTHEM 2026</t>
  </si>
  <si>
    <t>CALIFORNIA 2026</t>
  </si>
  <si>
    <t>CHICAGO 2026</t>
  </si>
  <si>
    <t>NEW ENGLAND 2026</t>
  </si>
  <si>
    <t>OLD GLORY 2026</t>
  </si>
  <si>
    <t>SEATTLE 2026</t>
  </si>
  <si>
    <t>SF</t>
  </si>
  <si>
    <t>Reg</t>
  </si>
  <si>
    <t>KNOCKOUTS</t>
  </si>
  <si>
    <t>OVERALL RECORDS</t>
  </si>
  <si>
    <t>Played</t>
  </si>
  <si>
    <t>Won</t>
  </si>
  <si>
    <t>Drawn</t>
  </si>
  <si>
    <t>Lost</t>
  </si>
  <si>
    <t>Pts Scored</t>
  </si>
  <si>
    <t>Pts Conceded</t>
  </si>
  <si>
    <t>SAN DIEGO OVERALL</t>
  </si>
  <si>
    <t>SAN DIEGO REG.</t>
  </si>
  <si>
    <t>SAN DIEGO KO</t>
  </si>
  <si>
    <t>RFCLA OVERALL</t>
  </si>
  <si>
    <t>RFCLA REG.</t>
  </si>
  <si>
    <t>RFCLA KO</t>
  </si>
  <si>
    <t>Championship Stadium, Irvine</t>
  </si>
  <si>
    <t>Starfire Stadium, Tukwila</t>
  </si>
  <si>
    <t>American Legion Stadium, Charlotte</t>
  </si>
  <si>
    <t>Torero Stadium, San Diego</t>
  </si>
  <si>
    <t>Veterans Memorial Stadium, Quincy</t>
  </si>
  <si>
    <t>SeatGeek Stadium, Bridgeview</t>
  </si>
  <si>
    <t>Geodis Park, Nashville</t>
  </si>
  <si>
    <t>Wallis Annenberg Stadium, Los Angeles</t>
  </si>
  <si>
    <t>George Mason Stadium, Fairfax</t>
  </si>
  <si>
    <t>Saint Mary's Stadium, Moraga</t>
  </si>
  <si>
    <t>Heart Health Park, Sacramento</t>
  </si>
  <si>
    <t>TBC</t>
  </si>
  <si>
    <t>Team</t>
  </si>
  <si>
    <t>PF</t>
  </si>
  <si>
    <t>PA</t>
  </si>
  <si>
    <t>PD</t>
  </si>
  <si>
    <t>Pts</t>
  </si>
  <si>
    <t>Legion</t>
  </si>
  <si>
    <t>Seawolves</t>
  </si>
  <si>
    <t>Free Jacks</t>
  </si>
  <si>
    <t>SaberCats</t>
  </si>
  <si>
    <t>Warriors</t>
  </si>
  <si>
    <t>Gold</t>
  </si>
  <si>
    <t>Ironworkers</t>
  </si>
  <si>
    <t>Arrows</t>
  </si>
  <si>
    <t>Atlanta</t>
  </si>
  <si>
    <t>Gilgronis</t>
  </si>
  <si>
    <t>Hounds</t>
  </si>
  <si>
    <t>Giltinis</t>
  </si>
  <si>
    <t>Raptors</t>
  </si>
  <si>
    <t>RFCLA</t>
  </si>
  <si>
    <t>Sharks</t>
  </si>
  <si>
    <t>Jackals</t>
  </si>
  <si>
    <t>ALL-TIME STANDINGS (ALL FIXTURES)</t>
  </si>
  <si>
    <t>San Diego</t>
  </si>
  <si>
    <t>INACTIVE</t>
  </si>
  <si>
    <t>QF</t>
  </si>
  <si>
    <t>CHAMPS</t>
  </si>
  <si>
    <t>RUNNER-UP</t>
  </si>
  <si>
    <t>N</t>
  </si>
  <si>
    <t>Sat Mar 28th</t>
  </si>
  <si>
    <t>Fri Apr 3rd</t>
  </si>
  <si>
    <t>Sat Apr 4th</t>
  </si>
  <si>
    <t>Sat Apr 11th</t>
  </si>
  <si>
    <t>Sun Apr 12th</t>
  </si>
  <si>
    <t>Sat Apr 18th</t>
  </si>
  <si>
    <t>Sun Apr 19th</t>
  </si>
  <si>
    <t>Fri Apr 24th</t>
  </si>
  <si>
    <t>Sun Apr 26th</t>
  </si>
  <si>
    <t>Sun May 3rd</t>
  </si>
  <si>
    <t>Sat May 9th</t>
  </si>
  <si>
    <t>Sun May 10th</t>
  </si>
  <si>
    <t>Sat May 16th</t>
  </si>
  <si>
    <t>Sun May 17th</t>
  </si>
  <si>
    <t>Sat May 23rd</t>
  </si>
  <si>
    <t>Sun May 24th</t>
  </si>
  <si>
    <t>Sat May 30th</t>
  </si>
  <si>
    <t>Sun May 31st</t>
  </si>
  <si>
    <t>Sat Jun 6th</t>
  </si>
  <si>
    <t>Sun Jun 7th</t>
  </si>
  <si>
    <t xml:space="preserve">Sun Jun 7th </t>
  </si>
  <si>
    <t>Robin Kaluzniak</t>
  </si>
  <si>
    <t>Derek Summers</t>
  </si>
  <si>
    <t>Mike Lawrenson</t>
  </si>
  <si>
    <t>RRS</t>
  </si>
  <si>
    <t>Austin Reed</t>
  </si>
  <si>
    <t>12-20</t>
  </si>
  <si>
    <t>20-12</t>
  </si>
  <si>
    <t>Luke Rogan</t>
  </si>
  <si>
    <t>James Roberts</t>
  </si>
  <si>
    <t>Dave Edwards</t>
  </si>
  <si>
    <t>Chris Assmus</t>
  </si>
  <si>
    <t>Will Nelson</t>
  </si>
  <si>
    <t>Shanda Assmus</t>
  </si>
  <si>
    <t>Alex Nunnally</t>
  </si>
  <si>
    <t>13-9</t>
  </si>
  <si>
    <t>9-13</t>
  </si>
  <si>
    <t>5-19</t>
  </si>
  <si>
    <t>Penalty try v Anthem Apr-04</t>
  </si>
  <si>
    <t>19-5</t>
  </si>
  <si>
    <t>24-5</t>
  </si>
  <si>
    <t>5-24</t>
  </si>
  <si>
    <t>Amelia Luciano</t>
  </si>
  <si>
    <t>Tom Ciampa</t>
  </si>
  <si>
    <t>T Fletcher</t>
  </si>
  <si>
    <t>Federico Anselmi</t>
  </si>
  <si>
    <t>Martin Steffens</t>
  </si>
  <si>
    <t>James Harrison</t>
  </si>
  <si>
    <t>7-14</t>
  </si>
  <si>
    <t>14-7</t>
  </si>
  <si>
    <t>21-18</t>
  </si>
  <si>
    <t>18-21</t>
  </si>
  <si>
    <t>22-12</t>
  </si>
  <si>
    <t>12-22</t>
  </si>
  <si>
    <t>Seth Heldman</t>
  </si>
  <si>
    <t>Alex Hedquist</t>
  </si>
  <si>
    <t>0-26</t>
  </si>
  <si>
    <t>26-0</t>
  </si>
  <si>
    <t>Trainor</t>
  </si>
  <si>
    <t>Marquise Goodwin</t>
  </si>
  <si>
    <t>Peter Pender</t>
  </si>
  <si>
    <t>33-12</t>
  </si>
  <si>
    <t>12-33</t>
  </si>
  <si>
    <t>LeSage</t>
  </si>
  <si>
    <t>Week 4 - Ben LeSage received a straight red card against Chicago not 20 mins</t>
  </si>
  <si>
    <t>17-14</t>
  </si>
  <si>
    <t>14-17</t>
  </si>
  <si>
    <t>10-38</t>
  </si>
  <si>
    <t>David Vosalevu</t>
  </si>
  <si>
    <t>38-10</t>
  </si>
  <si>
    <t>Lindenmuth, Pedersen</t>
  </si>
  <si>
    <t>17-5</t>
  </si>
  <si>
    <t>Jarrod Ford</t>
  </si>
  <si>
    <t>5-17</t>
  </si>
  <si>
    <t>6-17</t>
  </si>
  <si>
    <t>George Janke</t>
  </si>
  <si>
    <t>17-6</t>
  </si>
  <si>
    <t>Meakes, Murphy</t>
  </si>
  <si>
    <t>11-5</t>
  </si>
  <si>
    <t>Cam Russell</t>
  </si>
  <si>
    <t>5-11</t>
  </si>
  <si>
    <t>33-21</t>
  </si>
  <si>
    <t>David Zaccaria</t>
  </si>
  <si>
    <t>21-33</t>
  </si>
  <si>
    <t>17-7</t>
  </si>
  <si>
    <t>7-17</t>
  </si>
  <si>
    <t>15-6</t>
  </si>
  <si>
    <t>6-15</t>
  </si>
  <si>
    <t>Harley</t>
  </si>
  <si>
    <t>33-19</t>
  </si>
  <si>
    <t>19-33</t>
  </si>
  <si>
    <t>19-12</t>
  </si>
  <si>
    <t>12-19</t>
  </si>
  <si>
    <t>Abel (2), Botha, de Haas, Flesch, Fourie, O'Keefe, Zabierek</t>
  </si>
  <si>
    <t>42-14</t>
  </si>
  <si>
    <t>White (2), Boyer, Hattingh, Lindenmuth, Matthews, Redelinghuys</t>
  </si>
  <si>
    <t>14-42</t>
  </si>
  <si>
    <t>Penalty try v New England May 17</t>
  </si>
  <si>
    <t>Robbie Jenkinson</t>
  </si>
  <si>
    <t>↑1</t>
  </si>
  <si>
    <t>↓1</t>
  </si>
  <si>
    <t>0-7</t>
  </si>
  <si>
    <t>7-0</t>
  </si>
  <si>
    <t>Aylmer, Ciquera, Higgins, Johnston, Norris, Palmer, Sylvia, von Dadelszen</t>
  </si>
  <si>
    <t>Momsen (3), Alikhan, Carty, Fuala'au, Golla, Mooneyham, Pittman, Safodien, Sherman</t>
  </si>
  <si>
    <t>Emma Gallagher</t>
  </si>
  <si>
    <t>26-10</t>
  </si>
  <si>
    <t>10-26</t>
  </si>
  <si>
    <t>21-5</t>
  </si>
  <si>
    <t>5-21</t>
  </si>
  <si>
    <t>Cama (2), Lopeti (2), Williams (2), Damm, Kofe, Mano</t>
  </si>
  <si>
    <t>Daniel, LeFevre, Martinez, Mullen, Naqali</t>
  </si>
  <si>
    <t>Chicago (Q)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</si>
</sst>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rgb="FF4D5156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2"/>
      <color theme="0"/>
      <name val="Calibri"/>
      <family val="2"/>
    </font>
    <font>
      <sz val="11"/>
      <color theme="0" tint="-0.249977111117893"/>
      <name val="Calibri"/>
      <family val="2"/>
    </font>
    <font>
      <b/>
      <sz val="11"/>
      <color rgb="FF64B246"/>
      <name val="Calibri"/>
      <family val="2"/>
    </font>
    <font>
      <sz val="12"/>
      <color rgb="FF64B246"/>
      <name val="Calibri"/>
      <family val="2"/>
    </font>
    <font>
      <sz val="11"/>
      <color rgb="FF64B246"/>
      <name val="Calibri"/>
      <family val="2"/>
    </font>
    <font>
      <b/>
      <sz val="11"/>
      <color rgb="FF000000"/>
      <name val="Calibri"/>
      <family val="2"/>
    </font>
    <font>
      <b/>
      <sz val="14"/>
      <color rgb="FF0A0A0A"/>
      <name val="Inherit"/>
    </font>
    <font>
      <sz val="14"/>
      <color rgb="FF0A0A0A"/>
      <name val="Inherit"/>
    </font>
    <font>
      <u/>
      <sz val="12"/>
      <color theme="10"/>
      <name val="Aptos Narrow"/>
      <family val="2"/>
      <scheme val="minor"/>
    </font>
    <font>
      <sz val="11"/>
      <color rgb="FF0A0A0A"/>
      <name val="Calibri"/>
      <family val="2"/>
    </font>
    <font>
      <b/>
      <sz val="11"/>
      <color rgb="FF0A0A0A"/>
      <name val="Calibri"/>
      <family val="2"/>
    </font>
    <font>
      <sz val="11"/>
      <color rgb="FF0A0002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sz val="12"/>
      <color rgb="FFFF0000"/>
      <name val="Calibri"/>
      <family val="2"/>
    </font>
    <font>
      <sz val="8"/>
      <name val="Aptos Narrow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rgb="FFDAE2F2"/>
        <bgColor indexed="64"/>
      </patternFill>
    </fill>
    <fill>
      <patternFill patternType="solid">
        <fgColor rgb="FFFF4B20"/>
        <bgColor indexed="64"/>
      </patternFill>
    </fill>
    <fill>
      <patternFill patternType="solid">
        <fgColor rgb="FFFFFF9A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85CB"/>
        <bgColor indexed="64"/>
      </patternFill>
    </fill>
    <fill>
      <patternFill patternType="solid">
        <fgColor rgb="FF00653C"/>
        <bgColor indexed="64"/>
      </patternFill>
    </fill>
    <fill>
      <patternFill patternType="solid">
        <fgColor rgb="FF002144"/>
        <bgColor indexed="64"/>
      </patternFill>
    </fill>
    <fill>
      <patternFill patternType="solid">
        <fgColor rgb="FF002F56"/>
        <bgColor indexed="64"/>
      </patternFill>
    </fill>
    <fill>
      <patternFill patternType="solid">
        <fgColor rgb="FF002B5C"/>
        <bgColor indexed="64"/>
      </patternFill>
    </fill>
    <fill>
      <patternFill patternType="solid">
        <fgColor rgb="FFD1A32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2D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3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1" fillId="0" borderId="0" xfId="0" applyFont="1"/>
    <xf numFmtId="0" fontId="6" fillId="3" borderId="1" xfId="0" applyFont="1" applyFill="1" applyBorder="1"/>
    <xf numFmtId="0" fontId="4" fillId="3" borderId="1" xfId="0" applyFont="1" applyFill="1" applyBorder="1"/>
    <xf numFmtId="0" fontId="6" fillId="4" borderId="1" xfId="0" applyFont="1" applyFill="1" applyBorder="1"/>
    <xf numFmtId="0" fontId="4" fillId="4" borderId="1" xfId="0" applyFont="1" applyFill="1" applyBorder="1"/>
    <xf numFmtId="0" fontId="6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/>
    <xf numFmtId="0" fontId="6" fillId="6" borderId="1" xfId="0" applyFont="1" applyFill="1" applyBorder="1"/>
    <xf numFmtId="0" fontId="4" fillId="6" borderId="1" xfId="0" applyFont="1" applyFill="1" applyBorder="1"/>
    <xf numFmtId="0" fontId="3" fillId="3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9" borderId="1" xfId="0" applyFont="1" applyFill="1" applyBorder="1"/>
    <xf numFmtId="0" fontId="3" fillId="10" borderId="7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0" borderId="2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1" fontId="5" fillId="0" borderId="14" xfId="0" applyNumberFormat="1" applyFont="1" applyBorder="1" applyAlignment="1">
      <alignment vertical="top"/>
    </xf>
    <xf numFmtId="1" fontId="5" fillId="0" borderId="15" xfId="0" applyNumberFormat="1" applyFont="1" applyBorder="1" applyAlignment="1">
      <alignment vertical="top"/>
    </xf>
    <xf numFmtId="1" fontId="5" fillId="0" borderId="16" xfId="0" applyNumberFormat="1" applyFont="1" applyBorder="1" applyAlignment="1">
      <alignment vertical="top"/>
    </xf>
    <xf numFmtId="2" fontId="5" fillId="0" borderId="17" xfId="0" applyNumberFormat="1" applyFont="1" applyBorder="1" applyAlignment="1">
      <alignment vertical="top"/>
    </xf>
    <xf numFmtId="2" fontId="5" fillId="0" borderId="16" xfId="0" applyNumberFormat="1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0" fontId="10" fillId="0" borderId="0" xfId="0" applyFont="1"/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4" fillId="0" borderId="18" xfId="0" applyFont="1" applyBorder="1"/>
    <xf numFmtId="17" fontId="14" fillId="11" borderId="6" xfId="0" applyNumberFormat="1" applyFont="1" applyFill="1" applyBorder="1" applyAlignment="1">
      <alignment horizontal="left" vertical="center" wrapText="1"/>
    </xf>
    <xf numFmtId="0" fontId="14" fillId="11" borderId="11" xfId="0" applyFont="1" applyFill="1" applyBorder="1" applyAlignment="1">
      <alignment vertical="center" wrapText="1"/>
    </xf>
    <xf numFmtId="0" fontId="14" fillId="11" borderId="11" xfId="0" applyFont="1" applyFill="1" applyBorder="1" applyAlignment="1">
      <alignment horizontal="center" vertical="center" wrapText="1"/>
    </xf>
    <xf numFmtId="1" fontId="14" fillId="11" borderId="11" xfId="0" applyNumberFormat="1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right"/>
    </xf>
    <xf numFmtId="49" fontId="16" fillId="11" borderId="1" xfId="0" applyNumberFormat="1" applyFont="1" applyFill="1" applyBorder="1" applyAlignment="1">
      <alignment horizontal="center"/>
    </xf>
    <xf numFmtId="0" fontId="15" fillId="11" borderId="3" xfId="0" applyFont="1" applyFill="1" applyBorder="1"/>
    <xf numFmtId="0" fontId="15" fillId="11" borderId="1" xfId="0" applyFont="1" applyFill="1" applyBorder="1"/>
    <xf numFmtId="0" fontId="15" fillId="11" borderId="4" xfId="0" applyFont="1" applyFill="1" applyBorder="1"/>
    <xf numFmtId="17" fontId="14" fillId="12" borderId="6" xfId="0" applyNumberFormat="1" applyFont="1" applyFill="1" applyBorder="1" applyAlignment="1">
      <alignment horizontal="left" vertical="center" wrapText="1"/>
    </xf>
    <xf numFmtId="0" fontId="14" fillId="12" borderId="11" xfId="0" applyFont="1" applyFill="1" applyBorder="1" applyAlignment="1">
      <alignment vertical="center" wrapText="1"/>
    </xf>
    <xf numFmtId="0" fontId="14" fillId="12" borderId="11" xfId="0" applyFont="1" applyFill="1" applyBorder="1" applyAlignment="1">
      <alignment horizontal="center" vertical="center" wrapText="1"/>
    </xf>
    <xf numFmtId="1" fontId="14" fillId="12" borderId="11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right"/>
    </xf>
    <xf numFmtId="49" fontId="16" fillId="12" borderId="1" xfId="0" applyNumberFormat="1" applyFont="1" applyFill="1" applyBorder="1" applyAlignment="1">
      <alignment horizontal="center"/>
    </xf>
    <xf numFmtId="0" fontId="15" fillId="12" borderId="3" xfId="0" applyFont="1" applyFill="1" applyBorder="1"/>
    <xf numFmtId="0" fontId="15" fillId="12" borderId="1" xfId="0" applyFont="1" applyFill="1" applyBorder="1"/>
    <xf numFmtId="0" fontId="15" fillId="12" borderId="5" xfId="0" applyFont="1" applyFill="1" applyBorder="1"/>
    <xf numFmtId="0" fontId="15" fillId="12" borderId="4" xfId="0" applyFont="1" applyFill="1" applyBorder="1"/>
    <xf numFmtId="49" fontId="17" fillId="12" borderId="1" xfId="0" applyNumberFormat="1" applyFont="1" applyFill="1" applyBorder="1" applyAlignment="1">
      <alignment horizontal="center"/>
    </xf>
    <xf numFmtId="49" fontId="17" fillId="11" borderId="1" xfId="0" applyNumberFormat="1" applyFont="1" applyFill="1" applyBorder="1" applyAlignment="1">
      <alignment horizontal="center"/>
    </xf>
    <xf numFmtId="3" fontId="15" fillId="12" borderId="1" xfId="0" applyNumberFormat="1" applyFont="1" applyFill="1" applyBorder="1" applyAlignment="1">
      <alignment horizontal="right"/>
    </xf>
    <xf numFmtId="3" fontId="15" fillId="11" borderId="1" xfId="0" applyNumberFormat="1" applyFont="1" applyFill="1" applyBorder="1" applyAlignment="1">
      <alignment horizontal="right"/>
    </xf>
    <xf numFmtId="17" fontId="18" fillId="13" borderId="0" xfId="0" applyNumberFormat="1" applyFont="1" applyFill="1" applyAlignment="1">
      <alignment horizontal="left" vertical="center" wrapText="1"/>
    </xf>
    <xf numFmtId="0" fontId="18" fillId="13" borderId="0" xfId="0" applyFont="1" applyFill="1" applyAlignment="1">
      <alignment horizontal="left" vertical="center" wrapText="1"/>
    </xf>
    <xf numFmtId="0" fontId="14" fillId="14" borderId="19" xfId="0" applyFont="1" applyFill="1" applyBorder="1" applyAlignment="1">
      <alignment horizontal="left" vertical="center" wrapText="1"/>
    </xf>
    <xf numFmtId="0" fontId="14" fillId="14" borderId="22" xfId="0" applyFont="1" applyFill="1" applyBorder="1" applyAlignment="1">
      <alignment horizontal="left" vertical="center" wrapText="1"/>
    </xf>
    <xf numFmtId="0" fontId="14" fillId="14" borderId="11" xfId="0" applyFont="1" applyFill="1" applyBorder="1" applyAlignment="1">
      <alignment horizontal="left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4" fillId="15" borderId="0" xfId="0" applyFont="1" applyFill="1"/>
    <xf numFmtId="0" fontId="14" fillId="14" borderId="6" xfId="0" applyFont="1" applyFill="1" applyBorder="1"/>
    <xf numFmtId="0" fontId="14" fillId="12" borderId="6" xfId="0" applyFont="1" applyFill="1" applyBorder="1" applyAlignment="1">
      <alignment horizontal="center" vertical="center" wrapText="1"/>
    </xf>
    <xf numFmtId="0" fontId="14" fillId="14" borderId="4" xfId="0" applyFont="1" applyFill="1" applyBorder="1" applyAlignment="1">
      <alignment horizontal="center" vertical="center" wrapText="1"/>
    </xf>
    <xf numFmtId="0" fontId="14" fillId="14" borderId="1" xfId="0" applyFont="1" applyFill="1" applyBorder="1"/>
    <xf numFmtId="0" fontId="14" fillId="14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17" fontId="14" fillId="11" borderId="1" xfId="0" applyNumberFormat="1" applyFont="1" applyFill="1" applyBorder="1" applyAlignment="1">
      <alignment horizontal="left" vertical="center" wrapText="1"/>
    </xf>
    <xf numFmtId="0" fontId="14" fillId="11" borderId="4" xfId="0" applyFont="1" applyFill="1" applyBorder="1" applyAlignment="1">
      <alignment horizontal="left" vertical="center" wrapText="1"/>
    </xf>
    <xf numFmtId="0" fontId="14" fillId="11" borderId="4" xfId="0" applyFont="1" applyFill="1" applyBorder="1" applyAlignment="1">
      <alignment vertical="center" wrapText="1"/>
    </xf>
    <xf numFmtId="0" fontId="14" fillId="11" borderId="4" xfId="0" applyFont="1" applyFill="1" applyBorder="1" applyAlignment="1">
      <alignment horizontal="center" vertical="center" wrapText="1"/>
    </xf>
    <xf numFmtId="1" fontId="14" fillId="11" borderId="4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/>
    </xf>
    <xf numFmtId="0" fontId="14" fillId="17" borderId="3" xfId="0" applyFont="1" applyFill="1" applyBorder="1"/>
    <xf numFmtId="0" fontId="14" fillId="17" borderId="1" xfId="0" applyFont="1" applyFill="1" applyBorder="1"/>
    <xf numFmtId="0" fontId="14" fillId="17" borderId="5" xfId="0" applyFont="1" applyFill="1" applyBorder="1"/>
    <xf numFmtId="0" fontId="14" fillId="17" borderId="19" xfId="0" applyFont="1" applyFill="1" applyBorder="1" applyAlignment="1">
      <alignment vertical="center" wrapText="1"/>
    </xf>
    <xf numFmtId="0" fontId="14" fillId="17" borderId="6" xfId="0" applyFont="1" applyFill="1" applyBorder="1" applyAlignment="1">
      <alignment vertical="center" wrapText="1"/>
    </xf>
    <xf numFmtId="0" fontId="14" fillId="17" borderId="1" xfId="0" applyFont="1" applyFill="1" applyBorder="1" applyAlignment="1">
      <alignment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5" fillId="17" borderId="2" xfId="0" applyFont="1" applyFill="1" applyBorder="1"/>
    <xf numFmtId="49" fontId="15" fillId="17" borderId="2" xfId="0" applyNumberFormat="1" applyFont="1" applyFill="1" applyBorder="1"/>
    <xf numFmtId="0" fontId="15" fillId="17" borderId="20" xfId="0" applyFont="1" applyFill="1" applyBorder="1"/>
    <xf numFmtId="0" fontId="15" fillId="17" borderId="21" xfId="0" applyFont="1" applyFill="1" applyBorder="1"/>
    <xf numFmtId="0" fontId="15" fillId="17" borderId="1" xfId="0" applyFont="1" applyFill="1" applyBorder="1"/>
    <xf numFmtId="0" fontId="14" fillId="17" borderId="1" xfId="0" applyFont="1" applyFill="1" applyBorder="1" applyAlignment="1">
      <alignment horizontal="right"/>
    </xf>
    <xf numFmtId="0" fontId="14" fillId="17" borderId="0" xfId="0" applyFont="1" applyFill="1" applyAlignment="1">
      <alignment horizontal="right"/>
    </xf>
    <xf numFmtId="0" fontId="14" fillId="19" borderId="1" xfId="0" applyFont="1" applyFill="1" applyBorder="1" applyAlignment="1">
      <alignment horizontal="center"/>
    </xf>
    <xf numFmtId="0" fontId="14" fillId="19" borderId="3" xfId="0" applyFont="1" applyFill="1" applyBorder="1"/>
    <xf numFmtId="0" fontId="14" fillId="19" borderId="1" xfId="0" applyFont="1" applyFill="1" applyBorder="1"/>
    <xf numFmtId="0" fontId="14" fillId="19" borderId="5" xfId="0" applyFont="1" applyFill="1" applyBorder="1"/>
    <xf numFmtId="0" fontId="14" fillId="19" borderId="19" xfId="0" applyFont="1" applyFill="1" applyBorder="1" applyAlignment="1">
      <alignment vertical="center" wrapText="1"/>
    </xf>
    <xf numFmtId="0" fontId="14" fillId="19" borderId="6" xfId="0" applyFont="1" applyFill="1" applyBorder="1" applyAlignment="1">
      <alignment vertical="center" wrapText="1"/>
    </xf>
    <xf numFmtId="0" fontId="14" fillId="19" borderId="1" xfId="0" applyFont="1" applyFill="1" applyBorder="1" applyAlignment="1">
      <alignment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5" fillId="19" borderId="2" xfId="0" applyFont="1" applyFill="1" applyBorder="1"/>
    <xf numFmtId="49" fontId="15" fillId="19" borderId="2" xfId="0" applyNumberFormat="1" applyFont="1" applyFill="1" applyBorder="1"/>
    <xf numFmtId="0" fontId="15" fillId="19" borderId="20" xfId="0" applyFont="1" applyFill="1" applyBorder="1"/>
    <xf numFmtId="0" fontId="15" fillId="19" borderId="21" xfId="0" applyFont="1" applyFill="1" applyBorder="1"/>
    <xf numFmtId="0" fontId="15" fillId="19" borderId="1" xfId="0" applyFont="1" applyFill="1" applyBorder="1"/>
    <xf numFmtId="0" fontId="14" fillId="19" borderId="1" xfId="0" applyFont="1" applyFill="1" applyBorder="1" applyAlignment="1">
      <alignment horizontal="right"/>
    </xf>
    <xf numFmtId="0" fontId="14" fillId="19" borderId="0" xfId="0" applyFont="1" applyFill="1" applyAlignment="1">
      <alignment horizontal="right"/>
    </xf>
    <xf numFmtId="0" fontId="19" fillId="20" borderId="1" xfId="0" applyFont="1" applyFill="1" applyBorder="1" applyAlignment="1">
      <alignment horizontal="center"/>
    </xf>
    <xf numFmtId="0" fontId="19" fillId="20" borderId="3" xfId="0" applyFont="1" applyFill="1" applyBorder="1"/>
    <xf numFmtId="0" fontId="19" fillId="20" borderId="1" xfId="0" applyFont="1" applyFill="1" applyBorder="1"/>
    <xf numFmtId="0" fontId="19" fillId="20" borderId="5" xfId="0" applyFont="1" applyFill="1" applyBorder="1"/>
    <xf numFmtId="0" fontId="19" fillId="20" borderId="19" xfId="0" applyFont="1" applyFill="1" applyBorder="1" applyAlignment="1">
      <alignment vertical="center" wrapText="1"/>
    </xf>
    <xf numFmtId="0" fontId="19" fillId="20" borderId="6" xfId="0" applyFont="1" applyFill="1" applyBorder="1" applyAlignment="1">
      <alignment vertical="center" wrapText="1"/>
    </xf>
    <xf numFmtId="0" fontId="19" fillId="20" borderId="1" xfId="0" applyFont="1" applyFill="1" applyBorder="1" applyAlignment="1">
      <alignment vertical="center" wrapText="1"/>
    </xf>
    <xf numFmtId="0" fontId="19" fillId="20" borderId="1" xfId="0" applyFont="1" applyFill="1" applyBorder="1" applyAlignment="1">
      <alignment horizontal="center" vertical="center" wrapText="1"/>
    </xf>
    <xf numFmtId="0" fontId="19" fillId="20" borderId="11" xfId="0" applyFont="1" applyFill="1" applyBorder="1" applyAlignment="1">
      <alignment horizontal="center" vertical="center" wrapText="1"/>
    </xf>
    <xf numFmtId="0" fontId="21" fillId="20" borderId="2" xfId="0" applyFont="1" applyFill="1" applyBorder="1"/>
    <xf numFmtId="49" fontId="21" fillId="20" borderId="2" xfId="0" applyNumberFormat="1" applyFont="1" applyFill="1" applyBorder="1"/>
    <xf numFmtId="0" fontId="21" fillId="20" borderId="20" xfId="0" applyFont="1" applyFill="1" applyBorder="1"/>
    <xf numFmtId="0" fontId="21" fillId="20" borderId="21" xfId="0" applyFont="1" applyFill="1" applyBorder="1"/>
    <xf numFmtId="0" fontId="21" fillId="20" borderId="1" xfId="0" applyFont="1" applyFill="1" applyBorder="1"/>
    <xf numFmtId="0" fontId="19" fillId="20" borderId="1" xfId="0" applyFont="1" applyFill="1" applyBorder="1" applyAlignment="1">
      <alignment horizontal="right"/>
    </xf>
    <xf numFmtId="0" fontId="19" fillId="20" borderId="0" xfId="0" applyFont="1" applyFill="1" applyAlignment="1">
      <alignment horizontal="right"/>
    </xf>
    <xf numFmtId="0" fontId="14" fillId="12" borderId="4" xfId="0" applyFont="1" applyFill="1" applyBorder="1" applyAlignment="1">
      <alignment horizontal="left" vertical="center" wrapText="1"/>
    </xf>
    <xf numFmtId="0" fontId="14" fillId="12" borderId="11" xfId="0" applyFont="1" applyFill="1" applyBorder="1" applyAlignment="1">
      <alignment horizontal="center" vertical="center"/>
    </xf>
    <xf numFmtId="0" fontId="14" fillId="21" borderId="6" xfId="0" applyFont="1" applyFill="1" applyBorder="1" applyAlignment="1">
      <alignment horizontal="left" vertical="center" wrapText="1"/>
    </xf>
    <xf numFmtId="0" fontId="14" fillId="21" borderId="11" xfId="0" applyFont="1" applyFill="1" applyBorder="1" applyAlignment="1">
      <alignment horizontal="left" vertical="center" wrapText="1"/>
    </xf>
    <xf numFmtId="0" fontId="14" fillId="21" borderId="11" xfId="0" applyFont="1" applyFill="1" applyBorder="1" applyAlignment="1">
      <alignment vertical="center" wrapText="1"/>
    </xf>
    <xf numFmtId="0" fontId="14" fillId="21" borderId="11" xfId="0" applyFont="1" applyFill="1" applyBorder="1" applyAlignment="1">
      <alignment horizontal="center" vertical="center" wrapText="1"/>
    </xf>
    <xf numFmtId="1" fontId="14" fillId="21" borderId="11" xfId="0" applyNumberFormat="1" applyFont="1" applyFill="1" applyBorder="1" applyAlignment="1">
      <alignment horizontal="center" vertical="center" wrapText="1"/>
    </xf>
    <xf numFmtId="3" fontId="15" fillId="21" borderId="1" xfId="0" applyNumberFormat="1" applyFont="1" applyFill="1" applyBorder="1" applyAlignment="1">
      <alignment horizontal="right"/>
    </xf>
    <xf numFmtId="49" fontId="16" fillId="21" borderId="1" xfId="0" applyNumberFormat="1" applyFont="1" applyFill="1" applyBorder="1" applyAlignment="1">
      <alignment horizontal="center"/>
    </xf>
    <xf numFmtId="0" fontId="15" fillId="21" borderId="3" xfId="0" applyFont="1" applyFill="1" applyBorder="1"/>
    <xf numFmtId="0" fontId="15" fillId="21" borderId="1" xfId="0" applyFont="1" applyFill="1" applyBorder="1"/>
    <xf numFmtId="0" fontId="15" fillId="21" borderId="4" xfId="0" applyFont="1" applyFill="1" applyBorder="1"/>
    <xf numFmtId="0" fontId="14" fillId="22" borderId="6" xfId="0" applyFont="1" applyFill="1" applyBorder="1" applyAlignment="1">
      <alignment horizontal="left" vertical="center" wrapText="1"/>
    </xf>
    <xf numFmtId="0" fontId="14" fillId="22" borderId="11" xfId="0" applyFont="1" applyFill="1" applyBorder="1" applyAlignment="1">
      <alignment horizontal="left" vertical="center" wrapText="1"/>
    </xf>
    <xf numFmtId="0" fontId="14" fillId="22" borderId="11" xfId="0" applyFont="1" applyFill="1" applyBorder="1" applyAlignment="1">
      <alignment vertical="center" wrapText="1"/>
    </xf>
    <xf numFmtId="0" fontId="14" fillId="22" borderId="11" xfId="0" applyFont="1" applyFill="1" applyBorder="1" applyAlignment="1">
      <alignment horizontal="center" vertical="center" wrapText="1"/>
    </xf>
    <xf numFmtId="1" fontId="14" fillId="22" borderId="11" xfId="0" applyNumberFormat="1" applyFont="1" applyFill="1" applyBorder="1" applyAlignment="1">
      <alignment horizontal="center" vertical="center" wrapText="1"/>
    </xf>
    <xf numFmtId="3" fontId="15" fillId="22" borderId="1" xfId="0" applyNumberFormat="1" applyFont="1" applyFill="1" applyBorder="1" applyAlignment="1">
      <alignment horizontal="right"/>
    </xf>
    <xf numFmtId="49" fontId="16" fillId="22" borderId="1" xfId="0" applyNumberFormat="1" applyFont="1" applyFill="1" applyBorder="1" applyAlignment="1">
      <alignment horizontal="center"/>
    </xf>
    <xf numFmtId="0" fontId="15" fillId="22" borderId="3" xfId="0" applyFont="1" applyFill="1" applyBorder="1"/>
    <xf numFmtId="0" fontId="15" fillId="22" borderId="1" xfId="0" applyFont="1" applyFill="1" applyBorder="1"/>
    <xf numFmtId="0" fontId="15" fillId="22" borderId="4" xfId="0" applyFont="1" applyFill="1" applyBorder="1"/>
    <xf numFmtId="17" fontId="14" fillId="12" borderId="1" xfId="0" applyNumberFormat="1" applyFont="1" applyFill="1" applyBorder="1" applyAlignment="1">
      <alignment horizontal="left" vertical="center" wrapText="1"/>
    </xf>
    <xf numFmtId="0" fontId="14" fillId="12" borderId="4" xfId="0" applyFont="1" applyFill="1" applyBorder="1" applyAlignment="1">
      <alignment vertical="center" wrapText="1"/>
    </xf>
    <xf numFmtId="0" fontId="14" fillId="12" borderId="4" xfId="0" applyFont="1" applyFill="1" applyBorder="1" applyAlignment="1">
      <alignment horizontal="center" vertical="center" wrapText="1"/>
    </xf>
    <xf numFmtId="1" fontId="14" fillId="12" borderId="4" xfId="0" applyNumberFormat="1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 wrapText="1"/>
    </xf>
    <xf numFmtId="0" fontId="14" fillId="23" borderId="6" xfId="0" applyFont="1" applyFill="1" applyBorder="1" applyAlignment="1">
      <alignment horizontal="center" vertical="center" wrapText="1"/>
    </xf>
    <xf numFmtId="0" fontId="14" fillId="23" borderId="1" xfId="0" applyFont="1" applyFill="1" applyBorder="1" applyAlignment="1">
      <alignment horizontal="center" vertical="center" wrapText="1"/>
    </xf>
    <xf numFmtId="1" fontId="14" fillId="11" borderId="11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3" fillId="0" borderId="18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4" fillId="25" borderId="0" xfId="0" applyFont="1" applyFill="1" applyAlignment="1">
      <alignment horizontal="center"/>
    </xf>
    <xf numFmtId="0" fontId="14" fillId="24" borderId="18" xfId="0" applyFont="1" applyFill="1" applyBorder="1" applyAlignment="1">
      <alignment horizontal="center"/>
    </xf>
    <xf numFmtId="0" fontId="14" fillId="24" borderId="18" xfId="0" applyFont="1" applyFill="1" applyBorder="1" applyAlignment="1">
      <alignment horizontal="left"/>
    </xf>
    <xf numFmtId="0" fontId="26" fillId="0" borderId="18" xfId="0" applyFont="1" applyBorder="1" applyAlignment="1">
      <alignment horizontal="center"/>
    </xf>
    <xf numFmtId="0" fontId="4" fillId="25" borderId="18" xfId="0" applyFont="1" applyFill="1" applyBorder="1" applyAlignment="1">
      <alignment horizontal="left"/>
    </xf>
    <xf numFmtId="0" fontId="26" fillId="25" borderId="18" xfId="0" applyFont="1" applyFill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25" borderId="18" xfId="1" applyFont="1" applyFill="1" applyBorder="1" applyAlignment="1">
      <alignment horizontal="left"/>
    </xf>
    <xf numFmtId="0" fontId="4" fillId="0" borderId="18" xfId="1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15" fillId="24" borderId="18" xfId="0" applyFont="1" applyFill="1" applyBorder="1" applyAlignment="1">
      <alignment horizontal="center"/>
    </xf>
    <xf numFmtId="0" fontId="28" fillId="0" borderId="18" xfId="0" applyFont="1" applyBorder="1"/>
    <xf numFmtId="0" fontId="27" fillId="0" borderId="18" xfId="0" applyFont="1" applyBorder="1" applyAlignment="1">
      <alignment horizontal="center"/>
    </xf>
    <xf numFmtId="0" fontId="28" fillId="25" borderId="18" xfId="0" applyFont="1" applyFill="1" applyBorder="1"/>
    <xf numFmtId="0" fontId="27" fillId="25" borderId="18" xfId="0" applyFont="1" applyFill="1" applyBorder="1" applyAlignment="1">
      <alignment horizontal="center"/>
    </xf>
    <xf numFmtId="0" fontId="4" fillId="25" borderId="18" xfId="0" applyFont="1" applyFill="1" applyBorder="1" applyAlignment="1">
      <alignment horizontal="center"/>
    </xf>
    <xf numFmtId="0" fontId="14" fillId="26" borderId="1" xfId="0" applyFont="1" applyFill="1" applyBorder="1" applyAlignment="1">
      <alignment horizontal="center"/>
    </xf>
    <xf numFmtId="0" fontId="14" fillId="26" borderId="3" xfId="0" applyFont="1" applyFill="1" applyBorder="1"/>
    <xf numFmtId="0" fontId="14" fillId="26" borderId="1" xfId="0" applyFont="1" applyFill="1" applyBorder="1"/>
    <xf numFmtId="0" fontId="14" fillId="26" borderId="5" xfId="0" applyFont="1" applyFill="1" applyBorder="1"/>
    <xf numFmtId="0" fontId="14" fillId="26" borderId="19" xfId="0" applyFont="1" applyFill="1" applyBorder="1" applyAlignment="1">
      <alignment vertical="center" wrapText="1"/>
    </xf>
    <xf numFmtId="0" fontId="14" fillId="26" borderId="6" xfId="0" applyFont="1" applyFill="1" applyBorder="1" applyAlignment="1">
      <alignment vertical="center" wrapText="1"/>
    </xf>
    <xf numFmtId="0" fontId="14" fillId="26" borderId="1" xfId="0" applyFont="1" applyFill="1" applyBorder="1" applyAlignment="1">
      <alignment vertical="center" wrapText="1"/>
    </xf>
    <xf numFmtId="0" fontId="14" fillId="26" borderId="1" xfId="0" applyFont="1" applyFill="1" applyBorder="1" applyAlignment="1">
      <alignment horizontal="center" vertical="center" wrapText="1"/>
    </xf>
    <xf numFmtId="0" fontId="14" fillId="26" borderId="11" xfId="0" applyFont="1" applyFill="1" applyBorder="1" applyAlignment="1">
      <alignment horizontal="center" vertical="center" wrapText="1"/>
    </xf>
    <xf numFmtId="0" fontId="15" fillId="26" borderId="2" xfId="0" applyFont="1" applyFill="1" applyBorder="1"/>
    <xf numFmtId="49" fontId="15" fillId="26" borderId="2" xfId="0" applyNumberFormat="1" applyFont="1" applyFill="1" applyBorder="1"/>
    <xf numFmtId="0" fontId="15" fillId="26" borderId="20" xfId="0" applyFont="1" applyFill="1" applyBorder="1"/>
    <xf numFmtId="0" fontId="15" fillId="26" borderId="21" xfId="0" applyFont="1" applyFill="1" applyBorder="1"/>
    <xf numFmtId="0" fontId="15" fillId="26" borderId="1" xfId="0" applyFont="1" applyFill="1" applyBorder="1"/>
    <xf numFmtId="0" fontId="14" fillId="26" borderId="1" xfId="0" applyFont="1" applyFill="1" applyBorder="1" applyAlignment="1">
      <alignment horizontal="right"/>
    </xf>
    <xf numFmtId="0" fontId="14" fillId="26" borderId="0" xfId="0" applyFont="1" applyFill="1" applyAlignment="1">
      <alignment horizontal="right"/>
    </xf>
    <xf numFmtId="0" fontId="3" fillId="21" borderId="0" xfId="0" applyFont="1" applyFill="1"/>
    <xf numFmtId="0" fontId="14" fillId="16" borderId="1" xfId="0" applyFont="1" applyFill="1" applyBorder="1" applyAlignment="1">
      <alignment horizontal="center"/>
    </xf>
    <xf numFmtId="0" fontId="14" fillId="16" borderId="3" xfId="0" applyFont="1" applyFill="1" applyBorder="1"/>
    <xf numFmtId="0" fontId="14" fillId="16" borderId="1" xfId="0" applyFont="1" applyFill="1" applyBorder="1"/>
    <xf numFmtId="0" fontId="14" fillId="16" borderId="5" xfId="0" applyFont="1" applyFill="1" applyBorder="1"/>
    <xf numFmtId="0" fontId="14" fillId="16" borderId="19" xfId="0" applyFont="1" applyFill="1" applyBorder="1" applyAlignment="1">
      <alignment vertical="center" wrapText="1"/>
    </xf>
    <xf numFmtId="0" fontId="14" fillId="16" borderId="6" xfId="0" applyFont="1" applyFill="1" applyBorder="1" applyAlignment="1">
      <alignment vertical="center" wrapText="1"/>
    </xf>
    <xf numFmtId="0" fontId="14" fillId="16" borderId="1" xfId="0" applyFont="1" applyFill="1" applyBorder="1" applyAlignment="1">
      <alignment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15" fillId="16" borderId="2" xfId="0" applyFont="1" applyFill="1" applyBorder="1"/>
    <xf numFmtId="49" fontId="15" fillId="16" borderId="2" xfId="0" applyNumberFormat="1" applyFont="1" applyFill="1" applyBorder="1"/>
    <xf numFmtId="0" fontId="15" fillId="16" borderId="20" xfId="0" applyFont="1" applyFill="1" applyBorder="1"/>
    <xf numFmtId="0" fontId="15" fillId="16" borderId="21" xfId="0" applyFont="1" applyFill="1" applyBorder="1"/>
    <xf numFmtId="0" fontId="15" fillId="16" borderId="1" xfId="0" applyFont="1" applyFill="1" applyBorder="1"/>
    <xf numFmtId="0" fontId="14" fillId="16" borderId="1" xfId="0" applyFont="1" applyFill="1" applyBorder="1" applyAlignment="1">
      <alignment horizontal="right"/>
    </xf>
    <xf numFmtId="0" fontId="14" fillId="16" borderId="0" xfId="0" applyFont="1" applyFill="1" applyAlignment="1">
      <alignment horizontal="right"/>
    </xf>
    <xf numFmtId="49" fontId="30" fillId="11" borderId="1" xfId="0" applyNumberFormat="1" applyFont="1" applyFill="1" applyBorder="1" applyAlignment="1">
      <alignment horizontal="center"/>
    </xf>
    <xf numFmtId="49" fontId="30" fillId="12" borderId="1" xfId="0" applyNumberFormat="1" applyFont="1" applyFill="1" applyBorder="1" applyAlignment="1">
      <alignment horizontal="center"/>
    </xf>
    <xf numFmtId="49" fontId="31" fillId="12" borderId="1" xfId="0" applyNumberFormat="1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/>
    </xf>
    <xf numFmtId="0" fontId="6" fillId="18" borderId="3" xfId="0" applyFont="1" applyFill="1" applyBorder="1"/>
    <xf numFmtId="0" fontId="6" fillId="18" borderId="1" xfId="0" applyFont="1" applyFill="1" applyBorder="1"/>
    <xf numFmtId="0" fontId="6" fillId="18" borderId="5" xfId="0" applyFont="1" applyFill="1" applyBorder="1"/>
    <xf numFmtId="0" fontId="6" fillId="18" borderId="19" xfId="0" applyFont="1" applyFill="1" applyBorder="1" applyAlignment="1">
      <alignment vertical="center" wrapText="1"/>
    </xf>
    <xf numFmtId="0" fontId="6" fillId="18" borderId="6" xfId="0" applyFont="1" applyFill="1" applyBorder="1" applyAlignment="1">
      <alignment vertical="center" wrapText="1"/>
    </xf>
    <xf numFmtId="0" fontId="6" fillId="18" borderId="1" xfId="0" applyFont="1" applyFill="1" applyBorder="1" applyAlignment="1">
      <alignment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8" borderId="11" xfId="0" applyFont="1" applyFill="1" applyBorder="1" applyAlignment="1">
      <alignment horizontal="center" vertical="center" wrapText="1"/>
    </xf>
    <xf numFmtId="0" fontId="7" fillId="18" borderId="2" xfId="0" applyFont="1" applyFill="1" applyBorder="1"/>
    <xf numFmtId="49" fontId="7" fillId="18" borderId="2" xfId="0" applyNumberFormat="1" applyFont="1" applyFill="1" applyBorder="1"/>
    <xf numFmtId="0" fontId="7" fillId="18" borderId="20" xfId="0" applyFont="1" applyFill="1" applyBorder="1"/>
    <xf numFmtId="0" fontId="7" fillId="18" borderId="21" xfId="0" applyFont="1" applyFill="1" applyBorder="1"/>
    <xf numFmtId="0" fontId="7" fillId="18" borderId="1" xfId="0" applyFont="1" applyFill="1" applyBorder="1"/>
    <xf numFmtId="0" fontId="6" fillId="18" borderId="1" xfId="0" applyFont="1" applyFill="1" applyBorder="1" applyAlignment="1">
      <alignment horizontal="right"/>
    </xf>
    <xf numFmtId="0" fontId="6" fillId="18" borderId="0" xfId="0" applyFont="1" applyFill="1" applyAlignment="1">
      <alignment horizontal="right"/>
    </xf>
    <xf numFmtId="0" fontId="14" fillId="11" borderId="1" xfId="0" applyFont="1" applyFill="1" applyBorder="1" applyAlignment="1">
      <alignment horizontal="center"/>
    </xf>
    <xf numFmtId="49" fontId="31" fillId="11" borderId="1" xfId="0" applyNumberFormat="1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3" fillId="0" borderId="18" xfId="0" applyFont="1" applyBorder="1"/>
    <xf numFmtId="16" fontId="15" fillId="12" borderId="1" xfId="0" applyNumberFormat="1" applyFont="1" applyFill="1" applyBorder="1" applyAlignment="1">
      <alignment horizontal="right"/>
    </xf>
    <xf numFmtId="0" fontId="14" fillId="14" borderId="3" xfId="0" applyFont="1" applyFill="1" applyBorder="1" applyAlignment="1">
      <alignment horizontal="left" vertical="center" wrapText="1"/>
    </xf>
    <xf numFmtId="0" fontId="5" fillId="14" borderId="5" xfId="0" applyFont="1" applyFill="1" applyBorder="1" applyAlignment="1">
      <alignment horizontal="left" vertical="center" wrapText="1"/>
    </xf>
    <xf numFmtId="0" fontId="5" fillId="14" borderId="4" xfId="0" applyFont="1" applyFill="1" applyBorder="1" applyAlignment="1">
      <alignment horizontal="left" vertical="center" wrapText="1"/>
    </xf>
    <xf numFmtId="0" fontId="14" fillId="16" borderId="3" xfId="0" applyFont="1" applyFill="1" applyBorder="1" applyAlignment="1">
      <alignment horizontal="left" wrapText="1"/>
    </xf>
    <xf numFmtId="0" fontId="14" fillId="16" borderId="5" xfId="0" applyFont="1" applyFill="1" applyBorder="1" applyAlignment="1">
      <alignment horizontal="left" wrapText="1"/>
    </xf>
    <xf numFmtId="0" fontId="14" fillId="16" borderId="4" xfId="0" applyFont="1" applyFill="1" applyBorder="1" applyAlignment="1">
      <alignment horizontal="left" wrapText="1"/>
    </xf>
    <xf numFmtId="0" fontId="14" fillId="16" borderId="3" xfId="0" applyFont="1" applyFill="1" applyBorder="1" applyAlignment="1">
      <alignment horizontal="center" wrapText="1"/>
    </xf>
    <xf numFmtId="0" fontId="14" fillId="16" borderId="5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center" wrapText="1"/>
    </xf>
    <xf numFmtId="0" fontId="14" fillId="16" borderId="3" xfId="0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horizontal="center" vertical="center" wrapText="1"/>
    </xf>
    <xf numFmtId="0" fontId="14" fillId="16" borderId="4" xfId="0" applyFont="1" applyFill="1" applyBorder="1" applyAlignment="1">
      <alignment horizontal="center" vertical="center" wrapText="1"/>
    </xf>
    <xf numFmtId="0" fontId="14" fillId="16" borderId="3" xfId="0" applyFont="1" applyFill="1" applyBorder="1" applyAlignment="1">
      <alignment horizontal="center"/>
    </xf>
    <xf numFmtId="0" fontId="17" fillId="16" borderId="5" xfId="0" applyFont="1" applyFill="1" applyBorder="1" applyAlignment="1">
      <alignment horizontal="center"/>
    </xf>
    <xf numFmtId="0" fontId="17" fillId="16" borderId="4" xfId="0" applyFont="1" applyFill="1" applyBorder="1" applyAlignment="1">
      <alignment horizontal="center"/>
    </xf>
    <xf numFmtId="0" fontId="14" fillId="14" borderId="19" xfId="0" applyFont="1" applyFill="1" applyBorder="1" applyAlignment="1">
      <alignment horizontal="left" vertical="center" wrapText="1"/>
    </xf>
    <xf numFmtId="0" fontId="14" fillId="14" borderId="22" xfId="0" applyFont="1" applyFill="1" applyBorder="1" applyAlignment="1">
      <alignment horizontal="left" vertical="center" wrapText="1"/>
    </xf>
    <xf numFmtId="0" fontId="14" fillId="14" borderId="11" xfId="0" applyFont="1" applyFill="1" applyBorder="1" applyAlignment="1">
      <alignment horizontal="left" vertical="center" wrapText="1"/>
    </xf>
    <xf numFmtId="0" fontId="14" fillId="26" borderId="3" xfId="0" applyFont="1" applyFill="1" applyBorder="1" applyAlignment="1">
      <alignment horizontal="center"/>
    </xf>
    <xf numFmtId="0" fontId="17" fillId="26" borderId="5" xfId="0" applyFont="1" applyFill="1" applyBorder="1" applyAlignment="1">
      <alignment horizontal="center"/>
    </xf>
    <xf numFmtId="0" fontId="17" fillId="26" borderId="4" xfId="0" applyFont="1" applyFill="1" applyBorder="1" applyAlignment="1">
      <alignment horizontal="center"/>
    </xf>
    <xf numFmtId="0" fontId="14" fillId="26" borderId="3" xfId="0" applyFont="1" applyFill="1" applyBorder="1" applyAlignment="1">
      <alignment horizontal="left" wrapText="1"/>
    </xf>
    <xf numFmtId="0" fontId="14" fillId="26" borderId="5" xfId="0" applyFont="1" applyFill="1" applyBorder="1" applyAlignment="1">
      <alignment horizontal="left" wrapText="1"/>
    </xf>
    <xf numFmtId="0" fontId="14" fillId="26" borderId="4" xfId="0" applyFont="1" applyFill="1" applyBorder="1" applyAlignment="1">
      <alignment horizontal="left" wrapText="1"/>
    </xf>
    <xf numFmtId="0" fontId="14" fillId="26" borderId="3" xfId="0" applyFont="1" applyFill="1" applyBorder="1" applyAlignment="1">
      <alignment horizontal="center" wrapText="1"/>
    </xf>
    <xf numFmtId="0" fontId="14" fillId="26" borderId="5" xfId="0" applyFont="1" applyFill="1" applyBorder="1" applyAlignment="1">
      <alignment horizontal="center" wrapText="1"/>
    </xf>
    <xf numFmtId="0" fontId="14" fillId="26" borderId="4" xfId="0" applyFont="1" applyFill="1" applyBorder="1" applyAlignment="1">
      <alignment horizontal="center" wrapText="1"/>
    </xf>
    <xf numFmtId="0" fontId="14" fillId="26" borderId="3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17" borderId="3" xfId="0" applyFont="1" applyFill="1" applyBorder="1" applyAlignment="1">
      <alignment horizontal="center"/>
    </xf>
    <xf numFmtId="0" fontId="17" fillId="17" borderId="5" xfId="0" applyFont="1" applyFill="1" applyBorder="1" applyAlignment="1">
      <alignment horizontal="center"/>
    </xf>
    <xf numFmtId="0" fontId="17" fillId="17" borderId="4" xfId="0" applyFont="1" applyFill="1" applyBorder="1" applyAlignment="1">
      <alignment horizontal="center"/>
    </xf>
    <xf numFmtId="0" fontId="14" fillId="17" borderId="3" xfId="0" applyFont="1" applyFill="1" applyBorder="1" applyAlignment="1">
      <alignment horizontal="left" wrapText="1"/>
    </xf>
    <xf numFmtId="0" fontId="14" fillId="17" borderId="5" xfId="0" applyFont="1" applyFill="1" applyBorder="1" applyAlignment="1">
      <alignment horizontal="left" wrapText="1"/>
    </xf>
    <xf numFmtId="0" fontId="14" fillId="17" borderId="4" xfId="0" applyFont="1" applyFill="1" applyBorder="1" applyAlignment="1">
      <alignment horizontal="left" wrapText="1"/>
    </xf>
    <xf numFmtId="0" fontId="14" fillId="17" borderId="3" xfId="0" applyFont="1" applyFill="1" applyBorder="1" applyAlignment="1">
      <alignment horizontal="center" wrapText="1"/>
    </xf>
    <xf numFmtId="0" fontId="14" fillId="17" borderId="5" xfId="0" applyFont="1" applyFill="1" applyBorder="1" applyAlignment="1">
      <alignment horizontal="center" wrapText="1"/>
    </xf>
    <xf numFmtId="0" fontId="14" fillId="17" borderId="4" xfId="0" applyFont="1" applyFill="1" applyBorder="1" applyAlignment="1">
      <alignment horizontal="center" wrapText="1"/>
    </xf>
    <xf numFmtId="0" fontId="14" fillId="17" borderId="3" xfId="0" applyFont="1" applyFill="1" applyBorder="1" applyAlignment="1">
      <alignment horizontal="center" vertical="center" wrapText="1"/>
    </xf>
    <xf numFmtId="0" fontId="14" fillId="17" borderId="5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/>
    </xf>
    <xf numFmtId="0" fontId="32" fillId="18" borderId="5" xfId="0" applyFont="1" applyFill="1" applyBorder="1" applyAlignment="1">
      <alignment horizontal="center"/>
    </xf>
    <xf numFmtId="0" fontId="32" fillId="18" borderId="4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left" wrapText="1"/>
    </xf>
    <xf numFmtId="0" fontId="6" fillId="18" borderId="5" xfId="0" applyFont="1" applyFill="1" applyBorder="1" applyAlignment="1">
      <alignment horizontal="left" wrapText="1"/>
    </xf>
    <xf numFmtId="0" fontId="6" fillId="18" borderId="4" xfId="0" applyFont="1" applyFill="1" applyBorder="1" applyAlignment="1">
      <alignment horizontal="left" wrapText="1"/>
    </xf>
    <xf numFmtId="0" fontId="6" fillId="18" borderId="3" xfId="0" applyFont="1" applyFill="1" applyBorder="1" applyAlignment="1">
      <alignment horizontal="center" wrapText="1"/>
    </xf>
    <xf numFmtId="0" fontId="6" fillId="18" borderId="5" xfId="0" applyFont="1" applyFill="1" applyBorder="1" applyAlignment="1">
      <alignment horizontal="center" wrapText="1"/>
    </xf>
    <xf numFmtId="0" fontId="6" fillId="18" borderId="4" xfId="0" applyFont="1" applyFill="1" applyBorder="1" applyAlignment="1">
      <alignment horizont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5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14" fillId="19" borderId="3" xfId="0" applyFont="1" applyFill="1" applyBorder="1" applyAlignment="1">
      <alignment horizontal="center"/>
    </xf>
    <xf numFmtId="0" fontId="17" fillId="19" borderId="5" xfId="0" applyFont="1" applyFill="1" applyBorder="1" applyAlignment="1">
      <alignment horizontal="center"/>
    </xf>
    <xf numFmtId="0" fontId="17" fillId="19" borderId="4" xfId="0" applyFont="1" applyFill="1" applyBorder="1" applyAlignment="1">
      <alignment horizontal="center"/>
    </xf>
    <xf numFmtId="0" fontId="14" fillId="19" borderId="3" xfId="0" applyFont="1" applyFill="1" applyBorder="1" applyAlignment="1">
      <alignment horizontal="left" wrapText="1"/>
    </xf>
    <xf numFmtId="0" fontId="14" fillId="19" borderId="5" xfId="0" applyFont="1" applyFill="1" applyBorder="1" applyAlignment="1">
      <alignment horizontal="left" wrapText="1"/>
    </xf>
    <xf numFmtId="0" fontId="14" fillId="19" borderId="4" xfId="0" applyFont="1" applyFill="1" applyBorder="1" applyAlignment="1">
      <alignment horizontal="left" wrapText="1"/>
    </xf>
    <xf numFmtId="0" fontId="14" fillId="19" borderId="3" xfId="0" applyFont="1" applyFill="1" applyBorder="1" applyAlignment="1">
      <alignment horizontal="center" wrapText="1"/>
    </xf>
    <xf numFmtId="0" fontId="14" fillId="19" borderId="5" xfId="0" applyFont="1" applyFill="1" applyBorder="1" applyAlignment="1">
      <alignment horizontal="center" wrapText="1"/>
    </xf>
    <xf numFmtId="0" fontId="14" fillId="19" borderId="4" xfId="0" applyFont="1" applyFill="1" applyBorder="1" applyAlignment="1">
      <alignment horizontal="center" wrapText="1"/>
    </xf>
    <xf numFmtId="0" fontId="14" fillId="19" borderId="3" xfId="0" applyFont="1" applyFill="1" applyBorder="1" applyAlignment="1">
      <alignment horizontal="center" vertical="center" wrapText="1"/>
    </xf>
    <xf numFmtId="0" fontId="14" fillId="19" borderId="5" xfId="0" applyFont="1" applyFill="1" applyBorder="1" applyAlignment="1">
      <alignment horizontal="center" vertical="center" wrapText="1"/>
    </xf>
    <xf numFmtId="0" fontId="14" fillId="19" borderId="4" xfId="0" applyFont="1" applyFill="1" applyBorder="1" applyAlignment="1">
      <alignment horizontal="center" vertical="center" wrapText="1"/>
    </xf>
    <xf numFmtId="0" fontId="19" fillId="20" borderId="3" xfId="0" applyFont="1" applyFill="1" applyBorder="1" applyAlignment="1">
      <alignment horizontal="center"/>
    </xf>
    <xf numFmtId="0" fontId="20" fillId="20" borderId="5" xfId="0" applyFont="1" applyFill="1" applyBorder="1" applyAlignment="1">
      <alignment horizontal="center"/>
    </xf>
    <xf numFmtId="0" fontId="20" fillId="20" borderId="4" xfId="0" applyFont="1" applyFill="1" applyBorder="1" applyAlignment="1">
      <alignment horizontal="center"/>
    </xf>
    <xf numFmtId="0" fontId="19" fillId="20" borderId="3" xfId="0" applyFont="1" applyFill="1" applyBorder="1" applyAlignment="1">
      <alignment horizontal="left" wrapText="1"/>
    </xf>
    <xf numFmtId="0" fontId="19" fillId="20" borderId="5" xfId="0" applyFont="1" applyFill="1" applyBorder="1" applyAlignment="1">
      <alignment horizontal="left" wrapText="1"/>
    </xf>
    <xf numFmtId="0" fontId="19" fillId="20" borderId="4" xfId="0" applyFont="1" applyFill="1" applyBorder="1" applyAlignment="1">
      <alignment horizontal="left" wrapText="1"/>
    </xf>
    <xf numFmtId="0" fontId="19" fillId="20" borderId="3" xfId="0" applyFont="1" applyFill="1" applyBorder="1" applyAlignment="1">
      <alignment horizontal="center" wrapText="1"/>
    </xf>
    <xf numFmtId="0" fontId="19" fillId="20" borderId="5" xfId="0" applyFont="1" applyFill="1" applyBorder="1" applyAlignment="1">
      <alignment horizontal="center" wrapText="1"/>
    </xf>
    <xf numFmtId="0" fontId="19" fillId="20" borderId="4" xfId="0" applyFont="1" applyFill="1" applyBorder="1" applyAlignment="1">
      <alignment horizontal="center" wrapText="1"/>
    </xf>
    <xf numFmtId="0" fontId="19" fillId="20" borderId="3" xfId="0" applyFont="1" applyFill="1" applyBorder="1" applyAlignment="1">
      <alignment horizontal="center" vertical="center" wrapText="1"/>
    </xf>
    <xf numFmtId="0" fontId="19" fillId="20" borderId="5" xfId="0" applyFont="1" applyFill="1" applyBorder="1" applyAlignment="1">
      <alignment horizontal="center" vertical="center" wrapText="1"/>
    </xf>
    <xf numFmtId="0" fontId="19" fillId="20" borderId="4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14" fillId="24" borderId="0" xfId="0" applyFont="1" applyFill="1"/>
    <xf numFmtId="0" fontId="3" fillId="10" borderId="3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29" fillId="24" borderId="1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1A329"/>
      <color rgb="FFD62D50"/>
      <color rgb="FF808080"/>
      <color rgb="FF64B246"/>
      <color rgb="FF002B5C"/>
      <color rgb="FF002F56"/>
      <color rgb="FFB60010"/>
      <color rgb="FF002144"/>
      <color rgb="FF00653C"/>
      <color rgb="FFFF4B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23B3-FFF2-D54F-8B5B-10E98A0806CD}">
  <dimension ref="A1:AW18"/>
  <sheetViews>
    <sheetView zoomScale="131" zoomScaleNormal="80" workbookViewId="0">
      <selection sqref="A1:D1"/>
    </sheetView>
  </sheetViews>
  <sheetFormatPr defaultColWidth="11.5546875" defaultRowHeight="16.3"/>
  <cols>
    <col min="1" max="1" width="8" style="15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style="9" bestFit="1" customWidth="1"/>
    <col min="43" max="44" width="10.77734375" style="3"/>
    <col min="45" max="45" width="16.77734375" style="3" bestFit="1" customWidth="1"/>
    <col min="46" max="47" width="10.77734375" style="3"/>
    <col min="48" max="48" width="12.44140625" style="3" bestFit="1" customWidth="1"/>
    <col min="49" max="49" width="10.77734375" style="3"/>
  </cols>
  <sheetData>
    <row r="1" spans="1:49" ht="17" thickBot="1">
      <c r="A1" s="258" t="s">
        <v>98</v>
      </c>
      <c r="B1" s="259"/>
      <c r="C1" s="259"/>
      <c r="D1" s="260"/>
      <c r="E1" s="261" t="s">
        <v>71</v>
      </c>
      <c r="F1" s="262"/>
      <c r="G1" s="263"/>
      <c r="H1" s="261" t="s">
        <v>72</v>
      </c>
      <c r="I1" s="263"/>
      <c r="J1" s="264" t="s">
        <v>73</v>
      </c>
      <c r="K1" s="265"/>
      <c r="L1" s="265"/>
      <c r="M1" s="266"/>
      <c r="N1" s="264" t="s">
        <v>74</v>
      </c>
      <c r="O1" s="266"/>
      <c r="P1" s="264" t="s">
        <v>75</v>
      </c>
      <c r="Q1" s="265"/>
      <c r="R1" s="266"/>
      <c r="S1" s="215" t="s">
        <v>76</v>
      </c>
      <c r="T1" s="215" t="s">
        <v>2</v>
      </c>
      <c r="U1" s="216" t="s">
        <v>77</v>
      </c>
      <c r="V1" s="217" t="s">
        <v>184</v>
      </c>
      <c r="W1" s="217" t="s">
        <v>78</v>
      </c>
      <c r="X1" s="218" t="s">
        <v>79</v>
      </c>
      <c r="Y1" s="267" t="s">
        <v>80</v>
      </c>
      <c r="Z1" s="268"/>
      <c r="AA1" s="268"/>
      <c r="AB1" s="269"/>
      <c r="AC1" s="267" t="s">
        <v>81</v>
      </c>
      <c r="AD1" s="268"/>
      <c r="AE1" s="268"/>
      <c r="AF1" s="269"/>
      <c r="AG1" s="267" t="s">
        <v>1</v>
      </c>
      <c r="AH1" s="268"/>
      <c r="AI1" s="268"/>
      <c r="AJ1" s="269"/>
      <c r="AK1" s="267" t="s">
        <v>82</v>
      </c>
      <c r="AL1" s="268"/>
      <c r="AM1" s="268"/>
      <c r="AN1" s="269"/>
      <c r="AP1" s="8" t="s">
        <v>107</v>
      </c>
      <c r="AS1" s="2" t="s">
        <v>30</v>
      </c>
      <c r="AV1" s="2" t="s">
        <v>106</v>
      </c>
    </row>
    <row r="2" spans="1:49" ht="17" thickBot="1">
      <c r="A2" s="219" t="s">
        <v>83</v>
      </c>
      <c r="B2" s="220" t="s">
        <v>84</v>
      </c>
      <c r="C2" s="221" t="s">
        <v>85</v>
      </c>
      <c r="D2" s="221" t="s">
        <v>86</v>
      </c>
      <c r="E2" s="222" t="s">
        <v>87</v>
      </c>
      <c r="F2" s="222" t="s">
        <v>49</v>
      </c>
      <c r="G2" s="222" t="s">
        <v>50</v>
      </c>
      <c r="H2" s="223" t="s">
        <v>88</v>
      </c>
      <c r="I2" s="223" t="s">
        <v>89</v>
      </c>
      <c r="J2" s="223" t="s">
        <v>90</v>
      </c>
      <c r="K2" s="223" t="s">
        <v>91</v>
      </c>
      <c r="L2" s="223" t="s">
        <v>63</v>
      </c>
      <c r="M2" s="223" t="s">
        <v>92</v>
      </c>
      <c r="N2" s="223" t="s">
        <v>93</v>
      </c>
      <c r="O2" s="223" t="s">
        <v>87</v>
      </c>
      <c r="P2" s="223" t="s">
        <v>88</v>
      </c>
      <c r="Q2" s="223" t="s">
        <v>89</v>
      </c>
      <c r="R2" s="223" t="s">
        <v>90</v>
      </c>
      <c r="S2" s="224"/>
      <c r="T2" s="225"/>
      <c r="U2" s="226"/>
      <c r="V2" s="224"/>
      <c r="W2" s="227"/>
      <c r="X2" s="228"/>
      <c r="Y2" s="229" t="s">
        <v>94</v>
      </c>
      <c r="Z2" s="229" t="s">
        <v>62</v>
      </c>
      <c r="AA2" s="229" t="s">
        <v>63</v>
      </c>
      <c r="AB2" s="229" t="s">
        <v>64</v>
      </c>
      <c r="AC2" s="229" t="s">
        <v>94</v>
      </c>
      <c r="AD2" s="229" t="s">
        <v>62</v>
      </c>
      <c r="AE2" s="229" t="s">
        <v>63</v>
      </c>
      <c r="AF2" s="229" t="s">
        <v>64</v>
      </c>
      <c r="AG2" s="229" t="s">
        <v>94</v>
      </c>
      <c r="AH2" s="229" t="s">
        <v>62</v>
      </c>
      <c r="AI2" s="229" t="s">
        <v>63</v>
      </c>
      <c r="AJ2" s="229" t="s">
        <v>64</v>
      </c>
      <c r="AK2" s="229" t="s">
        <v>94</v>
      </c>
      <c r="AL2" s="229" t="s">
        <v>62</v>
      </c>
      <c r="AM2" s="229" t="s">
        <v>63</v>
      </c>
      <c r="AN2" s="230" t="s">
        <v>64</v>
      </c>
      <c r="AP2" s="175" t="s">
        <v>108</v>
      </c>
      <c r="AQ2" s="52">
        <f>32+Y17</f>
        <v>40</v>
      </c>
      <c r="AS2" s="50" t="s">
        <v>108</v>
      </c>
      <c r="AT2" s="52">
        <f>32+Y15</f>
        <v>40</v>
      </c>
      <c r="AV2" s="50" t="s">
        <v>108</v>
      </c>
      <c r="AW2" s="52">
        <f>Y16</f>
        <v>0</v>
      </c>
    </row>
    <row r="3" spans="1:49" ht="17" thickBot="1">
      <c r="A3" s="90">
        <v>46813</v>
      </c>
      <c r="B3" s="91" t="s">
        <v>105</v>
      </c>
      <c r="C3" s="92" t="s">
        <v>32</v>
      </c>
      <c r="D3" s="93" t="s">
        <v>50</v>
      </c>
      <c r="E3" s="93" t="s">
        <v>62</v>
      </c>
      <c r="F3" s="94">
        <f>CAL!G3</f>
        <v>39</v>
      </c>
      <c r="G3" s="94">
        <f>CAL!F3</f>
        <v>26</v>
      </c>
      <c r="H3" s="94">
        <f>CAL!P3</f>
        <v>1</v>
      </c>
      <c r="I3" s="93">
        <f>CAL!Q3</f>
        <v>0</v>
      </c>
      <c r="J3" s="93">
        <f>CAL!R3</f>
        <v>6</v>
      </c>
      <c r="K3" s="93">
        <v>3</v>
      </c>
      <c r="L3" s="93">
        <v>0</v>
      </c>
      <c r="M3" s="93">
        <v>1</v>
      </c>
      <c r="N3" s="93">
        <v>3</v>
      </c>
      <c r="O3" s="93">
        <v>0</v>
      </c>
      <c r="P3" s="93">
        <v>1</v>
      </c>
      <c r="Q3" s="93">
        <v>0</v>
      </c>
      <c r="R3" s="93">
        <v>4</v>
      </c>
      <c r="S3" s="57"/>
      <c r="T3" s="231" t="s">
        <v>187</v>
      </c>
      <c r="U3" s="59" t="str">
        <f>CAL!U3</f>
        <v>Robin Kaluzniak</v>
      </c>
      <c r="V3" s="59" t="str">
        <f>CAL!V3</f>
        <v>Austin Reed</v>
      </c>
      <c r="W3" s="59" t="str">
        <f>CAL!W3</f>
        <v>Derek Summers</v>
      </c>
      <c r="X3" s="59" t="str">
        <f>CAL!X3</f>
        <v>Mike Lawrenson</v>
      </c>
      <c r="Y3" s="60">
        <f>CAL!Y3</f>
        <v>1</v>
      </c>
      <c r="Z3" s="60">
        <f>CAL!AB3</f>
        <v>1</v>
      </c>
      <c r="AA3" s="60">
        <f>CAL!AA3</f>
        <v>0</v>
      </c>
      <c r="AB3" s="61">
        <f>CAL!Z3</f>
        <v>0</v>
      </c>
      <c r="AC3" s="60"/>
      <c r="AD3" s="60"/>
      <c r="AE3" s="60"/>
      <c r="AF3" s="61"/>
      <c r="AG3" s="60">
        <f>Y3</f>
        <v>1</v>
      </c>
      <c r="AH3" s="60">
        <f t="shared" ref="AH3:AJ3" si="0">Z3</f>
        <v>1</v>
      </c>
      <c r="AI3" s="60">
        <f t="shared" si="0"/>
        <v>0</v>
      </c>
      <c r="AJ3" s="60">
        <f t="shared" si="0"/>
        <v>0</v>
      </c>
      <c r="AK3" s="60"/>
      <c r="AL3" s="60"/>
      <c r="AM3" s="60"/>
      <c r="AN3" s="61"/>
      <c r="AP3" s="175" t="s">
        <v>109</v>
      </c>
      <c r="AQ3" s="52">
        <f>0+Z17</f>
        <v>2</v>
      </c>
      <c r="AS3" s="50" t="s">
        <v>109</v>
      </c>
      <c r="AT3" s="52">
        <f>0+Z15</f>
        <v>2</v>
      </c>
      <c r="AV3" s="50" t="s">
        <v>109</v>
      </c>
      <c r="AW3" s="52">
        <f>Z16</f>
        <v>0</v>
      </c>
    </row>
    <row r="4" spans="1:49" ht="17" thickBot="1">
      <c r="A4" s="62">
        <v>38078</v>
      </c>
      <c r="B4" s="143" t="s">
        <v>105</v>
      </c>
      <c r="C4" s="63" t="s">
        <v>13</v>
      </c>
      <c r="D4" s="64" t="s">
        <v>95</v>
      </c>
      <c r="E4" s="64" t="s">
        <v>64</v>
      </c>
      <c r="F4" s="64">
        <v>19</v>
      </c>
      <c r="G4" s="65">
        <v>33</v>
      </c>
      <c r="H4" s="65">
        <v>0</v>
      </c>
      <c r="I4" s="64">
        <v>0</v>
      </c>
      <c r="J4" s="64">
        <v>3</v>
      </c>
      <c r="K4" s="64">
        <v>2</v>
      </c>
      <c r="L4" s="64">
        <v>0</v>
      </c>
      <c r="M4" s="64">
        <v>0</v>
      </c>
      <c r="N4" s="64">
        <v>1</v>
      </c>
      <c r="O4" s="64">
        <v>0</v>
      </c>
      <c r="P4" s="64">
        <v>1</v>
      </c>
      <c r="Q4" s="64">
        <v>0</v>
      </c>
      <c r="R4" s="64">
        <v>5</v>
      </c>
      <c r="S4" s="66"/>
      <c r="T4" s="67" t="s">
        <v>197</v>
      </c>
      <c r="U4" s="68" t="s">
        <v>188</v>
      </c>
      <c r="V4" s="69" t="s">
        <v>189</v>
      </c>
      <c r="W4" s="69" t="s">
        <v>181</v>
      </c>
      <c r="X4" s="70" t="s">
        <v>190</v>
      </c>
      <c r="Y4" s="69">
        <v>1</v>
      </c>
      <c r="Z4" s="69">
        <v>0</v>
      </c>
      <c r="AA4" s="69">
        <v>0</v>
      </c>
      <c r="AB4" s="71">
        <v>1</v>
      </c>
      <c r="AC4" s="69">
        <f>Y4</f>
        <v>1</v>
      </c>
      <c r="AD4" s="69">
        <f t="shared" ref="AD4:AF4" si="1">Z4</f>
        <v>0</v>
      </c>
      <c r="AE4" s="69">
        <f t="shared" si="1"/>
        <v>0</v>
      </c>
      <c r="AF4" s="69">
        <f t="shared" si="1"/>
        <v>1</v>
      </c>
      <c r="AG4" s="69"/>
      <c r="AH4" s="69"/>
      <c r="AI4" s="69"/>
      <c r="AJ4" s="71"/>
      <c r="AK4" s="69"/>
      <c r="AL4" s="69"/>
      <c r="AM4" s="69"/>
      <c r="AN4" s="71"/>
      <c r="AP4" s="175" t="s">
        <v>110</v>
      </c>
      <c r="AQ4" s="52">
        <f>0+AA15</f>
        <v>0</v>
      </c>
      <c r="AS4" s="50" t="s">
        <v>110</v>
      </c>
      <c r="AT4" s="52">
        <f>0+AA15</f>
        <v>0</v>
      </c>
      <c r="AV4" s="50" t="s">
        <v>111</v>
      </c>
      <c r="AW4" s="52">
        <f>AB16</f>
        <v>0</v>
      </c>
    </row>
    <row r="5" spans="1:49" ht="17" thickBot="1">
      <c r="A5" s="62">
        <v>41000</v>
      </c>
      <c r="B5" s="143" t="s">
        <v>105</v>
      </c>
      <c r="C5" s="63" t="s">
        <v>11</v>
      </c>
      <c r="D5" s="64" t="s">
        <v>95</v>
      </c>
      <c r="E5" s="64" t="s">
        <v>62</v>
      </c>
      <c r="F5" s="64">
        <v>34</v>
      </c>
      <c r="G5" s="65">
        <v>25</v>
      </c>
      <c r="H5" s="252">
        <v>1</v>
      </c>
      <c r="I5" s="65">
        <v>0</v>
      </c>
      <c r="J5" s="64">
        <v>4</v>
      </c>
      <c r="K5" s="64">
        <v>4</v>
      </c>
      <c r="L5" s="64">
        <v>0</v>
      </c>
      <c r="M5" s="64">
        <v>2</v>
      </c>
      <c r="N5" s="64">
        <v>0</v>
      </c>
      <c r="O5" s="64">
        <v>0</v>
      </c>
      <c r="P5" s="64">
        <v>0</v>
      </c>
      <c r="Q5" s="64">
        <v>0</v>
      </c>
      <c r="R5" s="64">
        <v>3</v>
      </c>
      <c r="S5" s="66"/>
      <c r="T5" s="232" t="s">
        <v>210</v>
      </c>
      <c r="U5" s="68" t="s">
        <v>183</v>
      </c>
      <c r="V5" s="69" t="s">
        <v>189</v>
      </c>
      <c r="W5" s="69" t="s">
        <v>202</v>
      </c>
      <c r="X5" s="70" t="s">
        <v>203</v>
      </c>
      <c r="Y5" s="69">
        <v>1</v>
      </c>
      <c r="Z5" s="69">
        <v>1</v>
      </c>
      <c r="AA5" s="69">
        <v>0</v>
      </c>
      <c r="AB5" s="71">
        <v>0</v>
      </c>
      <c r="AC5" s="69">
        <f t="shared" ref="AC5:AC6" si="2">Y5</f>
        <v>1</v>
      </c>
      <c r="AD5" s="69">
        <f t="shared" ref="AD5:AD6" si="3">Z5</f>
        <v>1</v>
      </c>
      <c r="AE5" s="69">
        <f t="shared" ref="AE5:AE6" si="4">AA5</f>
        <v>0</v>
      </c>
      <c r="AF5" s="69">
        <f t="shared" ref="AF5:AF6" si="5">AB5</f>
        <v>0</v>
      </c>
      <c r="AG5" s="69"/>
      <c r="AH5" s="69"/>
      <c r="AI5" s="69"/>
      <c r="AJ5" s="71"/>
      <c r="AK5" s="69"/>
      <c r="AL5" s="69"/>
      <c r="AM5" s="69"/>
      <c r="AN5" s="71"/>
      <c r="AP5" s="175" t="s">
        <v>111</v>
      </c>
      <c r="AQ5" s="52">
        <f>32+AB17</f>
        <v>38</v>
      </c>
      <c r="AS5" s="50" t="s">
        <v>111</v>
      </c>
      <c r="AT5" s="52">
        <f>32+AB15</f>
        <v>38</v>
      </c>
      <c r="AV5" s="50" t="s">
        <v>112</v>
      </c>
      <c r="AW5" s="52">
        <f>F16</f>
        <v>0</v>
      </c>
    </row>
    <row r="6" spans="1:49" ht="17" thickBot="1">
      <c r="A6" s="62">
        <v>43191</v>
      </c>
      <c r="B6" s="143" t="s">
        <v>105</v>
      </c>
      <c r="C6" s="63" t="s">
        <v>12</v>
      </c>
      <c r="D6" s="64" t="s">
        <v>95</v>
      </c>
      <c r="E6" s="64" t="s">
        <v>64</v>
      </c>
      <c r="F6" s="64">
        <v>14</v>
      </c>
      <c r="G6" s="65">
        <v>31</v>
      </c>
      <c r="H6" s="65">
        <v>0</v>
      </c>
      <c r="I6" s="64">
        <v>0</v>
      </c>
      <c r="J6" s="64">
        <v>2</v>
      </c>
      <c r="K6" s="64">
        <v>2</v>
      </c>
      <c r="L6" s="64">
        <v>0</v>
      </c>
      <c r="M6" s="64">
        <v>0</v>
      </c>
      <c r="N6" s="64">
        <v>0</v>
      </c>
      <c r="O6" s="64">
        <v>1</v>
      </c>
      <c r="P6" s="64">
        <v>1</v>
      </c>
      <c r="Q6" s="64">
        <v>0</v>
      </c>
      <c r="R6" s="64">
        <v>5</v>
      </c>
      <c r="S6" s="66"/>
      <c r="T6" s="67" t="s">
        <v>216</v>
      </c>
      <c r="U6" s="69" t="s">
        <v>193</v>
      </c>
      <c r="V6" s="69" t="s">
        <v>214</v>
      </c>
      <c r="W6" s="69" t="s">
        <v>188</v>
      </c>
      <c r="X6" s="69" t="s">
        <v>215</v>
      </c>
      <c r="Y6" s="69">
        <v>1</v>
      </c>
      <c r="Z6" s="69">
        <v>0</v>
      </c>
      <c r="AA6" s="69">
        <v>0</v>
      </c>
      <c r="AB6" s="71">
        <v>1</v>
      </c>
      <c r="AC6" s="69">
        <f t="shared" si="2"/>
        <v>1</v>
      </c>
      <c r="AD6" s="69">
        <f t="shared" si="3"/>
        <v>0</v>
      </c>
      <c r="AE6" s="69">
        <f t="shared" si="4"/>
        <v>0</v>
      </c>
      <c r="AF6" s="69">
        <f t="shared" si="5"/>
        <v>1</v>
      </c>
      <c r="AG6" s="69"/>
      <c r="AH6" s="69"/>
      <c r="AI6" s="69"/>
      <c r="AJ6" s="71"/>
      <c r="AK6" s="69"/>
      <c r="AL6" s="69"/>
      <c r="AM6" s="69"/>
      <c r="AN6" s="71"/>
      <c r="AP6" s="175" t="s">
        <v>112</v>
      </c>
      <c r="AQ6" s="52">
        <f>605+F17</f>
        <v>801</v>
      </c>
      <c r="AS6" s="50" t="s">
        <v>112</v>
      </c>
      <c r="AT6" s="52">
        <f>605+F15</f>
        <v>801</v>
      </c>
      <c r="AV6" s="50" t="s">
        <v>113</v>
      </c>
      <c r="AW6" s="52">
        <f>G16</f>
        <v>0</v>
      </c>
    </row>
    <row r="7" spans="1:49" ht="17" thickBot="1">
      <c r="A7" s="53">
        <v>46113</v>
      </c>
      <c r="B7" s="91" t="s">
        <v>105</v>
      </c>
      <c r="C7" s="54" t="s">
        <v>33</v>
      </c>
      <c r="D7" s="55" t="s">
        <v>50</v>
      </c>
      <c r="E7" s="55" t="s">
        <v>64</v>
      </c>
      <c r="F7" s="56">
        <f>NEW!G6</f>
        <v>26</v>
      </c>
      <c r="G7" s="56">
        <f>NEW!F6</f>
        <v>38</v>
      </c>
      <c r="H7" s="56">
        <f>NEW!P6</f>
        <v>1</v>
      </c>
      <c r="I7" s="55">
        <f>NEW!Q6</f>
        <v>0</v>
      </c>
      <c r="J7" s="55">
        <f>NEW!R6</f>
        <v>4</v>
      </c>
      <c r="K7" s="55">
        <v>3</v>
      </c>
      <c r="L7" s="55">
        <v>0</v>
      </c>
      <c r="M7" s="55">
        <v>0</v>
      </c>
      <c r="N7" s="55">
        <v>1</v>
      </c>
      <c r="O7" s="55">
        <v>0</v>
      </c>
      <c r="P7" s="55">
        <v>1</v>
      </c>
      <c r="Q7" s="55">
        <v>0</v>
      </c>
      <c r="R7" s="55">
        <v>5</v>
      </c>
      <c r="S7" s="57"/>
      <c r="T7" s="58" t="s">
        <v>233</v>
      </c>
      <c r="U7" s="59" t="str">
        <f>NEW!U6</f>
        <v>Luke Rogan</v>
      </c>
      <c r="V7" s="59" t="str">
        <f>NEW!V6</f>
        <v>T Fletcher</v>
      </c>
      <c r="W7" s="59" t="str">
        <f>NEW!W6</f>
        <v>Federico Anselmi</v>
      </c>
      <c r="X7" s="59" t="str">
        <f>NEW!X6</f>
        <v>Jarrod Ford</v>
      </c>
      <c r="Y7" s="60">
        <f>NEW!Y6</f>
        <v>1</v>
      </c>
      <c r="Z7" s="60">
        <f>NEW!AB6</f>
        <v>0</v>
      </c>
      <c r="AA7" s="60">
        <f>NEW!AA6</f>
        <v>0</v>
      </c>
      <c r="AB7" s="61">
        <f>NEW!Z6</f>
        <v>1</v>
      </c>
      <c r="AC7" s="60"/>
      <c r="AD7" s="60"/>
      <c r="AE7" s="60"/>
      <c r="AF7" s="61"/>
      <c r="AG7" s="60">
        <f>Y7</f>
        <v>1</v>
      </c>
      <c r="AH7" s="60">
        <f t="shared" ref="AH7:AJ7" si="6">Z7</f>
        <v>0</v>
      </c>
      <c r="AI7" s="60">
        <f t="shared" si="6"/>
        <v>0</v>
      </c>
      <c r="AJ7" s="60">
        <f t="shared" si="6"/>
        <v>1</v>
      </c>
      <c r="AK7" s="60"/>
      <c r="AL7" s="60"/>
      <c r="AM7" s="60"/>
      <c r="AN7" s="61"/>
      <c r="AP7" s="175" t="s">
        <v>113</v>
      </c>
      <c r="AQ7" s="52">
        <f>1246+G17</f>
        <v>1537</v>
      </c>
      <c r="AS7" s="50" t="s">
        <v>113</v>
      </c>
      <c r="AT7" s="52">
        <f>1246+G15</f>
        <v>1537</v>
      </c>
      <c r="AV7" s="50" t="s">
        <v>31</v>
      </c>
      <c r="AW7" s="52">
        <f>J16</f>
        <v>0</v>
      </c>
    </row>
    <row r="8" spans="1:49" ht="17" thickBot="1">
      <c r="A8" s="53">
        <v>40299</v>
      </c>
      <c r="B8" s="91" t="s">
        <v>105</v>
      </c>
      <c r="C8" s="54" t="s">
        <v>13</v>
      </c>
      <c r="D8" s="55" t="s">
        <v>50</v>
      </c>
      <c r="E8" s="55" t="s">
        <v>64</v>
      </c>
      <c r="F8" s="56">
        <f>CHI!G8</f>
        <v>36</v>
      </c>
      <c r="G8" s="56">
        <f>CHI!F8</f>
        <v>61</v>
      </c>
      <c r="H8" s="56">
        <f>CHI!P8</f>
        <v>1</v>
      </c>
      <c r="I8" s="55">
        <f>CHI!Q8</f>
        <v>0</v>
      </c>
      <c r="J8" s="55">
        <f>CHI!R8</f>
        <v>6</v>
      </c>
      <c r="K8" s="55">
        <v>3</v>
      </c>
      <c r="L8" s="55">
        <v>0</v>
      </c>
      <c r="M8" s="55">
        <v>0</v>
      </c>
      <c r="N8" s="55">
        <v>2</v>
      </c>
      <c r="O8" s="55">
        <v>0</v>
      </c>
      <c r="P8" s="55">
        <v>1</v>
      </c>
      <c r="Q8" s="55">
        <v>0</v>
      </c>
      <c r="R8" s="55">
        <v>9</v>
      </c>
      <c r="S8" s="57"/>
      <c r="T8" s="58" t="s">
        <v>250</v>
      </c>
      <c r="U8" s="59" t="str">
        <f>CHI!U8</f>
        <v>Federico Anselmi</v>
      </c>
      <c r="V8" s="59" t="str">
        <f>CHI!V8</f>
        <v>James Harrison</v>
      </c>
      <c r="W8" s="59" t="str">
        <f>CHI!W8</f>
        <v>Derek Summers</v>
      </c>
      <c r="X8" s="59" t="str">
        <f>CHI!X8</f>
        <v>Cam Russell</v>
      </c>
      <c r="Y8" s="60">
        <f>CHI!Y8</f>
        <v>1</v>
      </c>
      <c r="Z8" s="60">
        <f>CHI!AB8</f>
        <v>0</v>
      </c>
      <c r="AA8" s="60">
        <f>CHI!AA8</f>
        <v>0</v>
      </c>
      <c r="AB8" s="61">
        <f>CHI!Z8</f>
        <v>1</v>
      </c>
      <c r="AC8" s="60"/>
      <c r="AD8" s="60"/>
      <c r="AE8" s="60"/>
      <c r="AF8" s="61"/>
      <c r="AG8" s="60">
        <f t="shared" ref="AG8:AG9" si="7">Y8</f>
        <v>1</v>
      </c>
      <c r="AH8" s="60">
        <f t="shared" ref="AH8:AH9" si="8">Z8</f>
        <v>0</v>
      </c>
      <c r="AI8" s="60">
        <f t="shared" ref="AI8:AI9" si="9">AA8</f>
        <v>0</v>
      </c>
      <c r="AJ8" s="60">
        <f t="shared" ref="AJ8:AJ9" si="10">AB8</f>
        <v>1</v>
      </c>
      <c r="AK8" s="60"/>
      <c r="AL8" s="60"/>
      <c r="AM8" s="60"/>
      <c r="AN8" s="61"/>
      <c r="AP8" s="175" t="s">
        <v>31</v>
      </c>
      <c r="AQ8" s="52">
        <f>89+J17</f>
        <v>118</v>
      </c>
      <c r="AS8" s="50" t="s">
        <v>31</v>
      </c>
      <c r="AT8" s="52">
        <f>89+J15</f>
        <v>118</v>
      </c>
    </row>
    <row r="9" spans="1:49" ht="17" thickBot="1">
      <c r="A9" s="53">
        <v>42856</v>
      </c>
      <c r="B9" s="91" t="s">
        <v>105</v>
      </c>
      <c r="C9" s="54" t="s">
        <v>11</v>
      </c>
      <c r="D9" s="55" t="s">
        <v>50</v>
      </c>
      <c r="E9" s="55" t="s">
        <v>64</v>
      </c>
      <c r="F9" s="56">
        <f>SEA!G9</f>
        <v>21</v>
      </c>
      <c r="G9" s="56">
        <f>SEA!F9</f>
        <v>57</v>
      </c>
      <c r="H9" s="56">
        <f>SEA!P9</f>
        <v>0</v>
      </c>
      <c r="I9" s="55">
        <f>SEA!Q9</f>
        <v>0</v>
      </c>
      <c r="J9" s="55">
        <f>SEA!R9</f>
        <v>3</v>
      </c>
      <c r="K9" s="55">
        <v>3</v>
      </c>
      <c r="L9" s="55">
        <v>0</v>
      </c>
      <c r="M9" s="55">
        <v>0</v>
      </c>
      <c r="N9" s="55">
        <v>3</v>
      </c>
      <c r="O9" s="55">
        <v>0</v>
      </c>
      <c r="P9" s="55">
        <v>1</v>
      </c>
      <c r="Q9" s="55">
        <v>0</v>
      </c>
      <c r="R9" s="55">
        <v>9</v>
      </c>
      <c r="S9" s="57"/>
      <c r="T9" s="58" t="s">
        <v>256</v>
      </c>
      <c r="U9" s="59" t="str">
        <f>SEA!U9</f>
        <v>Robin Kaluzniak</v>
      </c>
      <c r="V9" s="59" t="str">
        <f>SEA!V9</f>
        <v>Austin Reed</v>
      </c>
      <c r="W9" s="59" t="str">
        <f>SEA!W9</f>
        <v>Luke Rogan</v>
      </c>
      <c r="X9" s="59" t="str">
        <f>SEA!X9</f>
        <v>Derek Summers</v>
      </c>
      <c r="Y9" s="60">
        <f>SEA!Y9</f>
        <v>1</v>
      </c>
      <c r="Z9" s="60">
        <f>SEA!AB9</f>
        <v>0</v>
      </c>
      <c r="AA9" s="60">
        <f>SEA!AA9</f>
        <v>0</v>
      </c>
      <c r="AB9" s="61">
        <f>SEA!Z9</f>
        <v>1</v>
      </c>
      <c r="AC9" s="60"/>
      <c r="AD9" s="60"/>
      <c r="AE9" s="60"/>
      <c r="AF9" s="60"/>
      <c r="AG9" s="60">
        <f t="shared" si="7"/>
        <v>1</v>
      </c>
      <c r="AH9" s="60">
        <f t="shared" si="8"/>
        <v>0</v>
      </c>
      <c r="AI9" s="60">
        <f t="shared" si="9"/>
        <v>0</v>
      </c>
      <c r="AJ9" s="60">
        <f t="shared" si="10"/>
        <v>1</v>
      </c>
      <c r="AK9" s="60"/>
      <c r="AL9" s="60"/>
      <c r="AM9" s="60"/>
      <c r="AN9" s="61"/>
    </row>
    <row r="10" spans="1:49" ht="17" thickBot="1">
      <c r="A10" s="62">
        <v>45047</v>
      </c>
      <c r="B10" s="143" t="s">
        <v>105</v>
      </c>
      <c r="C10" s="63" t="s">
        <v>33</v>
      </c>
      <c r="D10" s="64" t="s">
        <v>95</v>
      </c>
      <c r="E10" s="64" t="s">
        <v>64</v>
      </c>
      <c r="F10" s="144">
        <v>7</v>
      </c>
      <c r="G10" s="65">
        <v>20</v>
      </c>
      <c r="H10" s="65">
        <v>0</v>
      </c>
      <c r="I10" s="64">
        <v>0</v>
      </c>
      <c r="J10" s="64">
        <v>1</v>
      </c>
      <c r="K10" s="64">
        <v>1</v>
      </c>
      <c r="L10" s="64">
        <v>0</v>
      </c>
      <c r="M10" s="64">
        <v>0</v>
      </c>
      <c r="N10" s="64">
        <v>1</v>
      </c>
      <c r="O10" s="64">
        <v>0</v>
      </c>
      <c r="P10" s="64">
        <v>0</v>
      </c>
      <c r="Q10" s="64">
        <v>0</v>
      </c>
      <c r="R10" s="64">
        <v>3</v>
      </c>
      <c r="S10" s="66"/>
      <c r="T10" s="67" t="s">
        <v>261</v>
      </c>
      <c r="U10" s="68" t="s">
        <v>188</v>
      </c>
      <c r="V10" s="68" t="s">
        <v>214</v>
      </c>
      <c r="W10" s="68" t="s">
        <v>205</v>
      </c>
      <c r="X10" s="68" t="s">
        <v>202</v>
      </c>
      <c r="Y10" s="69">
        <v>1</v>
      </c>
      <c r="Z10" s="69">
        <v>0</v>
      </c>
      <c r="AA10" s="69">
        <v>0</v>
      </c>
      <c r="AB10" s="69">
        <v>1</v>
      </c>
      <c r="AC10" s="69">
        <f>Y10</f>
        <v>1</v>
      </c>
      <c r="AD10" s="69">
        <f t="shared" ref="AD10:AF10" si="11">Z10</f>
        <v>0</v>
      </c>
      <c r="AE10" s="69">
        <f t="shared" si="11"/>
        <v>0</v>
      </c>
      <c r="AF10" s="69">
        <f t="shared" si="11"/>
        <v>1</v>
      </c>
      <c r="AG10" s="69"/>
      <c r="AH10" s="69"/>
      <c r="AI10" s="69"/>
      <c r="AJ10" s="69"/>
      <c r="AK10" s="69"/>
      <c r="AL10" s="69"/>
      <c r="AM10" s="69"/>
      <c r="AN10" s="71"/>
    </row>
    <row r="11" spans="1:49" ht="17" thickBot="1">
      <c r="A11" s="62">
        <v>47969</v>
      </c>
      <c r="B11" s="143" t="s">
        <v>105</v>
      </c>
      <c r="C11" s="63" t="s">
        <v>32</v>
      </c>
      <c r="D11" s="64" t="s">
        <v>95</v>
      </c>
      <c r="E11" s="64"/>
      <c r="F11" s="64"/>
      <c r="G11" s="65"/>
      <c r="H11" s="65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6"/>
      <c r="T11" s="67"/>
      <c r="U11" s="68"/>
      <c r="V11" s="69"/>
      <c r="W11" s="69"/>
      <c r="X11" s="70"/>
      <c r="Y11" s="69"/>
      <c r="Z11" s="69"/>
      <c r="AA11" s="69"/>
      <c r="AB11" s="71"/>
      <c r="AC11" s="69">
        <f>Y11</f>
        <v>0</v>
      </c>
      <c r="AD11" s="69">
        <f t="shared" ref="AD11" si="12">Z11</f>
        <v>0</v>
      </c>
      <c r="AE11" s="69">
        <f t="shared" ref="AE11" si="13">AA11</f>
        <v>0</v>
      </c>
      <c r="AF11" s="69">
        <f t="shared" ref="AF11" si="14">AB11</f>
        <v>0</v>
      </c>
      <c r="AG11" s="69"/>
      <c r="AH11" s="69"/>
      <c r="AI11" s="69"/>
      <c r="AJ11" s="71"/>
      <c r="AK11" s="69"/>
      <c r="AL11" s="69"/>
      <c r="AM11" s="69"/>
      <c r="AN11" s="71"/>
    </row>
    <row r="12" spans="1:49" ht="17" thickBot="1">
      <c r="A12" s="53">
        <v>38869</v>
      </c>
      <c r="B12" s="91" t="s">
        <v>105</v>
      </c>
      <c r="C12" s="54" t="s">
        <v>12</v>
      </c>
      <c r="D12" s="55" t="s">
        <v>50</v>
      </c>
      <c r="E12" s="55"/>
      <c r="F12" s="56">
        <f>OGDC!G12</f>
        <v>0</v>
      </c>
      <c r="G12" s="56">
        <f>OGDC!F12</f>
        <v>0</v>
      </c>
      <c r="H12" s="56">
        <f>OGDC!P12</f>
        <v>0</v>
      </c>
      <c r="I12" s="55">
        <f>OGDC!Q12</f>
        <v>0</v>
      </c>
      <c r="J12" s="55">
        <f>OGDC!R12</f>
        <v>0</v>
      </c>
      <c r="K12" s="55"/>
      <c r="L12" s="55"/>
      <c r="M12" s="55"/>
      <c r="N12" s="55"/>
      <c r="O12" s="55"/>
      <c r="P12" s="55"/>
      <c r="Q12" s="55"/>
      <c r="R12" s="55"/>
      <c r="S12" s="75"/>
      <c r="T12" s="58"/>
      <c r="U12" s="59">
        <f>OGDC!U12</f>
        <v>0</v>
      </c>
      <c r="V12" s="59">
        <f>OGDC!V12</f>
        <v>0</v>
      </c>
      <c r="W12" s="59">
        <f>OGDC!W12</f>
        <v>0</v>
      </c>
      <c r="X12" s="59">
        <f>OGDC!X12</f>
        <v>0</v>
      </c>
      <c r="Y12" s="60">
        <f>OGDC!Y12</f>
        <v>0</v>
      </c>
      <c r="Z12" s="60">
        <f>OGDC!AB12</f>
        <v>0</v>
      </c>
      <c r="AA12" s="60">
        <f>OGDC!AA12</f>
        <v>0</v>
      </c>
      <c r="AB12" s="61">
        <f>OGDC!Z12</f>
        <v>0</v>
      </c>
      <c r="AC12" s="60"/>
      <c r="AD12" s="60"/>
      <c r="AE12" s="60"/>
      <c r="AF12" s="60"/>
      <c r="AG12" s="60">
        <f>Y12</f>
        <v>0</v>
      </c>
      <c r="AH12" s="60">
        <f t="shared" ref="AH12:AJ12" si="15">Z12</f>
        <v>0</v>
      </c>
      <c r="AI12" s="60">
        <f t="shared" si="15"/>
        <v>0</v>
      </c>
      <c r="AJ12" s="60">
        <f t="shared" si="15"/>
        <v>0</v>
      </c>
      <c r="AK12" s="60"/>
      <c r="AL12" s="60"/>
      <c r="AM12" s="60"/>
      <c r="AN12" s="61"/>
    </row>
    <row r="13" spans="1:49" ht="17" thickBot="1">
      <c r="A13" s="155"/>
      <c r="B13" s="156" t="s">
        <v>104</v>
      </c>
      <c r="C13" s="157"/>
      <c r="D13" s="158"/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159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70" t="s">
        <v>30</v>
      </c>
      <c r="D15" s="271"/>
      <c r="E15" s="272"/>
      <c r="F15" s="81">
        <f>SUM(F3+F4+F5+F6+F7+F8+F9+F10+F11+F12)</f>
        <v>196</v>
      </c>
      <c r="G15" s="81">
        <f t="shared" ref="G15:R15" si="16">SUM(G3+G4+G5+G6+G7+G8+G9+G10+G11+G12)</f>
        <v>291</v>
      </c>
      <c r="H15" s="81">
        <f t="shared" si="16"/>
        <v>4</v>
      </c>
      <c r="I15" s="81">
        <f t="shared" si="16"/>
        <v>0</v>
      </c>
      <c r="J15" s="81">
        <f t="shared" si="16"/>
        <v>29</v>
      </c>
      <c r="K15" s="81">
        <f t="shared" si="16"/>
        <v>21</v>
      </c>
      <c r="L15" s="81">
        <f t="shared" si="16"/>
        <v>0</v>
      </c>
      <c r="M15" s="81">
        <f t="shared" si="16"/>
        <v>3</v>
      </c>
      <c r="N15" s="81">
        <f t="shared" si="16"/>
        <v>11</v>
      </c>
      <c r="O15" s="81">
        <f t="shared" si="16"/>
        <v>1</v>
      </c>
      <c r="P15" s="81">
        <f t="shared" si="16"/>
        <v>6</v>
      </c>
      <c r="Q15" s="81">
        <f t="shared" si="16"/>
        <v>0</v>
      </c>
      <c r="R15" s="81">
        <f t="shared" si="16"/>
        <v>43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8</v>
      </c>
      <c r="Z15" s="81">
        <f t="shared" ref="Z15:AJ15" si="17">Z3+Z4+Z5+Z6+Z7+Z8+Z9+Z10+Z11+Z12</f>
        <v>2</v>
      </c>
      <c r="AA15" s="81">
        <f t="shared" si="17"/>
        <v>0</v>
      </c>
      <c r="AB15" s="81">
        <f t="shared" si="17"/>
        <v>6</v>
      </c>
      <c r="AC15" s="85">
        <f>AC4+AC5+AC6+AC10+AC11</f>
        <v>4</v>
      </c>
      <c r="AD15" s="85">
        <f t="shared" ref="AD15:AF15" si="18">AD4+AD5+AD6+AD10+AD11</f>
        <v>1</v>
      </c>
      <c r="AE15" s="85">
        <f t="shared" si="18"/>
        <v>0</v>
      </c>
      <c r="AF15" s="85">
        <f t="shared" si="18"/>
        <v>3</v>
      </c>
      <c r="AG15" s="170">
        <f>AG3+AG7+AG8+AG9+AG12</f>
        <v>4</v>
      </c>
      <c r="AH15" s="170">
        <f t="shared" si="17"/>
        <v>1</v>
      </c>
      <c r="AI15" s="170">
        <f t="shared" si="17"/>
        <v>0</v>
      </c>
      <c r="AJ15" s="170">
        <f t="shared" si="17"/>
        <v>3</v>
      </c>
      <c r="AK15" s="81"/>
      <c r="AL15" s="81"/>
      <c r="AM15" s="81"/>
      <c r="AN15" s="81"/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19">G13+G14</f>
        <v>0</v>
      </c>
      <c r="H16" s="169">
        <f t="shared" si="19"/>
        <v>0</v>
      </c>
      <c r="I16" s="169">
        <f t="shared" si="19"/>
        <v>0</v>
      </c>
      <c r="J16" s="169">
        <f t="shared" si="19"/>
        <v>0</v>
      </c>
      <c r="K16" s="169">
        <f t="shared" si="19"/>
        <v>0</v>
      </c>
      <c r="L16" s="169">
        <f t="shared" si="19"/>
        <v>0</v>
      </c>
      <c r="M16" s="169">
        <f t="shared" si="19"/>
        <v>0</v>
      </c>
      <c r="N16" s="169">
        <f t="shared" si="19"/>
        <v>0</v>
      </c>
      <c r="O16" s="169">
        <f t="shared" si="19"/>
        <v>0</v>
      </c>
      <c r="P16" s="169">
        <f t="shared" si="19"/>
        <v>0</v>
      </c>
      <c r="Q16" s="169">
        <f t="shared" si="19"/>
        <v>0</v>
      </c>
      <c r="R16" s="169">
        <f t="shared" si="19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J16" si="20">Z13+Z14</f>
        <v>0</v>
      </c>
      <c r="AA16" s="81">
        <f t="shared" si="20"/>
        <v>0</v>
      </c>
      <c r="AB16" s="81">
        <f t="shared" si="20"/>
        <v>0</v>
      </c>
      <c r="AC16" s="85">
        <f t="shared" si="20"/>
        <v>0</v>
      </c>
      <c r="AD16" s="85">
        <f t="shared" si="20"/>
        <v>0</v>
      </c>
      <c r="AE16" s="85">
        <f t="shared" si="20"/>
        <v>0</v>
      </c>
      <c r="AF16" s="85">
        <f t="shared" si="20"/>
        <v>0</v>
      </c>
      <c r="AG16" s="170">
        <f t="shared" si="20"/>
        <v>0</v>
      </c>
      <c r="AH16" s="170">
        <f t="shared" si="20"/>
        <v>0</v>
      </c>
      <c r="AI16" s="170">
        <f t="shared" si="20"/>
        <v>0</v>
      </c>
      <c r="AJ16" s="170">
        <f t="shared" si="20"/>
        <v>0</v>
      </c>
      <c r="AK16" s="81"/>
      <c r="AL16" s="81"/>
      <c r="AM16" s="81"/>
      <c r="AN16" s="81"/>
    </row>
    <row r="17" spans="1:40" ht="17" thickBot="1">
      <c r="A17" s="76"/>
      <c r="B17" s="77"/>
      <c r="C17" s="255" t="s">
        <v>96</v>
      </c>
      <c r="D17" s="256"/>
      <c r="E17" s="257"/>
      <c r="F17" s="86">
        <f>F15+F16</f>
        <v>196</v>
      </c>
      <c r="G17" s="86">
        <f t="shared" ref="G17:R17" si="21">G15+G16</f>
        <v>291</v>
      </c>
      <c r="H17" s="86">
        <f t="shared" si="21"/>
        <v>4</v>
      </c>
      <c r="I17" s="86">
        <f t="shared" si="21"/>
        <v>0</v>
      </c>
      <c r="J17" s="86">
        <f t="shared" si="21"/>
        <v>29</v>
      </c>
      <c r="K17" s="86">
        <f t="shared" si="21"/>
        <v>21</v>
      </c>
      <c r="L17" s="86">
        <f t="shared" si="21"/>
        <v>0</v>
      </c>
      <c r="M17" s="86">
        <f t="shared" si="21"/>
        <v>3</v>
      </c>
      <c r="N17" s="86">
        <f t="shared" si="21"/>
        <v>11</v>
      </c>
      <c r="O17" s="86">
        <f t="shared" si="21"/>
        <v>1</v>
      </c>
      <c r="P17" s="86">
        <f t="shared" si="21"/>
        <v>6</v>
      </c>
      <c r="Q17" s="86">
        <f t="shared" si="21"/>
        <v>0</v>
      </c>
      <c r="R17" s="86">
        <f t="shared" si="21"/>
        <v>43</v>
      </c>
      <c r="S17" s="82"/>
      <c r="T17" s="82"/>
      <c r="U17" s="82"/>
      <c r="V17" s="82"/>
      <c r="W17" s="83"/>
      <c r="X17" s="87" t="s">
        <v>96</v>
      </c>
      <c r="Y17" s="88">
        <f>Y15+Y16</f>
        <v>8</v>
      </c>
      <c r="Z17" s="88">
        <f t="shared" ref="Z17:AJ17" si="22">Z15+Z16</f>
        <v>2</v>
      </c>
      <c r="AA17" s="88">
        <f t="shared" si="22"/>
        <v>0</v>
      </c>
      <c r="AB17" s="88">
        <f t="shared" si="22"/>
        <v>6</v>
      </c>
      <c r="AC17" s="89">
        <f t="shared" si="22"/>
        <v>4</v>
      </c>
      <c r="AD17" s="89">
        <f t="shared" si="22"/>
        <v>1</v>
      </c>
      <c r="AE17" s="89">
        <f t="shared" si="22"/>
        <v>0</v>
      </c>
      <c r="AF17" s="89">
        <f t="shared" si="22"/>
        <v>3</v>
      </c>
      <c r="AG17" s="171">
        <f t="shared" si="22"/>
        <v>4</v>
      </c>
      <c r="AH17" s="171">
        <f t="shared" si="22"/>
        <v>1</v>
      </c>
      <c r="AI17" s="171">
        <f t="shared" si="22"/>
        <v>0</v>
      </c>
      <c r="AJ17" s="171">
        <f t="shared" si="22"/>
        <v>3</v>
      </c>
      <c r="AK17" s="88"/>
      <c r="AL17" s="88"/>
      <c r="AM17" s="88"/>
      <c r="AN17" s="88"/>
    </row>
    <row r="18" spans="1:40">
      <c r="A18" s="3" t="s">
        <v>97</v>
      </c>
    </row>
  </sheetData>
  <mergeCells count="12">
    <mergeCell ref="Y1:AB1"/>
    <mergeCell ref="AC1:AF1"/>
    <mergeCell ref="AG1:AJ1"/>
    <mergeCell ref="AK1:AN1"/>
    <mergeCell ref="C15:E15"/>
    <mergeCell ref="N1:O1"/>
    <mergeCell ref="P1:R1"/>
    <mergeCell ref="C17:E17"/>
    <mergeCell ref="A1:D1"/>
    <mergeCell ref="E1:G1"/>
    <mergeCell ref="H1:I1"/>
    <mergeCell ref="J1: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A5B2C-5E86-3641-9272-251EECB27A22}">
  <dimension ref="A1:O11"/>
  <sheetViews>
    <sheetView workbookViewId="0">
      <selection sqref="A1:C1"/>
    </sheetView>
  </sheetViews>
  <sheetFormatPr defaultColWidth="11.5546875" defaultRowHeight="16.3"/>
  <cols>
    <col min="1" max="1" width="4.109375" style="3" customWidth="1"/>
    <col min="2" max="2" width="6.6640625" style="3" customWidth="1"/>
    <col min="3" max="3" width="17.77734375" style="3" customWidth="1"/>
    <col min="4" max="9" width="6.109375" style="3" customWidth="1"/>
    <col min="10" max="12" width="6.77734375" style="3" customWidth="1"/>
  </cols>
  <sheetData>
    <row r="1" spans="1:15">
      <c r="A1" s="335" t="s">
        <v>58</v>
      </c>
      <c r="B1" s="335"/>
      <c r="C1" s="335"/>
    </row>
    <row r="3" spans="1:15">
      <c r="A3" s="50" t="s">
        <v>59</v>
      </c>
      <c r="B3" s="51" t="s">
        <v>60</v>
      </c>
      <c r="C3" s="50"/>
      <c r="D3" s="51" t="s">
        <v>61</v>
      </c>
      <c r="E3" s="51" t="s">
        <v>62</v>
      </c>
      <c r="F3" s="51" t="s">
        <v>63</v>
      </c>
      <c r="G3" s="51" t="s">
        <v>64</v>
      </c>
      <c r="H3" s="51" t="s">
        <v>49</v>
      </c>
      <c r="I3" s="51" t="s">
        <v>50</v>
      </c>
      <c r="J3" s="51" t="s">
        <v>65</v>
      </c>
      <c r="K3" s="51" t="s">
        <v>67</v>
      </c>
      <c r="L3" s="51" t="s">
        <v>66</v>
      </c>
      <c r="O3" s="52" t="s">
        <v>68</v>
      </c>
    </row>
    <row r="4" spans="1:15">
      <c r="A4" s="52">
        <v>1</v>
      </c>
      <c r="B4" s="52" t="s">
        <v>70</v>
      </c>
      <c r="C4" s="52" t="s">
        <v>272</v>
      </c>
      <c r="D4" s="52">
        <f>CHI!Y15</f>
        <v>8</v>
      </c>
      <c r="E4" s="52">
        <f>CHI!Z15</f>
        <v>8</v>
      </c>
      <c r="F4" s="52">
        <f>CHI!AA15</f>
        <v>0</v>
      </c>
      <c r="G4" s="52">
        <f>CHI!AB15</f>
        <v>0</v>
      </c>
      <c r="H4" s="52">
        <f>CHI!F15</f>
        <v>393</v>
      </c>
      <c r="I4" s="52">
        <f>CHI!G15</f>
        <v>201</v>
      </c>
      <c r="J4" s="52">
        <f t="shared" ref="J4:J9" si="0">H4-I4</f>
        <v>192</v>
      </c>
      <c r="K4" s="52">
        <f>SUM(CHI!H15+CHI!I15)</f>
        <v>8</v>
      </c>
      <c r="L4" s="52">
        <f t="shared" ref="L4:L9" si="1">SUM(E4*4+F4*2+K4)</f>
        <v>40</v>
      </c>
      <c r="O4" s="253" t="s">
        <v>69</v>
      </c>
    </row>
    <row r="5" spans="1:15">
      <c r="A5" s="52">
        <v>2</v>
      </c>
      <c r="B5" s="52" t="s">
        <v>259</v>
      </c>
      <c r="C5" s="52" t="s">
        <v>32</v>
      </c>
      <c r="D5" s="52">
        <f>CAL!Y15</f>
        <v>8</v>
      </c>
      <c r="E5" s="52">
        <f>CAL!Z15</f>
        <v>4</v>
      </c>
      <c r="F5" s="52">
        <f>CAL!AA15</f>
        <v>0</v>
      </c>
      <c r="G5" s="52">
        <f>CAL!AB15</f>
        <v>4</v>
      </c>
      <c r="H5" s="52">
        <f>CAL!F15</f>
        <v>256</v>
      </c>
      <c r="I5" s="52">
        <f>CAL!G15</f>
        <v>218</v>
      </c>
      <c r="J5" s="52">
        <f t="shared" si="0"/>
        <v>38</v>
      </c>
      <c r="K5" s="52">
        <f>SUM(CAL!H15+CAL!I15)</f>
        <v>8</v>
      </c>
      <c r="L5" s="52">
        <f t="shared" si="1"/>
        <v>24</v>
      </c>
      <c r="O5" s="52" t="s">
        <v>70</v>
      </c>
    </row>
    <row r="6" spans="1:15">
      <c r="A6" s="52">
        <v>3</v>
      </c>
      <c r="B6" s="253" t="s">
        <v>260</v>
      </c>
      <c r="C6" s="52" t="s">
        <v>11</v>
      </c>
      <c r="D6" s="52">
        <f>SEA!Y15</f>
        <v>8</v>
      </c>
      <c r="E6" s="52">
        <f>SEA!Z15</f>
        <v>4</v>
      </c>
      <c r="F6" s="52">
        <f>SEA!AA15</f>
        <v>0</v>
      </c>
      <c r="G6" s="52">
        <f>SEA!AB15</f>
        <v>4</v>
      </c>
      <c r="H6" s="52">
        <f>SEA!F15</f>
        <v>242</v>
      </c>
      <c r="I6" s="52">
        <f>SEA!G15</f>
        <v>261</v>
      </c>
      <c r="J6" s="52">
        <f t="shared" si="0"/>
        <v>-19</v>
      </c>
      <c r="K6" s="52">
        <f>SUM(SEA!H15+SEA!I15)</f>
        <v>5</v>
      </c>
      <c r="L6" s="52">
        <f t="shared" si="1"/>
        <v>21</v>
      </c>
    </row>
    <row r="7" spans="1:15">
      <c r="A7" s="52">
        <v>4</v>
      </c>
      <c r="B7" s="52" t="s">
        <v>259</v>
      </c>
      <c r="C7" s="52" t="s">
        <v>33</v>
      </c>
      <c r="D7" s="52">
        <f>NEW!Y15</f>
        <v>8</v>
      </c>
      <c r="E7" s="52">
        <f>NEW!Z15</f>
        <v>3</v>
      </c>
      <c r="F7" s="52">
        <f>NEW!AA15</f>
        <v>0</v>
      </c>
      <c r="G7" s="52">
        <f>NEW!AB15</f>
        <v>5</v>
      </c>
      <c r="H7" s="52">
        <f>NEW!F15</f>
        <v>168</v>
      </c>
      <c r="I7" s="52">
        <f>NEW!G15</f>
        <v>219</v>
      </c>
      <c r="J7" s="52">
        <f t="shared" si="0"/>
        <v>-51</v>
      </c>
      <c r="K7" s="52">
        <f>SUM(NEW!H15+NEW!I15)</f>
        <v>4</v>
      </c>
      <c r="L7" s="52">
        <f t="shared" si="1"/>
        <v>16</v>
      </c>
    </row>
    <row r="8" spans="1:15">
      <c r="A8" s="52">
        <v>5</v>
      </c>
      <c r="B8" s="253" t="s">
        <v>260</v>
      </c>
      <c r="C8" s="52" t="s">
        <v>12</v>
      </c>
      <c r="D8" s="52">
        <f>OGDC!Y15</f>
        <v>8</v>
      </c>
      <c r="E8" s="52">
        <f>OGDC!Z15</f>
        <v>3</v>
      </c>
      <c r="F8" s="52">
        <f>OGDC!AA15</f>
        <v>0</v>
      </c>
      <c r="G8" s="52">
        <f>OGDC!AB15</f>
        <v>5</v>
      </c>
      <c r="H8" s="52">
        <f>OGDC!F15</f>
        <v>181</v>
      </c>
      <c r="I8" s="52">
        <f>OGDC!G15</f>
        <v>246</v>
      </c>
      <c r="J8" s="52">
        <f t="shared" si="0"/>
        <v>-65</v>
      </c>
      <c r="K8" s="52">
        <f>SUM(OGDC!H15+OGDC!I15)</f>
        <v>3</v>
      </c>
      <c r="L8" s="52">
        <f t="shared" si="1"/>
        <v>15</v>
      </c>
    </row>
    <row r="9" spans="1:15">
      <c r="A9" s="52">
        <v>6</v>
      </c>
      <c r="B9" s="52" t="s">
        <v>70</v>
      </c>
      <c r="C9" s="52" t="s">
        <v>9</v>
      </c>
      <c r="D9" s="52">
        <f>ANT!Y15</f>
        <v>8</v>
      </c>
      <c r="E9" s="52">
        <f>ANT!Z15</f>
        <v>2</v>
      </c>
      <c r="F9" s="52">
        <f>ANT!AA15</f>
        <v>0</v>
      </c>
      <c r="G9" s="52">
        <f>ANT!AB15</f>
        <v>6</v>
      </c>
      <c r="H9" s="52">
        <f>ANT!F15</f>
        <v>196</v>
      </c>
      <c r="I9" s="52">
        <f>ANT!G15</f>
        <v>291</v>
      </c>
      <c r="J9" s="52">
        <f t="shared" si="0"/>
        <v>-95</v>
      </c>
      <c r="K9" s="52">
        <f>SUM(ANT!H15+ANT!I15)</f>
        <v>4</v>
      </c>
      <c r="L9" s="52">
        <f t="shared" si="1"/>
        <v>12</v>
      </c>
    </row>
    <row r="11" spans="1:15">
      <c r="H11" s="3">
        <f>SUM(H4:H9)</f>
        <v>1436</v>
      </c>
      <c r="I11" s="3">
        <f>SUM(I4:I9)</f>
        <v>1436</v>
      </c>
    </row>
  </sheetData>
  <mergeCells count="1">
    <mergeCell ref="A1:C1"/>
  </mergeCells>
  <phoneticPr fontId="3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A4E5-65C8-2E42-9403-97EF9FF56062}">
  <dimension ref="A1:O69"/>
  <sheetViews>
    <sheetView workbookViewId="0">
      <selection sqref="A1:L2"/>
    </sheetView>
  </sheetViews>
  <sheetFormatPr defaultColWidth="11.5546875" defaultRowHeight="16.3"/>
  <cols>
    <col min="1" max="1" width="10.77734375" style="5"/>
    <col min="2" max="2" width="10.77734375" style="9"/>
    <col min="3" max="12" width="10.77734375" style="5"/>
    <col min="13" max="13" width="10.77734375" style="3"/>
  </cols>
  <sheetData>
    <row r="1" spans="1:13">
      <c r="A1" s="345" t="s">
        <v>153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</row>
    <row r="2" spans="1:13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182" t="s">
        <v>155</v>
      </c>
    </row>
    <row r="3" spans="1:13">
      <c r="A3" s="183" t="s">
        <v>59</v>
      </c>
      <c r="B3" s="184" t="s">
        <v>132</v>
      </c>
      <c r="C3" s="183" t="s">
        <v>92</v>
      </c>
      <c r="D3" s="183" t="s">
        <v>62</v>
      </c>
      <c r="E3" s="183" t="s">
        <v>63</v>
      </c>
      <c r="F3" s="183" t="s">
        <v>64</v>
      </c>
      <c r="G3" s="183" t="s">
        <v>133</v>
      </c>
      <c r="H3" s="183" t="s">
        <v>134</v>
      </c>
      <c r="I3" s="183" t="s">
        <v>135</v>
      </c>
      <c r="J3" s="183" t="s">
        <v>88</v>
      </c>
      <c r="K3" s="183" t="s">
        <v>89</v>
      </c>
      <c r="L3" s="183" t="s">
        <v>136</v>
      </c>
    </row>
    <row r="4" spans="1:13">
      <c r="A4" s="185">
        <v>1</v>
      </c>
      <c r="B4" s="188" t="s">
        <v>138</v>
      </c>
      <c r="C4" s="185">
        <f>122+SEA!Y17</f>
        <v>130</v>
      </c>
      <c r="D4" s="185">
        <f>71+SEA!Z17</f>
        <v>75</v>
      </c>
      <c r="E4" s="185">
        <f>2+SEA!AA17</f>
        <v>2</v>
      </c>
      <c r="F4" s="185">
        <f>49+SEA!AB17</f>
        <v>53</v>
      </c>
      <c r="G4" s="185">
        <f>3471+SEA!F17</f>
        <v>3713</v>
      </c>
      <c r="H4" s="185">
        <f>3026+SEA!G17</f>
        <v>3287</v>
      </c>
      <c r="I4" s="185">
        <f>G4-H4</f>
        <v>426</v>
      </c>
      <c r="J4" s="185">
        <f>62+SEA!H17</f>
        <v>66</v>
      </c>
      <c r="K4" s="185">
        <f>26+SEA!I17</f>
        <v>27</v>
      </c>
      <c r="L4" s="185">
        <f>SUM(D4*4+E4*2+J4+K4)</f>
        <v>397</v>
      </c>
    </row>
    <row r="5" spans="1:13">
      <c r="A5" s="185">
        <v>2</v>
      </c>
      <c r="B5" s="186" t="s">
        <v>154</v>
      </c>
      <c r="C5" s="187">
        <v>116</v>
      </c>
      <c r="D5" s="187">
        <v>72</v>
      </c>
      <c r="E5" s="187">
        <v>1</v>
      </c>
      <c r="F5" s="187">
        <v>43</v>
      </c>
      <c r="G5" s="187">
        <v>3376</v>
      </c>
      <c r="H5" s="187">
        <v>2779</v>
      </c>
      <c r="I5" s="187">
        <v>597</v>
      </c>
      <c r="J5" s="187">
        <v>64</v>
      </c>
      <c r="K5" s="187">
        <v>24</v>
      </c>
      <c r="L5" s="187">
        <v>378</v>
      </c>
    </row>
    <row r="6" spans="1:13">
      <c r="A6" s="185">
        <v>3</v>
      </c>
      <c r="B6" s="188" t="s">
        <v>139</v>
      </c>
      <c r="C6" s="185">
        <f>94+NEW!Y17</f>
        <v>102</v>
      </c>
      <c r="D6" s="185">
        <f>68+NEW!Z17</f>
        <v>71</v>
      </c>
      <c r="E6" s="185">
        <f>0+NEW!AA17</f>
        <v>0</v>
      </c>
      <c r="F6" s="185">
        <f>26+NEW!AB17</f>
        <v>31</v>
      </c>
      <c r="G6" s="185">
        <f>2642+NEW!F17</f>
        <v>2810</v>
      </c>
      <c r="H6" s="185">
        <f>1959+NEW!G17</f>
        <v>2178</v>
      </c>
      <c r="I6" s="185">
        <f>G6-H6</f>
        <v>632</v>
      </c>
      <c r="J6" s="185">
        <f>48+NEW!H17</f>
        <v>50</v>
      </c>
      <c r="K6" s="185">
        <f>10+NEW!I17</f>
        <v>12</v>
      </c>
      <c r="L6" s="185">
        <f>SUM(D6*4+E6*2+J6+K6)</f>
        <v>346</v>
      </c>
    </row>
    <row r="7" spans="1:13">
      <c r="A7" s="185">
        <v>4</v>
      </c>
      <c r="B7" s="186" t="s">
        <v>140</v>
      </c>
      <c r="C7" s="187">
        <v>115</v>
      </c>
      <c r="D7" s="187">
        <v>55</v>
      </c>
      <c r="E7" s="187">
        <v>0</v>
      </c>
      <c r="F7" s="187">
        <v>60</v>
      </c>
      <c r="G7" s="187">
        <v>2916</v>
      </c>
      <c r="H7" s="187">
        <v>3123</v>
      </c>
      <c r="I7" s="187">
        <v>-207</v>
      </c>
      <c r="J7" s="187">
        <v>55</v>
      </c>
      <c r="K7" s="187">
        <v>20</v>
      </c>
      <c r="L7" s="187">
        <v>295</v>
      </c>
    </row>
    <row r="8" spans="1:13">
      <c r="A8" s="185">
        <v>5</v>
      </c>
      <c r="B8" s="186" t="s">
        <v>141</v>
      </c>
      <c r="C8" s="187">
        <v>113</v>
      </c>
      <c r="D8" s="187">
        <v>49</v>
      </c>
      <c r="E8" s="187">
        <v>3</v>
      </c>
      <c r="F8" s="187">
        <v>61</v>
      </c>
      <c r="G8" s="187">
        <v>3179</v>
      </c>
      <c r="H8" s="187">
        <v>3224</v>
      </c>
      <c r="I8" s="187">
        <v>-45</v>
      </c>
      <c r="J8" s="187">
        <v>59</v>
      </c>
      <c r="K8" s="187">
        <v>32</v>
      </c>
      <c r="L8" s="187">
        <v>293</v>
      </c>
    </row>
    <row r="9" spans="1:13">
      <c r="A9" s="185">
        <v>6</v>
      </c>
      <c r="B9" s="186" t="s">
        <v>142</v>
      </c>
      <c r="C9" s="187">
        <v>110</v>
      </c>
      <c r="D9" s="187">
        <v>50</v>
      </c>
      <c r="E9" s="187">
        <v>1</v>
      </c>
      <c r="F9" s="187">
        <v>59</v>
      </c>
      <c r="G9" s="187">
        <v>2738</v>
      </c>
      <c r="H9" s="187">
        <v>2993</v>
      </c>
      <c r="I9" s="187">
        <v>-255</v>
      </c>
      <c r="J9" s="187">
        <v>53</v>
      </c>
      <c r="K9" s="187">
        <v>24</v>
      </c>
      <c r="L9" s="187">
        <v>279</v>
      </c>
    </row>
    <row r="10" spans="1:13">
      <c r="A10" s="185">
        <v>7</v>
      </c>
      <c r="B10" s="186" t="s">
        <v>143</v>
      </c>
      <c r="C10" s="187">
        <v>75</v>
      </c>
      <c r="D10" s="187">
        <v>46</v>
      </c>
      <c r="E10" s="187">
        <v>0</v>
      </c>
      <c r="F10" s="187">
        <v>29</v>
      </c>
      <c r="G10" s="187">
        <v>2000</v>
      </c>
      <c r="H10" s="187">
        <v>1786</v>
      </c>
      <c r="I10" s="187">
        <v>214</v>
      </c>
      <c r="J10" s="187">
        <v>41</v>
      </c>
      <c r="K10" s="187">
        <v>13</v>
      </c>
      <c r="L10" s="187">
        <v>238</v>
      </c>
    </row>
    <row r="11" spans="1:13">
      <c r="A11" s="185">
        <v>8</v>
      </c>
      <c r="B11" s="188" t="s">
        <v>12</v>
      </c>
      <c r="C11" s="185">
        <f>89+OGDC!Y17</f>
        <v>97</v>
      </c>
      <c r="D11" s="185">
        <f>36+OGDC!Z17</f>
        <v>39</v>
      </c>
      <c r="E11" s="185">
        <f>4+OGDC!AA17</f>
        <v>4</v>
      </c>
      <c r="F11" s="185">
        <f>49+OGDC!AB17</f>
        <v>54</v>
      </c>
      <c r="G11" s="185">
        <f>2283+OGDC!F17</f>
        <v>2464</v>
      </c>
      <c r="H11" s="185">
        <f>2665+OGDC!G17</f>
        <v>2911</v>
      </c>
      <c r="I11" s="185">
        <f>G11-H11</f>
        <v>-447</v>
      </c>
      <c r="J11" s="185">
        <f>47+OGDC!H17</f>
        <v>49</v>
      </c>
      <c r="K11" s="185">
        <f>17+OGDC!I17</f>
        <v>18</v>
      </c>
      <c r="L11" s="185">
        <f>SUM(D11*4+E11*2+J11+K11)</f>
        <v>231</v>
      </c>
    </row>
    <row r="12" spans="1:13">
      <c r="A12" s="185">
        <v>9</v>
      </c>
      <c r="B12" s="188" t="s">
        <v>147</v>
      </c>
      <c r="C12" s="185">
        <f>52+CHI!Y17</f>
        <v>60</v>
      </c>
      <c r="D12" s="185">
        <f>24+CHI!Z17</f>
        <v>32</v>
      </c>
      <c r="E12" s="185">
        <f>1+CHI!AA17</f>
        <v>1</v>
      </c>
      <c r="F12" s="185">
        <f>27+CHI!AB17</f>
        <v>27</v>
      </c>
      <c r="G12" s="185">
        <f>1312+CHI!F17</f>
        <v>1705</v>
      </c>
      <c r="H12" s="185">
        <f>1318+CHI!G17</f>
        <v>1519</v>
      </c>
      <c r="I12" s="185">
        <f>G12-H12</f>
        <v>186</v>
      </c>
      <c r="J12" s="185">
        <f>19+CHI!H17</f>
        <v>27</v>
      </c>
      <c r="K12" s="185">
        <f>12+CHI!I17</f>
        <v>12</v>
      </c>
      <c r="L12" s="185">
        <f>SUM(D12*4+E12*2+J12+K12)</f>
        <v>169</v>
      </c>
    </row>
    <row r="13" spans="1:13">
      <c r="A13" s="185">
        <v>10</v>
      </c>
      <c r="B13" s="186" t="s">
        <v>144</v>
      </c>
      <c r="C13" s="187">
        <v>70</v>
      </c>
      <c r="D13" s="187">
        <v>29</v>
      </c>
      <c r="E13" s="187">
        <v>2</v>
      </c>
      <c r="F13" s="187">
        <v>39</v>
      </c>
      <c r="G13" s="187">
        <v>1771</v>
      </c>
      <c r="H13" s="187">
        <v>1884</v>
      </c>
      <c r="I13" s="187">
        <v>-113</v>
      </c>
      <c r="J13" s="187">
        <v>27</v>
      </c>
      <c r="K13" s="187">
        <v>16</v>
      </c>
      <c r="L13" s="197">
        <v>163</v>
      </c>
    </row>
    <row r="14" spans="1:13">
      <c r="A14" s="185">
        <v>11</v>
      </c>
      <c r="B14" s="186" t="s">
        <v>145</v>
      </c>
      <c r="C14" s="187">
        <v>56</v>
      </c>
      <c r="D14" s="187">
        <v>30</v>
      </c>
      <c r="E14" s="187">
        <v>1</v>
      </c>
      <c r="F14" s="187">
        <v>25</v>
      </c>
      <c r="G14" s="187">
        <v>1405</v>
      </c>
      <c r="H14" s="187">
        <v>1265</v>
      </c>
      <c r="I14" s="187">
        <v>140</v>
      </c>
      <c r="J14" s="187">
        <v>27</v>
      </c>
      <c r="K14" s="187">
        <v>10</v>
      </c>
      <c r="L14" s="197">
        <v>159</v>
      </c>
    </row>
    <row r="15" spans="1:13">
      <c r="A15" s="185">
        <v>12</v>
      </c>
      <c r="B15" s="186" t="s">
        <v>146</v>
      </c>
      <c r="C15" s="187">
        <v>61</v>
      </c>
      <c r="D15" s="187">
        <v>25</v>
      </c>
      <c r="E15" s="187">
        <v>1</v>
      </c>
      <c r="F15" s="187">
        <v>35</v>
      </c>
      <c r="G15" s="187">
        <v>1457</v>
      </c>
      <c r="H15" s="187">
        <v>1421</v>
      </c>
      <c r="I15" s="187">
        <v>36</v>
      </c>
      <c r="J15" s="187">
        <v>24</v>
      </c>
      <c r="K15" s="187">
        <v>9</v>
      </c>
      <c r="L15" s="197">
        <v>135</v>
      </c>
    </row>
    <row r="16" spans="1:13">
      <c r="A16" s="185">
        <v>13</v>
      </c>
      <c r="B16" s="186" t="s">
        <v>148</v>
      </c>
      <c r="C16" s="187">
        <v>34</v>
      </c>
      <c r="D16" s="187">
        <v>25</v>
      </c>
      <c r="E16" s="187">
        <v>0</v>
      </c>
      <c r="F16" s="187">
        <v>9</v>
      </c>
      <c r="G16" s="187">
        <v>1036</v>
      </c>
      <c r="H16" s="187">
        <v>618</v>
      </c>
      <c r="I16" s="187">
        <v>418</v>
      </c>
      <c r="J16" s="187">
        <v>20</v>
      </c>
      <c r="K16" s="187">
        <v>5</v>
      </c>
      <c r="L16" s="197">
        <v>125</v>
      </c>
    </row>
    <row r="17" spans="1:13">
      <c r="A17" s="185">
        <v>14</v>
      </c>
      <c r="B17" s="186" t="s">
        <v>149</v>
      </c>
      <c r="C17" s="187">
        <v>31</v>
      </c>
      <c r="D17" s="187">
        <v>17</v>
      </c>
      <c r="E17" s="187">
        <v>2</v>
      </c>
      <c r="F17" s="187">
        <v>12</v>
      </c>
      <c r="G17" s="187">
        <v>856</v>
      </c>
      <c r="H17" s="187">
        <v>801</v>
      </c>
      <c r="I17" s="187">
        <v>55</v>
      </c>
      <c r="J17" s="187">
        <v>17</v>
      </c>
      <c r="K17" s="187">
        <v>3</v>
      </c>
      <c r="L17" s="197">
        <v>92</v>
      </c>
    </row>
    <row r="18" spans="1:13">
      <c r="A18" s="185">
        <v>15</v>
      </c>
      <c r="B18" s="186" t="s">
        <v>150</v>
      </c>
      <c r="C18" s="187">
        <v>33</v>
      </c>
      <c r="D18" s="187">
        <v>13</v>
      </c>
      <c r="E18" s="187">
        <v>2</v>
      </c>
      <c r="F18" s="187">
        <v>18</v>
      </c>
      <c r="G18" s="187">
        <v>889</v>
      </c>
      <c r="H18" s="187">
        <v>997</v>
      </c>
      <c r="I18" s="187">
        <v>-108</v>
      </c>
      <c r="J18" s="187">
        <v>22</v>
      </c>
      <c r="K18" s="187">
        <v>6</v>
      </c>
      <c r="L18" s="197">
        <v>84</v>
      </c>
    </row>
    <row r="19" spans="1:13">
      <c r="A19" s="185">
        <v>16</v>
      </c>
      <c r="B19" s="189" t="s">
        <v>151</v>
      </c>
      <c r="C19" s="187">
        <v>33</v>
      </c>
      <c r="D19" s="187">
        <v>14</v>
      </c>
      <c r="E19" s="187">
        <v>0</v>
      </c>
      <c r="F19" s="187">
        <v>19</v>
      </c>
      <c r="G19" s="187">
        <v>725</v>
      </c>
      <c r="H19" s="187">
        <v>863</v>
      </c>
      <c r="I19" s="187">
        <v>-138</v>
      </c>
      <c r="J19" s="187">
        <v>10</v>
      </c>
      <c r="K19" s="187">
        <v>7</v>
      </c>
      <c r="L19" s="197">
        <v>73</v>
      </c>
    </row>
    <row r="20" spans="1:13">
      <c r="A20" s="185">
        <v>17</v>
      </c>
      <c r="B20" s="189" t="s">
        <v>152</v>
      </c>
      <c r="C20" s="187">
        <v>50</v>
      </c>
      <c r="D20" s="187">
        <v>9</v>
      </c>
      <c r="E20" s="187">
        <v>0</v>
      </c>
      <c r="F20" s="187">
        <v>41</v>
      </c>
      <c r="G20" s="187">
        <v>1017</v>
      </c>
      <c r="H20" s="187">
        <v>1710</v>
      </c>
      <c r="I20" s="187">
        <v>-693</v>
      </c>
      <c r="J20" s="187">
        <v>19</v>
      </c>
      <c r="K20" s="187">
        <v>17</v>
      </c>
      <c r="L20" s="197">
        <v>72</v>
      </c>
    </row>
    <row r="21" spans="1:13">
      <c r="A21" s="191">
        <v>18</v>
      </c>
      <c r="B21" s="190" t="s">
        <v>137</v>
      </c>
      <c r="C21" s="191">
        <f>0+CAL!Y17</f>
        <v>8</v>
      </c>
      <c r="D21" s="191">
        <f>0+CAL!Z17</f>
        <v>4</v>
      </c>
      <c r="E21" s="191">
        <f>0+CAL!A117</f>
        <v>0</v>
      </c>
      <c r="F21" s="191">
        <f>0+CAL!AB17</f>
        <v>4</v>
      </c>
      <c r="G21" s="191">
        <f>0+CAL!F17</f>
        <v>256</v>
      </c>
      <c r="H21" s="191">
        <f>0+CAL!G17</f>
        <v>218</v>
      </c>
      <c r="I21" s="191">
        <f>G21-H21</f>
        <v>38</v>
      </c>
      <c r="J21" s="191">
        <f>0+CAL!H17</f>
        <v>7</v>
      </c>
      <c r="K21" s="191">
        <f>0+CAL!I17</f>
        <v>1</v>
      </c>
      <c r="L21" s="185">
        <f>SUM(D21*4+E21*2+J21+K21)</f>
        <v>24</v>
      </c>
    </row>
    <row r="22" spans="1:13">
      <c r="A22" s="185">
        <v>19</v>
      </c>
      <c r="B22" s="190" t="s">
        <v>9</v>
      </c>
      <c r="C22" s="185">
        <f>32+ANT!Y17</f>
        <v>40</v>
      </c>
      <c r="D22" s="185">
        <f>0+ANT!Z17</f>
        <v>2</v>
      </c>
      <c r="E22" s="185">
        <f>0+ANT!AA17</f>
        <v>0</v>
      </c>
      <c r="F22" s="185">
        <f>32+ANT!AB17</f>
        <v>38</v>
      </c>
      <c r="G22" s="185">
        <f>605+ANT!F17</f>
        <v>801</v>
      </c>
      <c r="H22" s="185">
        <f>1246+ANT!G17</f>
        <v>1537</v>
      </c>
      <c r="I22" s="185">
        <f>G22-H22</f>
        <v>-736</v>
      </c>
      <c r="J22" s="185">
        <f>8+ANT!H17</f>
        <v>12</v>
      </c>
      <c r="K22" s="185">
        <f>4+ANT!I17</f>
        <v>4</v>
      </c>
      <c r="L22" s="185">
        <f t="shared" ref="L22" si="0">SUM(D22*4+E22*2+J22+K22)</f>
        <v>24</v>
      </c>
    </row>
    <row r="26" spans="1:13">
      <c r="A26" s="345" t="s">
        <v>30</v>
      </c>
      <c r="B26" s="345"/>
      <c r="C26" s="345"/>
      <c r="D26" s="345"/>
      <c r="E26" s="345"/>
      <c r="F26" s="345"/>
      <c r="G26" s="345"/>
      <c r="H26" s="345"/>
      <c r="I26" s="345"/>
      <c r="J26" s="345"/>
      <c r="K26" s="345"/>
      <c r="L26" s="345"/>
    </row>
    <row r="27" spans="1:13">
      <c r="A27" s="345"/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182" t="s">
        <v>155</v>
      </c>
    </row>
    <row r="28" spans="1:13">
      <c r="A28" s="183" t="s">
        <v>59</v>
      </c>
      <c r="B28" s="184" t="s">
        <v>132</v>
      </c>
      <c r="C28" s="183" t="s">
        <v>92</v>
      </c>
      <c r="D28" s="183" t="s">
        <v>62</v>
      </c>
      <c r="E28" s="183" t="s">
        <v>63</v>
      </c>
      <c r="F28" s="183" t="s">
        <v>64</v>
      </c>
      <c r="G28" s="183" t="s">
        <v>133</v>
      </c>
      <c r="H28" s="183" t="s">
        <v>134</v>
      </c>
      <c r="I28" s="183" t="s">
        <v>135</v>
      </c>
      <c r="J28" s="183" t="s">
        <v>88</v>
      </c>
      <c r="K28" s="183" t="s">
        <v>89</v>
      </c>
      <c r="L28" s="183" t="s">
        <v>136</v>
      </c>
    </row>
    <row r="29" spans="1:13">
      <c r="A29" s="185">
        <v>1</v>
      </c>
      <c r="B29" s="186" t="s">
        <v>154</v>
      </c>
      <c r="C29" s="187">
        <v>109</v>
      </c>
      <c r="D29" s="187">
        <v>70</v>
      </c>
      <c r="E29" s="187">
        <v>1</v>
      </c>
      <c r="F29" s="187">
        <v>38</v>
      </c>
      <c r="G29" s="187">
        <v>3202</v>
      </c>
      <c r="H29" s="187">
        <v>2585</v>
      </c>
      <c r="I29" s="187">
        <v>617</v>
      </c>
      <c r="J29" s="187">
        <v>63</v>
      </c>
      <c r="K29" s="187">
        <v>21</v>
      </c>
      <c r="L29" s="187">
        <f>SUM(D29*4+E29*2+J29+K29)</f>
        <v>366</v>
      </c>
      <c r="M29"/>
    </row>
    <row r="30" spans="1:13">
      <c r="A30" s="185">
        <v>2</v>
      </c>
      <c r="B30" s="188" t="s">
        <v>138</v>
      </c>
      <c r="C30" s="185">
        <f>109+SEA!Y15</f>
        <v>117</v>
      </c>
      <c r="D30" s="185">
        <f>62+SEA!Z15</f>
        <v>66</v>
      </c>
      <c r="E30" s="185">
        <f>2+SEA!AA15</f>
        <v>2</v>
      </c>
      <c r="F30" s="185">
        <f>45+SEA!AB15</f>
        <v>49</v>
      </c>
      <c r="G30" s="185">
        <f>3113+SEA!F15</f>
        <v>3355</v>
      </c>
      <c r="H30" s="185">
        <f>2713+SEA!G15</f>
        <v>2974</v>
      </c>
      <c r="I30" s="185">
        <f>G30-H30</f>
        <v>381</v>
      </c>
      <c r="J30" s="185">
        <f>55+SEA!H15</f>
        <v>59</v>
      </c>
      <c r="K30" s="185">
        <f>25+SEA!I15</f>
        <v>26</v>
      </c>
      <c r="L30" s="185">
        <f>SUM(D30*4+E30*2+J30+K30)</f>
        <v>353</v>
      </c>
      <c r="M30"/>
    </row>
    <row r="31" spans="1:13">
      <c r="A31" s="185">
        <v>3</v>
      </c>
      <c r="B31" s="188" t="s">
        <v>139</v>
      </c>
      <c r="C31" s="185">
        <f>85+NEW!Y15</f>
        <v>93</v>
      </c>
      <c r="D31" s="185">
        <f>60+NEW!Z15</f>
        <v>63</v>
      </c>
      <c r="E31" s="185">
        <f>0+NEW!AA15</f>
        <v>0</v>
      </c>
      <c r="F31" s="185">
        <f>25+NEW!AB15</f>
        <v>30</v>
      </c>
      <c r="G31" s="185">
        <f>2419+NEW!F15</f>
        <v>2587</v>
      </c>
      <c r="H31" s="185">
        <f>1795+NEW!G15</f>
        <v>2014</v>
      </c>
      <c r="I31" s="185">
        <f>G31-H31</f>
        <v>573</v>
      </c>
      <c r="J31" s="185">
        <f>47+NEW!H15</f>
        <v>49</v>
      </c>
      <c r="K31" s="185">
        <f>10+NEW!I15</f>
        <v>12</v>
      </c>
      <c r="L31" s="185">
        <f t="shared" ref="L31:L47" si="1">SUM(D31*4+E31*2+J31+K31)</f>
        <v>313</v>
      </c>
      <c r="M31"/>
    </row>
    <row r="32" spans="1:13">
      <c r="A32" s="185">
        <v>4</v>
      </c>
      <c r="B32" s="186" t="s">
        <v>141</v>
      </c>
      <c r="C32" s="187">
        <v>109</v>
      </c>
      <c r="D32" s="187">
        <v>49</v>
      </c>
      <c r="E32" s="187">
        <v>3</v>
      </c>
      <c r="F32" s="187">
        <v>58</v>
      </c>
      <c r="G32" s="187">
        <v>3103</v>
      </c>
      <c r="H32" s="187">
        <v>3119</v>
      </c>
      <c r="I32" s="187">
        <f t="shared" ref="I32:I47" si="2">G32-H32</f>
        <v>-16</v>
      </c>
      <c r="J32" s="187">
        <v>59</v>
      </c>
      <c r="K32" s="187">
        <v>31</v>
      </c>
      <c r="L32" s="187">
        <f t="shared" si="1"/>
        <v>292</v>
      </c>
      <c r="M32"/>
    </row>
    <row r="33" spans="1:13">
      <c r="A33" s="185">
        <v>5</v>
      </c>
      <c r="B33" s="186" t="s">
        <v>140</v>
      </c>
      <c r="C33" s="187">
        <v>109</v>
      </c>
      <c r="D33" s="187">
        <v>55</v>
      </c>
      <c r="E33" s="187">
        <v>0</v>
      </c>
      <c r="F33" s="187">
        <v>56</v>
      </c>
      <c r="G33" s="187">
        <v>2760</v>
      </c>
      <c r="H33" s="187">
        <v>2938</v>
      </c>
      <c r="I33" s="187">
        <f t="shared" si="2"/>
        <v>-178</v>
      </c>
      <c r="J33" s="187">
        <v>51</v>
      </c>
      <c r="K33" s="187">
        <v>19</v>
      </c>
      <c r="L33" s="187">
        <f t="shared" si="1"/>
        <v>290</v>
      </c>
      <c r="M33"/>
    </row>
    <row r="34" spans="1:13">
      <c r="A34" s="185">
        <v>6</v>
      </c>
      <c r="B34" s="186" t="s">
        <v>142</v>
      </c>
      <c r="C34" s="187">
        <v>109</v>
      </c>
      <c r="D34" s="187">
        <v>50</v>
      </c>
      <c r="E34" s="187">
        <v>1</v>
      </c>
      <c r="F34" s="187">
        <v>58</v>
      </c>
      <c r="G34" s="187">
        <v>2717</v>
      </c>
      <c r="H34" s="187">
        <v>2948</v>
      </c>
      <c r="I34" s="187">
        <f t="shared" si="2"/>
        <v>-231</v>
      </c>
      <c r="J34" s="187">
        <v>53</v>
      </c>
      <c r="K34" s="187">
        <v>24</v>
      </c>
      <c r="L34" s="187">
        <f t="shared" si="1"/>
        <v>279</v>
      </c>
      <c r="M34"/>
    </row>
    <row r="35" spans="1:13">
      <c r="A35" s="185">
        <v>7</v>
      </c>
      <c r="B35" s="188" t="s">
        <v>12</v>
      </c>
      <c r="C35" s="185">
        <f>85+OGDC!Y15</f>
        <v>93</v>
      </c>
      <c r="D35" s="185">
        <f>35+OGDC!Z15</f>
        <v>38</v>
      </c>
      <c r="E35" s="185">
        <f>4+OGDC!AA15</f>
        <v>4</v>
      </c>
      <c r="F35" s="185">
        <f>46+OGDC!AB15</f>
        <v>51</v>
      </c>
      <c r="G35" s="185">
        <f>2194+OGDC!F15</f>
        <v>2375</v>
      </c>
      <c r="H35" s="185">
        <f>2547+OGDC!G15</f>
        <v>2793</v>
      </c>
      <c r="I35" s="185">
        <f>G35-H35</f>
        <v>-418</v>
      </c>
      <c r="J35" s="185">
        <f>45+OGDC!H15</f>
        <v>47</v>
      </c>
      <c r="K35" s="185">
        <f>16+OGDC!I15</f>
        <v>17</v>
      </c>
      <c r="L35" s="185">
        <f>SUM(D35*4+E35*2+J35+K35)</f>
        <v>224</v>
      </c>
      <c r="M35"/>
    </row>
    <row r="36" spans="1:13">
      <c r="A36" s="185">
        <v>8</v>
      </c>
      <c r="B36" s="186" t="s">
        <v>143</v>
      </c>
      <c r="C36" s="187">
        <v>69</v>
      </c>
      <c r="D36" s="187">
        <v>43</v>
      </c>
      <c r="E36" s="187">
        <v>0</v>
      </c>
      <c r="F36" s="187">
        <v>26</v>
      </c>
      <c r="G36" s="187">
        <v>1856</v>
      </c>
      <c r="H36" s="187">
        <v>1665</v>
      </c>
      <c r="I36" s="187">
        <f t="shared" si="2"/>
        <v>191</v>
      </c>
      <c r="J36" s="187">
        <v>39</v>
      </c>
      <c r="K36" s="187">
        <v>10</v>
      </c>
      <c r="L36" s="187">
        <f t="shared" si="1"/>
        <v>221</v>
      </c>
      <c r="M36"/>
    </row>
    <row r="37" spans="1:13">
      <c r="A37" s="185">
        <v>9</v>
      </c>
      <c r="B37" s="186" t="s">
        <v>144</v>
      </c>
      <c r="C37" s="187">
        <v>69</v>
      </c>
      <c r="D37" s="187">
        <v>29</v>
      </c>
      <c r="E37" s="187">
        <v>2</v>
      </c>
      <c r="F37" s="187">
        <v>38</v>
      </c>
      <c r="G37" s="187">
        <v>1754</v>
      </c>
      <c r="H37" s="187">
        <v>1854</v>
      </c>
      <c r="I37" s="187">
        <f t="shared" si="2"/>
        <v>-100</v>
      </c>
      <c r="J37" s="187">
        <v>27</v>
      </c>
      <c r="K37" s="187">
        <v>16</v>
      </c>
      <c r="L37" s="187">
        <f t="shared" si="1"/>
        <v>163</v>
      </c>
      <c r="M37"/>
    </row>
    <row r="38" spans="1:13">
      <c r="A38" s="185">
        <v>10</v>
      </c>
      <c r="B38" s="188" t="s">
        <v>147</v>
      </c>
      <c r="C38" s="185">
        <f>48+CHI!Y15</f>
        <v>56</v>
      </c>
      <c r="D38" s="185">
        <f>22+CHI!Z15</f>
        <v>30</v>
      </c>
      <c r="E38" s="185">
        <f>1+CHI!AA15</f>
        <v>1</v>
      </c>
      <c r="F38" s="185">
        <f>25+CHI!AB15</f>
        <v>25</v>
      </c>
      <c r="G38" s="185">
        <f>1203+CHI!F15</f>
        <v>1596</v>
      </c>
      <c r="H38" s="185">
        <f>1237+CHI!G15</f>
        <v>1438</v>
      </c>
      <c r="I38" s="185">
        <f>G38-H38</f>
        <v>158</v>
      </c>
      <c r="J38" s="185">
        <f>18+CHI!H15</f>
        <v>26</v>
      </c>
      <c r="K38" s="185">
        <f>10+CHI!I15</f>
        <v>10</v>
      </c>
      <c r="L38" s="185">
        <f>SUM(D38*4+E38*2+J38+K38)</f>
        <v>158</v>
      </c>
      <c r="M38"/>
    </row>
    <row r="39" spans="1:13">
      <c r="A39" s="185">
        <v>11</v>
      </c>
      <c r="B39" s="186" t="s">
        <v>145</v>
      </c>
      <c r="C39" s="187">
        <v>53</v>
      </c>
      <c r="D39" s="187">
        <v>29</v>
      </c>
      <c r="E39" s="187">
        <v>1</v>
      </c>
      <c r="F39" s="187">
        <v>23</v>
      </c>
      <c r="G39" s="187">
        <v>1359</v>
      </c>
      <c r="H39" s="187">
        <v>1199</v>
      </c>
      <c r="I39" s="187">
        <f t="shared" si="2"/>
        <v>160</v>
      </c>
      <c r="J39" s="187">
        <v>27</v>
      </c>
      <c r="K39" s="187">
        <v>10</v>
      </c>
      <c r="L39" s="187">
        <f t="shared" si="1"/>
        <v>155</v>
      </c>
      <c r="M39"/>
    </row>
    <row r="40" spans="1:13">
      <c r="A40" s="185">
        <v>12</v>
      </c>
      <c r="B40" s="186" t="s">
        <v>146</v>
      </c>
      <c r="C40" s="187">
        <v>61</v>
      </c>
      <c r="D40" s="187">
        <v>25</v>
      </c>
      <c r="E40" s="187">
        <v>1</v>
      </c>
      <c r="F40" s="187">
        <v>35</v>
      </c>
      <c r="G40" s="187">
        <v>1457</v>
      </c>
      <c r="H40" s="187">
        <v>1421</v>
      </c>
      <c r="I40" s="187">
        <f t="shared" si="2"/>
        <v>36</v>
      </c>
      <c r="J40" s="187">
        <v>24</v>
      </c>
      <c r="K40" s="187">
        <v>9</v>
      </c>
      <c r="L40" s="187">
        <f t="shared" si="1"/>
        <v>135</v>
      </c>
      <c r="M40"/>
    </row>
    <row r="41" spans="1:13">
      <c r="A41" s="185">
        <v>13</v>
      </c>
      <c r="B41" s="186" t="s">
        <v>148</v>
      </c>
      <c r="C41" s="187">
        <v>32</v>
      </c>
      <c r="D41" s="187">
        <v>23</v>
      </c>
      <c r="E41" s="187">
        <v>0</v>
      </c>
      <c r="F41" s="187">
        <v>9</v>
      </c>
      <c r="G41" s="187">
        <v>988</v>
      </c>
      <c r="H41" s="187">
        <v>588</v>
      </c>
      <c r="I41" s="187">
        <f t="shared" si="2"/>
        <v>400</v>
      </c>
      <c r="J41" s="187">
        <v>20</v>
      </c>
      <c r="K41" s="187">
        <v>5</v>
      </c>
      <c r="L41" s="187">
        <f t="shared" si="1"/>
        <v>117</v>
      </c>
      <c r="M41"/>
    </row>
    <row r="42" spans="1:13">
      <c r="A42" s="185">
        <v>14</v>
      </c>
      <c r="B42" s="186" t="s">
        <v>149</v>
      </c>
      <c r="C42" s="187">
        <v>29</v>
      </c>
      <c r="D42" s="187">
        <v>16</v>
      </c>
      <c r="E42" s="187">
        <v>2</v>
      </c>
      <c r="F42" s="187">
        <v>11</v>
      </c>
      <c r="G42" s="187">
        <v>803</v>
      </c>
      <c r="H42" s="187">
        <v>758</v>
      </c>
      <c r="I42" s="187">
        <f t="shared" si="2"/>
        <v>45</v>
      </c>
      <c r="J42" s="187">
        <v>17</v>
      </c>
      <c r="K42" s="187">
        <v>3</v>
      </c>
      <c r="L42" s="187">
        <f t="shared" si="1"/>
        <v>88</v>
      </c>
      <c r="M42"/>
    </row>
    <row r="43" spans="1:13">
      <c r="A43" s="185">
        <v>15</v>
      </c>
      <c r="B43" s="186" t="s">
        <v>150</v>
      </c>
      <c r="C43" s="187">
        <v>32</v>
      </c>
      <c r="D43" s="187">
        <v>13</v>
      </c>
      <c r="E43" s="187">
        <v>2</v>
      </c>
      <c r="F43" s="187">
        <v>17</v>
      </c>
      <c r="G43" s="187">
        <v>868</v>
      </c>
      <c r="H43" s="187">
        <v>970</v>
      </c>
      <c r="I43" s="187">
        <f t="shared" si="2"/>
        <v>-102</v>
      </c>
      <c r="J43" s="187">
        <v>22</v>
      </c>
      <c r="K43" s="187">
        <v>5</v>
      </c>
      <c r="L43" s="187">
        <f t="shared" si="1"/>
        <v>83</v>
      </c>
      <c r="M43"/>
    </row>
    <row r="44" spans="1:13">
      <c r="A44" s="185">
        <v>16</v>
      </c>
      <c r="B44" s="186" t="s">
        <v>151</v>
      </c>
      <c r="C44" s="187">
        <v>32</v>
      </c>
      <c r="D44" s="187">
        <v>14</v>
      </c>
      <c r="E44" s="187">
        <v>0</v>
      </c>
      <c r="F44" s="187">
        <v>18</v>
      </c>
      <c r="G44" s="187">
        <v>715</v>
      </c>
      <c r="H44" s="187">
        <v>831</v>
      </c>
      <c r="I44" s="187">
        <f t="shared" si="2"/>
        <v>-116</v>
      </c>
      <c r="J44" s="187">
        <v>10</v>
      </c>
      <c r="K44" s="187">
        <v>7</v>
      </c>
      <c r="L44" s="187">
        <f t="shared" si="1"/>
        <v>73</v>
      </c>
      <c r="M44"/>
    </row>
    <row r="45" spans="1:13">
      <c r="A45" s="185">
        <v>17</v>
      </c>
      <c r="B45" s="186" t="s">
        <v>152</v>
      </c>
      <c r="C45" s="187">
        <v>48</v>
      </c>
      <c r="D45" s="187">
        <v>8</v>
      </c>
      <c r="E45" s="187">
        <v>0</v>
      </c>
      <c r="F45" s="187">
        <v>40</v>
      </c>
      <c r="G45" s="187">
        <v>958</v>
      </c>
      <c r="H45" s="187">
        <v>1660</v>
      </c>
      <c r="I45" s="187">
        <f t="shared" si="2"/>
        <v>-702</v>
      </c>
      <c r="J45" s="187">
        <v>19</v>
      </c>
      <c r="K45" s="187">
        <v>17</v>
      </c>
      <c r="L45" s="187">
        <f t="shared" si="1"/>
        <v>68</v>
      </c>
      <c r="M45"/>
    </row>
    <row r="46" spans="1:13">
      <c r="A46" s="185">
        <v>18</v>
      </c>
      <c r="B46" s="188" t="s">
        <v>137</v>
      </c>
      <c r="C46" s="185">
        <f>0+CAL!Y15</f>
        <v>8</v>
      </c>
      <c r="D46" s="185">
        <f>0+CAL!Z15</f>
        <v>4</v>
      </c>
      <c r="E46" s="185">
        <f>0+CAL!AA15</f>
        <v>0</v>
      </c>
      <c r="F46" s="185">
        <f>0+CAL!AB15</f>
        <v>4</v>
      </c>
      <c r="G46" s="185">
        <f>0+CAL!F15</f>
        <v>256</v>
      </c>
      <c r="H46" s="185">
        <f>0+CAL!G15</f>
        <v>218</v>
      </c>
      <c r="I46" s="185">
        <f>G46-H46</f>
        <v>38</v>
      </c>
      <c r="J46" s="185">
        <f>0+CAL!H15</f>
        <v>7</v>
      </c>
      <c r="K46" s="185">
        <f>0+CAL!I15</f>
        <v>1</v>
      </c>
      <c r="L46" s="185">
        <f>SUM(D46*4+E46*2+J46+K46)</f>
        <v>24</v>
      </c>
      <c r="M46"/>
    </row>
    <row r="47" spans="1:13">
      <c r="A47" s="185">
        <v>19</v>
      </c>
      <c r="B47" s="188" t="s">
        <v>9</v>
      </c>
      <c r="C47" s="185">
        <f>32+ANT!Y15</f>
        <v>40</v>
      </c>
      <c r="D47" s="185">
        <f>0+ANT!Z15</f>
        <v>2</v>
      </c>
      <c r="E47" s="185">
        <f>0+ANT!AA15</f>
        <v>0</v>
      </c>
      <c r="F47" s="185">
        <f>32+ANT!AB15</f>
        <v>38</v>
      </c>
      <c r="G47" s="185">
        <f>605+ANT!F15</f>
        <v>801</v>
      </c>
      <c r="H47" s="185">
        <f>1246+ANT!G15</f>
        <v>1537</v>
      </c>
      <c r="I47" s="185">
        <f t="shared" si="2"/>
        <v>-736</v>
      </c>
      <c r="J47" s="185">
        <f>8+ANT!H15</f>
        <v>12</v>
      </c>
      <c r="K47" s="185">
        <f>4+ANT!I15</f>
        <v>4</v>
      </c>
      <c r="L47" s="185">
        <f t="shared" si="1"/>
        <v>24</v>
      </c>
      <c r="M47"/>
    </row>
    <row r="51" spans="1:15">
      <c r="A51" s="345" t="s">
        <v>38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  <c r="L51" s="345"/>
    </row>
    <row r="52" spans="1:15">
      <c r="A52" s="345"/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182" t="s">
        <v>155</v>
      </c>
    </row>
    <row r="53" spans="1:15">
      <c r="A53" s="183" t="s">
        <v>59</v>
      </c>
      <c r="B53" s="184" t="s">
        <v>132</v>
      </c>
      <c r="C53" s="183" t="s">
        <v>92</v>
      </c>
      <c r="D53" s="183" t="s">
        <v>62</v>
      </c>
      <c r="E53" s="183" t="s">
        <v>64</v>
      </c>
      <c r="F53" s="183" t="s">
        <v>133</v>
      </c>
      <c r="G53" s="183" t="s">
        <v>134</v>
      </c>
      <c r="H53" s="183" t="s">
        <v>135</v>
      </c>
      <c r="I53" s="192" t="s">
        <v>156</v>
      </c>
      <c r="J53" s="183" t="s">
        <v>104</v>
      </c>
      <c r="K53" s="183" t="s">
        <v>158</v>
      </c>
      <c r="L53" s="183" t="s">
        <v>157</v>
      </c>
    </row>
    <row r="54" spans="1:15" ht="18.350000000000001">
      <c r="A54" s="185">
        <v>1</v>
      </c>
      <c r="B54" s="193" t="s">
        <v>138</v>
      </c>
      <c r="C54" s="185">
        <f>13+SEA!Y16</f>
        <v>13</v>
      </c>
      <c r="D54" s="185">
        <f>9+SEA!Z16</f>
        <v>9</v>
      </c>
      <c r="E54" s="185">
        <f>4+SEA!AA16</f>
        <v>4</v>
      </c>
      <c r="F54" s="185">
        <f>358+SEA!F16</f>
        <v>358</v>
      </c>
      <c r="G54" s="185">
        <f>313+SEA!G16</f>
        <v>313</v>
      </c>
      <c r="H54" s="185">
        <f>F54-G54</f>
        <v>45</v>
      </c>
      <c r="I54" s="185">
        <v>1</v>
      </c>
      <c r="J54" s="185">
        <v>1</v>
      </c>
      <c r="K54" s="185">
        <v>2</v>
      </c>
      <c r="L54" s="194">
        <v>2</v>
      </c>
      <c r="M54" s="181"/>
      <c r="N54" s="180"/>
      <c r="O54" s="179"/>
    </row>
    <row r="55" spans="1:15" ht="18.350000000000001">
      <c r="A55" s="185">
        <v>2</v>
      </c>
      <c r="B55" s="193" t="s">
        <v>139</v>
      </c>
      <c r="C55" s="185">
        <f>9+NEW!Y16</f>
        <v>9</v>
      </c>
      <c r="D55" s="185">
        <f>8+NEW!Z16</f>
        <v>8</v>
      </c>
      <c r="E55" s="185">
        <f>1+NEW!AA16</f>
        <v>1</v>
      </c>
      <c r="F55" s="185">
        <f>223+NEW!F16</f>
        <v>223</v>
      </c>
      <c r="G55" s="185">
        <f>164+NEW!G16</f>
        <v>164</v>
      </c>
      <c r="H55" s="185">
        <f t="shared" ref="H55:H69" si="3">F55-G55</f>
        <v>59</v>
      </c>
      <c r="I55" s="185">
        <v>0</v>
      </c>
      <c r="J55" s="185">
        <v>1</v>
      </c>
      <c r="K55" s="185">
        <v>0</v>
      </c>
      <c r="L55" s="194">
        <v>3</v>
      </c>
      <c r="M55" s="181"/>
      <c r="N55" s="180"/>
      <c r="O55" s="179"/>
    </row>
    <row r="56" spans="1:15" ht="18.350000000000001">
      <c r="A56" s="185">
        <v>3</v>
      </c>
      <c r="B56" s="195" t="s">
        <v>143</v>
      </c>
      <c r="C56" s="187">
        <v>6</v>
      </c>
      <c r="D56" s="187">
        <v>3</v>
      </c>
      <c r="E56" s="187">
        <v>3</v>
      </c>
      <c r="F56" s="187">
        <v>144</v>
      </c>
      <c r="G56" s="187">
        <v>121</v>
      </c>
      <c r="H56" s="187">
        <f t="shared" si="3"/>
        <v>23</v>
      </c>
      <c r="I56" s="187">
        <v>1</v>
      </c>
      <c r="J56" s="187">
        <v>2</v>
      </c>
      <c r="K56" s="187">
        <v>0</v>
      </c>
      <c r="L56" s="196">
        <v>1</v>
      </c>
      <c r="M56" s="181"/>
      <c r="N56" s="180"/>
      <c r="O56" s="179"/>
    </row>
    <row r="57" spans="1:15" ht="18.350000000000001">
      <c r="A57" s="185">
        <v>4</v>
      </c>
      <c r="B57" s="195" t="s">
        <v>140</v>
      </c>
      <c r="C57" s="187">
        <v>6</v>
      </c>
      <c r="D57" s="187">
        <v>2</v>
      </c>
      <c r="E57" s="187">
        <v>4</v>
      </c>
      <c r="F57" s="187">
        <v>157</v>
      </c>
      <c r="G57" s="187">
        <v>185</v>
      </c>
      <c r="H57" s="187">
        <f t="shared" si="3"/>
        <v>-28</v>
      </c>
      <c r="I57" s="187">
        <v>1</v>
      </c>
      <c r="J57" s="187">
        <v>1</v>
      </c>
      <c r="K57" s="187">
        <v>1</v>
      </c>
      <c r="L57" s="196">
        <v>0</v>
      </c>
      <c r="M57" s="181"/>
      <c r="N57" s="180"/>
      <c r="O57" s="179"/>
    </row>
    <row r="58" spans="1:15" ht="18.350000000000001">
      <c r="A58" s="185">
        <v>4</v>
      </c>
      <c r="B58" s="195" t="s">
        <v>154</v>
      </c>
      <c r="C58" s="187">
        <v>7</v>
      </c>
      <c r="D58" s="187">
        <v>2</v>
      </c>
      <c r="E58" s="187">
        <v>5</v>
      </c>
      <c r="F58" s="187">
        <v>174</v>
      </c>
      <c r="G58" s="187">
        <v>194</v>
      </c>
      <c r="H58" s="187">
        <f t="shared" si="3"/>
        <v>-20</v>
      </c>
      <c r="I58" s="187">
        <v>2</v>
      </c>
      <c r="J58" s="187">
        <v>1</v>
      </c>
      <c r="K58" s="187">
        <v>2</v>
      </c>
      <c r="L58" s="196">
        <v>0</v>
      </c>
      <c r="M58" s="181"/>
      <c r="N58" s="180"/>
      <c r="O58" s="179"/>
    </row>
    <row r="59" spans="1:15" ht="18.350000000000001">
      <c r="A59" s="185">
        <v>5</v>
      </c>
      <c r="B59" s="193" t="s">
        <v>147</v>
      </c>
      <c r="C59" s="185">
        <f>4+CHI!Y16</f>
        <v>4</v>
      </c>
      <c r="D59" s="185">
        <f>2+CHI!Z16</f>
        <v>2</v>
      </c>
      <c r="E59" s="185">
        <f>2+CHI!AA16</f>
        <v>2</v>
      </c>
      <c r="F59" s="185">
        <f>109+CHI!F16</f>
        <v>109</v>
      </c>
      <c r="G59" s="185">
        <f>81+CHI!G16</f>
        <v>81</v>
      </c>
      <c r="H59" s="185">
        <f t="shared" si="3"/>
        <v>28</v>
      </c>
      <c r="I59" s="185">
        <v>0</v>
      </c>
      <c r="J59" s="185">
        <v>2</v>
      </c>
      <c r="K59" s="185">
        <v>0</v>
      </c>
      <c r="L59" s="194">
        <v>0</v>
      </c>
      <c r="M59" s="181"/>
      <c r="N59" s="180"/>
      <c r="O59" s="179"/>
    </row>
    <row r="60" spans="1:15" ht="18.350000000000001">
      <c r="A60" s="185">
        <v>6</v>
      </c>
      <c r="B60" s="195" t="s">
        <v>148</v>
      </c>
      <c r="C60" s="187">
        <v>2</v>
      </c>
      <c r="D60" s="187">
        <v>2</v>
      </c>
      <c r="E60" s="187">
        <v>0</v>
      </c>
      <c r="F60" s="187">
        <v>48</v>
      </c>
      <c r="G60" s="187">
        <v>30</v>
      </c>
      <c r="H60" s="187">
        <f t="shared" si="3"/>
        <v>18</v>
      </c>
      <c r="I60" s="187">
        <v>0</v>
      </c>
      <c r="J60" s="187">
        <v>0</v>
      </c>
      <c r="K60" s="187">
        <v>0</v>
      </c>
      <c r="L60" s="196">
        <v>1</v>
      </c>
      <c r="M60" s="181"/>
      <c r="N60" s="180"/>
      <c r="O60" s="179"/>
    </row>
    <row r="61" spans="1:15" ht="18.350000000000001">
      <c r="A61" s="185">
        <v>7</v>
      </c>
      <c r="B61" s="193" t="s">
        <v>12</v>
      </c>
      <c r="C61" s="185">
        <f>4+OGDC!Y16</f>
        <v>4</v>
      </c>
      <c r="D61" s="185">
        <f>1+OGDC!Z16</f>
        <v>1</v>
      </c>
      <c r="E61" s="185">
        <f>3+OGDC!AA16</f>
        <v>3</v>
      </c>
      <c r="F61" s="185">
        <f>89+OGDC!F16</f>
        <v>89</v>
      </c>
      <c r="G61" s="185">
        <f>118+OGDC!G16</f>
        <v>118</v>
      </c>
      <c r="H61" s="185">
        <f t="shared" si="3"/>
        <v>-29</v>
      </c>
      <c r="I61" s="185">
        <v>2</v>
      </c>
      <c r="J61" s="185">
        <v>1</v>
      </c>
      <c r="K61" s="185">
        <v>0</v>
      </c>
      <c r="L61" s="194">
        <v>0</v>
      </c>
      <c r="M61" s="181"/>
      <c r="N61" s="180"/>
      <c r="O61" s="179"/>
    </row>
    <row r="62" spans="1:15" ht="18.350000000000001">
      <c r="A62" s="185">
        <v>9</v>
      </c>
      <c r="B62" s="195" t="s">
        <v>149</v>
      </c>
      <c r="C62" s="187">
        <v>2</v>
      </c>
      <c r="D62" s="187">
        <v>1</v>
      </c>
      <c r="E62" s="187">
        <v>1</v>
      </c>
      <c r="F62" s="187">
        <v>53</v>
      </c>
      <c r="G62" s="187">
        <v>44</v>
      </c>
      <c r="H62" s="187">
        <f t="shared" si="3"/>
        <v>9</v>
      </c>
      <c r="I62" s="187">
        <v>0</v>
      </c>
      <c r="J62" s="187">
        <v>0</v>
      </c>
      <c r="K62" s="187">
        <v>1</v>
      </c>
      <c r="L62" s="196">
        <v>0</v>
      </c>
      <c r="M62" s="181"/>
      <c r="N62" s="180"/>
      <c r="O62" s="179"/>
    </row>
    <row r="63" spans="1:15" ht="18.350000000000001">
      <c r="A63" s="185">
        <v>10</v>
      </c>
      <c r="B63" s="195" t="s">
        <v>152</v>
      </c>
      <c r="C63" s="187">
        <v>2</v>
      </c>
      <c r="D63" s="187">
        <v>1</v>
      </c>
      <c r="E63" s="187">
        <v>1</v>
      </c>
      <c r="F63" s="187">
        <v>59</v>
      </c>
      <c r="G63" s="187">
        <v>50</v>
      </c>
      <c r="H63" s="187">
        <f t="shared" si="3"/>
        <v>9</v>
      </c>
      <c r="I63" s="187">
        <v>0</v>
      </c>
      <c r="J63" s="187">
        <v>1</v>
      </c>
      <c r="K63" s="187">
        <v>0</v>
      </c>
      <c r="L63" s="196">
        <v>0</v>
      </c>
      <c r="M63" s="181"/>
      <c r="N63" s="180"/>
      <c r="O63" s="179"/>
    </row>
    <row r="64" spans="1:15" ht="18.350000000000001">
      <c r="A64" s="185">
        <v>11</v>
      </c>
      <c r="B64" s="195" t="s">
        <v>141</v>
      </c>
      <c r="C64" s="187">
        <v>4</v>
      </c>
      <c r="D64" s="187">
        <v>1</v>
      </c>
      <c r="E64" s="187">
        <v>3</v>
      </c>
      <c r="F64" s="187">
        <v>76</v>
      </c>
      <c r="G64" s="187">
        <v>105</v>
      </c>
      <c r="H64" s="187">
        <f t="shared" si="3"/>
        <v>-29</v>
      </c>
      <c r="I64" s="187">
        <v>0</v>
      </c>
      <c r="J64" s="187">
        <v>3</v>
      </c>
      <c r="K64" s="187">
        <v>0</v>
      </c>
      <c r="L64" s="196">
        <v>0</v>
      </c>
      <c r="M64" s="181"/>
      <c r="N64" s="180"/>
      <c r="O64" s="179"/>
    </row>
    <row r="65" spans="1:15" ht="18.350000000000001">
      <c r="A65" s="185">
        <v>12</v>
      </c>
      <c r="B65" s="195" t="s">
        <v>145</v>
      </c>
      <c r="C65" s="187">
        <v>3</v>
      </c>
      <c r="D65" s="187">
        <v>1</v>
      </c>
      <c r="E65" s="187">
        <v>2</v>
      </c>
      <c r="F65" s="187">
        <v>46</v>
      </c>
      <c r="G65" s="187">
        <v>66</v>
      </c>
      <c r="H65" s="187">
        <f t="shared" si="3"/>
        <v>-20</v>
      </c>
      <c r="I65" s="187">
        <v>1</v>
      </c>
      <c r="J65" s="187">
        <v>0</v>
      </c>
      <c r="K65" s="187">
        <v>1</v>
      </c>
      <c r="L65" s="196">
        <v>0</v>
      </c>
      <c r="M65" s="181"/>
      <c r="N65" s="180"/>
      <c r="O65" s="179"/>
    </row>
    <row r="66" spans="1:15" ht="18.350000000000001">
      <c r="A66" s="185">
        <v>13</v>
      </c>
      <c r="B66" s="195" t="s">
        <v>150</v>
      </c>
      <c r="C66" s="187">
        <v>1</v>
      </c>
      <c r="D66" s="187">
        <v>0</v>
      </c>
      <c r="E66" s="187">
        <v>1</v>
      </c>
      <c r="F66" s="187">
        <v>21</v>
      </c>
      <c r="G66" s="187">
        <v>27</v>
      </c>
      <c r="H66" s="187">
        <f t="shared" si="3"/>
        <v>-6</v>
      </c>
      <c r="I66" s="187">
        <v>1</v>
      </c>
      <c r="J66" s="187">
        <v>0</v>
      </c>
      <c r="K66" s="187">
        <v>0</v>
      </c>
      <c r="L66" s="196">
        <v>0</v>
      </c>
      <c r="M66" s="181"/>
      <c r="N66" s="180"/>
      <c r="O66" s="179"/>
    </row>
    <row r="67" spans="1:15" ht="18.350000000000001">
      <c r="A67" s="185">
        <v>14</v>
      </c>
      <c r="B67" s="195" t="s">
        <v>144</v>
      </c>
      <c r="C67" s="187">
        <v>1</v>
      </c>
      <c r="D67" s="187">
        <v>0</v>
      </c>
      <c r="E67" s="187">
        <v>1</v>
      </c>
      <c r="F67" s="187">
        <v>17</v>
      </c>
      <c r="G67" s="187">
        <v>30</v>
      </c>
      <c r="H67" s="187">
        <f t="shared" si="3"/>
        <v>-13</v>
      </c>
      <c r="I67" s="187">
        <v>0</v>
      </c>
      <c r="J67" s="187">
        <v>1</v>
      </c>
      <c r="K67" s="187">
        <v>0</v>
      </c>
      <c r="L67" s="196">
        <v>0</v>
      </c>
      <c r="M67" s="181"/>
      <c r="N67" s="180"/>
      <c r="O67" s="179"/>
    </row>
    <row r="68" spans="1:15" ht="18.350000000000001">
      <c r="A68" s="185">
        <v>15</v>
      </c>
      <c r="B68" s="195" t="s">
        <v>151</v>
      </c>
      <c r="C68" s="187">
        <v>1</v>
      </c>
      <c r="D68" s="187">
        <v>0</v>
      </c>
      <c r="E68" s="187">
        <v>1</v>
      </c>
      <c r="F68" s="187">
        <v>10</v>
      </c>
      <c r="G68" s="187">
        <v>32</v>
      </c>
      <c r="H68" s="187">
        <f t="shared" si="3"/>
        <v>-22</v>
      </c>
      <c r="I68" s="187">
        <v>1</v>
      </c>
      <c r="J68" s="187">
        <v>0</v>
      </c>
      <c r="K68" s="187">
        <v>0</v>
      </c>
      <c r="L68" s="196">
        <v>0</v>
      </c>
      <c r="M68" s="181"/>
      <c r="N68" s="180"/>
      <c r="O68" s="179"/>
    </row>
    <row r="69" spans="1:15" ht="18.350000000000001">
      <c r="A69" s="185">
        <v>16</v>
      </c>
      <c r="B69" s="195" t="s">
        <v>142</v>
      </c>
      <c r="C69" s="187">
        <v>1</v>
      </c>
      <c r="D69" s="187">
        <v>0</v>
      </c>
      <c r="E69" s="187">
        <v>1</v>
      </c>
      <c r="F69" s="187">
        <v>21</v>
      </c>
      <c r="G69" s="187">
        <v>45</v>
      </c>
      <c r="H69" s="187">
        <f t="shared" si="3"/>
        <v>-24</v>
      </c>
      <c r="I69" s="187">
        <v>1</v>
      </c>
      <c r="J69" s="187">
        <v>0</v>
      </c>
      <c r="K69" s="187">
        <v>0</v>
      </c>
      <c r="L69" s="196">
        <v>0</v>
      </c>
      <c r="M69" s="181"/>
      <c r="N69" s="180"/>
      <c r="O69" s="179"/>
    </row>
  </sheetData>
  <mergeCells count="3">
    <mergeCell ref="A1:L2"/>
    <mergeCell ref="A26:L27"/>
    <mergeCell ref="A51:L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76FC-272F-0443-9BFE-0751B393F86E}">
  <dimension ref="A1:AW35"/>
  <sheetViews>
    <sheetView zoomScale="125" zoomScaleNormal="80" workbookViewId="0">
      <selection sqref="A1:D1"/>
    </sheetView>
  </sheetViews>
  <sheetFormatPr defaultColWidth="11.5546875" defaultRowHeight="16.3"/>
  <cols>
    <col min="1" max="1" width="8" style="15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style="3" bestFit="1" customWidth="1"/>
    <col min="43" max="44" width="10.77734375" style="3"/>
    <col min="45" max="45" width="15.109375" style="3" bestFit="1" customWidth="1"/>
    <col min="46" max="47" width="10.77734375" style="3"/>
    <col min="48" max="48" width="12.44140625" style="3" bestFit="1" customWidth="1"/>
    <col min="49" max="49" width="10.77734375" style="3"/>
  </cols>
  <sheetData>
    <row r="1" spans="1:49" ht="17" thickBot="1">
      <c r="A1" s="276" t="s">
        <v>99</v>
      </c>
      <c r="B1" s="277"/>
      <c r="C1" s="277"/>
      <c r="D1" s="278"/>
      <c r="E1" s="279" t="s">
        <v>71</v>
      </c>
      <c r="F1" s="280"/>
      <c r="G1" s="281"/>
      <c r="H1" s="279" t="s">
        <v>72</v>
      </c>
      <c r="I1" s="281"/>
      <c r="J1" s="282" t="s">
        <v>73</v>
      </c>
      <c r="K1" s="283"/>
      <c r="L1" s="283"/>
      <c r="M1" s="284"/>
      <c r="N1" s="282" t="s">
        <v>74</v>
      </c>
      <c r="O1" s="284"/>
      <c r="P1" s="282" t="s">
        <v>75</v>
      </c>
      <c r="Q1" s="283"/>
      <c r="R1" s="284"/>
      <c r="S1" s="198" t="s">
        <v>76</v>
      </c>
      <c r="T1" s="198" t="s">
        <v>2</v>
      </c>
      <c r="U1" s="199" t="s">
        <v>77</v>
      </c>
      <c r="V1" s="200" t="s">
        <v>184</v>
      </c>
      <c r="W1" s="200" t="s">
        <v>78</v>
      </c>
      <c r="X1" s="201" t="s">
        <v>79</v>
      </c>
      <c r="Y1" s="273" t="s">
        <v>80</v>
      </c>
      <c r="Z1" s="274"/>
      <c r="AA1" s="274"/>
      <c r="AB1" s="275"/>
      <c r="AC1" s="273" t="s">
        <v>81</v>
      </c>
      <c r="AD1" s="274"/>
      <c r="AE1" s="274"/>
      <c r="AF1" s="275"/>
      <c r="AG1" s="273" t="s">
        <v>1</v>
      </c>
      <c r="AH1" s="274"/>
      <c r="AI1" s="274"/>
      <c r="AJ1" s="275"/>
      <c r="AK1" s="273" t="s">
        <v>82</v>
      </c>
      <c r="AL1" s="274"/>
      <c r="AM1" s="274"/>
      <c r="AN1" s="275"/>
      <c r="AP1" s="8" t="s">
        <v>107</v>
      </c>
      <c r="AS1" s="2" t="s">
        <v>30</v>
      </c>
      <c r="AV1" s="2" t="s">
        <v>106</v>
      </c>
    </row>
    <row r="2" spans="1:49" ht="17" thickBot="1">
      <c r="A2" s="202" t="s">
        <v>83</v>
      </c>
      <c r="B2" s="203" t="s">
        <v>84</v>
      </c>
      <c r="C2" s="204" t="s">
        <v>85</v>
      </c>
      <c r="D2" s="204" t="s">
        <v>86</v>
      </c>
      <c r="E2" s="205" t="s">
        <v>87</v>
      </c>
      <c r="F2" s="205" t="s">
        <v>49</v>
      </c>
      <c r="G2" s="205" t="s">
        <v>50</v>
      </c>
      <c r="H2" s="206" t="s">
        <v>88</v>
      </c>
      <c r="I2" s="206" t="s">
        <v>89</v>
      </c>
      <c r="J2" s="206" t="s">
        <v>90</v>
      </c>
      <c r="K2" s="206" t="s">
        <v>91</v>
      </c>
      <c r="L2" s="206" t="s">
        <v>63</v>
      </c>
      <c r="M2" s="206" t="s">
        <v>92</v>
      </c>
      <c r="N2" s="206" t="s">
        <v>93</v>
      </c>
      <c r="O2" s="206" t="s">
        <v>87</v>
      </c>
      <c r="P2" s="206" t="s">
        <v>88</v>
      </c>
      <c r="Q2" s="206" t="s">
        <v>89</v>
      </c>
      <c r="R2" s="206" t="s">
        <v>90</v>
      </c>
      <c r="S2" s="207"/>
      <c r="T2" s="208"/>
      <c r="U2" s="209"/>
      <c r="V2" s="207"/>
      <c r="W2" s="210"/>
      <c r="X2" s="211"/>
      <c r="Y2" s="212" t="s">
        <v>94</v>
      </c>
      <c r="Z2" s="212" t="s">
        <v>62</v>
      </c>
      <c r="AA2" s="212" t="s">
        <v>63</v>
      </c>
      <c r="AB2" s="212" t="s">
        <v>64</v>
      </c>
      <c r="AC2" s="212" t="s">
        <v>94</v>
      </c>
      <c r="AD2" s="212" t="s">
        <v>62</v>
      </c>
      <c r="AE2" s="212" t="s">
        <v>63</v>
      </c>
      <c r="AF2" s="212" t="s">
        <v>64</v>
      </c>
      <c r="AG2" s="212" t="s">
        <v>94</v>
      </c>
      <c r="AH2" s="212" t="s">
        <v>62</v>
      </c>
      <c r="AI2" s="212" t="s">
        <v>63</v>
      </c>
      <c r="AJ2" s="212" t="s">
        <v>64</v>
      </c>
      <c r="AK2" s="212" t="s">
        <v>94</v>
      </c>
      <c r="AL2" s="212" t="s">
        <v>62</v>
      </c>
      <c r="AM2" s="212" t="s">
        <v>63</v>
      </c>
      <c r="AN2" s="213" t="s">
        <v>64</v>
      </c>
      <c r="AP2" s="175" t="s">
        <v>108</v>
      </c>
      <c r="AQ2" s="52">
        <f>Y17</f>
        <v>8</v>
      </c>
      <c r="AS2" s="50" t="s">
        <v>108</v>
      </c>
      <c r="AT2" s="52">
        <f>Y15</f>
        <v>8</v>
      </c>
      <c r="AV2" s="50" t="s">
        <v>108</v>
      </c>
      <c r="AW2" s="52">
        <f>Y16</f>
        <v>0</v>
      </c>
    </row>
    <row r="3" spans="1:49" ht="17" thickBot="1">
      <c r="A3" s="165">
        <v>46813</v>
      </c>
      <c r="B3" s="143" t="s">
        <v>105</v>
      </c>
      <c r="C3" s="166" t="s">
        <v>9</v>
      </c>
      <c r="D3" s="167" t="s">
        <v>95</v>
      </c>
      <c r="E3" s="167" t="s">
        <v>64</v>
      </c>
      <c r="F3" s="167">
        <v>26</v>
      </c>
      <c r="G3" s="168">
        <v>39</v>
      </c>
      <c r="H3" s="168">
        <v>1</v>
      </c>
      <c r="I3" s="167">
        <v>0</v>
      </c>
      <c r="J3" s="167">
        <v>4</v>
      </c>
      <c r="K3" s="167">
        <v>3</v>
      </c>
      <c r="L3" s="167">
        <v>0</v>
      </c>
      <c r="M3" s="167">
        <v>0</v>
      </c>
      <c r="N3" s="167">
        <v>1</v>
      </c>
      <c r="O3" s="167">
        <v>0</v>
      </c>
      <c r="P3" s="167">
        <v>1</v>
      </c>
      <c r="Q3" s="167">
        <v>0</v>
      </c>
      <c r="R3" s="167">
        <v>6</v>
      </c>
      <c r="S3" s="66"/>
      <c r="T3" s="67" t="s">
        <v>186</v>
      </c>
      <c r="U3" s="68" t="s">
        <v>181</v>
      </c>
      <c r="V3" s="68" t="s">
        <v>185</v>
      </c>
      <c r="W3" s="68" t="s">
        <v>182</v>
      </c>
      <c r="X3" s="68" t="s">
        <v>183</v>
      </c>
      <c r="Y3" s="69">
        <v>1</v>
      </c>
      <c r="Z3" s="69">
        <v>0</v>
      </c>
      <c r="AA3" s="69">
        <v>0</v>
      </c>
      <c r="AB3" s="71">
        <v>1</v>
      </c>
      <c r="AC3" s="69">
        <f>Y3</f>
        <v>1</v>
      </c>
      <c r="AD3" s="69">
        <f t="shared" ref="AD3:AF3" si="0">Z3</f>
        <v>0</v>
      </c>
      <c r="AE3" s="69">
        <f t="shared" si="0"/>
        <v>0</v>
      </c>
      <c r="AF3" s="69">
        <f t="shared" si="0"/>
        <v>1</v>
      </c>
      <c r="AG3" s="69"/>
      <c r="AH3" s="69"/>
      <c r="AI3" s="69"/>
      <c r="AJ3" s="71"/>
      <c r="AK3" s="69"/>
      <c r="AL3" s="69"/>
      <c r="AM3" s="69"/>
      <c r="AN3" s="71"/>
      <c r="AP3" s="175" t="s">
        <v>109</v>
      </c>
      <c r="AQ3" s="52">
        <f>Z17</f>
        <v>4</v>
      </c>
      <c r="AS3" s="50" t="s">
        <v>109</v>
      </c>
      <c r="AT3" s="52">
        <f>Z15</f>
        <v>4</v>
      </c>
      <c r="AV3" s="50" t="s">
        <v>109</v>
      </c>
      <c r="AW3" s="52">
        <f>Z16</f>
        <v>0</v>
      </c>
    </row>
    <row r="4" spans="1:49" ht="17" thickBot="1">
      <c r="A4" s="62">
        <v>38078</v>
      </c>
      <c r="B4" s="143" t="s">
        <v>105</v>
      </c>
      <c r="C4" s="63" t="s">
        <v>33</v>
      </c>
      <c r="D4" s="64" t="s">
        <v>95</v>
      </c>
      <c r="E4" s="64" t="s">
        <v>62</v>
      </c>
      <c r="F4" s="64">
        <v>43</v>
      </c>
      <c r="G4" s="65">
        <v>5</v>
      </c>
      <c r="H4" s="65">
        <v>1</v>
      </c>
      <c r="I4" s="64">
        <v>0</v>
      </c>
      <c r="J4" s="64">
        <v>6</v>
      </c>
      <c r="K4" s="64">
        <v>5</v>
      </c>
      <c r="L4" s="64">
        <v>0</v>
      </c>
      <c r="M4" s="64">
        <v>1</v>
      </c>
      <c r="N4" s="64">
        <v>1</v>
      </c>
      <c r="O4" s="64">
        <v>0</v>
      </c>
      <c r="P4" s="64">
        <v>0</v>
      </c>
      <c r="Q4" s="64">
        <v>0</v>
      </c>
      <c r="R4" s="64">
        <v>1</v>
      </c>
      <c r="S4" s="66"/>
      <c r="T4" s="232" t="s">
        <v>200</v>
      </c>
      <c r="U4" s="68" t="s">
        <v>183</v>
      </c>
      <c r="V4" s="69" t="s">
        <v>185</v>
      </c>
      <c r="W4" s="69" t="s">
        <v>191</v>
      </c>
      <c r="X4" s="70" t="s">
        <v>192</v>
      </c>
      <c r="Y4" s="69">
        <v>1</v>
      </c>
      <c r="Z4" s="69">
        <v>1</v>
      </c>
      <c r="AA4" s="69">
        <v>0</v>
      </c>
      <c r="AB4" s="71">
        <v>0</v>
      </c>
      <c r="AC4" s="69">
        <f>Y4</f>
        <v>1</v>
      </c>
      <c r="AD4" s="69">
        <f t="shared" ref="AD4" si="1">Z4</f>
        <v>1</v>
      </c>
      <c r="AE4" s="69">
        <f t="shared" ref="AE4" si="2">AA4</f>
        <v>0</v>
      </c>
      <c r="AF4" s="69">
        <f t="shared" ref="AF4" si="3">AB4</f>
        <v>0</v>
      </c>
      <c r="AG4" s="69"/>
      <c r="AH4" s="69"/>
      <c r="AI4" s="69"/>
      <c r="AJ4" s="71"/>
      <c r="AK4" s="69"/>
      <c r="AL4" s="69"/>
      <c r="AM4" s="69"/>
      <c r="AN4" s="71"/>
      <c r="AP4" s="175" t="s">
        <v>110</v>
      </c>
      <c r="AQ4" s="52">
        <f>AA15</f>
        <v>0</v>
      </c>
      <c r="AS4" s="50" t="s">
        <v>110</v>
      </c>
      <c r="AT4" s="52">
        <f>AA15</f>
        <v>0</v>
      </c>
      <c r="AV4" s="50" t="s">
        <v>111</v>
      </c>
      <c r="AW4" s="52">
        <f>AB16</f>
        <v>0</v>
      </c>
    </row>
    <row r="5" spans="1:49" ht="17" thickBot="1">
      <c r="A5" s="53">
        <v>41000</v>
      </c>
      <c r="B5" s="91" t="s">
        <v>105</v>
      </c>
      <c r="C5" s="54" t="s">
        <v>13</v>
      </c>
      <c r="D5" s="55" t="s">
        <v>50</v>
      </c>
      <c r="E5" s="55" t="s">
        <v>64</v>
      </c>
      <c r="F5" s="56">
        <f>CHI!G4</f>
        <v>24</v>
      </c>
      <c r="G5" s="56">
        <f>CHI!F4</f>
        <v>48</v>
      </c>
      <c r="H5" s="250">
        <f>CHI!P4</f>
        <v>1</v>
      </c>
      <c r="I5" s="56">
        <f>CHI!Q4</f>
        <v>0</v>
      </c>
      <c r="J5" s="55">
        <f>CHI!R4</f>
        <v>4</v>
      </c>
      <c r="K5" s="55">
        <v>2</v>
      </c>
      <c r="L5" s="55">
        <v>0</v>
      </c>
      <c r="M5" s="55">
        <v>0</v>
      </c>
      <c r="N5" s="55">
        <v>0</v>
      </c>
      <c r="O5" s="55">
        <v>1</v>
      </c>
      <c r="P5" s="55">
        <v>1</v>
      </c>
      <c r="Q5" s="55">
        <v>0</v>
      </c>
      <c r="R5" s="55">
        <v>8</v>
      </c>
      <c r="S5" s="57"/>
      <c r="T5" s="58" t="s">
        <v>213</v>
      </c>
      <c r="U5" s="59" t="str">
        <f>CHI!U4</f>
        <v>Luke Rogan</v>
      </c>
      <c r="V5" s="59" t="str">
        <f>CHI!V4</f>
        <v>James Harrison</v>
      </c>
      <c r="W5" s="59" t="str">
        <f>CHI!W4</f>
        <v>Derek Summers</v>
      </c>
      <c r="X5" s="59" t="str">
        <f>CHI!X4</f>
        <v>Chris Assmus</v>
      </c>
      <c r="Y5" s="60">
        <f>CHI!Y4</f>
        <v>1</v>
      </c>
      <c r="Z5" s="60">
        <f>CHI!AB4</f>
        <v>0</v>
      </c>
      <c r="AA5" s="60">
        <f>CHI!AA4</f>
        <v>0</v>
      </c>
      <c r="AB5" s="61">
        <f>CHI!Z4</f>
        <v>1</v>
      </c>
      <c r="AC5" s="60"/>
      <c r="AD5" s="60"/>
      <c r="AE5" s="60"/>
      <c r="AF5" s="61"/>
      <c r="AG5" s="60">
        <f>Y5</f>
        <v>1</v>
      </c>
      <c r="AH5" s="60">
        <f t="shared" ref="AH5:AJ5" si="4">Z5</f>
        <v>0</v>
      </c>
      <c r="AI5" s="60">
        <f t="shared" si="4"/>
        <v>0</v>
      </c>
      <c r="AJ5" s="60">
        <f t="shared" si="4"/>
        <v>1</v>
      </c>
      <c r="AK5" s="60"/>
      <c r="AL5" s="60"/>
      <c r="AM5" s="60"/>
      <c r="AN5" s="61"/>
      <c r="AP5" s="175" t="s">
        <v>111</v>
      </c>
      <c r="AQ5" s="52">
        <f>AB17</f>
        <v>4</v>
      </c>
      <c r="AS5" s="50" t="s">
        <v>111</v>
      </c>
      <c r="AT5" s="52">
        <f>AB15</f>
        <v>4</v>
      </c>
      <c r="AV5" s="50" t="s">
        <v>112</v>
      </c>
      <c r="AW5" s="52">
        <f>F16</f>
        <v>0</v>
      </c>
    </row>
    <row r="6" spans="1:49" ht="17" thickBot="1">
      <c r="A6" s="62">
        <v>43556</v>
      </c>
      <c r="B6" s="143" t="s">
        <v>105</v>
      </c>
      <c r="C6" s="63" t="s">
        <v>11</v>
      </c>
      <c r="D6" s="64" t="s">
        <v>95</v>
      </c>
      <c r="E6" s="64" t="s">
        <v>62</v>
      </c>
      <c r="F6" s="64">
        <v>38</v>
      </c>
      <c r="G6" s="65">
        <v>31</v>
      </c>
      <c r="H6" s="65">
        <v>1</v>
      </c>
      <c r="I6" s="64">
        <v>0</v>
      </c>
      <c r="J6" s="64">
        <v>5</v>
      </c>
      <c r="K6" s="64">
        <v>5</v>
      </c>
      <c r="L6" s="64">
        <v>0</v>
      </c>
      <c r="M6" s="64">
        <v>1</v>
      </c>
      <c r="N6" s="64">
        <v>1</v>
      </c>
      <c r="O6" s="64">
        <v>0</v>
      </c>
      <c r="P6" s="64">
        <v>1</v>
      </c>
      <c r="Q6" s="64">
        <v>1</v>
      </c>
      <c r="R6" s="64">
        <v>4</v>
      </c>
      <c r="S6" s="66"/>
      <c r="T6" s="233" t="s">
        <v>226</v>
      </c>
      <c r="U6" s="69" t="s">
        <v>182</v>
      </c>
      <c r="V6" s="69" t="s">
        <v>185</v>
      </c>
      <c r="W6" s="69" t="s">
        <v>219</v>
      </c>
      <c r="X6" s="69" t="s">
        <v>192</v>
      </c>
      <c r="Y6" s="69">
        <v>1</v>
      </c>
      <c r="Z6" s="69">
        <v>1</v>
      </c>
      <c r="AA6" s="69">
        <v>0</v>
      </c>
      <c r="AB6" s="71">
        <v>0</v>
      </c>
      <c r="AC6" s="69">
        <f>Y6</f>
        <v>1</v>
      </c>
      <c r="AD6" s="69">
        <f t="shared" ref="AD6:AF6" si="5">Z6</f>
        <v>1</v>
      </c>
      <c r="AE6" s="69">
        <f t="shared" si="5"/>
        <v>0</v>
      </c>
      <c r="AF6" s="69">
        <f t="shared" si="5"/>
        <v>0</v>
      </c>
      <c r="AG6" s="69"/>
      <c r="AH6" s="69"/>
      <c r="AI6" s="69"/>
      <c r="AJ6" s="71"/>
      <c r="AK6" s="69"/>
      <c r="AL6" s="69"/>
      <c r="AM6" s="69"/>
      <c r="AN6" s="71"/>
      <c r="AP6" s="175" t="s">
        <v>112</v>
      </c>
      <c r="AQ6" s="52">
        <f>F17</f>
        <v>256</v>
      </c>
      <c r="AS6" s="50" t="s">
        <v>112</v>
      </c>
      <c r="AT6" s="52">
        <f>F15</f>
        <v>256</v>
      </c>
      <c r="AV6" s="50" t="s">
        <v>113</v>
      </c>
      <c r="AW6" s="52">
        <f>G16</f>
        <v>0</v>
      </c>
    </row>
    <row r="7" spans="1:49" ht="17" thickBot="1">
      <c r="A7" s="53">
        <v>46113</v>
      </c>
      <c r="B7" s="91" t="s">
        <v>105</v>
      </c>
      <c r="C7" s="54" t="s">
        <v>12</v>
      </c>
      <c r="D7" s="55" t="s">
        <v>50</v>
      </c>
      <c r="E7" s="55" t="s">
        <v>62</v>
      </c>
      <c r="F7" s="56">
        <f>OGDC!G6</f>
        <v>36</v>
      </c>
      <c r="G7" s="56">
        <f>OGDC!F6</f>
        <v>23</v>
      </c>
      <c r="H7" s="56">
        <f>OGDC!P6</f>
        <v>1</v>
      </c>
      <c r="I7" s="55">
        <f>OGDC!Q6</f>
        <v>0</v>
      </c>
      <c r="J7" s="55">
        <f>OGDC!R6</f>
        <v>5</v>
      </c>
      <c r="K7" s="55">
        <v>4</v>
      </c>
      <c r="L7" s="55">
        <v>0</v>
      </c>
      <c r="M7" s="55">
        <v>1</v>
      </c>
      <c r="N7" s="55">
        <v>0</v>
      </c>
      <c r="O7" s="55">
        <v>1</v>
      </c>
      <c r="P7" s="55">
        <v>0</v>
      </c>
      <c r="Q7" s="55">
        <v>0</v>
      </c>
      <c r="R7" s="55">
        <v>3</v>
      </c>
      <c r="S7" s="57"/>
      <c r="T7" s="231" t="s">
        <v>236</v>
      </c>
      <c r="U7" s="59" t="str">
        <f>OGDC!U6</f>
        <v>Peter Pender</v>
      </c>
      <c r="V7" s="59" t="str">
        <f>OGDC!V6</f>
        <v>George Janke</v>
      </c>
      <c r="W7" s="59" t="str">
        <f>OGDC!W6</f>
        <v>Marquise Goodwin</v>
      </c>
      <c r="X7" s="59" t="str">
        <f>OGDC!X6</f>
        <v>Martin Steffens</v>
      </c>
      <c r="Y7" s="60">
        <f>OGDC!Y6</f>
        <v>1</v>
      </c>
      <c r="Z7" s="60">
        <f>OGDC!AB6</f>
        <v>1</v>
      </c>
      <c r="AA7" s="60">
        <f>OGDC!AA6</f>
        <v>0</v>
      </c>
      <c r="AB7" s="61">
        <f>OGDC!Z6</f>
        <v>0</v>
      </c>
      <c r="AC7" s="60"/>
      <c r="AD7" s="60"/>
      <c r="AE7" s="60"/>
      <c r="AF7" s="61"/>
      <c r="AG7" s="60">
        <f>Y7</f>
        <v>1</v>
      </c>
      <c r="AH7" s="60">
        <f t="shared" ref="AH7:AJ7" si="6">Z7</f>
        <v>1</v>
      </c>
      <c r="AI7" s="60">
        <f t="shared" si="6"/>
        <v>0</v>
      </c>
      <c r="AJ7" s="60">
        <f t="shared" si="6"/>
        <v>0</v>
      </c>
      <c r="AK7" s="60"/>
      <c r="AL7" s="60"/>
      <c r="AM7" s="60"/>
      <c r="AN7" s="61"/>
      <c r="AP7" s="175" t="s">
        <v>113</v>
      </c>
      <c r="AQ7" s="52">
        <f>G17</f>
        <v>218</v>
      </c>
      <c r="AS7" s="50" t="s">
        <v>113</v>
      </c>
      <c r="AT7" s="52">
        <f>G15</f>
        <v>218</v>
      </c>
      <c r="AV7" s="50" t="s">
        <v>31</v>
      </c>
      <c r="AW7" s="52">
        <f>J16</f>
        <v>0</v>
      </c>
    </row>
    <row r="8" spans="1:49" ht="17" thickBot="1">
      <c r="A8" s="53">
        <v>39934</v>
      </c>
      <c r="B8" s="91" t="s">
        <v>105</v>
      </c>
      <c r="C8" s="54" t="s">
        <v>33</v>
      </c>
      <c r="D8" s="55" t="s">
        <v>50</v>
      </c>
      <c r="E8" s="55" t="s">
        <v>64</v>
      </c>
      <c r="F8" s="56">
        <f>NEW!G8</f>
        <v>21</v>
      </c>
      <c r="G8" s="56">
        <f>NEW!F8</f>
        <v>26</v>
      </c>
      <c r="H8" s="56">
        <f>NEW!P8</f>
        <v>0</v>
      </c>
      <c r="I8" s="55">
        <f>NEW!Q8</f>
        <v>1</v>
      </c>
      <c r="J8" s="55">
        <f>NEW!R8</f>
        <v>3</v>
      </c>
      <c r="K8" s="55">
        <v>3</v>
      </c>
      <c r="L8" s="55">
        <v>0</v>
      </c>
      <c r="M8" s="55">
        <v>0</v>
      </c>
      <c r="N8" s="55">
        <v>4</v>
      </c>
      <c r="O8" s="55">
        <v>0</v>
      </c>
      <c r="P8" s="55">
        <v>0</v>
      </c>
      <c r="Q8" s="55">
        <v>0</v>
      </c>
      <c r="R8" s="55">
        <v>3</v>
      </c>
      <c r="S8" s="57"/>
      <c r="T8" s="58" t="s">
        <v>245</v>
      </c>
      <c r="U8" s="59" t="str">
        <f>NEW!U8</f>
        <v>Mike Lawrenson</v>
      </c>
      <c r="V8" s="59" t="str">
        <f>NEW!V8</f>
        <v>T Fletcher</v>
      </c>
      <c r="W8" s="59" t="str">
        <f>NEW!W8</f>
        <v>Peter Pender</v>
      </c>
      <c r="X8" s="59" t="str">
        <f>NEW!X8</f>
        <v>Amelia Luciano</v>
      </c>
      <c r="Y8" s="60">
        <f>NEW!Y8</f>
        <v>1</v>
      </c>
      <c r="Z8" s="60">
        <f>NEW!AB8</f>
        <v>0</v>
      </c>
      <c r="AA8" s="60">
        <f>NEW!AA8</f>
        <v>0</v>
      </c>
      <c r="AB8" s="61">
        <f>NEW!Z8</f>
        <v>1</v>
      </c>
      <c r="AC8" s="60"/>
      <c r="AD8" s="60"/>
      <c r="AE8" s="60"/>
      <c r="AF8" s="61"/>
      <c r="AG8" s="60">
        <f>Y8</f>
        <v>1</v>
      </c>
      <c r="AH8" s="60">
        <f t="shared" ref="AH8" si="7">Z8</f>
        <v>0</v>
      </c>
      <c r="AI8" s="60">
        <f t="shared" ref="AI8" si="8">AA8</f>
        <v>0</v>
      </c>
      <c r="AJ8" s="60">
        <f t="shared" ref="AJ8" si="9">AB8</f>
        <v>1</v>
      </c>
      <c r="AK8" s="60"/>
      <c r="AL8" s="60"/>
      <c r="AM8" s="60"/>
      <c r="AN8" s="61"/>
      <c r="AP8" s="175" t="s">
        <v>31</v>
      </c>
      <c r="AQ8" s="52">
        <f>J17</f>
        <v>37</v>
      </c>
      <c r="AS8" s="50" t="s">
        <v>31</v>
      </c>
      <c r="AT8" s="52">
        <f>J15</f>
        <v>37</v>
      </c>
    </row>
    <row r="9" spans="1:49" ht="17" thickBot="1">
      <c r="A9" s="62">
        <v>42491</v>
      </c>
      <c r="B9" s="143" t="s">
        <v>105</v>
      </c>
      <c r="C9" s="63" t="s">
        <v>13</v>
      </c>
      <c r="D9" s="64" t="s">
        <v>95</v>
      </c>
      <c r="E9" s="64" t="s">
        <v>64</v>
      </c>
      <c r="F9" s="64">
        <v>26</v>
      </c>
      <c r="G9" s="65">
        <v>36</v>
      </c>
      <c r="H9" s="65">
        <v>1</v>
      </c>
      <c r="I9" s="64">
        <v>0</v>
      </c>
      <c r="J9" s="64">
        <v>4</v>
      </c>
      <c r="K9" s="64">
        <v>3</v>
      </c>
      <c r="L9" s="64">
        <v>0</v>
      </c>
      <c r="M9" s="64">
        <v>0</v>
      </c>
      <c r="N9" s="64">
        <v>1</v>
      </c>
      <c r="O9" s="64">
        <v>0</v>
      </c>
      <c r="P9" s="64">
        <v>1</v>
      </c>
      <c r="Q9" s="64">
        <v>0</v>
      </c>
      <c r="R9" s="64">
        <v>5</v>
      </c>
      <c r="S9" s="254"/>
      <c r="T9" s="72" t="s">
        <v>251</v>
      </c>
      <c r="U9" s="68" t="s">
        <v>188</v>
      </c>
      <c r="V9" s="69" t="s">
        <v>185</v>
      </c>
      <c r="W9" s="69" t="s">
        <v>182</v>
      </c>
      <c r="X9" s="70" t="s">
        <v>193</v>
      </c>
      <c r="Y9" s="69">
        <v>1</v>
      </c>
      <c r="Z9" s="69">
        <v>0</v>
      </c>
      <c r="AA9" s="69">
        <v>0</v>
      </c>
      <c r="AB9" s="71">
        <v>1</v>
      </c>
      <c r="AC9" s="69">
        <f>Y9</f>
        <v>1</v>
      </c>
      <c r="AD9" s="69">
        <f t="shared" ref="AD9:AF9" si="10">Z9</f>
        <v>0</v>
      </c>
      <c r="AE9" s="69">
        <f t="shared" si="10"/>
        <v>0</v>
      </c>
      <c r="AF9" s="69">
        <f t="shared" si="10"/>
        <v>1</v>
      </c>
      <c r="AG9" s="69"/>
      <c r="AH9" s="69"/>
      <c r="AI9" s="69"/>
      <c r="AJ9" s="71"/>
      <c r="AK9" s="69"/>
      <c r="AL9" s="69"/>
      <c r="AM9" s="69"/>
      <c r="AN9" s="71"/>
    </row>
    <row r="10" spans="1:49" ht="17" thickBot="1">
      <c r="A10" s="62">
        <v>45413</v>
      </c>
      <c r="B10" s="143" t="s">
        <v>105</v>
      </c>
      <c r="C10" s="63" t="s">
        <v>12</v>
      </c>
      <c r="D10" s="64" t="s">
        <v>95</v>
      </c>
      <c r="E10" s="64" t="s">
        <v>62</v>
      </c>
      <c r="F10" s="144">
        <v>42</v>
      </c>
      <c r="G10" s="65">
        <v>10</v>
      </c>
      <c r="H10" s="65">
        <v>1</v>
      </c>
      <c r="I10" s="64">
        <v>0</v>
      </c>
      <c r="J10" s="64">
        <v>6</v>
      </c>
      <c r="K10" s="64">
        <v>6</v>
      </c>
      <c r="L10" s="64">
        <v>0</v>
      </c>
      <c r="M10" s="64">
        <v>0</v>
      </c>
      <c r="N10" s="64">
        <v>1</v>
      </c>
      <c r="O10" s="64">
        <v>0</v>
      </c>
      <c r="P10" s="64">
        <v>0</v>
      </c>
      <c r="Q10" s="64">
        <v>0</v>
      </c>
      <c r="R10" s="64">
        <v>2</v>
      </c>
      <c r="S10" s="66"/>
      <c r="T10" s="232" t="s">
        <v>268</v>
      </c>
      <c r="U10" s="68" t="s">
        <v>181</v>
      </c>
      <c r="V10" s="68" t="s">
        <v>185</v>
      </c>
      <c r="W10" s="68" t="s">
        <v>193</v>
      </c>
      <c r="X10" s="68" t="s">
        <v>191</v>
      </c>
      <c r="Y10" s="69">
        <v>1</v>
      </c>
      <c r="Z10" s="69">
        <v>1</v>
      </c>
      <c r="AA10" s="69">
        <v>0</v>
      </c>
      <c r="AB10" s="69">
        <v>0</v>
      </c>
      <c r="AC10" s="69">
        <f>Y10</f>
        <v>1</v>
      </c>
      <c r="AD10" s="69">
        <f t="shared" ref="AD10" si="11">Z10</f>
        <v>1</v>
      </c>
      <c r="AE10" s="69">
        <f t="shared" ref="AE10" si="12">AA10</f>
        <v>0</v>
      </c>
      <c r="AF10" s="69">
        <f t="shared" ref="AF10" si="13">AB10</f>
        <v>0</v>
      </c>
      <c r="AG10" s="69"/>
      <c r="AH10" s="69"/>
      <c r="AI10" s="69"/>
      <c r="AJ10" s="69"/>
      <c r="AK10" s="69"/>
      <c r="AL10" s="69"/>
      <c r="AM10" s="69"/>
      <c r="AN10" s="71"/>
    </row>
    <row r="11" spans="1:49" ht="17" thickBot="1">
      <c r="A11" s="53">
        <v>47969</v>
      </c>
      <c r="B11" s="91" t="s">
        <v>105</v>
      </c>
      <c r="C11" s="54" t="s">
        <v>9</v>
      </c>
      <c r="D11" s="55" t="s">
        <v>50</v>
      </c>
      <c r="E11" s="55"/>
      <c r="F11" s="56">
        <f>ANT!G11</f>
        <v>0</v>
      </c>
      <c r="G11" s="56">
        <f>ANT!F11</f>
        <v>0</v>
      </c>
      <c r="H11" s="56">
        <f>ANT!P11</f>
        <v>0</v>
      </c>
      <c r="I11" s="56">
        <f>ANT!Q11</f>
        <v>0</v>
      </c>
      <c r="J11" s="56">
        <f>ANT!R11</f>
        <v>0</v>
      </c>
      <c r="K11" s="55"/>
      <c r="L11" s="55"/>
      <c r="M11" s="55"/>
      <c r="N11" s="55"/>
      <c r="O11" s="55"/>
      <c r="P11" s="55"/>
      <c r="Q11" s="55"/>
      <c r="R11" s="55"/>
      <c r="S11" s="57"/>
      <c r="T11" s="58"/>
      <c r="U11" s="59">
        <f>ANT!U11</f>
        <v>0</v>
      </c>
      <c r="V11" s="59">
        <f>ANT!V11</f>
        <v>0</v>
      </c>
      <c r="W11" s="59">
        <f>ANT!W11</f>
        <v>0</v>
      </c>
      <c r="X11" s="59">
        <f>ANT!X11</f>
        <v>0</v>
      </c>
      <c r="Y11" s="60">
        <f>ANT!Y11</f>
        <v>0</v>
      </c>
      <c r="Z11" s="60">
        <f>ANT!AB11</f>
        <v>0</v>
      </c>
      <c r="AA11" s="60">
        <f>ANT!AA11</f>
        <v>0</v>
      </c>
      <c r="AB11" s="61">
        <f>ANT!Z11</f>
        <v>0</v>
      </c>
      <c r="AC11" s="60"/>
      <c r="AD11" s="60"/>
      <c r="AE11" s="60"/>
      <c r="AF11" s="60"/>
      <c r="AG11" s="60">
        <f>Y11</f>
        <v>0</v>
      </c>
      <c r="AH11" s="60">
        <f t="shared" ref="AH11:AJ11" si="14">Z11</f>
        <v>0</v>
      </c>
      <c r="AI11" s="60">
        <f t="shared" si="14"/>
        <v>0</v>
      </c>
      <c r="AJ11" s="60">
        <f t="shared" si="14"/>
        <v>0</v>
      </c>
      <c r="AK11" s="60"/>
      <c r="AL11" s="60"/>
      <c r="AM11" s="60"/>
      <c r="AN11" s="61"/>
    </row>
    <row r="12" spans="1:49" ht="17" thickBot="1">
      <c r="A12" s="53">
        <v>39234</v>
      </c>
      <c r="B12" s="91" t="s">
        <v>105</v>
      </c>
      <c r="C12" s="54" t="s">
        <v>11</v>
      </c>
      <c r="D12" s="55" t="s">
        <v>50</v>
      </c>
      <c r="E12" s="55"/>
      <c r="F12" s="56">
        <f>SEA!G12</f>
        <v>0</v>
      </c>
      <c r="G12" s="56">
        <f>SEA!F12</f>
        <v>0</v>
      </c>
      <c r="H12" s="56">
        <f>SEA!P12</f>
        <v>0</v>
      </c>
      <c r="I12" s="56">
        <f>SEA!Q12</f>
        <v>0</v>
      </c>
      <c r="J12" s="56">
        <f>SEA!R12</f>
        <v>0</v>
      </c>
      <c r="K12" s="55"/>
      <c r="L12" s="55"/>
      <c r="M12" s="55"/>
      <c r="N12" s="55"/>
      <c r="O12" s="55"/>
      <c r="P12" s="55"/>
      <c r="Q12" s="55"/>
      <c r="R12" s="55"/>
      <c r="S12" s="75"/>
      <c r="T12" s="58"/>
      <c r="U12" s="59">
        <f>SEA!U12</f>
        <v>0</v>
      </c>
      <c r="V12" s="59">
        <f>SEA!V12</f>
        <v>0</v>
      </c>
      <c r="W12" s="59">
        <f>SEA!W12</f>
        <v>0</v>
      </c>
      <c r="X12" s="59">
        <f>SEA!X12</f>
        <v>0</v>
      </c>
      <c r="Y12" s="60">
        <f>SEA!Y12</f>
        <v>0</v>
      </c>
      <c r="Z12" s="60">
        <f>SEA!AB12</f>
        <v>0</v>
      </c>
      <c r="AA12" s="60">
        <f>SEA!AA12</f>
        <v>0</v>
      </c>
      <c r="AB12" s="61">
        <f>SEA!Z12</f>
        <v>0</v>
      </c>
      <c r="AC12" s="60"/>
      <c r="AD12" s="60"/>
      <c r="AE12" s="60"/>
      <c r="AF12" s="60"/>
      <c r="AG12" s="60">
        <f>Y12</f>
        <v>0</v>
      </c>
      <c r="AH12" s="60">
        <f t="shared" ref="AH12" si="15">Z12</f>
        <v>0</v>
      </c>
      <c r="AI12" s="60">
        <f t="shared" ref="AI12" si="16">AA12</f>
        <v>0</v>
      </c>
      <c r="AJ12" s="60">
        <f t="shared" ref="AJ12" si="17">AB12</f>
        <v>0</v>
      </c>
      <c r="AK12" s="60"/>
      <c r="AL12" s="60"/>
      <c r="AM12" s="60"/>
      <c r="AN12" s="61"/>
    </row>
    <row r="13" spans="1:49" ht="17" thickBot="1">
      <c r="A13" s="155"/>
      <c r="B13" s="156" t="s">
        <v>104</v>
      </c>
      <c r="C13" s="157"/>
      <c r="D13" s="158"/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159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70" t="s">
        <v>30</v>
      </c>
      <c r="D15" s="271"/>
      <c r="E15" s="272"/>
      <c r="F15" s="81">
        <f>SUM(F3+F4+F5+F6+F7+F8+F9+F10+F11+F12)</f>
        <v>256</v>
      </c>
      <c r="G15" s="81">
        <f t="shared" ref="G15:R15" si="18">SUM(G3+G4+G5+G6+G7+G8+G9+G10+G11+G12)</f>
        <v>218</v>
      </c>
      <c r="H15" s="81">
        <f t="shared" si="18"/>
        <v>7</v>
      </c>
      <c r="I15" s="81">
        <f t="shared" si="18"/>
        <v>1</v>
      </c>
      <c r="J15" s="81">
        <f t="shared" si="18"/>
        <v>37</v>
      </c>
      <c r="K15" s="81">
        <f t="shared" si="18"/>
        <v>31</v>
      </c>
      <c r="L15" s="81">
        <f t="shared" si="18"/>
        <v>0</v>
      </c>
      <c r="M15" s="81">
        <f t="shared" si="18"/>
        <v>3</v>
      </c>
      <c r="N15" s="81">
        <f t="shared" si="18"/>
        <v>9</v>
      </c>
      <c r="O15" s="81">
        <f t="shared" si="18"/>
        <v>2</v>
      </c>
      <c r="P15" s="81">
        <f t="shared" si="18"/>
        <v>4</v>
      </c>
      <c r="Q15" s="81">
        <f t="shared" si="18"/>
        <v>1</v>
      </c>
      <c r="R15" s="81">
        <f t="shared" si="18"/>
        <v>32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8</v>
      </c>
      <c r="Z15" s="81">
        <f t="shared" ref="Z15:AN15" si="19">Z3+Z4+Z5+Z6+Z7+Z8+Z9+Z10+Z11+Z12</f>
        <v>4</v>
      </c>
      <c r="AA15" s="81">
        <f t="shared" si="19"/>
        <v>0</v>
      </c>
      <c r="AB15" s="81">
        <f t="shared" si="19"/>
        <v>4</v>
      </c>
      <c r="AC15" s="85">
        <f t="shared" si="19"/>
        <v>5</v>
      </c>
      <c r="AD15" s="85">
        <f t="shared" si="19"/>
        <v>3</v>
      </c>
      <c r="AE15" s="85">
        <f t="shared" si="19"/>
        <v>0</v>
      </c>
      <c r="AF15" s="85">
        <f t="shared" si="19"/>
        <v>2</v>
      </c>
      <c r="AG15" s="170">
        <f t="shared" si="19"/>
        <v>3</v>
      </c>
      <c r="AH15" s="170">
        <f t="shared" si="19"/>
        <v>1</v>
      </c>
      <c r="AI15" s="170">
        <f t="shared" si="19"/>
        <v>0</v>
      </c>
      <c r="AJ15" s="170">
        <f t="shared" si="19"/>
        <v>2</v>
      </c>
      <c r="AK15" s="81">
        <f t="shared" si="19"/>
        <v>0</v>
      </c>
      <c r="AL15" s="81">
        <f t="shared" si="19"/>
        <v>0</v>
      </c>
      <c r="AM15" s="81">
        <f t="shared" si="19"/>
        <v>0</v>
      </c>
      <c r="AN15" s="81">
        <f t="shared" si="19"/>
        <v>0</v>
      </c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20">G13+G14</f>
        <v>0</v>
      </c>
      <c r="H16" s="169">
        <f t="shared" si="20"/>
        <v>0</v>
      </c>
      <c r="I16" s="169">
        <f t="shared" si="20"/>
        <v>0</v>
      </c>
      <c r="J16" s="169">
        <f t="shared" si="20"/>
        <v>0</v>
      </c>
      <c r="K16" s="169">
        <f t="shared" si="20"/>
        <v>0</v>
      </c>
      <c r="L16" s="169">
        <f t="shared" si="20"/>
        <v>0</v>
      </c>
      <c r="M16" s="169">
        <f t="shared" si="20"/>
        <v>0</v>
      </c>
      <c r="N16" s="169">
        <f t="shared" si="20"/>
        <v>0</v>
      </c>
      <c r="O16" s="169">
        <f t="shared" si="20"/>
        <v>0</v>
      </c>
      <c r="P16" s="169">
        <f t="shared" si="20"/>
        <v>0</v>
      </c>
      <c r="Q16" s="169">
        <f t="shared" si="20"/>
        <v>0</v>
      </c>
      <c r="R16" s="169">
        <f t="shared" si="20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N16" si="21">Z13+Z14</f>
        <v>0</v>
      </c>
      <c r="AA16" s="81">
        <f t="shared" si="21"/>
        <v>0</v>
      </c>
      <c r="AB16" s="81">
        <f t="shared" si="21"/>
        <v>0</v>
      </c>
      <c r="AC16" s="85">
        <f t="shared" si="21"/>
        <v>0</v>
      </c>
      <c r="AD16" s="85">
        <f t="shared" si="21"/>
        <v>0</v>
      </c>
      <c r="AE16" s="85">
        <f t="shared" si="21"/>
        <v>0</v>
      </c>
      <c r="AF16" s="85">
        <f t="shared" si="21"/>
        <v>0</v>
      </c>
      <c r="AG16" s="170">
        <f t="shared" si="21"/>
        <v>0</v>
      </c>
      <c r="AH16" s="170">
        <f t="shared" si="21"/>
        <v>0</v>
      </c>
      <c r="AI16" s="170">
        <f t="shared" si="21"/>
        <v>0</v>
      </c>
      <c r="AJ16" s="170">
        <f t="shared" si="21"/>
        <v>0</v>
      </c>
      <c r="AK16" s="81">
        <f t="shared" si="21"/>
        <v>0</v>
      </c>
      <c r="AL16" s="81">
        <f t="shared" si="21"/>
        <v>0</v>
      </c>
      <c r="AM16" s="81">
        <f t="shared" si="21"/>
        <v>0</v>
      </c>
      <c r="AN16" s="81">
        <f t="shared" si="21"/>
        <v>0</v>
      </c>
    </row>
    <row r="17" spans="1:49" ht="17" thickBot="1">
      <c r="C17" s="255" t="s">
        <v>96</v>
      </c>
      <c r="D17" s="256"/>
      <c r="E17" s="257"/>
      <c r="F17" s="86">
        <f>F15+F16</f>
        <v>256</v>
      </c>
      <c r="G17" s="86">
        <f t="shared" ref="G17:R17" si="22">G15+G16</f>
        <v>218</v>
      </c>
      <c r="H17" s="86">
        <f t="shared" si="22"/>
        <v>7</v>
      </c>
      <c r="I17" s="86">
        <f t="shared" si="22"/>
        <v>1</v>
      </c>
      <c r="J17" s="86">
        <f t="shared" si="22"/>
        <v>37</v>
      </c>
      <c r="K17" s="86">
        <f t="shared" si="22"/>
        <v>31</v>
      </c>
      <c r="L17" s="86">
        <f t="shared" si="22"/>
        <v>0</v>
      </c>
      <c r="M17" s="86">
        <f t="shared" si="22"/>
        <v>3</v>
      </c>
      <c r="N17" s="86">
        <f t="shared" si="22"/>
        <v>9</v>
      </c>
      <c r="O17" s="86">
        <f t="shared" si="22"/>
        <v>2</v>
      </c>
      <c r="P17" s="86">
        <f t="shared" si="22"/>
        <v>4</v>
      </c>
      <c r="Q17" s="86">
        <f t="shared" si="22"/>
        <v>1</v>
      </c>
      <c r="R17" s="86">
        <f t="shared" si="22"/>
        <v>32</v>
      </c>
      <c r="X17" s="87" t="s">
        <v>96</v>
      </c>
      <c r="Y17" s="88">
        <f>Y15+Y16</f>
        <v>8</v>
      </c>
      <c r="Z17" s="88">
        <f t="shared" ref="Z17:AN17" si="23">Z15+Z16</f>
        <v>4</v>
      </c>
      <c r="AA17" s="88">
        <f t="shared" si="23"/>
        <v>0</v>
      </c>
      <c r="AB17" s="88">
        <f t="shared" si="23"/>
        <v>4</v>
      </c>
      <c r="AC17" s="89">
        <f t="shared" si="23"/>
        <v>5</v>
      </c>
      <c r="AD17" s="89">
        <f t="shared" si="23"/>
        <v>3</v>
      </c>
      <c r="AE17" s="89">
        <f t="shared" si="23"/>
        <v>0</v>
      </c>
      <c r="AF17" s="89">
        <f t="shared" si="23"/>
        <v>2</v>
      </c>
      <c r="AG17" s="171">
        <f t="shared" si="23"/>
        <v>3</v>
      </c>
      <c r="AH17" s="171">
        <f t="shared" si="23"/>
        <v>1</v>
      </c>
      <c r="AI17" s="171">
        <f t="shared" si="23"/>
        <v>0</v>
      </c>
      <c r="AJ17" s="171">
        <f t="shared" si="23"/>
        <v>2</v>
      </c>
      <c r="AK17" s="88">
        <f t="shared" si="23"/>
        <v>0</v>
      </c>
      <c r="AL17" s="88">
        <f t="shared" si="23"/>
        <v>0</v>
      </c>
      <c r="AM17" s="88">
        <f t="shared" si="23"/>
        <v>0</v>
      </c>
      <c r="AN17" s="88">
        <f t="shared" si="23"/>
        <v>0</v>
      </c>
    </row>
    <row r="18" spans="1:49">
      <c r="A18" s="3" t="s">
        <v>97</v>
      </c>
    </row>
    <row r="19" spans="1:49">
      <c r="AP19" s="8" t="s">
        <v>114</v>
      </c>
      <c r="AS19" s="8" t="s">
        <v>115</v>
      </c>
      <c r="AV19" s="176" t="s">
        <v>116</v>
      </c>
    </row>
    <row r="20" spans="1:49">
      <c r="AP20" s="175" t="s">
        <v>108</v>
      </c>
      <c r="AQ20" s="52">
        <v>116</v>
      </c>
      <c r="AS20" s="175" t="s">
        <v>108</v>
      </c>
      <c r="AT20" s="52">
        <v>109</v>
      </c>
      <c r="AV20" s="177" t="s">
        <v>108</v>
      </c>
      <c r="AW20" s="52">
        <v>7</v>
      </c>
    </row>
    <row r="21" spans="1:49">
      <c r="AP21" s="175" t="s">
        <v>109</v>
      </c>
      <c r="AQ21" s="52">
        <v>72</v>
      </c>
      <c r="AS21" s="175" t="s">
        <v>109</v>
      </c>
      <c r="AT21" s="52">
        <v>70</v>
      </c>
      <c r="AV21" s="178" t="s">
        <v>109</v>
      </c>
      <c r="AW21" s="52">
        <v>2</v>
      </c>
    </row>
    <row r="22" spans="1:49">
      <c r="AP22" s="175" t="s">
        <v>110</v>
      </c>
      <c r="AQ22" s="52">
        <v>1</v>
      </c>
      <c r="AS22" s="175" t="s">
        <v>110</v>
      </c>
      <c r="AT22" s="52">
        <v>1</v>
      </c>
      <c r="AV22" s="178" t="s">
        <v>111</v>
      </c>
      <c r="AW22" s="52">
        <v>5</v>
      </c>
    </row>
    <row r="23" spans="1:49">
      <c r="AP23" s="175" t="s">
        <v>111</v>
      </c>
      <c r="AQ23" s="52">
        <v>43</v>
      </c>
      <c r="AS23" s="175" t="s">
        <v>111</v>
      </c>
      <c r="AT23" s="52">
        <v>38</v>
      </c>
      <c r="AV23" s="178" t="s">
        <v>112</v>
      </c>
      <c r="AW23" s="52">
        <v>174</v>
      </c>
    </row>
    <row r="24" spans="1:49">
      <c r="AP24" s="175" t="s">
        <v>112</v>
      </c>
      <c r="AQ24" s="52">
        <v>3376</v>
      </c>
      <c r="AS24" s="175" t="s">
        <v>112</v>
      </c>
      <c r="AT24" s="52">
        <v>3202</v>
      </c>
      <c r="AV24" s="178" t="s">
        <v>113</v>
      </c>
      <c r="AW24" s="52">
        <v>194</v>
      </c>
    </row>
    <row r="25" spans="1:49">
      <c r="AP25" s="175" t="s">
        <v>113</v>
      </c>
      <c r="AQ25" s="52">
        <v>2779</v>
      </c>
      <c r="AS25" s="175" t="s">
        <v>113</v>
      </c>
      <c r="AT25" s="52">
        <v>2585</v>
      </c>
      <c r="AV25" s="178" t="s">
        <v>31</v>
      </c>
      <c r="AW25" s="52">
        <v>15</v>
      </c>
    </row>
    <row r="26" spans="1:49">
      <c r="AP26" s="175" t="s">
        <v>31</v>
      </c>
      <c r="AQ26" s="52">
        <v>424</v>
      </c>
      <c r="AS26" s="175" t="s">
        <v>31</v>
      </c>
      <c r="AT26" s="52">
        <v>409</v>
      </c>
    </row>
    <row r="28" spans="1:49">
      <c r="AP28" s="176" t="s">
        <v>117</v>
      </c>
      <c r="AS28" s="176" t="s">
        <v>118</v>
      </c>
      <c r="AV28" s="176" t="s">
        <v>119</v>
      </c>
    </row>
    <row r="29" spans="1:49">
      <c r="AP29" s="177" t="s">
        <v>108</v>
      </c>
      <c r="AQ29" s="52">
        <v>33</v>
      </c>
      <c r="AS29" s="177" t="s">
        <v>108</v>
      </c>
      <c r="AT29" s="52">
        <v>32</v>
      </c>
      <c r="AV29" s="177" t="s">
        <v>108</v>
      </c>
      <c r="AW29" s="52">
        <v>1</v>
      </c>
    </row>
    <row r="30" spans="1:49">
      <c r="AP30" s="178" t="s">
        <v>109</v>
      </c>
      <c r="AQ30" s="52">
        <v>13</v>
      </c>
      <c r="AS30" s="178" t="s">
        <v>109</v>
      </c>
      <c r="AT30" s="52">
        <v>13</v>
      </c>
      <c r="AV30" s="178" t="s">
        <v>109</v>
      </c>
      <c r="AW30" s="52">
        <v>0</v>
      </c>
    </row>
    <row r="31" spans="1:49">
      <c r="AP31" s="178" t="s">
        <v>110</v>
      </c>
      <c r="AQ31" s="52">
        <v>2</v>
      </c>
      <c r="AS31" s="178" t="s">
        <v>110</v>
      </c>
      <c r="AT31" s="52">
        <v>2</v>
      </c>
      <c r="AV31" s="178" t="s">
        <v>111</v>
      </c>
      <c r="AW31" s="52">
        <v>1</v>
      </c>
    </row>
    <row r="32" spans="1:49">
      <c r="AP32" s="178" t="s">
        <v>111</v>
      </c>
      <c r="AQ32" s="52">
        <v>18</v>
      </c>
      <c r="AS32" s="178" t="s">
        <v>111</v>
      </c>
      <c r="AT32" s="52">
        <v>17</v>
      </c>
      <c r="AV32" s="178" t="s">
        <v>112</v>
      </c>
      <c r="AW32" s="52">
        <v>21</v>
      </c>
    </row>
    <row r="33" spans="42:49">
      <c r="AP33" s="178" t="s">
        <v>112</v>
      </c>
      <c r="AQ33" s="52">
        <v>889</v>
      </c>
      <c r="AS33" s="178" t="s">
        <v>112</v>
      </c>
      <c r="AT33" s="52">
        <v>868</v>
      </c>
      <c r="AV33" s="178" t="s">
        <v>113</v>
      </c>
      <c r="AW33" s="52">
        <v>27</v>
      </c>
    </row>
    <row r="34" spans="42:49">
      <c r="AP34" s="178" t="s">
        <v>113</v>
      </c>
      <c r="AQ34" s="52">
        <v>997</v>
      </c>
      <c r="AS34" s="178" t="s">
        <v>113</v>
      </c>
      <c r="AT34" s="52">
        <v>970</v>
      </c>
      <c r="AV34" s="178" t="s">
        <v>31</v>
      </c>
      <c r="AW34" s="52">
        <v>3</v>
      </c>
    </row>
    <row r="35" spans="42:49">
      <c r="AP35" s="178" t="s">
        <v>31</v>
      </c>
      <c r="AQ35" s="52">
        <v>133</v>
      </c>
      <c r="AS35" s="178" t="s">
        <v>31</v>
      </c>
      <c r="AT35" s="52">
        <v>130</v>
      </c>
    </row>
  </sheetData>
  <mergeCells count="12">
    <mergeCell ref="C17:E17"/>
    <mergeCell ref="Y1:AB1"/>
    <mergeCell ref="AC1:AF1"/>
    <mergeCell ref="AG1:AJ1"/>
    <mergeCell ref="AK1:AN1"/>
    <mergeCell ref="C15:E15"/>
    <mergeCell ref="A1:D1"/>
    <mergeCell ref="E1:G1"/>
    <mergeCell ref="H1:I1"/>
    <mergeCell ref="J1:M1"/>
    <mergeCell ref="N1:O1"/>
    <mergeCell ref="P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A638-6C7D-EE4E-9CC2-4C0A96B25784}">
  <dimension ref="A1:AW20"/>
  <sheetViews>
    <sheetView zoomScale="110" zoomScaleNormal="110" workbookViewId="0">
      <selection sqref="A1:D1"/>
    </sheetView>
  </sheetViews>
  <sheetFormatPr defaultColWidth="11.5546875" defaultRowHeight="16.3"/>
  <cols>
    <col min="1" max="1" width="7.44140625" style="15" bestFit="1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bestFit="1" customWidth="1"/>
    <col min="45" max="45" width="15.109375" bestFit="1" customWidth="1"/>
    <col min="48" max="48" width="12.44140625" bestFit="1" customWidth="1"/>
  </cols>
  <sheetData>
    <row r="1" spans="1:49" ht="17" thickBot="1">
      <c r="A1" s="288" t="s">
        <v>100</v>
      </c>
      <c r="B1" s="289"/>
      <c r="C1" s="289"/>
      <c r="D1" s="290"/>
      <c r="E1" s="291" t="s">
        <v>71</v>
      </c>
      <c r="F1" s="292"/>
      <c r="G1" s="293"/>
      <c r="H1" s="291" t="s">
        <v>72</v>
      </c>
      <c r="I1" s="293"/>
      <c r="J1" s="294" t="s">
        <v>73</v>
      </c>
      <c r="K1" s="295"/>
      <c r="L1" s="295"/>
      <c r="M1" s="296"/>
      <c r="N1" s="294" t="s">
        <v>74</v>
      </c>
      <c r="O1" s="296"/>
      <c r="P1" s="294" t="s">
        <v>75</v>
      </c>
      <c r="Q1" s="295"/>
      <c r="R1" s="296"/>
      <c r="S1" s="95" t="s">
        <v>76</v>
      </c>
      <c r="T1" s="95" t="s">
        <v>2</v>
      </c>
      <c r="U1" s="96" t="s">
        <v>77</v>
      </c>
      <c r="V1" s="97" t="s">
        <v>184</v>
      </c>
      <c r="W1" s="97" t="s">
        <v>78</v>
      </c>
      <c r="X1" s="98" t="s">
        <v>79</v>
      </c>
      <c r="Y1" s="285" t="s">
        <v>80</v>
      </c>
      <c r="Z1" s="286"/>
      <c r="AA1" s="286"/>
      <c r="AB1" s="287"/>
      <c r="AC1" s="285" t="s">
        <v>81</v>
      </c>
      <c r="AD1" s="286"/>
      <c r="AE1" s="286"/>
      <c r="AF1" s="287"/>
      <c r="AG1" s="285" t="s">
        <v>1</v>
      </c>
      <c r="AH1" s="286"/>
      <c r="AI1" s="286"/>
      <c r="AJ1" s="287"/>
      <c r="AK1" s="285" t="s">
        <v>82</v>
      </c>
      <c r="AL1" s="286"/>
      <c r="AM1" s="286"/>
      <c r="AN1" s="287"/>
      <c r="AP1" s="8" t="s">
        <v>107</v>
      </c>
      <c r="AQ1" s="3"/>
      <c r="AR1" s="3"/>
      <c r="AS1" s="2" t="s">
        <v>30</v>
      </c>
      <c r="AT1" s="3"/>
      <c r="AU1" s="3"/>
      <c r="AV1" s="2" t="s">
        <v>106</v>
      </c>
      <c r="AW1" s="3"/>
    </row>
    <row r="2" spans="1:49" ht="17" thickBot="1">
      <c r="A2" s="99" t="s">
        <v>83</v>
      </c>
      <c r="B2" s="100" t="s">
        <v>84</v>
      </c>
      <c r="C2" s="101" t="s">
        <v>85</v>
      </c>
      <c r="D2" s="101" t="s">
        <v>86</v>
      </c>
      <c r="E2" s="102" t="s">
        <v>87</v>
      </c>
      <c r="F2" s="102" t="s">
        <v>49</v>
      </c>
      <c r="G2" s="102" t="s">
        <v>50</v>
      </c>
      <c r="H2" s="103" t="s">
        <v>88</v>
      </c>
      <c r="I2" s="103" t="s">
        <v>89</v>
      </c>
      <c r="J2" s="103" t="s">
        <v>90</v>
      </c>
      <c r="K2" s="103" t="s">
        <v>91</v>
      </c>
      <c r="L2" s="103" t="s">
        <v>63</v>
      </c>
      <c r="M2" s="103" t="s">
        <v>92</v>
      </c>
      <c r="N2" s="103" t="s">
        <v>93</v>
      </c>
      <c r="O2" s="103" t="s">
        <v>87</v>
      </c>
      <c r="P2" s="103" t="s">
        <v>88</v>
      </c>
      <c r="Q2" s="103" t="s">
        <v>89</v>
      </c>
      <c r="R2" s="103" t="s">
        <v>90</v>
      </c>
      <c r="S2" s="104"/>
      <c r="T2" s="105"/>
      <c r="U2" s="106"/>
      <c r="V2" s="104"/>
      <c r="W2" s="107"/>
      <c r="X2" s="108"/>
      <c r="Y2" s="109" t="s">
        <v>94</v>
      </c>
      <c r="Z2" s="109" t="s">
        <v>62</v>
      </c>
      <c r="AA2" s="109" t="s">
        <v>63</v>
      </c>
      <c r="AB2" s="109" t="s">
        <v>64</v>
      </c>
      <c r="AC2" s="109" t="s">
        <v>94</v>
      </c>
      <c r="AD2" s="109" t="s">
        <v>62</v>
      </c>
      <c r="AE2" s="109" t="s">
        <v>63</v>
      </c>
      <c r="AF2" s="109" t="s">
        <v>64</v>
      </c>
      <c r="AG2" s="109" t="s">
        <v>94</v>
      </c>
      <c r="AH2" s="109" t="s">
        <v>62</v>
      </c>
      <c r="AI2" s="109" t="s">
        <v>63</v>
      </c>
      <c r="AJ2" s="109" t="s">
        <v>64</v>
      </c>
      <c r="AK2" s="109" t="s">
        <v>94</v>
      </c>
      <c r="AL2" s="109" t="s">
        <v>62</v>
      </c>
      <c r="AM2" s="109" t="s">
        <v>63</v>
      </c>
      <c r="AN2" s="110" t="s">
        <v>64</v>
      </c>
      <c r="AP2" s="175" t="s">
        <v>108</v>
      </c>
      <c r="AQ2" s="52">
        <f>52+Y17</f>
        <v>60</v>
      </c>
      <c r="AR2" s="3"/>
      <c r="AS2" s="50" t="s">
        <v>108</v>
      </c>
      <c r="AT2" s="52">
        <f>48+Y15</f>
        <v>56</v>
      </c>
      <c r="AU2" s="3"/>
      <c r="AV2" s="50" t="s">
        <v>108</v>
      </c>
      <c r="AW2" s="52">
        <f>4+Y16</f>
        <v>4</v>
      </c>
    </row>
    <row r="3" spans="1:49" ht="17" thickBot="1">
      <c r="A3" s="90">
        <v>38078</v>
      </c>
      <c r="B3" s="91" t="s">
        <v>105</v>
      </c>
      <c r="C3" s="92" t="s">
        <v>9</v>
      </c>
      <c r="D3" s="93" t="s">
        <v>50</v>
      </c>
      <c r="E3" s="93" t="s">
        <v>62</v>
      </c>
      <c r="F3" s="94">
        <f>ANT!G4</f>
        <v>33</v>
      </c>
      <c r="G3" s="94">
        <f>ANT!F4</f>
        <v>19</v>
      </c>
      <c r="H3" s="94">
        <f>ANT!P4</f>
        <v>1</v>
      </c>
      <c r="I3" s="94">
        <f>ANT!Q4</f>
        <v>0</v>
      </c>
      <c r="J3" s="94">
        <f>ANT!R4</f>
        <v>5</v>
      </c>
      <c r="K3" s="93">
        <v>3</v>
      </c>
      <c r="L3" s="93">
        <v>0</v>
      </c>
      <c r="M3" s="93">
        <v>0</v>
      </c>
      <c r="N3" s="93">
        <v>2</v>
      </c>
      <c r="O3" s="93">
        <v>0</v>
      </c>
      <c r="P3" s="93">
        <v>0</v>
      </c>
      <c r="Q3" s="93">
        <v>0</v>
      </c>
      <c r="R3" s="93">
        <v>3</v>
      </c>
      <c r="S3" s="57"/>
      <c r="T3" s="231" t="s">
        <v>199</v>
      </c>
      <c r="U3" s="59" t="str">
        <f>ANT!U4</f>
        <v>Luke Rogan</v>
      </c>
      <c r="V3" s="59" t="str">
        <f>ANT!V4</f>
        <v>James Roberts</v>
      </c>
      <c r="W3" s="59" t="str">
        <f>ANT!W4</f>
        <v>Robin Kaluzniak</v>
      </c>
      <c r="X3" s="59" t="str">
        <f>ANT!X4</f>
        <v>Dave Edwards</v>
      </c>
      <c r="Y3" s="60">
        <f>ANT!Y4</f>
        <v>1</v>
      </c>
      <c r="Z3" s="60">
        <f>ANT!AB4</f>
        <v>1</v>
      </c>
      <c r="AA3" s="60">
        <f>ANT!AA4</f>
        <v>0</v>
      </c>
      <c r="AB3" s="61">
        <f>ANT!Z4</f>
        <v>0</v>
      </c>
      <c r="AC3" s="60"/>
      <c r="AD3" s="60"/>
      <c r="AE3" s="60"/>
      <c r="AF3" s="61"/>
      <c r="AG3" s="60">
        <f>Y3</f>
        <v>1</v>
      </c>
      <c r="AH3" s="60">
        <f t="shared" ref="AH3:AJ3" si="0">Z3</f>
        <v>1</v>
      </c>
      <c r="AI3" s="60">
        <f t="shared" si="0"/>
        <v>0</v>
      </c>
      <c r="AJ3" s="60">
        <f t="shared" si="0"/>
        <v>0</v>
      </c>
      <c r="AK3" s="60"/>
      <c r="AL3" s="60"/>
      <c r="AM3" s="60"/>
      <c r="AN3" s="61"/>
      <c r="AP3" s="175" t="s">
        <v>109</v>
      </c>
      <c r="AQ3" s="52">
        <f>24+Z17</f>
        <v>32</v>
      </c>
      <c r="AR3" s="3"/>
      <c r="AS3" s="50" t="s">
        <v>109</v>
      </c>
      <c r="AT3" s="52">
        <f>22+Z15</f>
        <v>30</v>
      </c>
      <c r="AU3" s="3"/>
      <c r="AV3" s="50" t="s">
        <v>109</v>
      </c>
      <c r="AW3" s="52">
        <f>2+Z16</f>
        <v>2</v>
      </c>
    </row>
    <row r="4" spans="1:49" ht="17" thickBot="1">
      <c r="A4" s="62">
        <v>41000</v>
      </c>
      <c r="B4" s="143" t="s">
        <v>105</v>
      </c>
      <c r="C4" s="63" t="s">
        <v>32</v>
      </c>
      <c r="D4" s="64" t="s">
        <v>95</v>
      </c>
      <c r="E4" s="64" t="s">
        <v>62</v>
      </c>
      <c r="F4" s="64">
        <v>48</v>
      </c>
      <c r="G4" s="65">
        <v>24</v>
      </c>
      <c r="H4" s="65">
        <v>1</v>
      </c>
      <c r="I4" s="64">
        <v>0</v>
      </c>
      <c r="J4" s="64">
        <v>8</v>
      </c>
      <c r="K4" s="64">
        <v>4</v>
      </c>
      <c r="L4" s="64">
        <v>0</v>
      </c>
      <c r="M4" s="64">
        <v>0</v>
      </c>
      <c r="N4" s="64">
        <v>2</v>
      </c>
      <c r="O4" s="64">
        <v>0</v>
      </c>
      <c r="P4" s="64">
        <v>1</v>
      </c>
      <c r="Q4" s="64">
        <v>0</v>
      </c>
      <c r="R4" s="64">
        <v>4</v>
      </c>
      <c r="S4" s="66"/>
      <c r="T4" s="232" t="s">
        <v>212</v>
      </c>
      <c r="U4" s="68" t="s">
        <v>188</v>
      </c>
      <c r="V4" s="69" t="s">
        <v>207</v>
      </c>
      <c r="W4" s="69" t="s">
        <v>182</v>
      </c>
      <c r="X4" s="70" t="s">
        <v>191</v>
      </c>
      <c r="Y4" s="69">
        <v>1</v>
      </c>
      <c r="Z4" s="69">
        <v>1</v>
      </c>
      <c r="AA4" s="69">
        <v>0</v>
      </c>
      <c r="AB4" s="71">
        <v>0</v>
      </c>
      <c r="AC4" s="69">
        <f>Y4</f>
        <v>1</v>
      </c>
      <c r="AD4" s="69">
        <f t="shared" ref="AD4:AF4" si="1">Z4</f>
        <v>1</v>
      </c>
      <c r="AE4" s="69">
        <f t="shared" si="1"/>
        <v>0</v>
      </c>
      <c r="AF4" s="69">
        <f t="shared" si="1"/>
        <v>0</v>
      </c>
      <c r="AG4" s="69"/>
      <c r="AH4" s="69"/>
      <c r="AI4" s="69"/>
      <c r="AJ4" s="71"/>
      <c r="AK4" s="69"/>
      <c r="AL4" s="69"/>
      <c r="AM4" s="69"/>
      <c r="AN4" s="71"/>
      <c r="AP4" s="175" t="s">
        <v>110</v>
      </c>
      <c r="AQ4" s="52">
        <f>1+AA15</f>
        <v>1</v>
      </c>
      <c r="AR4" s="3"/>
      <c r="AS4" s="50" t="s">
        <v>110</v>
      </c>
      <c r="AT4" s="52">
        <f>1+AA15</f>
        <v>1</v>
      </c>
      <c r="AU4" s="3"/>
      <c r="AV4" s="50" t="s">
        <v>111</v>
      </c>
      <c r="AW4" s="52">
        <f>2+AB16</f>
        <v>2</v>
      </c>
    </row>
    <row r="5" spans="1:49" ht="17" thickBot="1">
      <c r="A5" s="62">
        <v>43556</v>
      </c>
      <c r="B5" s="143" t="s">
        <v>105</v>
      </c>
      <c r="C5" s="63" t="s">
        <v>33</v>
      </c>
      <c r="D5" s="64" t="s">
        <v>95</v>
      </c>
      <c r="E5" s="64" t="s">
        <v>62</v>
      </c>
      <c r="F5" s="64">
        <v>50</v>
      </c>
      <c r="G5" s="65">
        <v>26</v>
      </c>
      <c r="H5" s="252">
        <v>1</v>
      </c>
      <c r="I5" s="65">
        <v>0</v>
      </c>
      <c r="J5" s="64">
        <v>8</v>
      </c>
      <c r="K5" s="64">
        <v>5</v>
      </c>
      <c r="L5" s="64">
        <v>0</v>
      </c>
      <c r="M5" s="64">
        <v>0</v>
      </c>
      <c r="N5" s="64">
        <v>0</v>
      </c>
      <c r="O5" s="64">
        <v>0</v>
      </c>
      <c r="P5" s="64">
        <v>1</v>
      </c>
      <c r="Q5" s="64">
        <v>0</v>
      </c>
      <c r="R5" s="64">
        <v>4</v>
      </c>
      <c r="S5" s="66"/>
      <c r="T5" s="232" t="s">
        <v>221</v>
      </c>
      <c r="U5" s="68" t="s">
        <v>220</v>
      </c>
      <c r="V5" s="69" t="s">
        <v>207</v>
      </c>
      <c r="W5" s="69" t="s">
        <v>181</v>
      </c>
      <c r="X5" s="70" t="s">
        <v>183</v>
      </c>
      <c r="Y5" s="69">
        <v>1</v>
      </c>
      <c r="Z5" s="69">
        <v>1</v>
      </c>
      <c r="AA5" s="69">
        <v>0</v>
      </c>
      <c r="AB5" s="71">
        <v>0</v>
      </c>
      <c r="AC5" s="69">
        <f>Y5</f>
        <v>1</v>
      </c>
      <c r="AD5" s="69">
        <f t="shared" ref="AD5" si="2">Z5</f>
        <v>1</v>
      </c>
      <c r="AE5" s="69">
        <f t="shared" ref="AE5" si="3">AA5</f>
        <v>0</v>
      </c>
      <c r="AF5" s="69">
        <f t="shared" ref="AF5" si="4">AB5</f>
        <v>0</v>
      </c>
      <c r="AG5" s="69"/>
      <c r="AH5" s="69"/>
      <c r="AI5" s="69"/>
      <c r="AJ5" s="71"/>
      <c r="AK5" s="69"/>
      <c r="AL5" s="69"/>
      <c r="AM5" s="69"/>
      <c r="AN5" s="71"/>
      <c r="AP5" s="175" t="s">
        <v>111</v>
      </c>
      <c r="AQ5" s="52">
        <f>27+AB17</f>
        <v>27</v>
      </c>
      <c r="AR5" s="3"/>
      <c r="AS5" s="50" t="s">
        <v>111</v>
      </c>
      <c r="AT5" s="52">
        <f>25+AB15</f>
        <v>25</v>
      </c>
      <c r="AU5" s="3"/>
      <c r="AV5" s="50" t="s">
        <v>112</v>
      </c>
      <c r="AW5" s="52">
        <f>109+F16</f>
        <v>109</v>
      </c>
    </row>
    <row r="6" spans="1:49" ht="17" thickBot="1">
      <c r="A6" s="53">
        <v>45383</v>
      </c>
      <c r="B6" s="91" t="s">
        <v>105</v>
      </c>
      <c r="C6" s="54" t="s">
        <v>11</v>
      </c>
      <c r="D6" s="55" t="s">
        <v>50</v>
      </c>
      <c r="E6" s="55" t="s">
        <v>62</v>
      </c>
      <c r="F6" s="56">
        <f>SEA!G6</f>
        <v>59</v>
      </c>
      <c r="G6" s="56">
        <f>SEA!F6</f>
        <v>22</v>
      </c>
      <c r="H6" s="56">
        <f>SEA!P6</f>
        <v>1</v>
      </c>
      <c r="I6" s="56">
        <f>SEA!Q6</f>
        <v>0</v>
      </c>
      <c r="J6" s="56">
        <f>SEA!R6</f>
        <v>9</v>
      </c>
      <c r="K6" s="55">
        <v>7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3</v>
      </c>
      <c r="S6" s="57"/>
      <c r="T6" s="231" t="s">
        <v>229</v>
      </c>
      <c r="U6" s="60" t="str">
        <f>SEA!U6</f>
        <v>David Vosalevu</v>
      </c>
      <c r="V6" s="60" t="str">
        <f>SEA!V6</f>
        <v>Chris Assmus</v>
      </c>
      <c r="W6" s="60" t="str">
        <f>SEA!W6</f>
        <v>Mike Lawrenson</v>
      </c>
      <c r="X6" s="60" t="str">
        <f>SEA!X6</f>
        <v>Shanda Assmus</v>
      </c>
      <c r="Y6" s="60">
        <f>SEA!Y6</f>
        <v>1</v>
      </c>
      <c r="Z6" s="60">
        <f>SEA!AB6</f>
        <v>1</v>
      </c>
      <c r="AA6" s="60">
        <f>SEA!AA6</f>
        <v>0</v>
      </c>
      <c r="AB6" s="61">
        <f>SEA!Z6</f>
        <v>0</v>
      </c>
      <c r="AC6" s="60"/>
      <c r="AD6" s="60"/>
      <c r="AE6" s="60"/>
      <c r="AF6" s="61"/>
      <c r="AG6" s="60">
        <f>Y6</f>
        <v>1</v>
      </c>
      <c r="AH6" s="60">
        <f t="shared" ref="AH6:AJ6" si="5">Z6</f>
        <v>1</v>
      </c>
      <c r="AI6" s="60">
        <f t="shared" si="5"/>
        <v>0</v>
      </c>
      <c r="AJ6" s="60">
        <f t="shared" si="5"/>
        <v>0</v>
      </c>
      <c r="AK6" s="60"/>
      <c r="AL6" s="60"/>
      <c r="AM6" s="60"/>
      <c r="AN6" s="61"/>
      <c r="AP6" s="175" t="s">
        <v>112</v>
      </c>
      <c r="AQ6" s="52">
        <f>1312+F17</f>
        <v>1705</v>
      </c>
      <c r="AR6" s="3"/>
      <c r="AS6" s="50" t="s">
        <v>112</v>
      </c>
      <c r="AT6" s="52">
        <f>1203+F15</f>
        <v>1596</v>
      </c>
      <c r="AU6" s="3"/>
      <c r="AV6" s="50" t="s">
        <v>113</v>
      </c>
      <c r="AW6" s="52">
        <f>81+G16</f>
        <v>81</v>
      </c>
    </row>
    <row r="7" spans="1:49" ht="17" thickBot="1">
      <c r="A7" s="62">
        <v>37742</v>
      </c>
      <c r="B7" s="143" t="s">
        <v>105</v>
      </c>
      <c r="C7" s="63" t="s">
        <v>12</v>
      </c>
      <c r="D7" s="64" t="s">
        <v>95</v>
      </c>
      <c r="E7" s="64" t="s">
        <v>62</v>
      </c>
      <c r="F7" s="64">
        <v>49</v>
      </c>
      <c r="G7" s="65">
        <v>31</v>
      </c>
      <c r="H7" s="65">
        <v>1</v>
      </c>
      <c r="I7" s="64">
        <v>0</v>
      </c>
      <c r="J7" s="64">
        <v>6</v>
      </c>
      <c r="K7" s="64">
        <v>5</v>
      </c>
      <c r="L7" s="64">
        <v>0</v>
      </c>
      <c r="M7" s="64">
        <v>3</v>
      </c>
      <c r="N7" s="64">
        <v>2</v>
      </c>
      <c r="O7" s="64">
        <v>0</v>
      </c>
      <c r="P7" s="64">
        <v>1</v>
      </c>
      <c r="Q7" s="64">
        <v>0</v>
      </c>
      <c r="R7" s="64">
        <v>5</v>
      </c>
      <c r="S7" s="66"/>
      <c r="T7" s="232" t="s">
        <v>241</v>
      </c>
      <c r="U7" s="68" t="s">
        <v>228</v>
      </c>
      <c r="V7" s="69" t="s">
        <v>207</v>
      </c>
      <c r="W7" s="69" t="s">
        <v>183</v>
      </c>
      <c r="X7" s="70" t="s">
        <v>242</v>
      </c>
      <c r="Y7" s="69">
        <v>1</v>
      </c>
      <c r="Z7" s="69">
        <v>1</v>
      </c>
      <c r="AA7" s="69">
        <v>0</v>
      </c>
      <c r="AB7" s="71">
        <v>0</v>
      </c>
      <c r="AC7" s="69">
        <f>Y7</f>
        <v>1</v>
      </c>
      <c r="AD7" s="69">
        <f t="shared" ref="AD7:AF7" si="6">Z7</f>
        <v>1</v>
      </c>
      <c r="AE7" s="69">
        <f t="shared" si="6"/>
        <v>0</v>
      </c>
      <c r="AF7" s="69">
        <f t="shared" si="6"/>
        <v>0</v>
      </c>
      <c r="AG7" s="69"/>
      <c r="AH7" s="69"/>
      <c r="AI7" s="69"/>
      <c r="AJ7" s="71"/>
      <c r="AK7" s="69"/>
      <c r="AL7" s="69"/>
      <c r="AM7" s="69"/>
      <c r="AN7" s="71"/>
      <c r="AP7" s="175" t="s">
        <v>113</v>
      </c>
      <c r="AQ7" s="52">
        <f>1318+G17</f>
        <v>1519</v>
      </c>
      <c r="AR7" s="3"/>
      <c r="AS7" s="50" t="s">
        <v>113</v>
      </c>
      <c r="AT7" s="52">
        <f>1237+G15</f>
        <v>1438</v>
      </c>
      <c r="AU7" s="3"/>
      <c r="AV7" s="50" t="s">
        <v>31</v>
      </c>
      <c r="AW7" s="52">
        <f>13+J16</f>
        <v>13</v>
      </c>
    </row>
    <row r="8" spans="1:49" ht="17" thickBot="1">
      <c r="A8" s="62">
        <v>40299</v>
      </c>
      <c r="B8" s="143" t="s">
        <v>105</v>
      </c>
      <c r="C8" s="63" t="s">
        <v>9</v>
      </c>
      <c r="D8" s="64" t="s">
        <v>95</v>
      </c>
      <c r="E8" s="64" t="s">
        <v>62</v>
      </c>
      <c r="F8" s="64">
        <v>61</v>
      </c>
      <c r="G8" s="65">
        <v>36</v>
      </c>
      <c r="H8" s="65">
        <v>1</v>
      </c>
      <c r="I8" s="64">
        <v>0</v>
      </c>
      <c r="J8" s="64">
        <v>9</v>
      </c>
      <c r="K8" s="64">
        <v>8</v>
      </c>
      <c r="L8" s="64">
        <v>0</v>
      </c>
      <c r="M8" s="64">
        <v>0</v>
      </c>
      <c r="N8" s="64">
        <v>1</v>
      </c>
      <c r="O8" s="64">
        <v>0</v>
      </c>
      <c r="P8" s="64">
        <v>1</v>
      </c>
      <c r="Q8" s="64">
        <v>0</v>
      </c>
      <c r="R8" s="64">
        <v>6</v>
      </c>
      <c r="S8" s="66"/>
      <c r="T8" s="232" t="s">
        <v>249</v>
      </c>
      <c r="U8" s="68" t="s">
        <v>205</v>
      </c>
      <c r="V8" s="68" t="s">
        <v>207</v>
      </c>
      <c r="W8" s="68" t="s">
        <v>182</v>
      </c>
      <c r="X8" s="68" t="s">
        <v>239</v>
      </c>
      <c r="Y8" s="69">
        <v>1</v>
      </c>
      <c r="Z8" s="69">
        <v>1</v>
      </c>
      <c r="AA8" s="69">
        <v>0</v>
      </c>
      <c r="AB8" s="71">
        <v>0</v>
      </c>
      <c r="AC8" s="69">
        <f>Y8</f>
        <v>1</v>
      </c>
      <c r="AD8" s="69">
        <f t="shared" ref="AD8" si="7">Z8</f>
        <v>1</v>
      </c>
      <c r="AE8" s="69">
        <f t="shared" ref="AE8" si="8">AA8</f>
        <v>0</v>
      </c>
      <c r="AF8" s="69">
        <f t="shared" ref="AF8" si="9">AB8</f>
        <v>0</v>
      </c>
      <c r="AG8" s="69"/>
      <c r="AH8" s="69"/>
      <c r="AI8" s="69"/>
      <c r="AJ8" s="71"/>
      <c r="AK8" s="69"/>
      <c r="AL8" s="69"/>
      <c r="AM8" s="69"/>
      <c r="AN8" s="71"/>
      <c r="AP8" s="175" t="s">
        <v>31</v>
      </c>
      <c r="AQ8" s="52">
        <f>178+J17</f>
        <v>237</v>
      </c>
      <c r="AR8" s="3"/>
      <c r="AS8" s="50" t="s">
        <v>31</v>
      </c>
      <c r="AT8" s="52">
        <f>165+J15</f>
        <v>224</v>
      </c>
      <c r="AU8" s="3"/>
    </row>
    <row r="9" spans="1:49" ht="17" thickBot="1">
      <c r="A9" s="53">
        <v>42491</v>
      </c>
      <c r="B9" s="91" t="s">
        <v>105</v>
      </c>
      <c r="C9" s="54" t="s">
        <v>32</v>
      </c>
      <c r="D9" s="55" t="s">
        <v>50</v>
      </c>
      <c r="E9" s="55" t="s">
        <v>62</v>
      </c>
      <c r="F9" s="56">
        <f>CAL!G9</f>
        <v>36</v>
      </c>
      <c r="G9" s="56">
        <f>CAL!F9</f>
        <v>26</v>
      </c>
      <c r="H9" s="56">
        <f>CAL!P9</f>
        <v>1</v>
      </c>
      <c r="I9" s="56">
        <f>CAL!Q9</f>
        <v>0</v>
      </c>
      <c r="J9" s="56">
        <f>CAL!R9</f>
        <v>5</v>
      </c>
      <c r="K9" s="55">
        <v>4</v>
      </c>
      <c r="L9" s="55">
        <v>0</v>
      </c>
      <c r="M9" s="55">
        <v>1</v>
      </c>
      <c r="N9" s="55">
        <v>1</v>
      </c>
      <c r="O9" s="55">
        <v>0</v>
      </c>
      <c r="P9" s="55">
        <v>1</v>
      </c>
      <c r="Q9" s="55">
        <v>0</v>
      </c>
      <c r="R9" s="55">
        <v>4</v>
      </c>
      <c r="S9" s="57"/>
      <c r="T9" s="251" t="s">
        <v>252</v>
      </c>
      <c r="U9" s="59" t="str">
        <f>CAL!U9</f>
        <v>Luke Rogan</v>
      </c>
      <c r="V9" s="59" t="str">
        <f>CAL!V9</f>
        <v>Austin Reed</v>
      </c>
      <c r="W9" s="59" t="str">
        <f>CAL!W9</f>
        <v>Derek Summers</v>
      </c>
      <c r="X9" s="59" t="str">
        <f>CAL!X9</f>
        <v>Shanda Assmus</v>
      </c>
      <c r="Y9" s="60">
        <f>CAL!Y9</f>
        <v>1</v>
      </c>
      <c r="Z9" s="60">
        <f>CAL!AB9</f>
        <v>1</v>
      </c>
      <c r="AA9" s="60">
        <f>CAL!AA9</f>
        <v>0</v>
      </c>
      <c r="AB9" s="61">
        <f>CAL!Z9</f>
        <v>0</v>
      </c>
      <c r="AC9" s="60"/>
      <c r="AD9" s="60"/>
      <c r="AE9" s="60"/>
      <c r="AF9" s="60"/>
      <c r="AG9" s="60">
        <f>Y9</f>
        <v>1</v>
      </c>
      <c r="AH9" s="60">
        <f t="shared" ref="AH9:AJ9" si="10">Z9</f>
        <v>1</v>
      </c>
      <c r="AI9" s="60">
        <f t="shared" si="10"/>
        <v>0</v>
      </c>
      <c r="AJ9" s="60">
        <f t="shared" si="10"/>
        <v>0</v>
      </c>
      <c r="AK9" s="60"/>
      <c r="AL9" s="60"/>
      <c r="AM9" s="60"/>
      <c r="AN9" s="61"/>
    </row>
    <row r="10" spans="1:49" ht="17" thickBot="1">
      <c r="A10" s="62">
        <v>45413</v>
      </c>
      <c r="B10" s="143" t="s">
        <v>105</v>
      </c>
      <c r="C10" s="63" t="s">
        <v>11</v>
      </c>
      <c r="D10" s="64" t="s">
        <v>95</v>
      </c>
      <c r="E10" s="64" t="s">
        <v>62</v>
      </c>
      <c r="F10" s="144">
        <v>57</v>
      </c>
      <c r="G10" s="65">
        <v>17</v>
      </c>
      <c r="H10" s="65">
        <v>1</v>
      </c>
      <c r="I10" s="64">
        <v>0</v>
      </c>
      <c r="J10" s="64">
        <v>9</v>
      </c>
      <c r="K10" s="64">
        <v>6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3</v>
      </c>
      <c r="S10" s="66"/>
      <c r="T10" s="232" t="s">
        <v>266</v>
      </c>
      <c r="U10" s="68" t="s">
        <v>258</v>
      </c>
      <c r="V10" s="68" t="s">
        <v>207</v>
      </c>
      <c r="W10" s="68" t="s">
        <v>182</v>
      </c>
      <c r="X10" s="68" t="s">
        <v>265</v>
      </c>
      <c r="Y10" s="69">
        <v>1</v>
      </c>
      <c r="Z10" s="69">
        <v>1</v>
      </c>
      <c r="AA10" s="69">
        <v>0</v>
      </c>
      <c r="AB10" s="69">
        <v>0</v>
      </c>
      <c r="AC10" s="69">
        <f>Y10</f>
        <v>1</v>
      </c>
      <c r="AD10" s="69">
        <f t="shared" ref="AD10:AF10" si="11">Z10</f>
        <v>1</v>
      </c>
      <c r="AE10" s="69">
        <f t="shared" si="11"/>
        <v>0</v>
      </c>
      <c r="AF10" s="69">
        <f t="shared" si="11"/>
        <v>0</v>
      </c>
      <c r="AG10" s="69"/>
      <c r="AH10" s="69"/>
      <c r="AI10" s="69"/>
      <c r="AJ10" s="69"/>
      <c r="AK10" s="69"/>
      <c r="AL10" s="69"/>
      <c r="AM10" s="69"/>
      <c r="AN10" s="71"/>
    </row>
    <row r="11" spans="1:49" ht="17" thickBot="1">
      <c r="A11" s="53">
        <v>47604</v>
      </c>
      <c r="B11" s="91" t="s">
        <v>105</v>
      </c>
      <c r="C11" s="54" t="s">
        <v>12</v>
      </c>
      <c r="D11" s="55" t="s">
        <v>50</v>
      </c>
      <c r="E11" s="55"/>
      <c r="F11" s="56">
        <f>OGDC!G11</f>
        <v>0</v>
      </c>
      <c r="G11" s="56">
        <f>OGDC!F11</f>
        <v>0</v>
      </c>
      <c r="H11" s="56">
        <f>OGDC!P11</f>
        <v>0</v>
      </c>
      <c r="I11" s="56">
        <f>OGDC!Q11</f>
        <v>0</v>
      </c>
      <c r="J11" s="56">
        <f>OGDC!R11</f>
        <v>0</v>
      </c>
      <c r="K11" s="55"/>
      <c r="L11" s="55"/>
      <c r="M11" s="55"/>
      <c r="N11" s="55"/>
      <c r="O11" s="55"/>
      <c r="P11" s="55"/>
      <c r="Q11" s="55"/>
      <c r="R11" s="55"/>
      <c r="S11" s="57"/>
      <c r="T11" s="58"/>
      <c r="U11" s="59">
        <f>OGDC!U11</f>
        <v>0</v>
      </c>
      <c r="V11" s="59">
        <f>OGDC!V11</f>
        <v>0</v>
      </c>
      <c r="W11" s="59">
        <f>OGDC!W11</f>
        <v>0</v>
      </c>
      <c r="X11" s="59">
        <f>OGDC!X11</f>
        <v>0</v>
      </c>
      <c r="Y11" s="60">
        <f>OGDC!Y11</f>
        <v>0</v>
      </c>
      <c r="Z11" s="60">
        <f>OGDC!AB11</f>
        <v>0</v>
      </c>
      <c r="AA11" s="60">
        <f>OGDC!AA11</f>
        <v>0</v>
      </c>
      <c r="AB11" s="61">
        <f>OGDC!Z11</f>
        <v>0</v>
      </c>
      <c r="AC11" s="60"/>
      <c r="AD11" s="60"/>
      <c r="AE11" s="60"/>
      <c r="AF11" s="60"/>
      <c r="AG11" s="60">
        <f>Y11</f>
        <v>0</v>
      </c>
      <c r="AH11" s="60">
        <f t="shared" ref="AH11:AJ11" si="12">Z11</f>
        <v>0</v>
      </c>
      <c r="AI11" s="60">
        <f t="shared" si="12"/>
        <v>0</v>
      </c>
      <c r="AJ11" s="60">
        <f t="shared" si="12"/>
        <v>0</v>
      </c>
      <c r="AK11" s="60"/>
      <c r="AL11" s="60"/>
      <c r="AM11" s="60"/>
      <c r="AN11" s="61"/>
    </row>
    <row r="12" spans="1:49" ht="17" thickBot="1">
      <c r="A12" s="53">
        <v>39234</v>
      </c>
      <c r="B12" s="91" t="s">
        <v>105</v>
      </c>
      <c r="C12" s="54" t="s">
        <v>33</v>
      </c>
      <c r="D12" s="55" t="s">
        <v>50</v>
      </c>
      <c r="E12" s="55"/>
      <c r="F12" s="56">
        <f>NEW!G12</f>
        <v>0</v>
      </c>
      <c r="G12" s="56">
        <f>NEW!F12</f>
        <v>0</v>
      </c>
      <c r="H12" s="56">
        <f>NEW!P12</f>
        <v>0</v>
      </c>
      <c r="I12" s="56">
        <f>NEW!Q12</f>
        <v>0</v>
      </c>
      <c r="J12" s="56">
        <f>NEW!R12</f>
        <v>0</v>
      </c>
      <c r="K12" s="55"/>
      <c r="L12" s="55"/>
      <c r="M12" s="55"/>
      <c r="N12" s="55"/>
      <c r="O12" s="55"/>
      <c r="P12" s="55"/>
      <c r="Q12" s="55"/>
      <c r="R12" s="55"/>
      <c r="S12" s="75"/>
      <c r="T12" s="58"/>
      <c r="U12" s="59">
        <f>NEW!U12</f>
        <v>0</v>
      </c>
      <c r="V12" s="59">
        <f>NEW!V12</f>
        <v>0</v>
      </c>
      <c r="W12" s="59">
        <f>NEW!W12</f>
        <v>0</v>
      </c>
      <c r="X12" s="59">
        <f>NEW!X12</f>
        <v>0</v>
      </c>
      <c r="Y12" s="60">
        <f>NEW!Y12</f>
        <v>0</v>
      </c>
      <c r="Z12" s="60">
        <f>NEW!AB12</f>
        <v>0</v>
      </c>
      <c r="AA12" s="60">
        <f>NEW!AA12</f>
        <v>0</v>
      </c>
      <c r="AB12" s="61">
        <f>NEW!Z12</f>
        <v>0</v>
      </c>
      <c r="AC12" s="60"/>
      <c r="AD12" s="60"/>
      <c r="AE12" s="60"/>
      <c r="AF12" s="60"/>
      <c r="AG12" s="60">
        <f>Y12</f>
        <v>0</v>
      </c>
      <c r="AH12" s="60">
        <f t="shared" ref="AH12" si="13">Z12</f>
        <v>0</v>
      </c>
      <c r="AI12" s="60">
        <f t="shared" ref="AI12" si="14">AA12</f>
        <v>0</v>
      </c>
      <c r="AJ12" s="60">
        <f t="shared" ref="AJ12" si="15">AB12</f>
        <v>0</v>
      </c>
      <c r="AK12" s="60"/>
      <c r="AL12" s="60"/>
      <c r="AM12" s="60"/>
      <c r="AN12" s="61"/>
    </row>
    <row r="13" spans="1:49" ht="17" thickBot="1">
      <c r="A13" s="155"/>
      <c r="B13" s="156" t="s">
        <v>104</v>
      </c>
      <c r="C13" s="157"/>
      <c r="D13" s="158"/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95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70" t="s">
        <v>30</v>
      </c>
      <c r="D15" s="271"/>
      <c r="E15" s="272"/>
      <c r="F15" s="81">
        <f>SUM(F3+F4+F5+F6+F7+F8+F9+F10+F11+F12)</f>
        <v>393</v>
      </c>
      <c r="G15" s="81">
        <f t="shared" ref="G15:R15" si="16">SUM(G3+G4+G5+G6+G7+G8+G9+G10+G11+G12)</f>
        <v>201</v>
      </c>
      <c r="H15" s="81">
        <f t="shared" si="16"/>
        <v>8</v>
      </c>
      <c r="I15" s="81">
        <f t="shared" si="16"/>
        <v>0</v>
      </c>
      <c r="J15" s="81">
        <f t="shared" si="16"/>
        <v>59</v>
      </c>
      <c r="K15" s="81">
        <f t="shared" si="16"/>
        <v>42</v>
      </c>
      <c r="L15" s="81">
        <f t="shared" si="16"/>
        <v>0</v>
      </c>
      <c r="M15" s="81">
        <f t="shared" si="16"/>
        <v>4</v>
      </c>
      <c r="N15" s="81">
        <f t="shared" si="16"/>
        <v>8</v>
      </c>
      <c r="O15" s="81">
        <f t="shared" si="16"/>
        <v>0</v>
      </c>
      <c r="P15" s="81">
        <f t="shared" si="16"/>
        <v>5</v>
      </c>
      <c r="Q15" s="81">
        <f t="shared" si="16"/>
        <v>0</v>
      </c>
      <c r="R15" s="81">
        <f t="shared" si="16"/>
        <v>32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8</v>
      </c>
      <c r="Z15" s="81">
        <f t="shared" ref="Z15:AN15" si="17">Z3+Z4+Z5+Z6+Z7+Z8+Z9+Z10+Z11+Z12</f>
        <v>8</v>
      </c>
      <c r="AA15" s="81">
        <f t="shared" si="17"/>
        <v>0</v>
      </c>
      <c r="AB15" s="81">
        <f t="shared" si="17"/>
        <v>0</v>
      </c>
      <c r="AC15" s="85">
        <f t="shared" si="17"/>
        <v>5</v>
      </c>
      <c r="AD15" s="85">
        <f t="shared" si="17"/>
        <v>5</v>
      </c>
      <c r="AE15" s="85">
        <f t="shared" si="17"/>
        <v>0</v>
      </c>
      <c r="AF15" s="85">
        <f t="shared" si="17"/>
        <v>0</v>
      </c>
      <c r="AG15" s="170">
        <f t="shared" si="17"/>
        <v>3</v>
      </c>
      <c r="AH15" s="170">
        <f t="shared" si="17"/>
        <v>3</v>
      </c>
      <c r="AI15" s="170">
        <f t="shared" si="17"/>
        <v>0</v>
      </c>
      <c r="AJ15" s="170">
        <f t="shared" si="17"/>
        <v>0</v>
      </c>
      <c r="AK15" s="81">
        <f t="shared" si="17"/>
        <v>0</v>
      </c>
      <c r="AL15" s="81">
        <f t="shared" si="17"/>
        <v>0</v>
      </c>
      <c r="AM15" s="81">
        <f t="shared" si="17"/>
        <v>0</v>
      </c>
      <c r="AN15" s="81">
        <f t="shared" si="17"/>
        <v>0</v>
      </c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18">G13+G14</f>
        <v>0</v>
      </c>
      <c r="H16" s="169">
        <f t="shared" si="18"/>
        <v>0</v>
      </c>
      <c r="I16" s="169">
        <f t="shared" si="18"/>
        <v>0</v>
      </c>
      <c r="J16" s="169">
        <f t="shared" si="18"/>
        <v>0</v>
      </c>
      <c r="K16" s="169">
        <f t="shared" si="18"/>
        <v>0</v>
      </c>
      <c r="L16" s="169">
        <f t="shared" si="18"/>
        <v>0</v>
      </c>
      <c r="M16" s="169">
        <f t="shared" si="18"/>
        <v>0</v>
      </c>
      <c r="N16" s="169">
        <f t="shared" si="18"/>
        <v>0</v>
      </c>
      <c r="O16" s="169">
        <f t="shared" si="18"/>
        <v>0</v>
      </c>
      <c r="P16" s="169">
        <f t="shared" si="18"/>
        <v>0</v>
      </c>
      <c r="Q16" s="169">
        <f t="shared" si="18"/>
        <v>0</v>
      </c>
      <c r="R16" s="169">
        <f t="shared" si="18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N16" si="19">Z13+Z14</f>
        <v>0</v>
      </c>
      <c r="AA16" s="81">
        <f t="shared" si="19"/>
        <v>0</v>
      </c>
      <c r="AB16" s="81">
        <f t="shared" si="19"/>
        <v>0</v>
      </c>
      <c r="AC16" s="85">
        <f t="shared" si="19"/>
        <v>0</v>
      </c>
      <c r="AD16" s="85">
        <f t="shared" si="19"/>
        <v>0</v>
      </c>
      <c r="AE16" s="85">
        <f t="shared" si="19"/>
        <v>0</v>
      </c>
      <c r="AF16" s="85">
        <f t="shared" si="19"/>
        <v>0</v>
      </c>
      <c r="AG16" s="170">
        <f t="shared" si="19"/>
        <v>0</v>
      </c>
      <c r="AH16" s="170">
        <f t="shared" si="19"/>
        <v>0</v>
      </c>
      <c r="AI16" s="170">
        <f t="shared" si="19"/>
        <v>0</v>
      </c>
      <c r="AJ16" s="170">
        <f t="shared" si="19"/>
        <v>0</v>
      </c>
      <c r="AK16" s="81">
        <f t="shared" si="19"/>
        <v>0</v>
      </c>
      <c r="AL16" s="81">
        <f t="shared" si="19"/>
        <v>0</v>
      </c>
      <c r="AM16" s="81">
        <f t="shared" si="19"/>
        <v>0</v>
      </c>
      <c r="AN16" s="81">
        <f t="shared" si="19"/>
        <v>0</v>
      </c>
    </row>
    <row r="17" spans="1:40" ht="17" thickBot="1">
      <c r="C17" s="255" t="s">
        <v>96</v>
      </c>
      <c r="D17" s="256"/>
      <c r="E17" s="257"/>
      <c r="F17" s="86">
        <f>F15+F16</f>
        <v>393</v>
      </c>
      <c r="G17" s="86">
        <f t="shared" ref="G17:R17" si="20">G15+G16</f>
        <v>201</v>
      </c>
      <c r="H17" s="86">
        <f t="shared" si="20"/>
        <v>8</v>
      </c>
      <c r="I17" s="86">
        <f t="shared" si="20"/>
        <v>0</v>
      </c>
      <c r="J17" s="86">
        <f t="shared" si="20"/>
        <v>59</v>
      </c>
      <c r="K17" s="86">
        <f t="shared" si="20"/>
        <v>42</v>
      </c>
      <c r="L17" s="86">
        <f t="shared" si="20"/>
        <v>0</v>
      </c>
      <c r="M17" s="86">
        <f t="shared" si="20"/>
        <v>4</v>
      </c>
      <c r="N17" s="86">
        <f t="shared" si="20"/>
        <v>8</v>
      </c>
      <c r="O17" s="86">
        <f t="shared" si="20"/>
        <v>0</v>
      </c>
      <c r="P17" s="86">
        <f t="shared" si="20"/>
        <v>5</v>
      </c>
      <c r="Q17" s="86">
        <f t="shared" si="20"/>
        <v>0</v>
      </c>
      <c r="R17" s="86">
        <f t="shared" si="20"/>
        <v>32</v>
      </c>
      <c r="X17" s="87" t="s">
        <v>96</v>
      </c>
      <c r="Y17" s="88">
        <f>Y15+Y16</f>
        <v>8</v>
      </c>
      <c r="Z17" s="88">
        <f t="shared" ref="Z17:AN17" si="21">Z15+Z16</f>
        <v>8</v>
      </c>
      <c r="AA17" s="88">
        <f t="shared" si="21"/>
        <v>0</v>
      </c>
      <c r="AB17" s="88">
        <f t="shared" si="21"/>
        <v>0</v>
      </c>
      <c r="AC17" s="89">
        <f t="shared" si="21"/>
        <v>5</v>
      </c>
      <c r="AD17" s="89">
        <f t="shared" si="21"/>
        <v>5</v>
      </c>
      <c r="AE17" s="89">
        <f t="shared" si="21"/>
        <v>0</v>
      </c>
      <c r="AF17" s="89">
        <f t="shared" si="21"/>
        <v>0</v>
      </c>
      <c r="AG17" s="171">
        <f t="shared" si="21"/>
        <v>3</v>
      </c>
      <c r="AH17" s="171">
        <f t="shared" si="21"/>
        <v>3</v>
      </c>
      <c r="AI17" s="171">
        <f t="shared" si="21"/>
        <v>0</v>
      </c>
      <c r="AJ17" s="171">
        <f t="shared" si="21"/>
        <v>0</v>
      </c>
      <c r="AK17" s="88">
        <f t="shared" si="21"/>
        <v>0</v>
      </c>
      <c r="AL17" s="88">
        <f t="shared" si="21"/>
        <v>0</v>
      </c>
      <c r="AM17" s="88">
        <f t="shared" si="21"/>
        <v>0</v>
      </c>
      <c r="AN17" s="88">
        <f t="shared" si="21"/>
        <v>0</v>
      </c>
    </row>
    <row r="18" spans="1:40">
      <c r="A18" s="3" t="s">
        <v>97</v>
      </c>
    </row>
    <row r="20" spans="1:40">
      <c r="A20" s="15" t="s">
        <v>198</v>
      </c>
    </row>
  </sheetData>
  <mergeCells count="12">
    <mergeCell ref="C17:E17"/>
    <mergeCell ref="Y1:AB1"/>
    <mergeCell ref="AC1:AF1"/>
    <mergeCell ref="AG1:AJ1"/>
    <mergeCell ref="AK1:AN1"/>
    <mergeCell ref="C15:E15"/>
    <mergeCell ref="A1:D1"/>
    <mergeCell ref="E1:G1"/>
    <mergeCell ref="H1:I1"/>
    <mergeCell ref="J1:M1"/>
    <mergeCell ref="N1:O1"/>
    <mergeCell ref="P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2962-64C2-E949-9D8B-3BF1D5CD5BE3}">
  <dimension ref="A1:AW18"/>
  <sheetViews>
    <sheetView zoomScaleNormal="80" workbookViewId="0">
      <selection sqref="A1:D1"/>
    </sheetView>
  </sheetViews>
  <sheetFormatPr defaultColWidth="11.5546875" defaultRowHeight="16.3"/>
  <cols>
    <col min="1" max="1" width="7.44140625" style="15" bestFit="1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bestFit="1" customWidth="1"/>
    <col min="45" max="45" width="15.109375" bestFit="1" customWidth="1"/>
    <col min="48" max="48" width="12.44140625" bestFit="1" customWidth="1"/>
  </cols>
  <sheetData>
    <row r="1" spans="1:49" ht="17" thickBot="1">
      <c r="A1" s="300" t="s">
        <v>101</v>
      </c>
      <c r="B1" s="301"/>
      <c r="C1" s="301"/>
      <c r="D1" s="302"/>
      <c r="E1" s="303" t="s">
        <v>71</v>
      </c>
      <c r="F1" s="304"/>
      <c r="G1" s="305"/>
      <c r="H1" s="303" t="s">
        <v>72</v>
      </c>
      <c r="I1" s="305"/>
      <c r="J1" s="306" t="s">
        <v>73</v>
      </c>
      <c r="K1" s="307"/>
      <c r="L1" s="307"/>
      <c r="M1" s="308"/>
      <c r="N1" s="306" t="s">
        <v>74</v>
      </c>
      <c r="O1" s="308"/>
      <c r="P1" s="306" t="s">
        <v>75</v>
      </c>
      <c r="Q1" s="307"/>
      <c r="R1" s="308"/>
      <c r="S1" s="234" t="s">
        <v>76</v>
      </c>
      <c r="T1" s="234" t="s">
        <v>2</v>
      </c>
      <c r="U1" s="235" t="s">
        <v>77</v>
      </c>
      <c r="V1" s="236" t="s">
        <v>184</v>
      </c>
      <c r="W1" s="236" t="s">
        <v>78</v>
      </c>
      <c r="X1" s="237" t="s">
        <v>79</v>
      </c>
      <c r="Y1" s="297" t="s">
        <v>80</v>
      </c>
      <c r="Z1" s="298"/>
      <c r="AA1" s="298"/>
      <c r="AB1" s="299"/>
      <c r="AC1" s="297" t="s">
        <v>81</v>
      </c>
      <c r="AD1" s="298"/>
      <c r="AE1" s="298"/>
      <c r="AF1" s="299"/>
      <c r="AG1" s="297" t="s">
        <v>1</v>
      </c>
      <c r="AH1" s="298"/>
      <c r="AI1" s="298"/>
      <c r="AJ1" s="299"/>
      <c r="AK1" s="297" t="s">
        <v>82</v>
      </c>
      <c r="AL1" s="298"/>
      <c r="AM1" s="298"/>
      <c r="AN1" s="299"/>
      <c r="AP1" s="8" t="s">
        <v>107</v>
      </c>
      <c r="AQ1" s="3"/>
      <c r="AR1" s="3"/>
      <c r="AS1" s="2" t="s">
        <v>30</v>
      </c>
      <c r="AT1" s="3"/>
      <c r="AU1" s="3"/>
      <c r="AV1" s="2" t="s">
        <v>106</v>
      </c>
      <c r="AW1" s="3"/>
    </row>
    <row r="2" spans="1:49" ht="17" thickBot="1">
      <c r="A2" s="238" t="s">
        <v>83</v>
      </c>
      <c r="B2" s="239" t="s">
        <v>84</v>
      </c>
      <c r="C2" s="240" t="s">
        <v>85</v>
      </c>
      <c r="D2" s="240" t="s">
        <v>86</v>
      </c>
      <c r="E2" s="241" t="s">
        <v>87</v>
      </c>
      <c r="F2" s="241" t="s">
        <v>49</v>
      </c>
      <c r="G2" s="241" t="s">
        <v>50</v>
      </c>
      <c r="H2" s="242" t="s">
        <v>88</v>
      </c>
      <c r="I2" s="242" t="s">
        <v>89</v>
      </c>
      <c r="J2" s="242" t="s">
        <v>90</v>
      </c>
      <c r="K2" s="242" t="s">
        <v>91</v>
      </c>
      <c r="L2" s="242" t="s">
        <v>63</v>
      </c>
      <c r="M2" s="242" t="s">
        <v>92</v>
      </c>
      <c r="N2" s="242" t="s">
        <v>93</v>
      </c>
      <c r="O2" s="242" t="s">
        <v>87</v>
      </c>
      <c r="P2" s="242" t="s">
        <v>88</v>
      </c>
      <c r="Q2" s="242" t="s">
        <v>89</v>
      </c>
      <c r="R2" s="242" t="s">
        <v>90</v>
      </c>
      <c r="S2" s="243"/>
      <c r="T2" s="244"/>
      <c r="U2" s="245"/>
      <c r="V2" s="243"/>
      <c r="W2" s="246"/>
      <c r="X2" s="247"/>
      <c r="Y2" s="248" t="s">
        <v>94</v>
      </c>
      <c r="Z2" s="248" t="s">
        <v>62</v>
      </c>
      <c r="AA2" s="248" t="s">
        <v>63</v>
      </c>
      <c r="AB2" s="248" t="s">
        <v>64</v>
      </c>
      <c r="AC2" s="248" t="s">
        <v>94</v>
      </c>
      <c r="AD2" s="248" t="s">
        <v>62</v>
      </c>
      <c r="AE2" s="248" t="s">
        <v>63</v>
      </c>
      <c r="AF2" s="248" t="s">
        <v>64</v>
      </c>
      <c r="AG2" s="248" t="s">
        <v>94</v>
      </c>
      <c r="AH2" s="248" t="s">
        <v>62</v>
      </c>
      <c r="AI2" s="248" t="s">
        <v>63</v>
      </c>
      <c r="AJ2" s="248" t="s">
        <v>64</v>
      </c>
      <c r="AK2" s="248" t="s">
        <v>94</v>
      </c>
      <c r="AL2" s="248" t="s">
        <v>62</v>
      </c>
      <c r="AM2" s="248" t="s">
        <v>63</v>
      </c>
      <c r="AN2" s="249" t="s">
        <v>64</v>
      </c>
      <c r="AP2" s="175" t="s">
        <v>108</v>
      </c>
      <c r="AQ2" s="52">
        <f>94+Y17</f>
        <v>102</v>
      </c>
      <c r="AR2" s="3"/>
      <c r="AS2" s="50" t="s">
        <v>108</v>
      </c>
      <c r="AT2" s="52">
        <f>85+Y15</f>
        <v>93</v>
      </c>
      <c r="AU2" s="3"/>
      <c r="AV2" s="50" t="s">
        <v>108</v>
      </c>
      <c r="AW2" s="52">
        <f>9+Y16</f>
        <v>9</v>
      </c>
    </row>
    <row r="3" spans="1:49" ht="17" thickBot="1">
      <c r="A3" s="90">
        <v>38078</v>
      </c>
      <c r="B3" s="91" t="s">
        <v>105</v>
      </c>
      <c r="C3" s="92" t="s">
        <v>32</v>
      </c>
      <c r="D3" s="93" t="s">
        <v>50</v>
      </c>
      <c r="E3" s="93" t="s">
        <v>64</v>
      </c>
      <c r="F3" s="94">
        <f>CAL!G4</f>
        <v>5</v>
      </c>
      <c r="G3" s="94">
        <f>CAL!F4</f>
        <v>43</v>
      </c>
      <c r="H3" s="94">
        <f>CAL!P4</f>
        <v>0</v>
      </c>
      <c r="I3" s="94">
        <f>CAL!Q4</f>
        <v>0</v>
      </c>
      <c r="J3" s="94">
        <f>CAL!R4</f>
        <v>1</v>
      </c>
      <c r="K3" s="93">
        <v>0</v>
      </c>
      <c r="L3" s="93">
        <v>0</v>
      </c>
      <c r="M3" s="93">
        <v>0</v>
      </c>
      <c r="N3" s="93">
        <v>1</v>
      </c>
      <c r="O3" s="93">
        <v>0</v>
      </c>
      <c r="P3" s="93">
        <v>1</v>
      </c>
      <c r="Q3" s="93">
        <v>0</v>
      </c>
      <c r="R3" s="93">
        <v>6</v>
      </c>
      <c r="S3" s="57"/>
      <c r="T3" s="58" t="s">
        <v>201</v>
      </c>
      <c r="U3" s="59" t="str">
        <f>CAL!U4</f>
        <v>Mike Lawrenson</v>
      </c>
      <c r="V3" s="59" t="str">
        <f>CAL!V4</f>
        <v>Austin Reed</v>
      </c>
      <c r="W3" s="59" t="str">
        <f>CAL!W4</f>
        <v>Chris Assmus</v>
      </c>
      <c r="X3" s="59" t="str">
        <f>CAL!X4</f>
        <v>Will Nelson</v>
      </c>
      <c r="Y3" s="60">
        <f>CAL!Y4</f>
        <v>1</v>
      </c>
      <c r="Z3" s="60">
        <f>CAL!AB4</f>
        <v>0</v>
      </c>
      <c r="AA3" s="60">
        <f>CAL!AA4</f>
        <v>0</v>
      </c>
      <c r="AB3" s="61">
        <f>CAL!Z4</f>
        <v>1</v>
      </c>
      <c r="AC3" s="60"/>
      <c r="AD3" s="60"/>
      <c r="AE3" s="60"/>
      <c r="AF3" s="61"/>
      <c r="AG3" s="60">
        <f>Y3</f>
        <v>1</v>
      </c>
      <c r="AH3" s="60">
        <f t="shared" ref="AH3:AJ3" si="0">Z3</f>
        <v>0</v>
      </c>
      <c r="AI3" s="60">
        <f t="shared" si="0"/>
        <v>0</v>
      </c>
      <c r="AJ3" s="60">
        <f t="shared" si="0"/>
        <v>1</v>
      </c>
      <c r="AK3" s="60"/>
      <c r="AL3" s="60"/>
      <c r="AM3" s="60"/>
      <c r="AN3" s="61"/>
      <c r="AP3" s="175" t="s">
        <v>109</v>
      </c>
      <c r="AQ3" s="52">
        <f>68+Z17</f>
        <v>71</v>
      </c>
      <c r="AR3" s="3"/>
      <c r="AS3" s="50" t="s">
        <v>109</v>
      </c>
      <c r="AT3" s="52">
        <f>60+Z15</f>
        <v>63</v>
      </c>
      <c r="AU3" s="3"/>
      <c r="AV3" s="50" t="s">
        <v>109</v>
      </c>
      <c r="AW3" s="52">
        <f>8+Z16</f>
        <v>8</v>
      </c>
    </row>
    <row r="4" spans="1:49" ht="17" thickBot="1">
      <c r="A4" s="62">
        <v>40634</v>
      </c>
      <c r="B4" s="143" t="s">
        <v>105</v>
      </c>
      <c r="C4" s="63" t="s">
        <v>12</v>
      </c>
      <c r="D4" s="64" t="s">
        <v>95</v>
      </c>
      <c r="E4" s="64" t="s">
        <v>64</v>
      </c>
      <c r="F4" s="64">
        <v>19</v>
      </c>
      <c r="G4" s="65">
        <v>21</v>
      </c>
      <c r="H4" s="65">
        <v>0</v>
      </c>
      <c r="I4" s="64">
        <v>1</v>
      </c>
      <c r="J4" s="64">
        <v>3</v>
      </c>
      <c r="K4" s="64">
        <v>2</v>
      </c>
      <c r="L4" s="64">
        <v>0</v>
      </c>
      <c r="M4" s="64">
        <v>0</v>
      </c>
      <c r="N4" s="64">
        <v>0</v>
      </c>
      <c r="O4" s="64">
        <v>0</v>
      </c>
      <c r="P4" s="64">
        <v>0</v>
      </c>
      <c r="Q4" s="64">
        <v>0</v>
      </c>
      <c r="R4" s="64">
        <v>3</v>
      </c>
      <c r="S4" s="66"/>
      <c r="T4" s="67" t="s">
        <v>208</v>
      </c>
      <c r="U4" s="68" t="s">
        <v>181</v>
      </c>
      <c r="V4" s="69" t="s">
        <v>204</v>
      </c>
      <c r="W4" s="69" t="s">
        <v>205</v>
      </c>
      <c r="X4" s="70" t="s">
        <v>206</v>
      </c>
      <c r="Y4" s="69">
        <v>1</v>
      </c>
      <c r="Z4" s="69">
        <v>0</v>
      </c>
      <c r="AA4" s="69">
        <v>0</v>
      </c>
      <c r="AB4" s="71">
        <v>1</v>
      </c>
      <c r="AC4" s="69">
        <f>Y4</f>
        <v>1</v>
      </c>
      <c r="AD4" s="69">
        <f t="shared" ref="AD4:AF4" si="1">Z4</f>
        <v>0</v>
      </c>
      <c r="AE4" s="69">
        <f t="shared" si="1"/>
        <v>0</v>
      </c>
      <c r="AF4" s="69">
        <f t="shared" si="1"/>
        <v>1</v>
      </c>
      <c r="AG4" s="69"/>
      <c r="AH4" s="69"/>
      <c r="AI4" s="69"/>
      <c r="AJ4" s="71"/>
      <c r="AK4" s="69"/>
      <c r="AL4" s="69"/>
      <c r="AM4" s="69"/>
      <c r="AN4" s="71"/>
      <c r="AP4" s="175" t="s">
        <v>110</v>
      </c>
      <c r="AQ4" s="52">
        <f>AA17</f>
        <v>0</v>
      </c>
      <c r="AR4" s="3"/>
      <c r="AS4" s="50" t="s">
        <v>110</v>
      </c>
      <c r="AT4" s="52">
        <f>AA15</f>
        <v>0</v>
      </c>
      <c r="AU4" s="3"/>
      <c r="AV4" s="50" t="s">
        <v>111</v>
      </c>
      <c r="AW4" s="52">
        <f>1+AB16</f>
        <v>1</v>
      </c>
    </row>
    <row r="5" spans="1:49" ht="17" thickBot="1">
      <c r="A5" s="53">
        <v>43556</v>
      </c>
      <c r="B5" s="91" t="s">
        <v>105</v>
      </c>
      <c r="C5" s="54" t="s">
        <v>13</v>
      </c>
      <c r="D5" s="55" t="s">
        <v>50</v>
      </c>
      <c r="E5" s="55" t="s">
        <v>64</v>
      </c>
      <c r="F5" s="56">
        <f>CHI!G5</f>
        <v>26</v>
      </c>
      <c r="G5" s="56">
        <f>CHI!F5</f>
        <v>50</v>
      </c>
      <c r="H5" s="250">
        <f>CHI!P5</f>
        <v>1</v>
      </c>
      <c r="I5" s="250">
        <f>CHI!Q5</f>
        <v>0</v>
      </c>
      <c r="J5" s="250">
        <f>CHI!R5</f>
        <v>4</v>
      </c>
      <c r="K5" s="55">
        <v>3</v>
      </c>
      <c r="L5" s="55">
        <v>0</v>
      </c>
      <c r="M5" s="55">
        <v>0</v>
      </c>
      <c r="N5" s="55">
        <v>0</v>
      </c>
      <c r="O5" s="55">
        <v>1</v>
      </c>
      <c r="P5" s="55">
        <v>1</v>
      </c>
      <c r="Q5" s="55">
        <v>0</v>
      </c>
      <c r="R5" s="55">
        <v>8</v>
      </c>
      <c r="S5" s="57"/>
      <c r="T5" s="58" t="s">
        <v>222</v>
      </c>
      <c r="U5" s="59" t="str">
        <f>CHI!U5</f>
        <v>Peter Pender</v>
      </c>
      <c r="V5" s="59" t="str">
        <f>CHI!V5</f>
        <v>James Harrison</v>
      </c>
      <c r="W5" s="59" t="str">
        <f>CHI!W5</f>
        <v>Robin Kaluzniak</v>
      </c>
      <c r="X5" s="59" t="str">
        <f>CHI!X5</f>
        <v>Mike Lawrenson</v>
      </c>
      <c r="Y5" s="60">
        <f>CHI!Y5</f>
        <v>1</v>
      </c>
      <c r="Z5" s="60">
        <f>CHI!AB5</f>
        <v>0</v>
      </c>
      <c r="AA5" s="60">
        <f>CHI!AA5</f>
        <v>0</v>
      </c>
      <c r="AB5" s="61">
        <f>CHI!Z5</f>
        <v>1</v>
      </c>
      <c r="AC5" s="60"/>
      <c r="AD5" s="60"/>
      <c r="AE5" s="60"/>
      <c r="AF5" s="61"/>
      <c r="AG5" s="60">
        <f>Y5</f>
        <v>1</v>
      </c>
      <c r="AH5" s="60">
        <f t="shared" ref="AH5:AJ5" si="2">Z5</f>
        <v>0</v>
      </c>
      <c r="AI5" s="60">
        <f t="shared" si="2"/>
        <v>0</v>
      </c>
      <c r="AJ5" s="60">
        <f t="shared" si="2"/>
        <v>1</v>
      </c>
      <c r="AK5" s="60"/>
      <c r="AL5" s="60"/>
      <c r="AM5" s="60"/>
      <c r="AN5" s="61"/>
      <c r="AP5" s="175" t="s">
        <v>111</v>
      </c>
      <c r="AQ5" s="52">
        <f>26+AB17</f>
        <v>31</v>
      </c>
      <c r="AR5" s="3"/>
      <c r="AS5" s="50" t="s">
        <v>111</v>
      </c>
      <c r="AT5" s="52">
        <f>25+AB15</f>
        <v>30</v>
      </c>
      <c r="AU5" s="3"/>
      <c r="AV5" s="50" t="s">
        <v>112</v>
      </c>
      <c r="AW5" s="52">
        <f>223+F16</f>
        <v>223</v>
      </c>
    </row>
    <row r="6" spans="1:49" ht="17" thickBot="1">
      <c r="A6" s="62">
        <v>46113</v>
      </c>
      <c r="B6" s="143" t="s">
        <v>105</v>
      </c>
      <c r="C6" s="63" t="s">
        <v>9</v>
      </c>
      <c r="D6" s="64" t="s">
        <v>95</v>
      </c>
      <c r="E6" s="64" t="s">
        <v>62</v>
      </c>
      <c r="F6" s="64">
        <v>38</v>
      </c>
      <c r="G6" s="65">
        <v>26</v>
      </c>
      <c r="H6" s="65">
        <v>1</v>
      </c>
      <c r="I6" s="64">
        <v>0</v>
      </c>
      <c r="J6" s="64">
        <v>5</v>
      </c>
      <c r="K6" s="64">
        <v>5</v>
      </c>
      <c r="L6" s="64">
        <v>0</v>
      </c>
      <c r="M6" s="64">
        <v>1</v>
      </c>
      <c r="N6" s="64">
        <v>0</v>
      </c>
      <c r="O6" s="64">
        <v>0</v>
      </c>
      <c r="P6" s="64">
        <v>1</v>
      </c>
      <c r="Q6" s="64">
        <v>0</v>
      </c>
      <c r="R6" s="64">
        <v>4</v>
      </c>
      <c r="S6" s="66"/>
      <c r="T6" s="232" t="s">
        <v>231</v>
      </c>
      <c r="U6" s="69" t="s">
        <v>188</v>
      </c>
      <c r="V6" s="69" t="s">
        <v>204</v>
      </c>
      <c r="W6" s="69" t="s">
        <v>205</v>
      </c>
      <c r="X6" s="69" t="s">
        <v>232</v>
      </c>
      <c r="Y6" s="69">
        <v>1</v>
      </c>
      <c r="Z6" s="69">
        <v>1</v>
      </c>
      <c r="AA6" s="69">
        <v>0</v>
      </c>
      <c r="AB6" s="71">
        <v>0</v>
      </c>
      <c r="AC6" s="69">
        <f>Y6</f>
        <v>1</v>
      </c>
      <c r="AD6" s="69">
        <f t="shared" ref="AD6:AF6" si="3">Z6</f>
        <v>1</v>
      </c>
      <c r="AE6" s="69">
        <f t="shared" si="3"/>
        <v>0</v>
      </c>
      <c r="AF6" s="69">
        <f t="shared" si="3"/>
        <v>0</v>
      </c>
      <c r="AG6" s="69"/>
      <c r="AH6" s="69"/>
      <c r="AI6" s="69"/>
      <c r="AJ6" s="71"/>
      <c r="AK6" s="69"/>
      <c r="AL6" s="69"/>
      <c r="AM6" s="69"/>
      <c r="AN6" s="71"/>
      <c r="AP6" s="175" t="s">
        <v>112</v>
      </c>
      <c r="AQ6" s="52">
        <f>2642+F17</f>
        <v>2810</v>
      </c>
      <c r="AR6" s="3"/>
      <c r="AS6" s="50" t="s">
        <v>112</v>
      </c>
      <c r="AT6" s="52">
        <f>2419+F15</f>
        <v>2587</v>
      </c>
      <c r="AU6" s="3"/>
      <c r="AV6" s="50" t="s">
        <v>113</v>
      </c>
      <c r="AW6" s="52">
        <f>164+G16</f>
        <v>164</v>
      </c>
    </row>
    <row r="7" spans="1:49" ht="17" thickBot="1">
      <c r="A7" s="62">
        <v>37742</v>
      </c>
      <c r="B7" s="143" t="s">
        <v>105</v>
      </c>
      <c r="C7" s="63" t="s">
        <v>11</v>
      </c>
      <c r="D7" s="64" t="s">
        <v>95</v>
      </c>
      <c r="E7" s="64" t="s">
        <v>64</v>
      </c>
      <c r="F7" s="64">
        <v>11</v>
      </c>
      <c r="G7" s="65">
        <v>27</v>
      </c>
      <c r="H7" s="65">
        <v>0</v>
      </c>
      <c r="I7" s="64">
        <v>0</v>
      </c>
      <c r="J7" s="64">
        <v>1</v>
      </c>
      <c r="K7" s="64">
        <v>0</v>
      </c>
      <c r="L7" s="64">
        <v>0</v>
      </c>
      <c r="M7" s="64">
        <v>2</v>
      </c>
      <c r="N7" s="64">
        <v>3</v>
      </c>
      <c r="O7" s="64">
        <v>0</v>
      </c>
      <c r="P7" s="64">
        <v>1</v>
      </c>
      <c r="Q7" s="64">
        <v>0</v>
      </c>
      <c r="R7" s="64">
        <v>4</v>
      </c>
      <c r="S7" s="66"/>
      <c r="T7" s="72" t="s">
        <v>238</v>
      </c>
      <c r="U7" s="68" t="s">
        <v>181</v>
      </c>
      <c r="V7" s="69" t="s">
        <v>204</v>
      </c>
      <c r="W7" s="69" t="s">
        <v>205</v>
      </c>
      <c r="X7" s="70" t="s">
        <v>239</v>
      </c>
      <c r="Y7" s="69">
        <v>1</v>
      </c>
      <c r="Z7" s="69">
        <v>0</v>
      </c>
      <c r="AA7" s="69">
        <v>0</v>
      </c>
      <c r="AB7" s="71">
        <v>1</v>
      </c>
      <c r="AC7" s="69">
        <f t="shared" ref="AC7:AC8" si="4">Y7</f>
        <v>1</v>
      </c>
      <c r="AD7" s="69">
        <f t="shared" ref="AD7:AD8" si="5">Z7</f>
        <v>0</v>
      </c>
      <c r="AE7" s="69">
        <f t="shared" ref="AE7:AE8" si="6">AA7</f>
        <v>0</v>
      </c>
      <c r="AF7" s="69">
        <f t="shared" ref="AF7:AF8" si="7">AB7</f>
        <v>1</v>
      </c>
      <c r="AG7" s="69"/>
      <c r="AH7" s="69"/>
      <c r="AI7" s="69"/>
      <c r="AJ7" s="71"/>
      <c r="AK7" s="69"/>
      <c r="AL7" s="69"/>
      <c r="AM7" s="69"/>
      <c r="AN7" s="71"/>
      <c r="AP7" s="175" t="s">
        <v>113</v>
      </c>
      <c r="AQ7" s="52">
        <f>1959+G17</f>
        <v>2178</v>
      </c>
      <c r="AR7" s="3"/>
      <c r="AS7" s="50" t="s">
        <v>113</v>
      </c>
      <c r="AT7" s="52">
        <f>1795+G15</f>
        <v>2014</v>
      </c>
      <c r="AU7" s="3"/>
      <c r="AV7" s="50" t="s">
        <v>31</v>
      </c>
      <c r="AW7" s="52">
        <f>24+J16</f>
        <v>24</v>
      </c>
    </row>
    <row r="8" spans="1:49" ht="17" thickBot="1">
      <c r="A8" s="62">
        <v>39934</v>
      </c>
      <c r="B8" s="143" t="s">
        <v>105</v>
      </c>
      <c r="C8" s="63" t="s">
        <v>32</v>
      </c>
      <c r="D8" s="64" t="s">
        <v>95</v>
      </c>
      <c r="E8" s="64" t="s">
        <v>62</v>
      </c>
      <c r="F8" s="64">
        <v>26</v>
      </c>
      <c r="G8" s="65">
        <v>21</v>
      </c>
      <c r="H8" s="65">
        <v>0</v>
      </c>
      <c r="I8" s="64">
        <v>0</v>
      </c>
      <c r="J8" s="64">
        <v>3</v>
      </c>
      <c r="K8" s="64">
        <v>1</v>
      </c>
      <c r="L8" s="64">
        <v>0</v>
      </c>
      <c r="M8" s="64">
        <v>3</v>
      </c>
      <c r="N8" s="64">
        <v>1</v>
      </c>
      <c r="O8" s="64">
        <v>0</v>
      </c>
      <c r="P8" s="64">
        <v>0</v>
      </c>
      <c r="Q8" s="64">
        <v>1</v>
      </c>
      <c r="R8" s="64">
        <v>3</v>
      </c>
      <c r="S8" s="66"/>
      <c r="T8" s="232" t="s">
        <v>244</v>
      </c>
      <c r="U8" s="68" t="s">
        <v>183</v>
      </c>
      <c r="V8" s="68" t="s">
        <v>204</v>
      </c>
      <c r="W8" s="68" t="s">
        <v>220</v>
      </c>
      <c r="X8" s="68" t="s">
        <v>202</v>
      </c>
      <c r="Y8" s="69">
        <v>1</v>
      </c>
      <c r="Z8" s="69">
        <v>1</v>
      </c>
      <c r="AA8" s="69">
        <v>0</v>
      </c>
      <c r="AB8" s="71">
        <v>0</v>
      </c>
      <c r="AC8" s="69">
        <f t="shared" si="4"/>
        <v>1</v>
      </c>
      <c r="AD8" s="69">
        <f t="shared" si="5"/>
        <v>1</v>
      </c>
      <c r="AE8" s="69">
        <f t="shared" si="6"/>
        <v>0</v>
      </c>
      <c r="AF8" s="69">
        <f t="shared" si="7"/>
        <v>0</v>
      </c>
      <c r="AG8" s="69"/>
      <c r="AH8" s="69"/>
      <c r="AI8" s="69"/>
      <c r="AJ8" s="71"/>
      <c r="AK8" s="69"/>
      <c r="AL8" s="69"/>
      <c r="AM8" s="69"/>
      <c r="AN8" s="71"/>
      <c r="AP8" s="175" t="s">
        <v>31</v>
      </c>
      <c r="AQ8" s="52">
        <f>367+J17</f>
        <v>389</v>
      </c>
      <c r="AR8" s="3"/>
      <c r="AS8" s="50" t="s">
        <v>31</v>
      </c>
      <c r="AT8" s="52">
        <f>343+J15</f>
        <v>365</v>
      </c>
      <c r="AU8" s="3"/>
    </row>
    <row r="9" spans="1:49" ht="17" thickBot="1">
      <c r="A9" s="53">
        <v>42856</v>
      </c>
      <c r="B9" s="91" t="s">
        <v>105</v>
      </c>
      <c r="C9" s="54" t="s">
        <v>12</v>
      </c>
      <c r="D9" s="55" t="s">
        <v>50</v>
      </c>
      <c r="E9" s="55" t="s">
        <v>64</v>
      </c>
      <c r="F9" s="56">
        <f>OGDC!G9</f>
        <v>23</v>
      </c>
      <c r="G9" s="56">
        <f>OGDC!F9</f>
        <v>24</v>
      </c>
      <c r="H9" s="56">
        <f>OGDC!P9</f>
        <v>0</v>
      </c>
      <c r="I9" s="56">
        <f>OGDC!Q9</f>
        <v>1</v>
      </c>
      <c r="J9" s="56">
        <f>OGDC!R9</f>
        <v>2</v>
      </c>
      <c r="K9" s="55">
        <v>2</v>
      </c>
      <c r="L9" s="55">
        <v>0</v>
      </c>
      <c r="M9" s="55">
        <v>3</v>
      </c>
      <c r="N9" s="55">
        <v>1</v>
      </c>
      <c r="O9" s="55">
        <v>0</v>
      </c>
      <c r="P9" s="55">
        <v>0</v>
      </c>
      <c r="Q9" s="55">
        <v>0</v>
      </c>
      <c r="R9" s="55">
        <v>3</v>
      </c>
      <c r="S9" s="57"/>
      <c r="T9" s="73" t="s">
        <v>225</v>
      </c>
      <c r="U9" s="59" t="str">
        <f>OGDC!U9</f>
        <v>Robbie Jenkinson</v>
      </c>
      <c r="V9" s="59" t="str">
        <f>OGDC!V9</f>
        <v>George Janke</v>
      </c>
      <c r="W9" s="59" t="str">
        <f>OGDC!W9</f>
        <v>Peter Pender</v>
      </c>
      <c r="X9" s="59" t="str">
        <f>OGDC!X9</f>
        <v>Federico Anselmi</v>
      </c>
      <c r="Y9" s="60">
        <f>OGDC!Y9</f>
        <v>1</v>
      </c>
      <c r="Z9" s="60">
        <f>OGDC!AB9</f>
        <v>0</v>
      </c>
      <c r="AA9" s="60">
        <f>OGDC!AA9</f>
        <v>0</v>
      </c>
      <c r="AB9" s="61">
        <f>OGDC!Z9</f>
        <v>1</v>
      </c>
      <c r="AC9" s="60"/>
      <c r="AD9" s="60"/>
      <c r="AE9" s="60"/>
      <c r="AF9" s="60"/>
      <c r="AG9" s="60">
        <f>Y9</f>
        <v>1</v>
      </c>
      <c r="AH9" s="60">
        <f>Z9</f>
        <v>0</v>
      </c>
      <c r="AI9" s="60">
        <f>AA9</f>
        <v>0</v>
      </c>
      <c r="AJ9" s="60">
        <f>AB9</f>
        <v>1</v>
      </c>
      <c r="AK9" s="60"/>
      <c r="AL9" s="60"/>
      <c r="AM9" s="60"/>
      <c r="AN9" s="61"/>
    </row>
    <row r="10" spans="1:49" ht="17" thickBot="1">
      <c r="A10" s="53">
        <v>45047</v>
      </c>
      <c r="B10" s="91" t="s">
        <v>105</v>
      </c>
      <c r="C10" s="54" t="s">
        <v>9</v>
      </c>
      <c r="D10" s="55" t="s">
        <v>50</v>
      </c>
      <c r="E10" s="55" t="s">
        <v>62</v>
      </c>
      <c r="F10" s="172">
        <f>ANT!G10</f>
        <v>20</v>
      </c>
      <c r="G10" s="56">
        <f>ANT!F10</f>
        <v>7</v>
      </c>
      <c r="H10" s="56">
        <f>ANT!P190</f>
        <v>0</v>
      </c>
      <c r="I10" s="56">
        <f>ANT!Q190</f>
        <v>0</v>
      </c>
      <c r="J10" s="56">
        <f>ANT!R10</f>
        <v>3</v>
      </c>
      <c r="K10" s="55">
        <v>1</v>
      </c>
      <c r="L10" s="55">
        <v>0</v>
      </c>
      <c r="M10" s="55">
        <v>1</v>
      </c>
      <c r="N10" s="55">
        <v>2</v>
      </c>
      <c r="O10" s="55">
        <v>0</v>
      </c>
      <c r="P10" s="55">
        <v>0</v>
      </c>
      <c r="Q10" s="55">
        <v>0</v>
      </c>
      <c r="R10" s="55">
        <v>1</v>
      </c>
      <c r="S10" s="57"/>
      <c r="T10" s="231" t="s">
        <v>262</v>
      </c>
      <c r="U10" s="59" t="str">
        <f>ANT!U10</f>
        <v>Luke Rogan</v>
      </c>
      <c r="V10" s="59" t="str">
        <f>ANT!V10</f>
        <v>Seth Heldman</v>
      </c>
      <c r="W10" s="59" t="str">
        <f>ANT!W10</f>
        <v>Federico Anselmi</v>
      </c>
      <c r="X10" s="59" t="str">
        <f>ANT!X10</f>
        <v>Amelia Luciano</v>
      </c>
      <c r="Y10" s="60">
        <f>ANT!Y10</f>
        <v>1</v>
      </c>
      <c r="Z10" s="60">
        <f>ANT!AB10</f>
        <v>1</v>
      </c>
      <c r="AA10" s="60">
        <f>ANT!AA10</f>
        <v>0</v>
      </c>
      <c r="AB10" s="60">
        <f>ANT!Z10</f>
        <v>0</v>
      </c>
      <c r="AC10" s="60"/>
      <c r="AD10" s="60"/>
      <c r="AE10" s="60"/>
      <c r="AF10" s="61"/>
      <c r="AG10" s="60">
        <f t="shared" ref="AG10:AG11" si="8">Y10</f>
        <v>1</v>
      </c>
      <c r="AH10" s="60">
        <f t="shared" ref="AH10:AH11" si="9">Z10</f>
        <v>1</v>
      </c>
      <c r="AI10" s="60">
        <f t="shared" ref="AI10:AI11" si="10">AA10</f>
        <v>0</v>
      </c>
      <c r="AJ10" s="60">
        <f t="shared" ref="AJ10:AJ11" si="11">AB10</f>
        <v>0</v>
      </c>
      <c r="AK10" s="60"/>
      <c r="AL10" s="60"/>
      <c r="AM10" s="60"/>
      <c r="AN10" s="61"/>
    </row>
    <row r="11" spans="1:49" ht="17" thickBot="1">
      <c r="A11" s="53">
        <v>47969</v>
      </c>
      <c r="B11" s="91" t="s">
        <v>105</v>
      </c>
      <c r="C11" s="54" t="s">
        <v>11</v>
      </c>
      <c r="D11" s="55" t="s">
        <v>50</v>
      </c>
      <c r="E11" s="55"/>
      <c r="F11" s="56">
        <f>SEA!G11</f>
        <v>0</v>
      </c>
      <c r="G11" s="56">
        <f>SEA!F11</f>
        <v>0</v>
      </c>
      <c r="H11" s="56">
        <f>SEA!P11</f>
        <v>0</v>
      </c>
      <c r="I11" s="56">
        <f>SEA!Q11</f>
        <v>0</v>
      </c>
      <c r="J11" s="56">
        <f>SEA!R11</f>
        <v>0</v>
      </c>
      <c r="K11" s="55"/>
      <c r="L11" s="55"/>
      <c r="M11" s="55"/>
      <c r="N11" s="55"/>
      <c r="O11" s="55"/>
      <c r="P11" s="55"/>
      <c r="Q11" s="55"/>
      <c r="R11" s="55"/>
      <c r="S11" s="57"/>
      <c r="T11" s="58"/>
      <c r="U11" s="59">
        <f>SEA!U11</f>
        <v>0</v>
      </c>
      <c r="V11" s="59">
        <f>SEA!V11</f>
        <v>0</v>
      </c>
      <c r="W11" s="59">
        <f>SEA!W11</f>
        <v>0</v>
      </c>
      <c r="X11" s="59">
        <f>SEA!X11</f>
        <v>0</v>
      </c>
      <c r="Y11" s="60">
        <f>SEA!Y11</f>
        <v>0</v>
      </c>
      <c r="Z11" s="60">
        <f>SEA!AB11</f>
        <v>0</v>
      </c>
      <c r="AA11" s="60">
        <f>SEA!AA11</f>
        <v>0</v>
      </c>
      <c r="AB11" s="61">
        <f>SEA!Z11</f>
        <v>0</v>
      </c>
      <c r="AC11" s="60"/>
      <c r="AD11" s="60"/>
      <c r="AE11" s="60"/>
      <c r="AF11" s="60"/>
      <c r="AG11" s="60">
        <f t="shared" si="8"/>
        <v>0</v>
      </c>
      <c r="AH11" s="60">
        <f t="shared" si="9"/>
        <v>0</v>
      </c>
      <c r="AI11" s="60">
        <f t="shared" si="10"/>
        <v>0</v>
      </c>
      <c r="AJ11" s="60">
        <f t="shared" si="11"/>
        <v>0</v>
      </c>
      <c r="AK11" s="60"/>
      <c r="AL11" s="60"/>
      <c r="AM11" s="60"/>
      <c r="AN11" s="61"/>
    </row>
    <row r="12" spans="1:49" ht="17" thickBot="1">
      <c r="A12" s="62">
        <v>39234</v>
      </c>
      <c r="B12" s="143" t="s">
        <v>105</v>
      </c>
      <c r="C12" s="63" t="s">
        <v>13</v>
      </c>
      <c r="D12" s="64" t="s">
        <v>95</v>
      </c>
      <c r="E12" s="64"/>
      <c r="F12" s="64"/>
      <c r="G12" s="65"/>
      <c r="H12" s="65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74"/>
      <c r="T12" s="67"/>
      <c r="U12" s="68"/>
      <c r="V12" s="69"/>
      <c r="W12" s="69"/>
      <c r="X12" s="70"/>
      <c r="Y12" s="69"/>
      <c r="Z12" s="69"/>
      <c r="AA12" s="69"/>
      <c r="AB12" s="71"/>
      <c r="AC12" s="69">
        <f>Y12</f>
        <v>0</v>
      </c>
      <c r="AD12" s="69">
        <f t="shared" ref="AD12:AF12" si="12">Z12</f>
        <v>0</v>
      </c>
      <c r="AE12" s="69">
        <f t="shared" si="12"/>
        <v>0</v>
      </c>
      <c r="AF12" s="69">
        <f t="shared" si="12"/>
        <v>0</v>
      </c>
      <c r="AG12" s="69"/>
      <c r="AH12" s="69"/>
      <c r="AI12" s="69"/>
      <c r="AJ12" s="71"/>
      <c r="AK12" s="69"/>
      <c r="AL12" s="69"/>
      <c r="AM12" s="69"/>
      <c r="AN12" s="71"/>
    </row>
    <row r="13" spans="1:49" ht="17" thickBot="1">
      <c r="A13" s="155"/>
      <c r="B13" s="156" t="s">
        <v>104</v>
      </c>
      <c r="C13" s="157"/>
      <c r="D13" s="158"/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159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70" t="s">
        <v>30</v>
      </c>
      <c r="D15" s="271"/>
      <c r="E15" s="272"/>
      <c r="F15" s="81">
        <f>SUM(F3+F4+F5+F6+F7+F8+F9+F10+F11+F12)</f>
        <v>168</v>
      </c>
      <c r="G15" s="81">
        <f t="shared" ref="G15:R15" si="13">SUM(G3+G4+G5+G6+G7+G8+G9+G10+G11+G12)</f>
        <v>219</v>
      </c>
      <c r="H15" s="81">
        <f t="shared" si="13"/>
        <v>2</v>
      </c>
      <c r="I15" s="81">
        <f t="shared" si="13"/>
        <v>2</v>
      </c>
      <c r="J15" s="81">
        <f t="shared" si="13"/>
        <v>22</v>
      </c>
      <c r="K15" s="81">
        <f t="shared" si="13"/>
        <v>14</v>
      </c>
      <c r="L15" s="81">
        <f t="shared" si="13"/>
        <v>0</v>
      </c>
      <c r="M15" s="81">
        <f t="shared" si="13"/>
        <v>10</v>
      </c>
      <c r="N15" s="81">
        <f t="shared" si="13"/>
        <v>8</v>
      </c>
      <c r="O15" s="81">
        <f t="shared" si="13"/>
        <v>1</v>
      </c>
      <c r="P15" s="81">
        <f t="shared" si="13"/>
        <v>4</v>
      </c>
      <c r="Q15" s="81">
        <f t="shared" si="13"/>
        <v>1</v>
      </c>
      <c r="R15" s="81">
        <f t="shared" si="13"/>
        <v>32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8</v>
      </c>
      <c r="Z15" s="81">
        <f t="shared" ref="Z15:AN15" si="14">Z3+Z4+Z5+Z6+Z7+Z8+Z9+Z10+Z11+Z12</f>
        <v>3</v>
      </c>
      <c r="AA15" s="81">
        <f t="shared" si="14"/>
        <v>0</v>
      </c>
      <c r="AB15" s="81">
        <f t="shared" si="14"/>
        <v>5</v>
      </c>
      <c r="AC15" s="85">
        <f t="shared" si="14"/>
        <v>4</v>
      </c>
      <c r="AD15" s="85">
        <f t="shared" si="14"/>
        <v>2</v>
      </c>
      <c r="AE15" s="85">
        <f t="shared" si="14"/>
        <v>0</v>
      </c>
      <c r="AF15" s="85">
        <f t="shared" si="14"/>
        <v>2</v>
      </c>
      <c r="AG15" s="170">
        <f>AG3+AG4+AG5+AG6+AG7+AG8+AG9+AG10+AG11+AG12</f>
        <v>4</v>
      </c>
      <c r="AH15" s="170">
        <f>AH3+AH4+AH5+AH6+AH7+AH8+AH9+AH10+AH11+AH12</f>
        <v>1</v>
      </c>
      <c r="AI15" s="170">
        <f>AI3+AI4+AI5+AI6+AI7+AI8+AI9+AI10+AI11+AI12</f>
        <v>0</v>
      </c>
      <c r="AJ15" s="170">
        <f>AJ3+AJ4+AJ5+AJ6+AJ7+AJ8+AJ9+AJ10+AJ11+AJ12</f>
        <v>3</v>
      </c>
      <c r="AK15" s="81">
        <f t="shared" si="14"/>
        <v>0</v>
      </c>
      <c r="AL15" s="81">
        <f t="shared" si="14"/>
        <v>0</v>
      </c>
      <c r="AM15" s="81">
        <f t="shared" si="14"/>
        <v>0</v>
      </c>
      <c r="AN15" s="81">
        <f t="shared" si="14"/>
        <v>0</v>
      </c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15">G13+G14</f>
        <v>0</v>
      </c>
      <c r="H16" s="169">
        <f t="shared" si="15"/>
        <v>0</v>
      </c>
      <c r="I16" s="169">
        <f t="shared" si="15"/>
        <v>0</v>
      </c>
      <c r="J16" s="169">
        <f t="shared" si="15"/>
        <v>0</v>
      </c>
      <c r="K16" s="169">
        <f t="shared" si="15"/>
        <v>0</v>
      </c>
      <c r="L16" s="169">
        <f t="shared" si="15"/>
        <v>0</v>
      </c>
      <c r="M16" s="169">
        <f t="shared" si="15"/>
        <v>0</v>
      </c>
      <c r="N16" s="169">
        <f t="shared" si="15"/>
        <v>0</v>
      </c>
      <c r="O16" s="169">
        <f t="shared" si="15"/>
        <v>0</v>
      </c>
      <c r="P16" s="169">
        <f t="shared" si="15"/>
        <v>0</v>
      </c>
      <c r="Q16" s="169">
        <f t="shared" si="15"/>
        <v>0</v>
      </c>
      <c r="R16" s="169">
        <f t="shared" si="15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N16" si="16">Z13+Z14</f>
        <v>0</v>
      </c>
      <c r="AA16" s="81">
        <f t="shared" si="16"/>
        <v>0</v>
      </c>
      <c r="AB16" s="81">
        <f t="shared" si="16"/>
        <v>0</v>
      </c>
      <c r="AC16" s="85">
        <f t="shared" si="16"/>
        <v>0</v>
      </c>
      <c r="AD16" s="85">
        <f t="shared" si="16"/>
        <v>0</v>
      </c>
      <c r="AE16" s="85">
        <f t="shared" si="16"/>
        <v>0</v>
      </c>
      <c r="AF16" s="85">
        <f t="shared" si="16"/>
        <v>0</v>
      </c>
      <c r="AG16" s="170">
        <f t="shared" si="16"/>
        <v>0</v>
      </c>
      <c r="AH16" s="170">
        <f t="shared" si="16"/>
        <v>0</v>
      </c>
      <c r="AI16" s="170">
        <f t="shared" si="16"/>
        <v>0</v>
      </c>
      <c r="AJ16" s="170">
        <f t="shared" si="16"/>
        <v>0</v>
      </c>
      <c r="AK16" s="81">
        <f t="shared" si="16"/>
        <v>0</v>
      </c>
      <c r="AL16" s="81">
        <f t="shared" si="16"/>
        <v>0</v>
      </c>
      <c r="AM16" s="81">
        <f t="shared" si="16"/>
        <v>0</v>
      </c>
      <c r="AN16" s="81">
        <f t="shared" si="16"/>
        <v>0</v>
      </c>
    </row>
    <row r="17" spans="1:40" ht="17" thickBot="1">
      <c r="C17" s="255" t="s">
        <v>96</v>
      </c>
      <c r="D17" s="256"/>
      <c r="E17" s="257"/>
      <c r="F17" s="86">
        <f>F15+F16</f>
        <v>168</v>
      </c>
      <c r="G17" s="86">
        <f t="shared" ref="G17:R17" si="17">G15+G16</f>
        <v>219</v>
      </c>
      <c r="H17" s="86">
        <f t="shared" si="17"/>
        <v>2</v>
      </c>
      <c r="I17" s="86">
        <f t="shared" si="17"/>
        <v>2</v>
      </c>
      <c r="J17" s="86">
        <f t="shared" si="17"/>
        <v>22</v>
      </c>
      <c r="K17" s="86">
        <f t="shared" si="17"/>
        <v>14</v>
      </c>
      <c r="L17" s="86">
        <f t="shared" si="17"/>
        <v>0</v>
      </c>
      <c r="M17" s="86">
        <f t="shared" si="17"/>
        <v>10</v>
      </c>
      <c r="N17" s="86">
        <f t="shared" si="17"/>
        <v>8</v>
      </c>
      <c r="O17" s="86">
        <f t="shared" si="17"/>
        <v>1</v>
      </c>
      <c r="P17" s="86">
        <f t="shared" si="17"/>
        <v>4</v>
      </c>
      <c r="Q17" s="86">
        <f t="shared" si="17"/>
        <v>1</v>
      </c>
      <c r="R17" s="86">
        <f t="shared" si="17"/>
        <v>32</v>
      </c>
      <c r="X17" s="87" t="s">
        <v>96</v>
      </c>
      <c r="Y17" s="88">
        <f>Y15+Y16</f>
        <v>8</v>
      </c>
      <c r="Z17" s="88">
        <f t="shared" ref="Z17:AN17" si="18">Z15+Z16</f>
        <v>3</v>
      </c>
      <c r="AA17" s="88">
        <f t="shared" si="18"/>
        <v>0</v>
      </c>
      <c r="AB17" s="88">
        <f t="shared" si="18"/>
        <v>5</v>
      </c>
      <c r="AC17" s="89">
        <f t="shared" si="18"/>
        <v>4</v>
      </c>
      <c r="AD17" s="89">
        <f t="shared" si="18"/>
        <v>2</v>
      </c>
      <c r="AE17" s="89">
        <f t="shared" si="18"/>
        <v>0</v>
      </c>
      <c r="AF17" s="89">
        <f t="shared" si="18"/>
        <v>2</v>
      </c>
      <c r="AG17" s="171">
        <f t="shared" si="18"/>
        <v>4</v>
      </c>
      <c r="AH17" s="171">
        <f t="shared" si="18"/>
        <v>1</v>
      </c>
      <c r="AI17" s="171">
        <f t="shared" si="18"/>
        <v>0</v>
      </c>
      <c r="AJ17" s="171">
        <f t="shared" si="18"/>
        <v>3</v>
      </c>
      <c r="AK17" s="88">
        <f t="shared" si="18"/>
        <v>0</v>
      </c>
      <c r="AL17" s="88">
        <f t="shared" si="18"/>
        <v>0</v>
      </c>
      <c r="AM17" s="88">
        <f t="shared" si="18"/>
        <v>0</v>
      </c>
      <c r="AN17" s="88">
        <f t="shared" si="18"/>
        <v>0</v>
      </c>
    </row>
    <row r="18" spans="1:40">
      <c r="A18" s="3" t="s">
        <v>97</v>
      </c>
    </row>
  </sheetData>
  <mergeCells count="12">
    <mergeCell ref="C17:E17"/>
    <mergeCell ref="Y1:AB1"/>
    <mergeCell ref="AC1:AF1"/>
    <mergeCell ref="AG1:AJ1"/>
    <mergeCell ref="AK1:AN1"/>
    <mergeCell ref="C15:E15"/>
    <mergeCell ref="A1:D1"/>
    <mergeCell ref="E1:G1"/>
    <mergeCell ref="H1:I1"/>
    <mergeCell ref="J1:M1"/>
    <mergeCell ref="N1:O1"/>
    <mergeCell ref="P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8AF1-DF6A-D34A-B26D-0872D5ABFD3C}">
  <dimension ref="A1:AW20"/>
  <sheetViews>
    <sheetView zoomScale="110" zoomScaleNormal="110" workbookViewId="0">
      <selection sqref="A1:D1"/>
    </sheetView>
  </sheetViews>
  <sheetFormatPr defaultColWidth="11.5546875" defaultRowHeight="16.3"/>
  <cols>
    <col min="1" max="1" width="7.44140625" style="15" bestFit="1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bestFit="1" customWidth="1"/>
    <col min="45" max="45" width="15.109375" bestFit="1" customWidth="1"/>
    <col min="48" max="48" width="12.44140625" bestFit="1" customWidth="1"/>
  </cols>
  <sheetData>
    <row r="1" spans="1:49" ht="17" thickBot="1">
      <c r="A1" s="312" t="s">
        <v>102</v>
      </c>
      <c r="B1" s="313"/>
      <c r="C1" s="313"/>
      <c r="D1" s="314"/>
      <c r="E1" s="315" t="s">
        <v>71</v>
      </c>
      <c r="F1" s="316"/>
      <c r="G1" s="317"/>
      <c r="H1" s="315" t="s">
        <v>72</v>
      </c>
      <c r="I1" s="317"/>
      <c r="J1" s="318" t="s">
        <v>73</v>
      </c>
      <c r="K1" s="319"/>
      <c r="L1" s="319"/>
      <c r="M1" s="320"/>
      <c r="N1" s="318" t="s">
        <v>74</v>
      </c>
      <c r="O1" s="320"/>
      <c r="P1" s="318" t="s">
        <v>75</v>
      </c>
      <c r="Q1" s="319"/>
      <c r="R1" s="320"/>
      <c r="S1" s="111" t="s">
        <v>76</v>
      </c>
      <c r="T1" s="111" t="s">
        <v>2</v>
      </c>
      <c r="U1" s="112" t="s">
        <v>77</v>
      </c>
      <c r="V1" s="113" t="s">
        <v>184</v>
      </c>
      <c r="W1" s="113" t="s">
        <v>78</v>
      </c>
      <c r="X1" s="114" t="s">
        <v>79</v>
      </c>
      <c r="Y1" s="309" t="s">
        <v>80</v>
      </c>
      <c r="Z1" s="310"/>
      <c r="AA1" s="310"/>
      <c r="AB1" s="311"/>
      <c r="AC1" s="309" t="s">
        <v>81</v>
      </c>
      <c r="AD1" s="310"/>
      <c r="AE1" s="310"/>
      <c r="AF1" s="311"/>
      <c r="AG1" s="309" t="s">
        <v>1</v>
      </c>
      <c r="AH1" s="310"/>
      <c r="AI1" s="310"/>
      <c r="AJ1" s="311"/>
      <c r="AK1" s="309" t="s">
        <v>82</v>
      </c>
      <c r="AL1" s="310"/>
      <c r="AM1" s="310"/>
      <c r="AN1" s="311"/>
      <c r="AP1" s="8" t="s">
        <v>107</v>
      </c>
      <c r="AQ1" s="3"/>
      <c r="AR1" s="3"/>
      <c r="AS1" s="2" t="s">
        <v>30</v>
      </c>
      <c r="AT1" s="3"/>
      <c r="AU1" s="3"/>
      <c r="AV1" s="2" t="s">
        <v>106</v>
      </c>
      <c r="AW1" s="3"/>
    </row>
    <row r="2" spans="1:49" ht="17" thickBot="1">
      <c r="A2" s="115" t="s">
        <v>83</v>
      </c>
      <c r="B2" s="116" t="s">
        <v>84</v>
      </c>
      <c r="C2" s="117" t="s">
        <v>85</v>
      </c>
      <c r="D2" s="117" t="s">
        <v>86</v>
      </c>
      <c r="E2" s="118" t="s">
        <v>87</v>
      </c>
      <c r="F2" s="118" t="s">
        <v>49</v>
      </c>
      <c r="G2" s="118" t="s">
        <v>50</v>
      </c>
      <c r="H2" s="119" t="s">
        <v>88</v>
      </c>
      <c r="I2" s="119" t="s">
        <v>89</v>
      </c>
      <c r="J2" s="119" t="s">
        <v>90</v>
      </c>
      <c r="K2" s="119" t="s">
        <v>91</v>
      </c>
      <c r="L2" s="119" t="s">
        <v>63</v>
      </c>
      <c r="M2" s="119" t="s">
        <v>92</v>
      </c>
      <c r="N2" s="119" t="s">
        <v>93</v>
      </c>
      <c r="O2" s="119" t="s">
        <v>87</v>
      </c>
      <c r="P2" s="119" t="s">
        <v>88</v>
      </c>
      <c r="Q2" s="119" t="s">
        <v>89</v>
      </c>
      <c r="R2" s="119" t="s">
        <v>90</v>
      </c>
      <c r="S2" s="120"/>
      <c r="T2" s="121"/>
      <c r="U2" s="122"/>
      <c r="V2" s="120"/>
      <c r="W2" s="123"/>
      <c r="X2" s="124"/>
      <c r="Y2" s="125" t="s">
        <v>94</v>
      </c>
      <c r="Z2" s="125" t="s">
        <v>62</v>
      </c>
      <c r="AA2" s="125" t="s">
        <v>63</v>
      </c>
      <c r="AB2" s="125" t="s">
        <v>64</v>
      </c>
      <c r="AC2" s="125" t="s">
        <v>94</v>
      </c>
      <c r="AD2" s="125" t="s">
        <v>62</v>
      </c>
      <c r="AE2" s="125" t="s">
        <v>63</v>
      </c>
      <c r="AF2" s="125" t="s">
        <v>64</v>
      </c>
      <c r="AG2" s="125" t="s">
        <v>94</v>
      </c>
      <c r="AH2" s="125" t="s">
        <v>62</v>
      </c>
      <c r="AI2" s="125" t="s">
        <v>63</v>
      </c>
      <c r="AJ2" s="125" t="s">
        <v>64</v>
      </c>
      <c r="AK2" s="125" t="s">
        <v>94</v>
      </c>
      <c r="AL2" s="125" t="s">
        <v>62</v>
      </c>
      <c r="AM2" s="125" t="s">
        <v>63</v>
      </c>
      <c r="AN2" s="126" t="s">
        <v>64</v>
      </c>
      <c r="AP2" s="175" t="s">
        <v>108</v>
      </c>
      <c r="AQ2" s="52">
        <f>89+Y17</f>
        <v>97</v>
      </c>
      <c r="AR2" s="3"/>
      <c r="AS2" s="50" t="s">
        <v>108</v>
      </c>
      <c r="AT2" s="52">
        <f>85+Y15</f>
        <v>93</v>
      </c>
      <c r="AU2" s="3"/>
      <c r="AV2" s="50" t="s">
        <v>108</v>
      </c>
      <c r="AW2" s="52">
        <f>4+Y16</f>
        <v>4</v>
      </c>
    </row>
    <row r="3" spans="1:49" ht="17" thickBot="1">
      <c r="A3" s="90">
        <v>37712</v>
      </c>
      <c r="B3" s="91" t="s">
        <v>105</v>
      </c>
      <c r="C3" s="92" t="s">
        <v>11</v>
      </c>
      <c r="D3" s="93" t="s">
        <v>50</v>
      </c>
      <c r="E3" s="93" t="s">
        <v>64</v>
      </c>
      <c r="F3" s="94">
        <f>SEA!G3</f>
        <v>16</v>
      </c>
      <c r="G3" s="94">
        <f>SEA!F3</f>
        <v>33</v>
      </c>
      <c r="H3" s="94">
        <f>SEA!P3</f>
        <v>0</v>
      </c>
      <c r="I3" s="94">
        <f>SEA!Q3</f>
        <v>0</v>
      </c>
      <c r="J3" s="94">
        <f>SEA!R3</f>
        <v>1</v>
      </c>
      <c r="K3" s="93">
        <v>1</v>
      </c>
      <c r="L3" s="93">
        <v>0</v>
      </c>
      <c r="M3" s="93">
        <v>3</v>
      </c>
      <c r="N3" s="93">
        <v>1</v>
      </c>
      <c r="O3" s="93">
        <v>0</v>
      </c>
      <c r="P3" s="93">
        <v>0</v>
      </c>
      <c r="Q3" s="93">
        <v>0</v>
      </c>
      <c r="R3" s="93">
        <v>3</v>
      </c>
      <c r="S3" s="57"/>
      <c r="T3" s="58" t="s">
        <v>196</v>
      </c>
      <c r="U3" s="59" t="str">
        <f>SEA!U3</f>
        <v>Derek Summers</v>
      </c>
      <c r="V3" s="59" t="str">
        <f>SEA!V3</f>
        <v>Chris Assmus</v>
      </c>
      <c r="W3" s="59" t="str">
        <f>SEA!W3</f>
        <v>Shanda Assmus</v>
      </c>
      <c r="X3" s="59" t="str">
        <f>SEA!X3</f>
        <v>Alex Nunnally</v>
      </c>
      <c r="Y3" s="60">
        <f>SEA!Y3</f>
        <v>1</v>
      </c>
      <c r="Z3" s="60">
        <f>SEA!AB3</f>
        <v>0</v>
      </c>
      <c r="AA3" s="60">
        <f>SEA!AA3</f>
        <v>0</v>
      </c>
      <c r="AB3" s="61">
        <f>SEA!Z3</f>
        <v>1</v>
      </c>
      <c r="AC3" s="60"/>
      <c r="AD3" s="60"/>
      <c r="AE3" s="60"/>
      <c r="AF3" s="61"/>
      <c r="AG3" s="60">
        <f>Y3</f>
        <v>1</v>
      </c>
      <c r="AH3" s="60">
        <f t="shared" ref="AH3:AJ3" si="0">Z3</f>
        <v>0</v>
      </c>
      <c r="AI3" s="60">
        <f t="shared" si="0"/>
        <v>0</v>
      </c>
      <c r="AJ3" s="60">
        <f t="shared" si="0"/>
        <v>1</v>
      </c>
      <c r="AK3" s="60"/>
      <c r="AL3" s="60"/>
      <c r="AM3" s="60"/>
      <c r="AN3" s="61"/>
      <c r="AP3" s="175" t="s">
        <v>109</v>
      </c>
      <c r="AQ3" s="52">
        <f>36+Z17</f>
        <v>39</v>
      </c>
      <c r="AR3" s="3"/>
      <c r="AS3" s="50" t="s">
        <v>109</v>
      </c>
      <c r="AT3" s="52">
        <f>35+Z15</f>
        <v>38</v>
      </c>
      <c r="AU3" s="3"/>
      <c r="AV3" s="50" t="s">
        <v>109</v>
      </c>
      <c r="AW3" s="52">
        <f>1+Z16</f>
        <v>1</v>
      </c>
    </row>
    <row r="4" spans="1:49" ht="17" thickBot="1">
      <c r="A4" s="53">
        <v>40634</v>
      </c>
      <c r="B4" s="91" t="s">
        <v>105</v>
      </c>
      <c r="C4" s="54" t="s">
        <v>33</v>
      </c>
      <c r="D4" s="55" t="s">
        <v>50</v>
      </c>
      <c r="E4" s="55" t="s">
        <v>62</v>
      </c>
      <c r="F4" s="56">
        <f>NEW!G4</f>
        <v>21</v>
      </c>
      <c r="G4" s="56">
        <f>NEW!F4</f>
        <v>19</v>
      </c>
      <c r="H4" s="56">
        <f>NEW!P4</f>
        <v>0</v>
      </c>
      <c r="I4" s="56">
        <f>NEW!Q4</f>
        <v>0</v>
      </c>
      <c r="J4" s="56">
        <f>NEW!R4</f>
        <v>3</v>
      </c>
      <c r="K4" s="55">
        <v>3</v>
      </c>
      <c r="L4" s="55">
        <v>0</v>
      </c>
      <c r="M4" s="55">
        <v>0</v>
      </c>
      <c r="N4" s="55">
        <v>1</v>
      </c>
      <c r="O4" s="55">
        <v>0</v>
      </c>
      <c r="P4" s="55">
        <v>0</v>
      </c>
      <c r="Q4" s="55">
        <v>0</v>
      </c>
      <c r="R4" s="55">
        <v>3</v>
      </c>
      <c r="S4" s="57"/>
      <c r="T4" s="231" t="s">
        <v>209</v>
      </c>
      <c r="U4" s="59" t="str">
        <f>NEW!U4</f>
        <v>Robin Kaluzniak</v>
      </c>
      <c r="V4" s="59" t="str">
        <f>NEW!V4</f>
        <v>T Fletcher</v>
      </c>
      <c r="W4" s="59" t="str">
        <f>NEW!W4</f>
        <v>Federico Anselmi</v>
      </c>
      <c r="X4" s="59" t="str">
        <f>NEW!X4</f>
        <v>Martin Steffens</v>
      </c>
      <c r="Y4" s="60">
        <f>NEW!Y4</f>
        <v>1</v>
      </c>
      <c r="Z4" s="60">
        <f>NEW!AB4</f>
        <v>1</v>
      </c>
      <c r="AA4" s="60">
        <f>NEW!AA4</f>
        <v>0</v>
      </c>
      <c r="AB4" s="61">
        <f>NEW!Z4</f>
        <v>0</v>
      </c>
      <c r="AC4" s="60"/>
      <c r="AD4" s="60"/>
      <c r="AE4" s="60"/>
      <c r="AF4" s="61"/>
      <c r="AG4" s="60">
        <f t="shared" ref="AG4:AG5" si="1">Y4</f>
        <v>1</v>
      </c>
      <c r="AH4" s="60">
        <f t="shared" ref="AH4:AH5" si="2">Z4</f>
        <v>1</v>
      </c>
      <c r="AI4" s="60">
        <f t="shared" ref="AI4:AI5" si="3">AA4</f>
        <v>0</v>
      </c>
      <c r="AJ4" s="60">
        <f t="shared" ref="AJ4:AJ5" si="4">AB4</f>
        <v>0</v>
      </c>
      <c r="AK4" s="60"/>
      <c r="AL4" s="60"/>
      <c r="AM4" s="60"/>
      <c r="AN4" s="61"/>
      <c r="AP4" s="175" t="s">
        <v>110</v>
      </c>
      <c r="AQ4" s="52">
        <f>4+AA15</f>
        <v>4</v>
      </c>
      <c r="AR4" s="3"/>
      <c r="AS4" s="50" t="s">
        <v>110</v>
      </c>
      <c r="AT4" s="52">
        <f>4+AA15</f>
        <v>4</v>
      </c>
      <c r="AU4" s="3"/>
      <c r="AV4" s="50" t="s">
        <v>111</v>
      </c>
      <c r="AW4" s="52">
        <f>3+AB16</f>
        <v>3</v>
      </c>
    </row>
    <row r="5" spans="1:49" ht="17" thickBot="1">
      <c r="A5" s="53">
        <v>43191</v>
      </c>
      <c r="B5" s="91" t="s">
        <v>105</v>
      </c>
      <c r="C5" s="54" t="s">
        <v>9</v>
      </c>
      <c r="D5" s="55" t="s">
        <v>50</v>
      </c>
      <c r="E5" s="55" t="s">
        <v>62</v>
      </c>
      <c r="F5" s="56">
        <f>ANT!G6</f>
        <v>31</v>
      </c>
      <c r="G5" s="56">
        <f>ANT!F6</f>
        <v>14</v>
      </c>
      <c r="H5" s="250">
        <f>ANT!P6</f>
        <v>1</v>
      </c>
      <c r="I5" s="250">
        <f>ANT!Q6</f>
        <v>0</v>
      </c>
      <c r="J5" s="250">
        <f>ANT!R6</f>
        <v>5</v>
      </c>
      <c r="K5" s="55">
        <v>3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2</v>
      </c>
      <c r="S5" s="57"/>
      <c r="T5" s="73" t="s">
        <v>217</v>
      </c>
      <c r="U5" s="59" t="str">
        <f>ANT!U6</f>
        <v>Shanda Assmus</v>
      </c>
      <c r="V5" s="59" t="str">
        <f>ANT!V6</f>
        <v>Seth Heldman</v>
      </c>
      <c r="W5" s="59" t="str">
        <f>ANT!W6</f>
        <v>Luke Rogan</v>
      </c>
      <c r="X5" s="59" t="str">
        <f>ANT!X6</f>
        <v>Alex Hedquist</v>
      </c>
      <c r="Y5" s="60">
        <f>ANT!Y6</f>
        <v>1</v>
      </c>
      <c r="Z5" s="60">
        <f>ANT!AB6</f>
        <v>1</v>
      </c>
      <c r="AA5" s="60">
        <f>ANT!AA6</f>
        <v>0</v>
      </c>
      <c r="AB5" s="61">
        <f>ANT!Z6</f>
        <v>0</v>
      </c>
      <c r="AC5" s="60"/>
      <c r="AD5" s="60"/>
      <c r="AE5" s="60"/>
      <c r="AF5" s="61"/>
      <c r="AG5" s="60">
        <f t="shared" si="1"/>
        <v>1</v>
      </c>
      <c r="AH5" s="60">
        <f t="shared" si="2"/>
        <v>1</v>
      </c>
      <c r="AI5" s="60">
        <f t="shared" si="3"/>
        <v>0</v>
      </c>
      <c r="AJ5" s="60">
        <f t="shared" si="4"/>
        <v>0</v>
      </c>
      <c r="AK5" s="60"/>
      <c r="AL5" s="60"/>
      <c r="AM5" s="60"/>
      <c r="AN5" s="61"/>
      <c r="AP5" s="175" t="s">
        <v>111</v>
      </c>
      <c r="AQ5" s="52">
        <f>49+AB17</f>
        <v>54</v>
      </c>
      <c r="AR5" s="3"/>
      <c r="AS5" s="50" t="s">
        <v>111</v>
      </c>
      <c r="AT5" s="52">
        <f>46+AB15</f>
        <v>51</v>
      </c>
      <c r="AU5" s="3"/>
      <c r="AV5" s="50" t="s">
        <v>112</v>
      </c>
      <c r="AW5" s="52">
        <f>89+F16</f>
        <v>89</v>
      </c>
    </row>
    <row r="6" spans="1:49" ht="17" thickBot="1">
      <c r="A6" s="62">
        <v>46113</v>
      </c>
      <c r="B6" s="143" t="s">
        <v>105</v>
      </c>
      <c r="C6" s="63" t="s">
        <v>32</v>
      </c>
      <c r="D6" s="64" t="s">
        <v>95</v>
      </c>
      <c r="E6" s="64" t="s">
        <v>64</v>
      </c>
      <c r="F6" s="64">
        <v>23</v>
      </c>
      <c r="G6" s="65">
        <v>36</v>
      </c>
      <c r="H6" s="65">
        <v>0</v>
      </c>
      <c r="I6" s="64">
        <v>0</v>
      </c>
      <c r="J6" s="64">
        <v>3</v>
      </c>
      <c r="K6" s="64">
        <v>1</v>
      </c>
      <c r="L6" s="64">
        <v>0</v>
      </c>
      <c r="M6" s="64">
        <v>2</v>
      </c>
      <c r="N6" s="64">
        <v>0</v>
      </c>
      <c r="O6" s="64">
        <v>0</v>
      </c>
      <c r="P6" s="64">
        <v>1</v>
      </c>
      <c r="Q6" s="64">
        <v>0</v>
      </c>
      <c r="R6" s="64">
        <v>5</v>
      </c>
      <c r="S6" s="66"/>
      <c r="T6" s="67" t="s">
        <v>234</v>
      </c>
      <c r="U6" s="69" t="s">
        <v>220</v>
      </c>
      <c r="V6" s="69" t="s">
        <v>235</v>
      </c>
      <c r="W6" s="69" t="s">
        <v>219</v>
      </c>
      <c r="X6" s="69" t="s">
        <v>206</v>
      </c>
      <c r="Y6" s="69">
        <v>1</v>
      </c>
      <c r="Z6" s="69">
        <v>0</v>
      </c>
      <c r="AA6" s="69">
        <v>0</v>
      </c>
      <c r="AB6" s="71">
        <v>1</v>
      </c>
      <c r="AC6" s="69">
        <f>Y6</f>
        <v>1</v>
      </c>
      <c r="AD6" s="69">
        <f t="shared" ref="AD6:AF6" si="5">Z6</f>
        <v>0</v>
      </c>
      <c r="AE6" s="69">
        <f t="shared" si="5"/>
        <v>0</v>
      </c>
      <c r="AF6" s="69">
        <f t="shared" si="5"/>
        <v>1</v>
      </c>
      <c r="AG6" s="69"/>
      <c r="AH6" s="69"/>
      <c r="AI6" s="69"/>
      <c r="AJ6" s="71"/>
      <c r="AK6" s="69"/>
      <c r="AL6" s="69"/>
      <c r="AM6" s="69"/>
      <c r="AN6" s="71"/>
      <c r="AP6" s="175" t="s">
        <v>112</v>
      </c>
      <c r="AQ6" s="52">
        <f>2283+F17</f>
        <v>2464</v>
      </c>
      <c r="AR6" s="3"/>
      <c r="AS6" s="50" t="s">
        <v>112</v>
      </c>
      <c r="AT6" s="52">
        <f>2194+F15</f>
        <v>2375</v>
      </c>
      <c r="AU6" s="3"/>
      <c r="AV6" s="50" t="s">
        <v>113</v>
      </c>
      <c r="AW6" s="52">
        <f>118+G16</f>
        <v>118</v>
      </c>
    </row>
    <row r="7" spans="1:49" ht="17" thickBot="1">
      <c r="A7" s="53">
        <v>37742</v>
      </c>
      <c r="B7" s="91" t="s">
        <v>105</v>
      </c>
      <c r="C7" s="54" t="s">
        <v>13</v>
      </c>
      <c r="D7" s="55" t="s">
        <v>50</v>
      </c>
      <c r="E7" s="55" t="s">
        <v>64</v>
      </c>
      <c r="F7" s="56">
        <f>CHI!G7</f>
        <v>31</v>
      </c>
      <c r="G7" s="56">
        <f>CHI!F7</f>
        <v>49</v>
      </c>
      <c r="H7" s="56">
        <f>CHI!P7</f>
        <v>1</v>
      </c>
      <c r="I7" s="56">
        <f>CHI!Q7</f>
        <v>0</v>
      </c>
      <c r="J7" s="56">
        <f>CHI!R7</f>
        <v>5</v>
      </c>
      <c r="K7" s="55">
        <v>2</v>
      </c>
      <c r="L7" s="55">
        <v>0</v>
      </c>
      <c r="M7" s="55">
        <v>0</v>
      </c>
      <c r="N7" s="55">
        <v>1</v>
      </c>
      <c r="O7" s="55">
        <v>0</v>
      </c>
      <c r="P7" s="55">
        <v>1</v>
      </c>
      <c r="Q7" s="55">
        <v>0</v>
      </c>
      <c r="R7" s="55">
        <v>6</v>
      </c>
      <c r="S7" s="57"/>
      <c r="T7" s="58" t="s">
        <v>243</v>
      </c>
      <c r="U7" s="59" t="str">
        <f>CHI!U7</f>
        <v>David Vosalevu</v>
      </c>
      <c r="V7" s="59" t="str">
        <f>CHI!V7</f>
        <v>James Harrison</v>
      </c>
      <c r="W7" s="59" t="str">
        <f>CHI!W7</f>
        <v>Mike Lawrenson</v>
      </c>
      <c r="X7" s="59" t="str">
        <f>CHI!X7</f>
        <v>David Zaccaria</v>
      </c>
      <c r="Y7" s="60">
        <f>CHI!Y7</f>
        <v>1</v>
      </c>
      <c r="Z7" s="60">
        <f>CHI!AB7</f>
        <v>0</v>
      </c>
      <c r="AA7" s="60">
        <f>CHI!AA7</f>
        <v>0</v>
      </c>
      <c r="AB7" s="61">
        <f>CHI!Z7</f>
        <v>1</v>
      </c>
      <c r="AC7" s="60"/>
      <c r="AD7" s="60"/>
      <c r="AE7" s="60"/>
      <c r="AF7" s="61"/>
      <c r="AG7" s="60">
        <f>Y7</f>
        <v>1</v>
      </c>
      <c r="AH7" s="60">
        <f t="shared" ref="AH7:AJ7" si="6">Z7</f>
        <v>0</v>
      </c>
      <c r="AI7" s="60">
        <f t="shared" si="6"/>
        <v>0</v>
      </c>
      <c r="AJ7" s="60">
        <f t="shared" si="6"/>
        <v>1</v>
      </c>
      <c r="AK7" s="60"/>
      <c r="AL7" s="60"/>
      <c r="AM7" s="60"/>
      <c r="AN7" s="61"/>
      <c r="AP7" s="175" t="s">
        <v>113</v>
      </c>
      <c r="AQ7" s="52">
        <f>2665+G17</f>
        <v>2911</v>
      </c>
      <c r="AR7" s="3"/>
      <c r="AS7" s="50" t="s">
        <v>113</v>
      </c>
      <c r="AT7" s="52">
        <f>2547+G15</f>
        <v>2793</v>
      </c>
      <c r="AU7" s="3"/>
      <c r="AV7" s="50" t="s">
        <v>31</v>
      </c>
      <c r="AW7" s="52">
        <f>10+J16</f>
        <v>10</v>
      </c>
    </row>
    <row r="8" spans="1:49" ht="17" thickBot="1">
      <c r="A8" s="62">
        <v>40299</v>
      </c>
      <c r="B8" s="143" t="s">
        <v>105</v>
      </c>
      <c r="C8" s="63" t="s">
        <v>11</v>
      </c>
      <c r="D8" s="64" t="s">
        <v>95</v>
      </c>
      <c r="E8" s="64" t="s">
        <v>64</v>
      </c>
      <c r="F8" s="64">
        <v>25</v>
      </c>
      <c r="G8" s="65">
        <v>30</v>
      </c>
      <c r="H8" s="65">
        <v>0</v>
      </c>
      <c r="I8" s="64">
        <v>1</v>
      </c>
      <c r="J8" s="64">
        <v>3</v>
      </c>
      <c r="K8" s="64">
        <v>2</v>
      </c>
      <c r="L8" s="64">
        <v>0</v>
      </c>
      <c r="M8" s="64">
        <v>3</v>
      </c>
      <c r="N8" s="64">
        <v>1</v>
      </c>
      <c r="O8" s="64">
        <v>1</v>
      </c>
      <c r="P8" s="64">
        <v>1</v>
      </c>
      <c r="Q8" s="64">
        <v>0</v>
      </c>
      <c r="R8" s="64">
        <v>4</v>
      </c>
      <c r="S8" s="66"/>
      <c r="T8" s="72" t="s">
        <v>246</v>
      </c>
      <c r="U8" s="68" t="s">
        <v>188</v>
      </c>
      <c r="V8" s="68" t="s">
        <v>235</v>
      </c>
      <c r="W8" s="68" t="s">
        <v>193</v>
      </c>
      <c r="X8" s="68" t="s">
        <v>190</v>
      </c>
      <c r="Y8" s="69">
        <v>1</v>
      </c>
      <c r="Z8" s="69">
        <v>0</v>
      </c>
      <c r="AA8" s="69">
        <v>0</v>
      </c>
      <c r="AB8" s="71">
        <v>1</v>
      </c>
      <c r="AC8" s="69">
        <f t="shared" ref="AC8:AF9" si="7">Y8</f>
        <v>1</v>
      </c>
      <c r="AD8" s="69">
        <f t="shared" si="7"/>
        <v>0</v>
      </c>
      <c r="AE8" s="69">
        <f t="shared" si="7"/>
        <v>0</v>
      </c>
      <c r="AF8" s="69">
        <f t="shared" si="7"/>
        <v>1</v>
      </c>
      <c r="AG8" s="69"/>
      <c r="AH8" s="69"/>
      <c r="AI8" s="69"/>
      <c r="AJ8" s="71"/>
      <c r="AK8" s="69"/>
      <c r="AL8" s="69"/>
      <c r="AM8" s="69"/>
      <c r="AN8" s="71"/>
      <c r="AP8" s="175" t="s">
        <v>31</v>
      </c>
      <c r="AQ8" s="52">
        <f>318+J17</f>
        <v>343</v>
      </c>
      <c r="AR8" s="3"/>
      <c r="AS8" s="50" t="s">
        <v>31</v>
      </c>
      <c r="AT8" s="52">
        <f>308+J15</f>
        <v>333</v>
      </c>
      <c r="AU8" s="3"/>
    </row>
    <row r="9" spans="1:49" ht="17" thickBot="1">
      <c r="A9" s="62">
        <v>42856</v>
      </c>
      <c r="B9" s="143" t="s">
        <v>105</v>
      </c>
      <c r="C9" s="63" t="s">
        <v>33</v>
      </c>
      <c r="D9" s="64" t="s">
        <v>95</v>
      </c>
      <c r="E9" s="64" t="s">
        <v>62</v>
      </c>
      <c r="F9" s="64">
        <v>24</v>
      </c>
      <c r="G9" s="65">
        <v>23</v>
      </c>
      <c r="H9" s="65">
        <v>0</v>
      </c>
      <c r="I9" s="64">
        <v>0</v>
      </c>
      <c r="J9" s="64">
        <v>3</v>
      </c>
      <c r="K9" s="64">
        <v>2</v>
      </c>
      <c r="L9" s="64">
        <v>0</v>
      </c>
      <c r="M9" s="64">
        <v>1</v>
      </c>
      <c r="N9" s="64">
        <v>0</v>
      </c>
      <c r="O9" s="64">
        <v>0</v>
      </c>
      <c r="P9" s="64">
        <v>0</v>
      </c>
      <c r="Q9" s="64">
        <v>1</v>
      </c>
      <c r="R9" s="64">
        <v>2</v>
      </c>
      <c r="S9" s="66"/>
      <c r="T9" s="67" t="s">
        <v>226</v>
      </c>
      <c r="U9" s="68" t="s">
        <v>258</v>
      </c>
      <c r="V9" s="69" t="s">
        <v>235</v>
      </c>
      <c r="W9" s="69" t="s">
        <v>220</v>
      </c>
      <c r="X9" s="70" t="s">
        <v>205</v>
      </c>
      <c r="Y9" s="69">
        <v>1</v>
      </c>
      <c r="Z9" s="69">
        <v>1</v>
      </c>
      <c r="AA9" s="69">
        <v>0</v>
      </c>
      <c r="AB9" s="71">
        <v>0</v>
      </c>
      <c r="AC9" s="69">
        <f t="shared" si="7"/>
        <v>1</v>
      </c>
      <c r="AD9" s="69">
        <f t="shared" si="7"/>
        <v>1</v>
      </c>
      <c r="AE9" s="69">
        <f t="shared" si="7"/>
        <v>0</v>
      </c>
      <c r="AF9" s="69">
        <f t="shared" si="7"/>
        <v>0</v>
      </c>
      <c r="AG9" s="69"/>
      <c r="AH9" s="69"/>
      <c r="AI9" s="69"/>
      <c r="AJ9" s="71"/>
      <c r="AK9" s="69"/>
      <c r="AL9" s="69"/>
      <c r="AM9" s="69"/>
      <c r="AN9" s="71"/>
    </row>
    <row r="10" spans="1:49" ht="17" thickBot="1">
      <c r="A10" s="53">
        <v>45413</v>
      </c>
      <c r="B10" s="91" t="s">
        <v>105</v>
      </c>
      <c r="C10" s="54" t="s">
        <v>32</v>
      </c>
      <c r="D10" s="55" t="s">
        <v>50</v>
      </c>
      <c r="E10" s="55" t="s">
        <v>64</v>
      </c>
      <c r="F10" s="172">
        <f>CAL!G10</f>
        <v>10</v>
      </c>
      <c r="G10" s="56">
        <f>CAL!F10</f>
        <v>42</v>
      </c>
      <c r="H10" s="56">
        <f>CAL!P10</f>
        <v>0</v>
      </c>
      <c r="I10" s="56">
        <f>CAL!Q10</f>
        <v>0</v>
      </c>
      <c r="J10" s="56">
        <f>CAL!R10</f>
        <v>2</v>
      </c>
      <c r="K10" s="55">
        <v>0</v>
      </c>
      <c r="L10" s="55">
        <v>0</v>
      </c>
      <c r="M10" s="55">
        <v>0</v>
      </c>
      <c r="N10" s="55">
        <v>1</v>
      </c>
      <c r="O10" s="55">
        <v>0</v>
      </c>
      <c r="P10" s="55">
        <v>1</v>
      </c>
      <c r="Q10" s="55">
        <v>0</v>
      </c>
      <c r="R10" s="55">
        <v>6</v>
      </c>
      <c r="S10" s="57"/>
      <c r="T10" s="58" t="s">
        <v>269</v>
      </c>
      <c r="U10" s="59" t="str">
        <f>CAL!U10</f>
        <v>Robin Kaluzniak</v>
      </c>
      <c r="V10" s="59" t="str">
        <f>CAL!V10</f>
        <v>Austin Reed</v>
      </c>
      <c r="W10" s="59" t="str">
        <f>CAL!W10</f>
        <v>Shanda Assmus</v>
      </c>
      <c r="X10" s="59" t="str">
        <f>CAL!X10</f>
        <v>Chris Assmus</v>
      </c>
      <c r="Y10" s="60">
        <f>CAL!Y10</f>
        <v>1</v>
      </c>
      <c r="Z10" s="60">
        <f>CAL!AB10</f>
        <v>0</v>
      </c>
      <c r="AA10" s="60">
        <f>CAL!AA10</f>
        <v>0</v>
      </c>
      <c r="AB10" s="60">
        <f>CAL!Z10</f>
        <v>1</v>
      </c>
      <c r="AC10" s="60"/>
      <c r="AD10" s="60"/>
      <c r="AE10" s="60"/>
      <c r="AF10" s="61"/>
      <c r="AG10" s="60">
        <f>Y10</f>
        <v>1</v>
      </c>
      <c r="AH10" s="60">
        <f t="shared" ref="AH10:AJ10" si="8">Z10</f>
        <v>0</v>
      </c>
      <c r="AI10" s="60">
        <f t="shared" si="8"/>
        <v>0</v>
      </c>
      <c r="AJ10" s="60">
        <f t="shared" si="8"/>
        <v>1</v>
      </c>
      <c r="AK10" s="60"/>
      <c r="AL10" s="60"/>
      <c r="AM10" s="60"/>
      <c r="AN10" s="61"/>
    </row>
    <row r="11" spans="1:49" ht="17" thickBot="1">
      <c r="A11" s="62">
        <v>47604</v>
      </c>
      <c r="B11" s="143" t="s">
        <v>105</v>
      </c>
      <c r="C11" s="63" t="s">
        <v>13</v>
      </c>
      <c r="D11" s="64" t="s">
        <v>95</v>
      </c>
      <c r="E11" s="64"/>
      <c r="F11" s="64"/>
      <c r="G11" s="65"/>
      <c r="H11" s="65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6"/>
      <c r="T11" s="67"/>
      <c r="U11" s="68"/>
      <c r="V11" s="69"/>
      <c r="W11" s="69"/>
      <c r="X11" s="70"/>
      <c r="Y11" s="69"/>
      <c r="Z11" s="69"/>
      <c r="AA11" s="69"/>
      <c r="AB11" s="71"/>
      <c r="AC11" s="69">
        <f>Y11</f>
        <v>0</v>
      </c>
      <c r="AD11" s="69">
        <f t="shared" ref="AD11:AF11" si="9">Z11</f>
        <v>0</v>
      </c>
      <c r="AE11" s="69">
        <f t="shared" si="9"/>
        <v>0</v>
      </c>
      <c r="AF11" s="69">
        <f t="shared" si="9"/>
        <v>0</v>
      </c>
      <c r="AG11" s="69"/>
      <c r="AH11" s="69"/>
      <c r="AI11" s="69"/>
      <c r="AJ11" s="71"/>
      <c r="AK11" s="69"/>
      <c r="AL11" s="69"/>
      <c r="AM11" s="69"/>
      <c r="AN11" s="71"/>
    </row>
    <row r="12" spans="1:49" ht="17" thickBot="1">
      <c r="A12" s="62">
        <v>38869</v>
      </c>
      <c r="B12" s="143" t="s">
        <v>105</v>
      </c>
      <c r="C12" s="63" t="s">
        <v>9</v>
      </c>
      <c r="D12" s="64" t="s">
        <v>95</v>
      </c>
      <c r="E12" s="64"/>
      <c r="F12" s="64"/>
      <c r="G12" s="65"/>
      <c r="H12" s="65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74"/>
      <c r="T12" s="67"/>
      <c r="U12" s="68"/>
      <c r="V12" s="69"/>
      <c r="W12" s="69"/>
      <c r="X12" s="70"/>
      <c r="Y12" s="69"/>
      <c r="Z12" s="69"/>
      <c r="AA12" s="69"/>
      <c r="AB12" s="71"/>
      <c r="AC12" s="69">
        <f>Y12</f>
        <v>0</v>
      </c>
      <c r="AD12" s="69">
        <f t="shared" ref="AD12" si="10">Z12</f>
        <v>0</v>
      </c>
      <c r="AE12" s="69">
        <f t="shared" ref="AE12" si="11">AA12</f>
        <v>0</v>
      </c>
      <c r="AF12" s="69">
        <f t="shared" ref="AF12" si="12">AB12</f>
        <v>0</v>
      </c>
      <c r="AG12" s="69"/>
      <c r="AH12" s="69"/>
      <c r="AI12" s="69"/>
      <c r="AJ12" s="71"/>
      <c r="AK12" s="69"/>
      <c r="AL12" s="69"/>
      <c r="AM12" s="69"/>
      <c r="AN12" s="71"/>
    </row>
    <row r="13" spans="1:49" ht="17" thickBot="1">
      <c r="A13" s="155"/>
      <c r="B13" s="156" t="s">
        <v>104</v>
      </c>
      <c r="C13" s="157"/>
      <c r="D13" s="158"/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159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70" t="s">
        <v>30</v>
      </c>
      <c r="D15" s="271"/>
      <c r="E15" s="272"/>
      <c r="F15" s="81">
        <f>SUM(F3+F4+F5+F6+F7+F8+F9+F10+F11+F12)</f>
        <v>181</v>
      </c>
      <c r="G15" s="81">
        <f t="shared" ref="G15:R15" si="13">SUM(G3+G4+G5+G6+G7+G8+G9+G10+G11+G12)</f>
        <v>246</v>
      </c>
      <c r="H15" s="81">
        <f t="shared" si="13"/>
        <v>2</v>
      </c>
      <c r="I15" s="81">
        <f t="shared" si="13"/>
        <v>1</v>
      </c>
      <c r="J15" s="81">
        <f t="shared" si="13"/>
        <v>25</v>
      </c>
      <c r="K15" s="81">
        <f t="shared" si="13"/>
        <v>14</v>
      </c>
      <c r="L15" s="81">
        <f t="shared" si="13"/>
        <v>0</v>
      </c>
      <c r="M15" s="81">
        <f t="shared" si="13"/>
        <v>9</v>
      </c>
      <c r="N15" s="81">
        <f t="shared" si="13"/>
        <v>5</v>
      </c>
      <c r="O15" s="81">
        <f t="shared" si="13"/>
        <v>1</v>
      </c>
      <c r="P15" s="81">
        <f t="shared" si="13"/>
        <v>4</v>
      </c>
      <c r="Q15" s="81">
        <f t="shared" si="13"/>
        <v>1</v>
      </c>
      <c r="R15" s="81">
        <f t="shared" si="13"/>
        <v>31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8</v>
      </c>
      <c r="Z15" s="81">
        <f t="shared" ref="Z15:AN15" si="14">Z3+Z4+Z5+Z6+Z7+Z8+Z9+Z10+Z11+Z12</f>
        <v>3</v>
      </c>
      <c r="AA15" s="81">
        <f t="shared" si="14"/>
        <v>0</v>
      </c>
      <c r="AB15" s="81">
        <f t="shared" si="14"/>
        <v>5</v>
      </c>
      <c r="AC15" s="85">
        <f>AC3+AC4+AC5+AC6+AC7+AC8+AC9+AC10+AC11+AC12</f>
        <v>3</v>
      </c>
      <c r="AD15" s="85">
        <f>AD3+AD4+AD5+AD6+AD7+AD8+AD9+AD10+AD11+AD12</f>
        <v>1</v>
      </c>
      <c r="AE15" s="85">
        <f>AE3+AE4+AE5+AE6+AE7+AE8+AE9+AE10+AE11+AE12</f>
        <v>0</v>
      </c>
      <c r="AF15" s="85">
        <f>AF3+AF4+AF5+AF6+AF7+AF8+AF9+AF10+AF11+AF12</f>
        <v>2</v>
      </c>
      <c r="AG15" s="170">
        <f t="shared" si="14"/>
        <v>5</v>
      </c>
      <c r="AH15" s="170">
        <f t="shared" si="14"/>
        <v>2</v>
      </c>
      <c r="AI15" s="170">
        <f t="shared" si="14"/>
        <v>0</v>
      </c>
      <c r="AJ15" s="170">
        <f t="shared" si="14"/>
        <v>3</v>
      </c>
      <c r="AK15" s="81">
        <f t="shared" si="14"/>
        <v>0</v>
      </c>
      <c r="AL15" s="81">
        <f t="shared" si="14"/>
        <v>0</v>
      </c>
      <c r="AM15" s="81">
        <f t="shared" si="14"/>
        <v>0</v>
      </c>
      <c r="AN15" s="81">
        <f t="shared" si="14"/>
        <v>0</v>
      </c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15">G13+G14</f>
        <v>0</v>
      </c>
      <c r="H16" s="169">
        <f t="shared" si="15"/>
        <v>0</v>
      </c>
      <c r="I16" s="169">
        <f t="shared" si="15"/>
        <v>0</v>
      </c>
      <c r="J16" s="169">
        <f t="shared" si="15"/>
        <v>0</v>
      </c>
      <c r="K16" s="169">
        <f t="shared" si="15"/>
        <v>0</v>
      </c>
      <c r="L16" s="169">
        <f t="shared" si="15"/>
        <v>0</v>
      </c>
      <c r="M16" s="169">
        <f t="shared" si="15"/>
        <v>0</v>
      </c>
      <c r="N16" s="169">
        <f t="shared" si="15"/>
        <v>0</v>
      </c>
      <c r="O16" s="169">
        <f t="shared" si="15"/>
        <v>0</v>
      </c>
      <c r="P16" s="169">
        <f t="shared" si="15"/>
        <v>0</v>
      </c>
      <c r="Q16" s="169">
        <f t="shared" si="15"/>
        <v>0</v>
      </c>
      <c r="R16" s="169">
        <f t="shared" si="15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N16" si="16">Z13+Z14</f>
        <v>0</v>
      </c>
      <c r="AA16" s="81">
        <f t="shared" si="16"/>
        <v>0</v>
      </c>
      <c r="AB16" s="81">
        <f t="shared" si="16"/>
        <v>0</v>
      </c>
      <c r="AC16" s="85">
        <f t="shared" si="16"/>
        <v>0</v>
      </c>
      <c r="AD16" s="85">
        <f t="shared" si="16"/>
        <v>0</v>
      </c>
      <c r="AE16" s="85">
        <f t="shared" si="16"/>
        <v>0</v>
      </c>
      <c r="AF16" s="85">
        <f t="shared" si="16"/>
        <v>0</v>
      </c>
      <c r="AG16" s="170">
        <f t="shared" si="16"/>
        <v>0</v>
      </c>
      <c r="AH16" s="170">
        <f t="shared" si="16"/>
        <v>0</v>
      </c>
      <c r="AI16" s="170">
        <f t="shared" si="16"/>
        <v>0</v>
      </c>
      <c r="AJ16" s="170">
        <f t="shared" si="16"/>
        <v>0</v>
      </c>
      <c r="AK16" s="81">
        <f t="shared" si="16"/>
        <v>0</v>
      </c>
      <c r="AL16" s="81">
        <f t="shared" si="16"/>
        <v>0</v>
      </c>
      <c r="AM16" s="81">
        <f t="shared" si="16"/>
        <v>0</v>
      </c>
      <c r="AN16" s="81">
        <f t="shared" si="16"/>
        <v>0</v>
      </c>
    </row>
    <row r="17" spans="1:40" ht="17" thickBot="1">
      <c r="C17" s="255" t="s">
        <v>96</v>
      </c>
      <c r="D17" s="256"/>
      <c r="E17" s="257"/>
      <c r="F17" s="86">
        <f>F15+F16</f>
        <v>181</v>
      </c>
      <c r="G17" s="86">
        <f t="shared" ref="G17:R17" si="17">G15+G16</f>
        <v>246</v>
      </c>
      <c r="H17" s="86">
        <f t="shared" si="17"/>
        <v>2</v>
      </c>
      <c r="I17" s="86">
        <f t="shared" si="17"/>
        <v>1</v>
      </c>
      <c r="J17" s="86">
        <f t="shared" si="17"/>
        <v>25</v>
      </c>
      <c r="K17" s="86">
        <f t="shared" si="17"/>
        <v>14</v>
      </c>
      <c r="L17" s="86">
        <f t="shared" si="17"/>
        <v>0</v>
      </c>
      <c r="M17" s="86">
        <f t="shared" si="17"/>
        <v>9</v>
      </c>
      <c r="N17" s="86">
        <f t="shared" si="17"/>
        <v>5</v>
      </c>
      <c r="O17" s="86">
        <f t="shared" si="17"/>
        <v>1</v>
      </c>
      <c r="P17" s="86">
        <f t="shared" si="17"/>
        <v>4</v>
      </c>
      <c r="Q17" s="86">
        <f t="shared" si="17"/>
        <v>1</v>
      </c>
      <c r="R17" s="86">
        <f t="shared" si="17"/>
        <v>31</v>
      </c>
      <c r="X17" s="87" t="s">
        <v>96</v>
      </c>
      <c r="Y17" s="88">
        <f>Y15+Y16</f>
        <v>8</v>
      </c>
      <c r="Z17" s="88">
        <f t="shared" ref="Z17:AN17" si="18">Z15+Z16</f>
        <v>3</v>
      </c>
      <c r="AA17" s="88">
        <f t="shared" si="18"/>
        <v>0</v>
      </c>
      <c r="AB17" s="88">
        <f t="shared" si="18"/>
        <v>5</v>
      </c>
      <c r="AC17" s="89">
        <f t="shared" si="18"/>
        <v>3</v>
      </c>
      <c r="AD17" s="89">
        <f t="shared" si="18"/>
        <v>1</v>
      </c>
      <c r="AE17" s="89">
        <f t="shared" si="18"/>
        <v>0</v>
      </c>
      <c r="AF17" s="89">
        <f t="shared" si="18"/>
        <v>2</v>
      </c>
      <c r="AG17" s="171">
        <f t="shared" si="18"/>
        <v>5</v>
      </c>
      <c r="AH17" s="171">
        <f t="shared" si="18"/>
        <v>2</v>
      </c>
      <c r="AI17" s="171">
        <f t="shared" si="18"/>
        <v>0</v>
      </c>
      <c r="AJ17" s="171">
        <f t="shared" si="18"/>
        <v>3</v>
      </c>
      <c r="AK17" s="88">
        <f t="shared" si="18"/>
        <v>0</v>
      </c>
      <c r="AL17" s="88">
        <f t="shared" si="18"/>
        <v>0</v>
      </c>
      <c r="AM17" s="88">
        <f t="shared" si="18"/>
        <v>0</v>
      </c>
      <c r="AN17" s="88">
        <f t="shared" si="18"/>
        <v>0</v>
      </c>
    </row>
    <row r="18" spans="1:40">
      <c r="A18" s="3" t="s">
        <v>97</v>
      </c>
    </row>
    <row r="20" spans="1:40">
      <c r="A20" s="15" t="s">
        <v>257</v>
      </c>
    </row>
  </sheetData>
  <mergeCells count="12">
    <mergeCell ref="C17:E17"/>
    <mergeCell ref="Y1:AB1"/>
    <mergeCell ref="AC1:AF1"/>
    <mergeCell ref="AG1:AJ1"/>
    <mergeCell ref="AK1:AN1"/>
    <mergeCell ref="C15:E15"/>
    <mergeCell ref="A1:D1"/>
    <mergeCell ref="E1:G1"/>
    <mergeCell ref="H1:I1"/>
    <mergeCell ref="J1:M1"/>
    <mergeCell ref="N1:O1"/>
    <mergeCell ref="P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1E2E-BA12-2542-8203-4CCDF3ED6B3D}">
  <dimension ref="A1:AW18"/>
  <sheetViews>
    <sheetView zoomScale="141" zoomScaleNormal="80" workbookViewId="0">
      <selection sqref="A1:D1"/>
    </sheetView>
  </sheetViews>
  <sheetFormatPr defaultColWidth="11.5546875" defaultRowHeight="16.3"/>
  <cols>
    <col min="1" max="1" width="7.44140625" style="15" bestFit="1" customWidth="1"/>
    <col min="2" max="2" width="6" style="15" bestFit="1" customWidth="1"/>
    <col min="3" max="3" width="12" style="15" customWidth="1"/>
    <col min="4" max="4" width="4.77734375" style="15" customWidth="1"/>
    <col min="5" max="7" width="4.6640625" style="15" customWidth="1"/>
    <col min="8" max="18" width="4.77734375" style="15" customWidth="1"/>
    <col min="19" max="19" width="7" style="15" customWidth="1"/>
    <col min="20" max="20" width="6.77734375" style="15" customWidth="1"/>
    <col min="21" max="21" width="24" style="15" bestFit="1" customWidth="1"/>
    <col min="22" max="23" width="29" style="15" bestFit="1" customWidth="1"/>
    <col min="24" max="24" width="24" style="15" bestFit="1" customWidth="1"/>
    <col min="25" max="40" width="4.77734375" style="15" customWidth="1"/>
    <col min="42" max="42" width="16" bestFit="1" customWidth="1"/>
  </cols>
  <sheetData>
    <row r="1" spans="1:49" ht="17" thickBot="1">
      <c r="A1" s="324" t="s">
        <v>103</v>
      </c>
      <c r="B1" s="325"/>
      <c r="C1" s="325"/>
      <c r="D1" s="326"/>
      <c r="E1" s="327" t="s">
        <v>71</v>
      </c>
      <c r="F1" s="328"/>
      <c r="G1" s="329"/>
      <c r="H1" s="327" t="s">
        <v>72</v>
      </c>
      <c r="I1" s="329"/>
      <c r="J1" s="330" t="s">
        <v>73</v>
      </c>
      <c r="K1" s="331"/>
      <c r="L1" s="331"/>
      <c r="M1" s="332"/>
      <c r="N1" s="330" t="s">
        <v>74</v>
      </c>
      <c r="O1" s="332"/>
      <c r="P1" s="330" t="s">
        <v>75</v>
      </c>
      <c r="Q1" s="331"/>
      <c r="R1" s="332"/>
      <c r="S1" s="127" t="s">
        <v>76</v>
      </c>
      <c r="T1" s="127" t="s">
        <v>2</v>
      </c>
      <c r="U1" s="128" t="s">
        <v>77</v>
      </c>
      <c r="V1" s="129" t="s">
        <v>184</v>
      </c>
      <c r="W1" s="129" t="s">
        <v>78</v>
      </c>
      <c r="X1" s="130" t="s">
        <v>79</v>
      </c>
      <c r="Y1" s="321" t="s">
        <v>80</v>
      </c>
      <c r="Z1" s="322"/>
      <c r="AA1" s="322"/>
      <c r="AB1" s="323"/>
      <c r="AC1" s="321" t="s">
        <v>81</v>
      </c>
      <c r="AD1" s="322"/>
      <c r="AE1" s="322"/>
      <c r="AF1" s="323"/>
      <c r="AG1" s="321" t="s">
        <v>1</v>
      </c>
      <c r="AH1" s="322"/>
      <c r="AI1" s="322"/>
      <c r="AJ1" s="323"/>
      <c r="AK1" s="321" t="s">
        <v>82</v>
      </c>
      <c r="AL1" s="322"/>
      <c r="AM1" s="322"/>
      <c r="AN1" s="323"/>
      <c r="AP1" s="8" t="s">
        <v>107</v>
      </c>
      <c r="AQ1" s="3"/>
      <c r="AR1" s="3"/>
      <c r="AS1" s="2" t="s">
        <v>30</v>
      </c>
      <c r="AT1" s="3"/>
      <c r="AU1" s="3"/>
      <c r="AV1" s="2" t="s">
        <v>106</v>
      </c>
      <c r="AW1" s="3"/>
    </row>
    <row r="2" spans="1:49" ht="17" thickBot="1">
      <c r="A2" s="131" t="s">
        <v>83</v>
      </c>
      <c r="B2" s="132" t="s">
        <v>84</v>
      </c>
      <c r="C2" s="133" t="s">
        <v>85</v>
      </c>
      <c r="D2" s="133" t="s">
        <v>86</v>
      </c>
      <c r="E2" s="134" t="s">
        <v>87</v>
      </c>
      <c r="F2" s="134" t="s">
        <v>49</v>
      </c>
      <c r="G2" s="134" t="s">
        <v>50</v>
      </c>
      <c r="H2" s="135" t="s">
        <v>88</v>
      </c>
      <c r="I2" s="135" t="s">
        <v>89</v>
      </c>
      <c r="J2" s="135" t="s">
        <v>90</v>
      </c>
      <c r="K2" s="135" t="s">
        <v>91</v>
      </c>
      <c r="L2" s="135" t="s">
        <v>63</v>
      </c>
      <c r="M2" s="135" t="s">
        <v>92</v>
      </c>
      <c r="N2" s="135" t="s">
        <v>93</v>
      </c>
      <c r="O2" s="135" t="s">
        <v>87</v>
      </c>
      <c r="P2" s="135" t="s">
        <v>88</v>
      </c>
      <c r="Q2" s="135" t="s">
        <v>89</v>
      </c>
      <c r="R2" s="135" t="s">
        <v>90</v>
      </c>
      <c r="S2" s="136"/>
      <c r="T2" s="137"/>
      <c r="U2" s="138"/>
      <c r="V2" s="136"/>
      <c r="W2" s="139"/>
      <c r="X2" s="140"/>
      <c r="Y2" s="141" t="s">
        <v>94</v>
      </c>
      <c r="Z2" s="141" t="s">
        <v>62</v>
      </c>
      <c r="AA2" s="141" t="s">
        <v>63</v>
      </c>
      <c r="AB2" s="141" t="s">
        <v>64</v>
      </c>
      <c r="AC2" s="141" t="s">
        <v>94</v>
      </c>
      <c r="AD2" s="141" t="s">
        <v>62</v>
      </c>
      <c r="AE2" s="141" t="s">
        <v>63</v>
      </c>
      <c r="AF2" s="141" t="s">
        <v>64</v>
      </c>
      <c r="AG2" s="141" t="s">
        <v>94</v>
      </c>
      <c r="AH2" s="141" t="s">
        <v>62</v>
      </c>
      <c r="AI2" s="141" t="s">
        <v>63</v>
      </c>
      <c r="AJ2" s="141" t="s">
        <v>64</v>
      </c>
      <c r="AK2" s="141" t="s">
        <v>94</v>
      </c>
      <c r="AL2" s="141" t="s">
        <v>62</v>
      </c>
      <c r="AM2" s="141" t="s">
        <v>63</v>
      </c>
      <c r="AN2" s="142" t="s">
        <v>64</v>
      </c>
      <c r="AP2" s="175" t="s">
        <v>108</v>
      </c>
      <c r="AQ2" s="52">
        <f>122+Y17</f>
        <v>130</v>
      </c>
      <c r="AR2" s="3"/>
      <c r="AS2" s="50" t="s">
        <v>108</v>
      </c>
      <c r="AT2" s="52">
        <f>109+Y15</f>
        <v>117</v>
      </c>
      <c r="AU2" s="3"/>
      <c r="AV2" s="50" t="s">
        <v>108</v>
      </c>
      <c r="AW2" s="52">
        <f>13+Y16</f>
        <v>13</v>
      </c>
    </row>
    <row r="3" spans="1:49" ht="17" thickBot="1">
      <c r="A3" s="165">
        <v>37712</v>
      </c>
      <c r="B3" s="143" t="s">
        <v>105</v>
      </c>
      <c r="C3" s="166" t="s">
        <v>12</v>
      </c>
      <c r="D3" s="167" t="s">
        <v>95</v>
      </c>
      <c r="E3" s="167" t="s">
        <v>62</v>
      </c>
      <c r="F3" s="167">
        <v>33</v>
      </c>
      <c r="G3" s="168">
        <v>16</v>
      </c>
      <c r="H3" s="168">
        <v>0</v>
      </c>
      <c r="I3" s="167">
        <v>0</v>
      </c>
      <c r="J3" s="167">
        <v>3</v>
      </c>
      <c r="K3" s="167">
        <v>3</v>
      </c>
      <c r="L3" s="167">
        <v>0</v>
      </c>
      <c r="M3" s="167">
        <v>4</v>
      </c>
      <c r="N3" s="167">
        <v>0</v>
      </c>
      <c r="O3" s="167">
        <v>1</v>
      </c>
      <c r="P3" s="167">
        <v>0</v>
      </c>
      <c r="Q3" s="167">
        <v>0</v>
      </c>
      <c r="R3" s="167">
        <v>1</v>
      </c>
      <c r="S3" s="66"/>
      <c r="T3" s="232" t="s">
        <v>195</v>
      </c>
      <c r="U3" s="68" t="s">
        <v>182</v>
      </c>
      <c r="V3" s="68" t="s">
        <v>191</v>
      </c>
      <c r="W3" s="68" t="s">
        <v>193</v>
      </c>
      <c r="X3" s="68" t="s">
        <v>194</v>
      </c>
      <c r="Y3" s="69">
        <v>1</v>
      </c>
      <c r="Z3" s="69">
        <v>1</v>
      </c>
      <c r="AA3" s="69">
        <v>0</v>
      </c>
      <c r="AB3" s="71">
        <v>0</v>
      </c>
      <c r="AC3" s="69">
        <f>Y3</f>
        <v>1</v>
      </c>
      <c r="AD3" s="69">
        <f t="shared" ref="AD3:AF3" si="0">Z3</f>
        <v>1</v>
      </c>
      <c r="AE3" s="69">
        <f t="shared" si="0"/>
        <v>0</v>
      </c>
      <c r="AF3" s="69">
        <f t="shared" si="0"/>
        <v>0</v>
      </c>
      <c r="AG3" s="69"/>
      <c r="AH3" s="69"/>
      <c r="AI3" s="69"/>
      <c r="AJ3" s="71"/>
      <c r="AK3" s="69"/>
      <c r="AL3" s="69"/>
      <c r="AM3" s="69"/>
      <c r="AN3" s="71"/>
      <c r="AP3" s="175" t="s">
        <v>109</v>
      </c>
      <c r="AQ3" s="52">
        <f>71+Z17</f>
        <v>75</v>
      </c>
      <c r="AR3" s="3"/>
      <c r="AS3" s="50" t="s">
        <v>109</v>
      </c>
      <c r="AT3" s="52">
        <f>62+Z15</f>
        <v>66</v>
      </c>
      <c r="AU3" s="3"/>
      <c r="AV3" s="50" t="s">
        <v>109</v>
      </c>
      <c r="AW3" s="52">
        <f>9+Z16</f>
        <v>9</v>
      </c>
    </row>
    <row r="4" spans="1:49" ht="17" thickBot="1">
      <c r="A4" s="53">
        <v>41000</v>
      </c>
      <c r="B4" s="91" t="s">
        <v>105</v>
      </c>
      <c r="C4" s="54" t="s">
        <v>9</v>
      </c>
      <c r="D4" s="55" t="s">
        <v>50</v>
      </c>
      <c r="E4" s="55" t="s">
        <v>64</v>
      </c>
      <c r="F4" s="56">
        <f>ANT!G5</f>
        <v>25</v>
      </c>
      <c r="G4" s="56">
        <f>ANT!F5</f>
        <v>34</v>
      </c>
      <c r="H4" s="56">
        <f>ANT!P5</f>
        <v>0</v>
      </c>
      <c r="I4" s="56">
        <f>ANT!Q5</f>
        <v>0</v>
      </c>
      <c r="J4" s="56">
        <f>ANT!R5</f>
        <v>3</v>
      </c>
      <c r="K4" s="55">
        <v>2</v>
      </c>
      <c r="L4" s="55">
        <v>0</v>
      </c>
      <c r="M4" s="55">
        <v>2</v>
      </c>
      <c r="N4" s="55">
        <v>2</v>
      </c>
      <c r="O4" s="55">
        <v>0</v>
      </c>
      <c r="P4" s="55">
        <v>1</v>
      </c>
      <c r="Q4" s="55">
        <v>0</v>
      </c>
      <c r="R4" s="55">
        <v>4</v>
      </c>
      <c r="S4" s="57"/>
      <c r="T4" s="58" t="s">
        <v>211</v>
      </c>
      <c r="U4" s="59" t="str">
        <f>ANT!U5</f>
        <v>Mike Lawrenson</v>
      </c>
      <c r="V4" s="59" t="str">
        <f>ANT!V5</f>
        <v>James Roberts</v>
      </c>
      <c r="W4" s="59" t="str">
        <f>ANT!W5</f>
        <v>Amelia Luciano</v>
      </c>
      <c r="X4" s="59" t="str">
        <f>ANT!X5</f>
        <v>Tom Ciampa</v>
      </c>
      <c r="Y4" s="60">
        <f>ANT!Y5</f>
        <v>1</v>
      </c>
      <c r="Z4" s="60">
        <f>ANT!AB5</f>
        <v>0</v>
      </c>
      <c r="AA4" s="60">
        <f>ANT!AA5</f>
        <v>0</v>
      </c>
      <c r="AB4" s="61">
        <f>ANT!Z5</f>
        <v>1</v>
      </c>
      <c r="AC4" s="60"/>
      <c r="AD4" s="60"/>
      <c r="AE4" s="60"/>
      <c r="AF4" s="61"/>
      <c r="AG4" s="60">
        <f>Y4</f>
        <v>1</v>
      </c>
      <c r="AH4" s="60">
        <f t="shared" ref="AH4:AJ4" si="1">Z4</f>
        <v>0</v>
      </c>
      <c r="AI4" s="60">
        <f t="shared" si="1"/>
        <v>0</v>
      </c>
      <c r="AJ4" s="60">
        <f t="shared" si="1"/>
        <v>1</v>
      </c>
      <c r="AK4" s="60"/>
      <c r="AL4" s="60"/>
      <c r="AM4" s="60"/>
      <c r="AN4" s="61"/>
      <c r="AP4" s="175" t="s">
        <v>110</v>
      </c>
      <c r="AQ4" s="52">
        <f>2+AA15</f>
        <v>2</v>
      </c>
      <c r="AR4" s="3"/>
      <c r="AS4" s="50" t="s">
        <v>110</v>
      </c>
      <c r="AT4" s="52">
        <f>2+AA15</f>
        <v>2</v>
      </c>
      <c r="AU4" s="3"/>
      <c r="AV4" s="50" t="s">
        <v>111</v>
      </c>
      <c r="AW4" s="52">
        <f>4+AB16</f>
        <v>4</v>
      </c>
    </row>
    <row r="5" spans="1:49" ht="17" thickBot="1">
      <c r="A5" s="53">
        <v>43556</v>
      </c>
      <c r="B5" s="91" t="s">
        <v>105</v>
      </c>
      <c r="C5" s="54" t="s">
        <v>32</v>
      </c>
      <c r="D5" s="55" t="s">
        <v>50</v>
      </c>
      <c r="E5" s="55" t="s">
        <v>64</v>
      </c>
      <c r="F5" s="56">
        <v>31</v>
      </c>
      <c r="G5" s="56">
        <f>CAL!F6</f>
        <v>38</v>
      </c>
      <c r="H5" s="250">
        <f>CAL!P6</f>
        <v>1</v>
      </c>
      <c r="I5" s="250">
        <v>1</v>
      </c>
      <c r="J5" s="250">
        <v>4</v>
      </c>
      <c r="K5" s="55">
        <v>4</v>
      </c>
      <c r="L5" s="55">
        <v>0</v>
      </c>
      <c r="M5" s="55">
        <v>1</v>
      </c>
      <c r="N5" s="55">
        <v>1</v>
      </c>
      <c r="O5" s="55">
        <v>0</v>
      </c>
      <c r="P5" s="55">
        <v>1</v>
      </c>
      <c r="Q5" s="55">
        <v>0</v>
      </c>
      <c r="R5" s="55">
        <v>5</v>
      </c>
      <c r="S5" s="57"/>
      <c r="T5" s="73" t="s">
        <v>225</v>
      </c>
      <c r="U5" s="59" t="str">
        <f>CAL!U6</f>
        <v>Derek Summers</v>
      </c>
      <c r="V5" s="59" t="str">
        <f>CAL!V6</f>
        <v>Austin Reed</v>
      </c>
      <c r="W5" s="59" t="str">
        <f>CAL!W6</f>
        <v>Marquise Goodwin</v>
      </c>
      <c r="X5" s="59" t="str">
        <f>CAL!X6</f>
        <v>Will Nelson</v>
      </c>
      <c r="Y5" s="60">
        <f>CAL!Y6</f>
        <v>1</v>
      </c>
      <c r="Z5" s="60">
        <f>CAL!AB6</f>
        <v>0</v>
      </c>
      <c r="AA5" s="60">
        <f>CAL!AA6</f>
        <v>0</v>
      </c>
      <c r="AB5" s="61">
        <f>CAL!Z6</f>
        <v>1</v>
      </c>
      <c r="AC5" s="60"/>
      <c r="AD5" s="60"/>
      <c r="AE5" s="60"/>
      <c r="AF5" s="61"/>
      <c r="AG5" s="60">
        <f>Y5</f>
        <v>1</v>
      </c>
      <c r="AH5" s="60">
        <f t="shared" ref="AH5" si="2">Z5</f>
        <v>0</v>
      </c>
      <c r="AI5" s="60">
        <f t="shared" ref="AI5" si="3">AA5</f>
        <v>0</v>
      </c>
      <c r="AJ5" s="60">
        <f t="shared" ref="AJ5" si="4">AB5</f>
        <v>1</v>
      </c>
      <c r="AK5" s="60"/>
      <c r="AL5" s="60"/>
      <c r="AM5" s="60"/>
      <c r="AN5" s="61"/>
      <c r="AP5" s="175" t="s">
        <v>111</v>
      </c>
      <c r="AQ5" s="52">
        <f>49+AB17</f>
        <v>53</v>
      </c>
      <c r="AR5" s="3"/>
      <c r="AS5" s="50" t="s">
        <v>111</v>
      </c>
      <c r="AT5" s="52">
        <f>45+AB15</f>
        <v>49</v>
      </c>
      <c r="AU5" s="3"/>
      <c r="AV5" s="50" t="s">
        <v>112</v>
      </c>
      <c r="AW5" s="52">
        <f>358+F16</f>
        <v>358</v>
      </c>
    </row>
    <row r="6" spans="1:49" ht="17" thickBot="1">
      <c r="A6" s="62">
        <v>45383</v>
      </c>
      <c r="B6" s="143" t="s">
        <v>105</v>
      </c>
      <c r="C6" s="63" t="s">
        <v>13</v>
      </c>
      <c r="D6" s="64" t="s">
        <v>95</v>
      </c>
      <c r="E6" s="64" t="s">
        <v>64</v>
      </c>
      <c r="F6" s="64">
        <v>22</v>
      </c>
      <c r="G6" s="65">
        <v>59</v>
      </c>
      <c r="H6" s="65">
        <v>0</v>
      </c>
      <c r="I6" s="64">
        <v>0</v>
      </c>
      <c r="J6" s="64">
        <v>3</v>
      </c>
      <c r="K6" s="64">
        <v>2</v>
      </c>
      <c r="L6" s="64">
        <v>0</v>
      </c>
      <c r="M6" s="64">
        <v>1</v>
      </c>
      <c r="N6" s="64">
        <v>1</v>
      </c>
      <c r="O6" s="64">
        <v>1</v>
      </c>
      <c r="P6" s="64">
        <v>1</v>
      </c>
      <c r="Q6" s="64">
        <v>0</v>
      </c>
      <c r="R6" s="64">
        <v>9</v>
      </c>
      <c r="S6" s="66"/>
      <c r="T6" s="67" t="s">
        <v>227</v>
      </c>
      <c r="U6" s="69" t="s">
        <v>228</v>
      </c>
      <c r="V6" s="69" t="s">
        <v>191</v>
      </c>
      <c r="W6" s="69" t="s">
        <v>183</v>
      </c>
      <c r="X6" s="69" t="s">
        <v>193</v>
      </c>
      <c r="Y6" s="69">
        <v>1</v>
      </c>
      <c r="Z6" s="69">
        <v>0</v>
      </c>
      <c r="AA6" s="69">
        <v>0</v>
      </c>
      <c r="AB6" s="71">
        <v>1</v>
      </c>
      <c r="AC6" s="69">
        <f>Y6</f>
        <v>1</v>
      </c>
      <c r="AD6" s="69">
        <f t="shared" ref="AD6:AF6" si="5">Z6</f>
        <v>0</v>
      </c>
      <c r="AE6" s="69">
        <f t="shared" si="5"/>
        <v>0</v>
      </c>
      <c r="AF6" s="69">
        <f t="shared" si="5"/>
        <v>1</v>
      </c>
      <c r="AG6" s="69"/>
      <c r="AH6" s="69"/>
      <c r="AI6" s="69"/>
      <c r="AJ6" s="71"/>
      <c r="AK6" s="69"/>
      <c r="AL6" s="69"/>
      <c r="AM6" s="69"/>
      <c r="AN6" s="71"/>
      <c r="AP6" s="175" t="s">
        <v>112</v>
      </c>
      <c r="AQ6" s="52">
        <f>3471+F17</f>
        <v>3713</v>
      </c>
      <c r="AR6" s="3"/>
      <c r="AS6" s="50" t="s">
        <v>112</v>
      </c>
      <c r="AT6" s="52">
        <f>3113+F15</f>
        <v>3355</v>
      </c>
      <c r="AU6" s="3"/>
      <c r="AV6" s="50" t="s">
        <v>113</v>
      </c>
      <c r="AW6" s="52">
        <f>313+G16</f>
        <v>313</v>
      </c>
    </row>
    <row r="7" spans="1:49" ht="17" thickBot="1">
      <c r="A7" s="53">
        <v>37742</v>
      </c>
      <c r="B7" s="91" t="s">
        <v>105</v>
      </c>
      <c r="C7" s="54" t="s">
        <v>33</v>
      </c>
      <c r="D7" s="55" t="s">
        <v>50</v>
      </c>
      <c r="E7" s="55" t="s">
        <v>62</v>
      </c>
      <c r="F7" s="56">
        <f>NEW!G7</f>
        <v>27</v>
      </c>
      <c r="G7" s="56">
        <f>NEW!F7</f>
        <v>11</v>
      </c>
      <c r="H7" s="56">
        <f>NEW!P7</f>
        <v>1</v>
      </c>
      <c r="I7" s="56">
        <f>NEW!Q7</f>
        <v>0</v>
      </c>
      <c r="J7" s="56">
        <f>NEW!R7</f>
        <v>4</v>
      </c>
      <c r="K7" s="55">
        <v>2</v>
      </c>
      <c r="L7" s="55">
        <v>0</v>
      </c>
      <c r="M7" s="55">
        <v>1</v>
      </c>
      <c r="N7" s="55">
        <v>1</v>
      </c>
      <c r="O7" s="55">
        <v>0</v>
      </c>
      <c r="P7" s="55">
        <v>0</v>
      </c>
      <c r="Q7" s="55">
        <v>0</v>
      </c>
      <c r="R7" s="55">
        <v>1</v>
      </c>
      <c r="S7" s="57"/>
      <c r="T7" s="251" t="s">
        <v>240</v>
      </c>
      <c r="U7" s="59" t="str">
        <f>NEW!U7</f>
        <v>Robin Kaluzniak</v>
      </c>
      <c r="V7" s="59" t="str">
        <f>NEW!V7</f>
        <v>T Fletcher</v>
      </c>
      <c r="W7" s="59" t="str">
        <f>NEW!W7</f>
        <v>Federico Anselmi</v>
      </c>
      <c r="X7" s="59" t="str">
        <f>NEW!X7</f>
        <v>Cam Russell</v>
      </c>
      <c r="Y7" s="60">
        <f>NEW!Y7</f>
        <v>1</v>
      </c>
      <c r="Z7" s="60">
        <f>NEW!AB7</f>
        <v>1</v>
      </c>
      <c r="AA7" s="60">
        <f>NEW!AA7</f>
        <v>0</v>
      </c>
      <c r="AB7" s="61">
        <f>NEW!Z7</f>
        <v>0</v>
      </c>
      <c r="AC7" s="60"/>
      <c r="AD7" s="60"/>
      <c r="AE7" s="60"/>
      <c r="AF7" s="61"/>
      <c r="AG7" s="60">
        <f>Y7</f>
        <v>1</v>
      </c>
      <c r="AH7" s="60">
        <f t="shared" ref="AH7:AJ7" si="6">Z7</f>
        <v>1</v>
      </c>
      <c r="AI7" s="60">
        <f t="shared" si="6"/>
        <v>0</v>
      </c>
      <c r="AJ7" s="60">
        <f t="shared" si="6"/>
        <v>0</v>
      </c>
      <c r="AK7" s="60"/>
      <c r="AL7" s="60"/>
      <c r="AM7" s="60"/>
      <c r="AN7" s="61"/>
      <c r="AP7" s="175" t="s">
        <v>113</v>
      </c>
      <c r="AQ7" s="52">
        <f>3026+G17</f>
        <v>3287</v>
      </c>
      <c r="AR7" s="3"/>
      <c r="AS7" s="50" t="s">
        <v>113</v>
      </c>
      <c r="AT7" s="52">
        <f>2713+G15</f>
        <v>2974</v>
      </c>
      <c r="AU7" s="3"/>
      <c r="AV7" s="50" t="s">
        <v>31</v>
      </c>
      <c r="AW7" s="52">
        <f>32+J16</f>
        <v>32</v>
      </c>
    </row>
    <row r="8" spans="1:49" ht="17" thickBot="1">
      <c r="A8" s="53">
        <v>40299</v>
      </c>
      <c r="B8" s="91" t="s">
        <v>105</v>
      </c>
      <c r="C8" s="54" t="s">
        <v>12</v>
      </c>
      <c r="D8" s="55" t="s">
        <v>50</v>
      </c>
      <c r="E8" s="55" t="s">
        <v>62</v>
      </c>
      <c r="F8" s="56">
        <f>OGDC!G8</f>
        <v>30</v>
      </c>
      <c r="G8" s="56">
        <f>OGDC!F8</f>
        <v>25</v>
      </c>
      <c r="H8" s="56">
        <f>OGDC!P8</f>
        <v>1</v>
      </c>
      <c r="I8" s="56">
        <f>OGDC!Q8</f>
        <v>0</v>
      </c>
      <c r="J8" s="56">
        <f>OGDC!R8</f>
        <v>4</v>
      </c>
      <c r="K8" s="55">
        <v>2</v>
      </c>
      <c r="L8" s="55">
        <v>0</v>
      </c>
      <c r="M8" s="55">
        <v>2</v>
      </c>
      <c r="N8" s="55">
        <v>1</v>
      </c>
      <c r="O8" s="55">
        <v>0</v>
      </c>
      <c r="P8" s="55">
        <v>0</v>
      </c>
      <c r="Q8" s="55">
        <v>1</v>
      </c>
      <c r="R8" s="55">
        <v>3</v>
      </c>
      <c r="S8" s="57"/>
      <c r="T8" s="251" t="s">
        <v>247</v>
      </c>
      <c r="U8" s="59" t="str">
        <f>OGDC!U8</f>
        <v>Luke Rogan</v>
      </c>
      <c r="V8" s="59" t="str">
        <f>OGDC!V8</f>
        <v>George Janke</v>
      </c>
      <c r="W8" s="59" t="str">
        <f>OGDC!W8</f>
        <v>Shanda Assmus</v>
      </c>
      <c r="X8" s="59" t="str">
        <f>OGDC!X8</f>
        <v>Dave Edwards</v>
      </c>
      <c r="Y8" s="60">
        <f>OGDC!Y8</f>
        <v>1</v>
      </c>
      <c r="Z8" s="60">
        <f>OGDC!AB8</f>
        <v>1</v>
      </c>
      <c r="AA8" s="60">
        <f>OGDC!AA8</f>
        <v>0</v>
      </c>
      <c r="AB8" s="61">
        <f>OGDC!Z8</f>
        <v>0</v>
      </c>
      <c r="AC8" s="60"/>
      <c r="AD8" s="60"/>
      <c r="AE8" s="60"/>
      <c r="AF8" s="61"/>
      <c r="AG8" s="60">
        <f>Y8</f>
        <v>1</v>
      </c>
      <c r="AH8" s="60">
        <f t="shared" ref="AH8" si="7">Z8</f>
        <v>1</v>
      </c>
      <c r="AI8" s="60">
        <f t="shared" ref="AI8" si="8">AA8</f>
        <v>0</v>
      </c>
      <c r="AJ8" s="60">
        <f t="shared" ref="AJ8" si="9">AB8</f>
        <v>0</v>
      </c>
      <c r="AK8" s="60"/>
      <c r="AL8" s="60"/>
      <c r="AM8" s="60"/>
      <c r="AN8" s="61"/>
      <c r="AP8" s="175" t="s">
        <v>31</v>
      </c>
      <c r="AQ8" s="52">
        <f>408+J17</f>
        <v>441</v>
      </c>
      <c r="AR8" s="3"/>
      <c r="AS8" s="50" t="s">
        <v>31</v>
      </c>
      <c r="AT8" s="52">
        <f>376+J15</f>
        <v>409</v>
      </c>
      <c r="AU8" s="3"/>
    </row>
    <row r="9" spans="1:49" ht="17" thickBot="1">
      <c r="A9" s="62">
        <v>42856</v>
      </c>
      <c r="B9" s="143" t="s">
        <v>105</v>
      </c>
      <c r="C9" s="63" t="s">
        <v>9</v>
      </c>
      <c r="D9" s="64" t="s">
        <v>95</v>
      </c>
      <c r="E9" s="64" t="s">
        <v>62</v>
      </c>
      <c r="F9" s="64">
        <v>57</v>
      </c>
      <c r="G9" s="65">
        <v>21</v>
      </c>
      <c r="H9" s="65">
        <v>1</v>
      </c>
      <c r="I9" s="64">
        <v>0</v>
      </c>
      <c r="J9" s="64">
        <v>9</v>
      </c>
      <c r="K9" s="64">
        <v>6</v>
      </c>
      <c r="L9" s="64">
        <v>0</v>
      </c>
      <c r="M9" s="64">
        <v>0</v>
      </c>
      <c r="N9" s="64">
        <v>1</v>
      </c>
      <c r="O9" s="64">
        <v>0</v>
      </c>
      <c r="P9" s="64">
        <v>0</v>
      </c>
      <c r="Q9" s="64">
        <v>0</v>
      </c>
      <c r="R9" s="64">
        <v>3</v>
      </c>
      <c r="S9" s="66"/>
      <c r="T9" s="232" t="s">
        <v>254</v>
      </c>
      <c r="U9" s="68" t="s">
        <v>181</v>
      </c>
      <c r="V9" s="69" t="s">
        <v>185</v>
      </c>
      <c r="W9" s="69" t="s">
        <v>188</v>
      </c>
      <c r="X9" s="70" t="s">
        <v>182</v>
      </c>
      <c r="Y9" s="69">
        <v>1</v>
      </c>
      <c r="Z9" s="69">
        <v>1</v>
      </c>
      <c r="AA9" s="69">
        <v>0</v>
      </c>
      <c r="AB9" s="71">
        <v>0</v>
      </c>
      <c r="AC9" s="69">
        <f>Y9</f>
        <v>1</v>
      </c>
      <c r="AD9" s="69">
        <f t="shared" ref="AD9:AF9" si="10">Z9</f>
        <v>1</v>
      </c>
      <c r="AE9" s="69">
        <f t="shared" si="10"/>
        <v>0</v>
      </c>
      <c r="AF9" s="69">
        <f t="shared" si="10"/>
        <v>0</v>
      </c>
      <c r="AG9" s="69"/>
      <c r="AH9" s="69"/>
      <c r="AI9" s="69"/>
      <c r="AJ9" s="71"/>
      <c r="AK9" s="69"/>
      <c r="AL9" s="69"/>
      <c r="AM9" s="69"/>
      <c r="AN9" s="71"/>
    </row>
    <row r="10" spans="1:49" ht="17" thickBot="1">
      <c r="A10" s="53">
        <v>45413</v>
      </c>
      <c r="B10" s="91" t="s">
        <v>105</v>
      </c>
      <c r="C10" s="54" t="s">
        <v>13</v>
      </c>
      <c r="D10" s="55" t="s">
        <v>50</v>
      </c>
      <c r="E10" s="55" t="s">
        <v>64</v>
      </c>
      <c r="F10" s="172">
        <f>CHI!G10</f>
        <v>17</v>
      </c>
      <c r="G10" s="56">
        <f>CHI!F10</f>
        <v>57</v>
      </c>
      <c r="H10" s="56">
        <f>CHI!P10</f>
        <v>0</v>
      </c>
      <c r="I10" s="56">
        <f>CHI!Q10</f>
        <v>0</v>
      </c>
      <c r="J10" s="56">
        <f>CHI!R10</f>
        <v>3</v>
      </c>
      <c r="K10" s="55">
        <v>1</v>
      </c>
      <c r="L10" s="55">
        <v>0</v>
      </c>
      <c r="M10" s="55">
        <v>0</v>
      </c>
      <c r="N10" s="55">
        <v>0</v>
      </c>
      <c r="O10" s="55">
        <v>0</v>
      </c>
      <c r="P10" s="55">
        <v>1</v>
      </c>
      <c r="Q10" s="55">
        <v>0</v>
      </c>
      <c r="R10" s="55">
        <v>9</v>
      </c>
      <c r="S10" s="57"/>
      <c r="T10" s="58" t="s">
        <v>267</v>
      </c>
      <c r="U10" s="59" t="str">
        <f>CHI!U10</f>
        <v>Robbie Jenkinson</v>
      </c>
      <c r="V10" s="59" t="str">
        <f>CHI!V10</f>
        <v>James Harrison</v>
      </c>
      <c r="W10" s="59" t="str">
        <f>CHI!W10</f>
        <v>Derek Summers</v>
      </c>
      <c r="X10" s="59" t="str">
        <f>CHI!X10</f>
        <v>Emma Gallagher</v>
      </c>
      <c r="Y10" s="60">
        <f>CHI!Y10</f>
        <v>1</v>
      </c>
      <c r="Z10" s="60">
        <f>CHI!AB10</f>
        <v>0</v>
      </c>
      <c r="AA10" s="60">
        <f>CHI!AA10</f>
        <v>0</v>
      </c>
      <c r="AB10" s="60">
        <f>CHI!Z10</f>
        <v>1</v>
      </c>
      <c r="AC10" s="60"/>
      <c r="AD10" s="60"/>
      <c r="AE10" s="60"/>
      <c r="AF10" s="61"/>
      <c r="AG10" s="60">
        <f>Y10</f>
        <v>1</v>
      </c>
      <c r="AH10" s="60">
        <f t="shared" ref="AH10:AJ10" si="11">Z10</f>
        <v>0</v>
      </c>
      <c r="AI10" s="60">
        <f t="shared" si="11"/>
        <v>0</v>
      </c>
      <c r="AJ10" s="60">
        <f t="shared" si="11"/>
        <v>1</v>
      </c>
      <c r="AK10" s="60"/>
      <c r="AL10" s="60"/>
      <c r="AM10" s="60"/>
      <c r="AN10" s="61"/>
    </row>
    <row r="11" spans="1:49" ht="17" thickBot="1">
      <c r="A11" s="62">
        <v>47969</v>
      </c>
      <c r="B11" s="143" t="s">
        <v>105</v>
      </c>
      <c r="C11" s="63" t="s">
        <v>33</v>
      </c>
      <c r="D11" s="64" t="s">
        <v>95</v>
      </c>
      <c r="E11" s="64"/>
      <c r="F11" s="64"/>
      <c r="G11" s="65"/>
      <c r="H11" s="65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6"/>
      <c r="T11" s="67"/>
      <c r="U11" s="68"/>
      <c r="V11" s="69"/>
      <c r="W11" s="69"/>
      <c r="X11" s="70"/>
      <c r="Y11" s="69"/>
      <c r="Z11" s="69"/>
      <c r="AA11" s="69"/>
      <c r="AB11" s="71"/>
      <c r="AC11" s="69">
        <f>Y11</f>
        <v>0</v>
      </c>
      <c r="AD11" s="69">
        <f t="shared" ref="AD11:AF11" si="12">Z11</f>
        <v>0</v>
      </c>
      <c r="AE11" s="69">
        <f t="shared" si="12"/>
        <v>0</v>
      </c>
      <c r="AF11" s="69">
        <f t="shared" si="12"/>
        <v>0</v>
      </c>
      <c r="AG11" s="69"/>
      <c r="AH11" s="69"/>
      <c r="AI11" s="69"/>
      <c r="AJ11" s="71"/>
      <c r="AK11" s="69"/>
      <c r="AL11" s="69"/>
      <c r="AM11" s="69"/>
      <c r="AN11" s="71"/>
    </row>
    <row r="12" spans="1:49" ht="17" thickBot="1">
      <c r="A12" s="62">
        <v>39234</v>
      </c>
      <c r="B12" s="143" t="s">
        <v>105</v>
      </c>
      <c r="C12" s="63" t="s">
        <v>32</v>
      </c>
      <c r="D12" s="64" t="s">
        <v>95</v>
      </c>
      <c r="E12" s="64"/>
      <c r="F12" s="64"/>
      <c r="G12" s="65"/>
      <c r="H12" s="65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74"/>
      <c r="T12" s="67"/>
      <c r="U12" s="68"/>
      <c r="V12" s="69"/>
      <c r="W12" s="69"/>
      <c r="X12" s="70"/>
      <c r="Y12" s="69"/>
      <c r="Z12" s="69"/>
      <c r="AA12" s="69"/>
      <c r="AB12" s="71"/>
      <c r="AC12" s="69">
        <f>Y12</f>
        <v>0</v>
      </c>
      <c r="AD12" s="69">
        <f t="shared" ref="AD12" si="13">Z12</f>
        <v>0</v>
      </c>
      <c r="AE12" s="69">
        <f t="shared" ref="AE12" si="14">AA12</f>
        <v>0</v>
      </c>
      <c r="AF12" s="69">
        <f t="shared" ref="AF12" si="15">AB12</f>
        <v>0</v>
      </c>
      <c r="AG12" s="69"/>
      <c r="AH12" s="69"/>
      <c r="AI12" s="69"/>
      <c r="AJ12" s="71"/>
      <c r="AK12" s="69"/>
      <c r="AL12" s="69"/>
      <c r="AM12" s="69"/>
      <c r="AN12" s="71"/>
    </row>
    <row r="13" spans="1:49" ht="17" thickBot="1">
      <c r="A13" s="155"/>
      <c r="B13" s="156" t="s">
        <v>104</v>
      </c>
      <c r="C13" s="157"/>
      <c r="D13" s="158"/>
      <c r="E13" s="158"/>
      <c r="F13" s="158"/>
      <c r="G13" s="159"/>
      <c r="H13" s="159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60"/>
      <c r="T13" s="161"/>
      <c r="U13" s="162"/>
      <c r="V13" s="162"/>
      <c r="W13" s="162"/>
      <c r="X13" s="162"/>
      <c r="Y13" s="163"/>
      <c r="Z13" s="163"/>
      <c r="AA13" s="163"/>
      <c r="AB13" s="164"/>
      <c r="AC13" s="163"/>
      <c r="AD13" s="163"/>
      <c r="AE13" s="163"/>
      <c r="AF13" s="164"/>
      <c r="AG13" s="163"/>
      <c r="AH13" s="163"/>
      <c r="AI13" s="163"/>
      <c r="AJ13" s="163"/>
      <c r="AK13" s="163"/>
      <c r="AL13" s="163"/>
      <c r="AM13" s="163"/>
      <c r="AN13" s="164"/>
    </row>
    <row r="14" spans="1:49" ht="17" thickBot="1">
      <c r="A14" s="145"/>
      <c r="B14" s="146" t="s">
        <v>49</v>
      </c>
      <c r="C14" s="147"/>
      <c r="D14" s="148" t="s">
        <v>159</v>
      </c>
      <c r="E14" s="148"/>
      <c r="F14" s="148"/>
      <c r="G14" s="149"/>
      <c r="H14" s="149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50"/>
      <c r="T14" s="151"/>
      <c r="U14" s="152"/>
      <c r="V14" s="152"/>
      <c r="W14" s="152"/>
      <c r="X14" s="152"/>
      <c r="Y14" s="153"/>
      <c r="Z14" s="153"/>
      <c r="AA14" s="153"/>
      <c r="AB14" s="154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4"/>
    </row>
    <row r="15" spans="1:49" ht="17" thickBot="1">
      <c r="A15" s="76"/>
      <c r="B15" s="77"/>
      <c r="C15" s="270" t="s">
        <v>30</v>
      </c>
      <c r="D15" s="271"/>
      <c r="E15" s="272"/>
      <c r="F15" s="81">
        <f>SUM(F3+F4+F5+F6+F7+F8+F9+F10+F11+F12)</f>
        <v>242</v>
      </c>
      <c r="G15" s="81">
        <f t="shared" ref="G15:R15" si="16">SUM(G3+G4+G5+G6+G7+G8+G9+G10+G11+G12)</f>
        <v>261</v>
      </c>
      <c r="H15" s="81">
        <f t="shared" si="16"/>
        <v>4</v>
      </c>
      <c r="I15" s="81">
        <f t="shared" si="16"/>
        <v>1</v>
      </c>
      <c r="J15" s="81">
        <f t="shared" si="16"/>
        <v>33</v>
      </c>
      <c r="K15" s="81">
        <f t="shared" si="16"/>
        <v>22</v>
      </c>
      <c r="L15" s="81">
        <f t="shared" si="16"/>
        <v>0</v>
      </c>
      <c r="M15" s="81">
        <f t="shared" si="16"/>
        <v>11</v>
      </c>
      <c r="N15" s="81">
        <f t="shared" si="16"/>
        <v>7</v>
      </c>
      <c r="O15" s="81">
        <f t="shared" si="16"/>
        <v>2</v>
      </c>
      <c r="P15" s="81">
        <f t="shared" si="16"/>
        <v>4</v>
      </c>
      <c r="Q15" s="81">
        <f t="shared" si="16"/>
        <v>1</v>
      </c>
      <c r="R15" s="81">
        <f t="shared" si="16"/>
        <v>35</v>
      </c>
      <c r="S15" s="82"/>
      <c r="T15" s="82"/>
      <c r="U15" s="82"/>
      <c r="V15" s="82"/>
      <c r="W15" s="83"/>
      <c r="X15" s="84" t="s">
        <v>30</v>
      </c>
      <c r="Y15" s="81">
        <f>Y3+Y4+Y5+Y6+Y7+Y8+Y9+Y10+Y11+Y12</f>
        <v>8</v>
      </c>
      <c r="Z15" s="81">
        <f t="shared" ref="Z15:AN15" si="17">Z3+Z4+Z5+Z6+Z7+Z8+Z9+Z10+Z11+Z12</f>
        <v>4</v>
      </c>
      <c r="AA15" s="81">
        <f t="shared" si="17"/>
        <v>0</v>
      </c>
      <c r="AB15" s="81">
        <f t="shared" si="17"/>
        <v>4</v>
      </c>
      <c r="AC15" s="85">
        <f t="shared" si="17"/>
        <v>3</v>
      </c>
      <c r="AD15" s="85">
        <f t="shared" si="17"/>
        <v>2</v>
      </c>
      <c r="AE15" s="85">
        <f t="shared" si="17"/>
        <v>0</v>
      </c>
      <c r="AF15" s="85">
        <f t="shared" si="17"/>
        <v>1</v>
      </c>
      <c r="AG15" s="170">
        <f t="shared" si="17"/>
        <v>5</v>
      </c>
      <c r="AH15" s="170">
        <f t="shared" si="17"/>
        <v>2</v>
      </c>
      <c r="AI15" s="170">
        <f t="shared" si="17"/>
        <v>0</v>
      </c>
      <c r="AJ15" s="170">
        <f t="shared" si="17"/>
        <v>3</v>
      </c>
      <c r="AK15" s="81">
        <f t="shared" si="17"/>
        <v>0</v>
      </c>
      <c r="AL15" s="81">
        <f t="shared" si="17"/>
        <v>0</v>
      </c>
      <c r="AM15" s="81">
        <f t="shared" si="17"/>
        <v>0</v>
      </c>
      <c r="AN15" s="81">
        <f t="shared" si="17"/>
        <v>0</v>
      </c>
    </row>
    <row r="16" spans="1:49" ht="17" thickBot="1">
      <c r="A16" s="76"/>
      <c r="B16" s="77"/>
      <c r="C16" s="78" t="s">
        <v>106</v>
      </c>
      <c r="D16" s="79"/>
      <c r="E16" s="80"/>
      <c r="F16" s="169">
        <f>F13+F14</f>
        <v>0</v>
      </c>
      <c r="G16" s="169">
        <f t="shared" ref="G16:R16" si="18">G13+G14</f>
        <v>0</v>
      </c>
      <c r="H16" s="169">
        <f t="shared" si="18"/>
        <v>0</v>
      </c>
      <c r="I16" s="169">
        <f t="shared" si="18"/>
        <v>0</v>
      </c>
      <c r="J16" s="169">
        <f t="shared" si="18"/>
        <v>0</v>
      </c>
      <c r="K16" s="169">
        <f t="shared" si="18"/>
        <v>0</v>
      </c>
      <c r="L16" s="169">
        <f t="shared" si="18"/>
        <v>0</v>
      </c>
      <c r="M16" s="169">
        <f t="shared" si="18"/>
        <v>0</v>
      </c>
      <c r="N16" s="169">
        <f t="shared" si="18"/>
        <v>0</v>
      </c>
      <c r="O16" s="169">
        <f t="shared" si="18"/>
        <v>0</v>
      </c>
      <c r="P16" s="169">
        <f t="shared" si="18"/>
        <v>0</v>
      </c>
      <c r="Q16" s="169">
        <f t="shared" si="18"/>
        <v>0</v>
      </c>
      <c r="R16" s="169">
        <f t="shared" si="18"/>
        <v>0</v>
      </c>
      <c r="S16" s="82"/>
      <c r="T16" s="82"/>
      <c r="U16" s="82"/>
      <c r="V16" s="82"/>
      <c r="W16" s="83"/>
      <c r="X16" s="84" t="s">
        <v>106</v>
      </c>
      <c r="Y16" s="81">
        <f>Y13+Y14</f>
        <v>0</v>
      </c>
      <c r="Z16" s="81">
        <f t="shared" ref="Z16:AN16" si="19">Z13+Z14</f>
        <v>0</v>
      </c>
      <c r="AA16" s="81">
        <f t="shared" si="19"/>
        <v>0</v>
      </c>
      <c r="AB16" s="81">
        <f t="shared" si="19"/>
        <v>0</v>
      </c>
      <c r="AC16" s="85">
        <f t="shared" si="19"/>
        <v>0</v>
      </c>
      <c r="AD16" s="85">
        <f t="shared" si="19"/>
        <v>0</v>
      </c>
      <c r="AE16" s="85">
        <f t="shared" si="19"/>
        <v>0</v>
      </c>
      <c r="AF16" s="85">
        <f t="shared" si="19"/>
        <v>0</v>
      </c>
      <c r="AG16" s="170">
        <f t="shared" si="19"/>
        <v>0</v>
      </c>
      <c r="AH16" s="170">
        <f t="shared" si="19"/>
        <v>0</v>
      </c>
      <c r="AI16" s="170">
        <f t="shared" si="19"/>
        <v>0</v>
      </c>
      <c r="AJ16" s="170">
        <f t="shared" si="19"/>
        <v>0</v>
      </c>
      <c r="AK16" s="81">
        <f t="shared" si="19"/>
        <v>0</v>
      </c>
      <c r="AL16" s="81">
        <f t="shared" si="19"/>
        <v>0</v>
      </c>
      <c r="AM16" s="81">
        <f t="shared" si="19"/>
        <v>0</v>
      </c>
      <c r="AN16" s="81">
        <f t="shared" si="19"/>
        <v>0</v>
      </c>
    </row>
    <row r="17" spans="1:40" ht="17" thickBot="1">
      <c r="C17" s="255" t="s">
        <v>96</v>
      </c>
      <c r="D17" s="256"/>
      <c r="E17" s="257"/>
      <c r="F17" s="86">
        <f>F15+F16</f>
        <v>242</v>
      </c>
      <c r="G17" s="86">
        <f t="shared" ref="G17:R17" si="20">G15+G16</f>
        <v>261</v>
      </c>
      <c r="H17" s="86">
        <f t="shared" si="20"/>
        <v>4</v>
      </c>
      <c r="I17" s="86">
        <f t="shared" si="20"/>
        <v>1</v>
      </c>
      <c r="J17" s="86">
        <f t="shared" si="20"/>
        <v>33</v>
      </c>
      <c r="K17" s="86">
        <f t="shared" si="20"/>
        <v>22</v>
      </c>
      <c r="L17" s="86">
        <f t="shared" si="20"/>
        <v>0</v>
      </c>
      <c r="M17" s="86">
        <f t="shared" si="20"/>
        <v>11</v>
      </c>
      <c r="N17" s="86">
        <f t="shared" si="20"/>
        <v>7</v>
      </c>
      <c r="O17" s="86">
        <f t="shared" si="20"/>
        <v>2</v>
      </c>
      <c r="P17" s="86">
        <f t="shared" si="20"/>
        <v>4</v>
      </c>
      <c r="Q17" s="86">
        <f t="shared" si="20"/>
        <v>1</v>
      </c>
      <c r="R17" s="86">
        <f t="shared" si="20"/>
        <v>35</v>
      </c>
      <c r="X17" s="87" t="s">
        <v>96</v>
      </c>
      <c r="Y17" s="88">
        <f>Y15+Y16</f>
        <v>8</v>
      </c>
      <c r="Z17" s="88">
        <f t="shared" ref="Z17:AN17" si="21">Z15+Z16</f>
        <v>4</v>
      </c>
      <c r="AA17" s="88">
        <f t="shared" si="21"/>
        <v>0</v>
      </c>
      <c r="AB17" s="88">
        <f t="shared" si="21"/>
        <v>4</v>
      </c>
      <c r="AC17" s="89">
        <f t="shared" si="21"/>
        <v>3</v>
      </c>
      <c r="AD17" s="89">
        <f t="shared" si="21"/>
        <v>2</v>
      </c>
      <c r="AE17" s="89">
        <f t="shared" si="21"/>
        <v>0</v>
      </c>
      <c r="AF17" s="89">
        <f t="shared" si="21"/>
        <v>1</v>
      </c>
      <c r="AG17" s="171">
        <f t="shared" si="21"/>
        <v>5</v>
      </c>
      <c r="AH17" s="171">
        <f t="shared" si="21"/>
        <v>2</v>
      </c>
      <c r="AI17" s="171">
        <f t="shared" si="21"/>
        <v>0</v>
      </c>
      <c r="AJ17" s="171">
        <f t="shared" si="21"/>
        <v>3</v>
      </c>
      <c r="AK17" s="88">
        <f t="shared" si="21"/>
        <v>0</v>
      </c>
      <c r="AL17" s="88">
        <f t="shared" si="21"/>
        <v>0</v>
      </c>
      <c r="AM17" s="88">
        <f t="shared" si="21"/>
        <v>0</v>
      </c>
      <c r="AN17" s="88">
        <f t="shared" si="21"/>
        <v>0</v>
      </c>
    </row>
    <row r="18" spans="1:40">
      <c r="A18" s="3" t="s">
        <v>97</v>
      </c>
    </row>
  </sheetData>
  <mergeCells count="12">
    <mergeCell ref="C17:E17"/>
    <mergeCell ref="Y1:AB1"/>
    <mergeCell ref="AC1:AF1"/>
    <mergeCell ref="AG1:AJ1"/>
    <mergeCell ref="AK1:AN1"/>
    <mergeCell ref="C15:E15"/>
    <mergeCell ref="A1:D1"/>
    <mergeCell ref="E1:G1"/>
    <mergeCell ref="H1:I1"/>
    <mergeCell ref="J1:M1"/>
    <mergeCell ref="N1:O1"/>
    <mergeCell ref="P1:R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EDF0-2DDC-434D-96CB-34ED7AB4790C}">
  <dimension ref="A1:M47"/>
  <sheetViews>
    <sheetView topLeftCell="A8" workbookViewId="0">
      <selection activeCell="A31" sqref="A31"/>
    </sheetView>
  </sheetViews>
  <sheetFormatPr defaultColWidth="11.5546875" defaultRowHeight="16.3"/>
  <cols>
    <col min="1" max="1" width="11.6640625" style="2" bestFit="1" customWidth="1"/>
    <col min="2" max="3" width="10.77734375" style="3"/>
    <col min="4" max="4" width="5.77734375" style="7" customWidth="1"/>
    <col min="5" max="5" width="1.77734375" style="3" customWidth="1"/>
    <col min="6" max="6" width="5.77734375" style="9" customWidth="1"/>
    <col min="7" max="8" width="10.77734375" style="3"/>
    <col min="9" max="9" width="10.77734375" style="5"/>
    <col min="10" max="10" width="33.33203125" style="3" customWidth="1"/>
    <col min="11" max="13" width="10.77734375" style="5"/>
  </cols>
  <sheetData>
    <row r="1" spans="1:13" s="1" customFormat="1">
      <c r="A1" s="2"/>
      <c r="B1" s="334" t="s">
        <v>0</v>
      </c>
      <c r="C1" s="334"/>
      <c r="D1" s="6"/>
      <c r="E1" s="2"/>
      <c r="F1" s="8"/>
      <c r="G1" s="334" t="s">
        <v>1</v>
      </c>
      <c r="H1" s="334"/>
      <c r="I1" s="4" t="s">
        <v>2</v>
      </c>
      <c r="J1" s="4" t="s">
        <v>3</v>
      </c>
      <c r="K1" s="4" t="s">
        <v>4</v>
      </c>
      <c r="L1" s="4" t="s">
        <v>5</v>
      </c>
      <c r="M1" s="4" t="s">
        <v>6</v>
      </c>
    </row>
    <row r="2" spans="1:13">
      <c r="A2" s="10" t="s">
        <v>7</v>
      </c>
      <c r="B2" s="11"/>
      <c r="C2" s="11"/>
      <c r="D2" s="12"/>
      <c r="E2" s="11"/>
      <c r="F2" s="13"/>
      <c r="G2" s="11"/>
      <c r="H2" s="11"/>
      <c r="I2" s="14"/>
      <c r="J2" s="11"/>
      <c r="K2" s="14"/>
      <c r="L2" s="14"/>
      <c r="M2" s="14"/>
    </row>
    <row r="3" spans="1:13">
      <c r="A3" s="214" t="s">
        <v>160</v>
      </c>
      <c r="B3" s="333" t="s">
        <v>8</v>
      </c>
      <c r="C3" s="333"/>
      <c r="D3" s="7">
        <f>CAL!F3</f>
        <v>26</v>
      </c>
      <c r="E3" s="11"/>
      <c r="F3" s="173">
        <f>ANT!F3</f>
        <v>39</v>
      </c>
      <c r="G3" s="333" t="s">
        <v>15</v>
      </c>
      <c r="H3" s="333"/>
      <c r="I3" s="174" t="str">
        <f>CAL!T3</f>
        <v>12-20</v>
      </c>
      <c r="J3" s="3" t="s">
        <v>120</v>
      </c>
      <c r="K3" s="5">
        <v>32</v>
      </c>
      <c r="L3" s="5">
        <f>M3-K3</f>
        <v>33</v>
      </c>
      <c r="M3" s="5">
        <f>D3+F3</f>
        <v>65</v>
      </c>
    </row>
    <row r="4" spans="1:13">
      <c r="A4" s="10" t="s">
        <v>10</v>
      </c>
      <c r="B4" s="11"/>
      <c r="C4" s="11"/>
      <c r="D4" s="12"/>
      <c r="E4" s="11"/>
      <c r="F4" s="13"/>
      <c r="G4" s="11"/>
      <c r="H4" s="11"/>
      <c r="I4" s="14"/>
      <c r="J4" s="11"/>
      <c r="K4" s="14"/>
      <c r="L4" s="14"/>
      <c r="M4" s="14"/>
    </row>
    <row r="5" spans="1:13">
      <c r="A5" s="2" t="s">
        <v>161</v>
      </c>
      <c r="B5" s="333" t="s">
        <v>14</v>
      </c>
      <c r="C5" s="333"/>
      <c r="D5" s="7">
        <f>SEA!F3</f>
        <v>33</v>
      </c>
      <c r="E5" s="11"/>
      <c r="F5" s="173">
        <f>OGDC!F3</f>
        <v>16</v>
      </c>
      <c r="G5" s="333" t="s">
        <v>19</v>
      </c>
      <c r="H5" s="333"/>
      <c r="I5" s="174" t="str">
        <f>SEA!T3</f>
        <v>13-9</v>
      </c>
      <c r="J5" s="3" t="s">
        <v>121</v>
      </c>
      <c r="K5" s="5">
        <v>22</v>
      </c>
      <c r="L5" s="5">
        <f t="shared" ref="L5:L47" si="0">M5-K5</f>
        <v>27</v>
      </c>
      <c r="M5" s="5">
        <f>D5+F5</f>
        <v>49</v>
      </c>
    </row>
    <row r="6" spans="1:13">
      <c r="A6" s="2" t="s">
        <v>162</v>
      </c>
      <c r="B6" s="333" t="s">
        <v>15</v>
      </c>
      <c r="C6" s="333"/>
      <c r="D6" s="7">
        <f>ANT!F4</f>
        <v>19</v>
      </c>
      <c r="E6" s="11"/>
      <c r="F6" s="173">
        <f>CHI!F3</f>
        <v>33</v>
      </c>
      <c r="G6" s="333" t="s">
        <v>16</v>
      </c>
      <c r="H6" s="333"/>
      <c r="I6" s="174" t="str">
        <f>ANT!T4</f>
        <v>5-19</v>
      </c>
      <c r="J6" s="3" t="s">
        <v>122</v>
      </c>
      <c r="K6" s="5">
        <v>24</v>
      </c>
      <c r="L6" s="5">
        <f t="shared" si="0"/>
        <v>28</v>
      </c>
      <c r="M6" s="5">
        <f t="shared" ref="M6:M7" si="1">D6+F6</f>
        <v>52</v>
      </c>
    </row>
    <row r="7" spans="1:13">
      <c r="A7" s="2" t="s">
        <v>162</v>
      </c>
      <c r="B7" s="333" t="s">
        <v>8</v>
      </c>
      <c r="C7" s="333"/>
      <c r="D7" s="7">
        <f>CAL!F4</f>
        <v>43</v>
      </c>
      <c r="E7" s="11"/>
      <c r="F7" s="173">
        <f>NEW!F3</f>
        <v>5</v>
      </c>
      <c r="G7" s="333" t="s">
        <v>17</v>
      </c>
      <c r="H7" s="333"/>
      <c r="I7" s="174" t="str">
        <f>CAL!T4</f>
        <v>24-5</v>
      </c>
      <c r="J7" s="3" t="s">
        <v>123</v>
      </c>
      <c r="K7" s="5">
        <v>29</v>
      </c>
      <c r="L7" s="5">
        <f t="shared" si="0"/>
        <v>19</v>
      </c>
      <c r="M7" s="5">
        <f t="shared" si="1"/>
        <v>48</v>
      </c>
    </row>
    <row r="8" spans="1:13">
      <c r="A8" s="10" t="s">
        <v>18</v>
      </c>
      <c r="B8" s="11"/>
      <c r="C8" s="11"/>
      <c r="D8" s="12"/>
      <c r="E8" s="11"/>
      <c r="F8" s="13"/>
      <c r="G8" s="11"/>
      <c r="H8" s="11"/>
      <c r="I8" s="14"/>
      <c r="J8" s="11"/>
      <c r="K8" s="14"/>
      <c r="L8" s="14"/>
      <c r="M8" s="14"/>
    </row>
    <row r="9" spans="1:13">
      <c r="A9" s="2" t="s">
        <v>163</v>
      </c>
      <c r="B9" s="333" t="s">
        <v>17</v>
      </c>
      <c r="C9" s="333"/>
      <c r="D9" s="7">
        <f>NEW!F4</f>
        <v>19</v>
      </c>
      <c r="E9" s="11"/>
      <c r="F9" s="173">
        <f>OGDC!F4</f>
        <v>21</v>
      </c>
      <c r="G9" s="333" t="s">
        <v>19</v>
      </c>
      <c r="H9" s="333"/>
      <c r="I9" s="174" t="str">
        <f>NEW!T4</f>
        <v>7-14</v>
      </c>
      <c r="J9" s="3" t="s">
        <v>124</v>
      </c>
      <c r="K9" s="5">
        <v>21</v>
      </c>
      <c r="L9" s="5">
        <f t="shared" si="0"/>
        <v>19</v>
      </c>
      <c r="M9" s="5">
        <f>D9+F9</f>
        <v>40</v>
      </c>
    </row>
    <row r="10" spans="1:13">
      <c r="A10" s="2" t="s">
        <v>164</v>
      </c>
      <c r="B10" s="333" t="s">
        <v>15</v>
      </c>
      <c r="C10" s="333"/>
      <c r="D10" s="7">
        <f>ANT!F5</f>
        <v>34</v>
      </c>
      <c r="E10" s="11"/>
      <c r="F10" s="173">
        <f>SEA!F4</f>
        <v>25</v>
      </c>
      <c r="G10" s="333" t="s">
        <v>14</v>
      </c>
      <c r="H10" s="333"/>
      <c r="I10" s="174" t="str">
        <f>ANT!T5</f>
        <v>21-18</v>
      </c>
      <c r="J10" s="3" t="s">
        <v>122</v>
      </c>
      <c r="K10" s="5">
        <v>39</v>
      </c>
      <c r="L10" s="5">
        <f t="shared" si="0"/>
        <v>20</v>
      </c>
      <c r="M10" s="5">
        <f t="shared" ref="M10:M11" si="2">D10+F10</f>
        <v>59</v>
      </c>
    </row>
    <row r="11" spans="1:13">
      <c r="A11" s="214" t="s">
        <v>164</v>
      </c>
      <c r="B11" s="333" t="s">
        <v>16</v>
      </c>
      <c r="C11" s="333"/>
      <c r="D11" s="7">
        <f>CHI!F4</f>
        <v>48</v>
      </c>
      <c r="E11" s="11"/>
      <c r="F11" s="173">
        <f>CAL!F5</f>
        <v>24</v>
      </c>
      <c r="G11" s="333" t="s">
        <v>8</v>
      </c>
      <c r="H11" s="333"/>
      <c r="I11" s="174" t="str">
        <f>CHI!T4</f>
        <v>22-12</v>
      </c>
      <c r="J11" s="3" t="s">
        <v>125</v>
      </c>
      <c r="K11" s="5">
        <v>34</v>
      </c>
      <c r="L11" s="5">
        <f t="shared" si="0"/>
        <v>38</v>
      </c>
      <c r="M11" s="5">
        <f t="shared" si="2"/>
        <v>72</v>
      </c>
    </row>
    <row r="12" spans="1:13">
      <c r="A12" s="10" t="s">
        <v>20</v>
      </c>
      <c r="B12" s="11"/>
      <c r="C12" s="11"/>
      <c r="D12" s="12"/>
      <c r="E12" s="11"/>
      <c r="F12" s="13"/>
      <c r="G12" s="11"/>
      <c r="H12" s="11"/>
      <c r="I12" s="14"/>
      <c r="J12" s="11"/>
      <c r="K12" s="14"/>
      <c r="L12" s="14"/>
      <c r="M12" s="14"/>
    </row>
    <row r="13" spans="1:13">
      <c r="A13" s="2" t="s">
        <v>165</v>
      </c>
      <c r="B13" s="333" t="s">
        <v>15</v>
      </c>
      <c r="C13" s="333"/>
      <c r="D13" s="7">
        <f>ANT!F6</f>
        <v>14</v>
      </c>
      <c r="E13" s="11"/>
      <c r="F13" s="173">
        <f>OGDC!F5</f>
        <v>31</v>
      </c>
      <c r="G13" s="333" t="s">
        <v>19</v>
      </c>
      <c r="H13" s="333"/>
      <c r="I13" s="174" t="str">
        <f>ANT!T6</f>
        <v>0-26</v>
      </c>
      <c r="J13" s="3" t="s">
        <v>122</v>
      </c>
      <c r="K13" s="5">
        <v>26</v>
      </c>
      <c r="L13" s="5">
        <f t="shared" si="0"/>
        <v>19</v>
      </c>
      <c r="M13" s="5">
        <f>D13+F13</f>
        <v>45</v>
      </c>
    </row>
    <row r="14" spans="1:13">
      <c r="A14" s="2" t="s">
        <v>166</v>
      </c>
      <c r="B14" s="333" t="s">
        <v>16</v>
      </c>
      <c r="C14" s="333"/>
      <c r="D14" s="7">
        <f>CHI!F5</f>
        <v>50</v>
      </c>
      <c r="E14" s="11"/>
      <c r="F14" s="173">
        <f>NEW!F5</f>
        <v>26</v>
      </c>
      <c r="G14" s="333" t="s">
        <v>17</v>
      </c>
      <c r="H14" s="333"/>
      <c r="I14" s="174" t="str">
        <f>CHI!T5</f>
        <v>33-12</v>
      </c>
      <c r="J14" s="3" t="s">
        <v>126</v>
      </c>
      <c r="K14" s="5">
        <v>45</v>
      </c>
      <c r="L14" s="5">
        <f t="shared" si="0"/>
        <v>31</v>
      </c>
      <c r="M14" s="5">
        <f t="shared" ref="M14:M15" si="3">D14+F14</f>
        <v>76</v>
      </c>
    </row>
    <row r="15" spans="1:13">
      <c r="A15" s="214" t="s">
        <v>166</v>
      </c>
      <c r="B15" s="333" t="s">
        <v>8</v>
      </c>
      <c r="C15" s="333"/>
      <c r="D15" s="7">
        <f>CAL!F6</f>
        <v>38</v>
      </c>
      <c r="E15" s="11"/>
      <c r="F15" s="173">
        <f>SEA!F5</f>
        <v>31</v>
      </c>
      <c r="G15" s="333" t="s">
        <v>14</v>
      </c>
      <c r="H15" s="333"/>
      <c r="I15" s="174" t="str">
        <f>CAL!T6</f>
        <v>14-17</v>
      </c>
      <c r="J15" s="3" t="s">
        <v>127</v>
      </c>
      <c r="K15" s="5">
        <v>29</v>
      </c>
      <c r="L15" s="5">
        <f t="shared" si="0"/>
        <v>40</v>
      </c>
      <c r="M15" s="5">
        <f t="shared" si="3"/>
        <v>69</v>
      </c>
    </row>
    <row r="16" spans="1:13">
      <c r="A16" s="10" t="s">
        <v>21</v>
      </c>
      <c r="B16" s="11"/>
      <c r="C16" s="11"/>
      <c r="D16" s="12"/>
      <c r="E16" s="11"/>
      <c r="F16" s="13"/>
      <c r="G16" s="11"/>
      <c r="H16" s="11"/>
      <c r="I16" s="14"/>
      <c r="J16" s="11"/>
      <c r="K16" s="14"/>
      <c r="L16" s="14"/>
      <c r="M16" s="14"/>
    </row>
    <row r="17" spans="1:13">
      <c r="A17" s="2" t="s">
        <v>167</v>
      </c>
      <c r="B17" s="333" t="s">
        <v>14</v>
      </c>
      <c r="C17" s="333"/>
      <c r="D17" s="7">
        <f>SEA!F6</f>
        <v>22</v>
      </c>
      <c r="E17" s="11"/>
      <c r="F17" s="173">
        <f>CHI!F6</f>
        <v>59</v>
      </c>
      <c r="G17" s="333" t="s">
        <v>16</v>
      </c>
      <c r="H17" s="333"/>
      <c r="I17" s="174" t="str">
        <f>SEA!T6</f>
        <v>10-38</v>
      </c>
      <c r="J17" s="3" t="s">
        <v>121</v>
      </c>
      <c r="K17" s="5">
        <v>48</v>
      </c>
      <c r="L17" s="5">
        <f t="shared" si="0"/>
        <v>33</v>
      </c>
      <c r="M17" s="5">
        <f>D17+F17</f>
        <v>81</v>
      </c>
    </row>
    <row r="18" spans="1:13">
      <c r="A18" s="2" t="s">
        <v>168</v>
      </c>
      <c r="B18" s="333" t="s">
        <v>17</v>
      </c>
      <c r="C18" s="333"/>
      <c r="D18" s="7">
        <f>NEW!F6</f>
        <v>38</v>
      </c>
      <c r="E18" s="11"/>
      <c r="F18" s="173">
        <f>ANT!F7</f>
        <v>26</v>
      </c>
      <c r="G18" s="333" t="s">
        <v>15</v>
      </c>
      <c r="H18" s="333"/>
      <c r="I18" s="174" t="str">
        <f>NEW!T6</f>
        <v>17-5</v>
      </c>
      <c r="J18" s="3" t="s">
        <v>124</v>
      </c>
      <c r="K18" s="5">
        <v>22</v>
      </c>
      <c r="L18" s="5">
        <f t="shared" si="0"/>
        <v>42</v>
      </c>
      <c r="M18" s="5">
        <f t="shared" ref="M18:M19" si="4">D18+F18</f>
        <v>64</v>
      </c>
    </row>
    <row r="19" spans="1:13">
      <c r="A19" s="214" t="s">
        <v>168</v>
      </c>
      <c r="B19" s="333" t="s">
        <v>19</v>
      </c>
      <c r="C19" s="333"/>
      <c r="D19" s="7">
        <f>OGDC!F6</f>
        <v>23</v>
      </c>
      <c r="E19" s="11"/>
      <c r="F19" s="173">
        <f>CAL!F7</f>
        <v>36</v>
      </c>
      <c r="G19" s="333" t="s">
        <v>8</v>
      </c>
      <c r="H19" s="333"/>
      <c r="I19" s="174" t="str">
        <f>OGDC!T6</f>
        <v>6-17</v>
      </c>
      <c r="J19" s="3" t="s">
        <v>128</v>
      </c>
      <c r="K19" s="5">
        <v>23</v>
      </c>
      <c r="L19" s="5">
        <f t="shared" si="0"/>
        <v>36</v>
      </c>
      <c r="M19" s="5">
        <f t="shared" si="4"/>
        <v>59</v>
      </c>
    </row>
    <row r="20" spans="1:13">
      <c r="A20" s="10" t="s">
        <v>22</v>
      </c>
      <c r="B20" s="11"/>
      <c r="C20" s="11"/>
      <c r="D20" s="12"/>
      <c r="E20" s="11"/>
      <c r="F20" s="13"/>
      <c r="G20" s="11"/>
      <c r="H20" s="11"/>
      <c r="I20" s="14"/>
      <c r="J20" s="11"/>
      <c r="K20" s="14"/>
      <c r="L20" s="14"/>
      <c r="M20" s="14"/>
    </row>
    <row r="21" spans="1:13">
      <c r="A21" s="2" t="s">
        <v>169</v>
      </c>
      <c r="B21" s="333" t="s">
        <v>17</v>
      </c>
      <c r="C21" s="333"/>
      <c r="D21" s="7">
        <f>NEW!F7</f>
        <v>11</v>
      </c>
      <c r="E21" s="11"/>
      <c r="F21" s="173">
        <f>SEA!F7</f>
        <v>27</v>
      </c>
      <c r="G21" s="333" t="s">
        <v>14</v>
      </c>
      <c r="H21" s="333"/>
      <c r="I21" s="174" t="str">
        <f>NEW!T7</f>
        <v>11-5</v>
      </c>
      <c r="J21" s="3" t="s">
        <v>124</v>
      </c>
      <c r="K21" s="5">
        <v>16</v>
      </c>
      <c r="L21" s="5">
        <f t="shared" si="0"/>
        <v>22</v>
      </c>
      <c r="M21" s="5">
        <f>D21+F21</f>
        <v>38</v>
      </c>
    </row>
    <row r="22" spans="1:13">
      <c r="A22" s="214" t="s">
        <v>169</v>
      </c>
      <c r="B22" s="333" t="s">
        <v>16</v>
      </c>
      <c r="C22" s="333"/>
      <c r="D22" s="7">
        <f>CHI!F7</f>
        <v>49</v>
      </c>
      <c r="E22" s="11"/>
      <c r="F22" s="173">
        <f>OGDC!F7</f>
        <v>31</v>
      </c>
      <c r="G22" s="333" t="s">
        <v>19</v>
      </c>
      <c r="H22" s="333"/>
      <c r="I22" s="174" t="str">
        <f>CHI!T7</f>
        <v>33-21</v>
      </c>
      <c r="J22" s="3" t="s">
        <v>125</v>
      </c>
      <c r="K22" s="5">
        <v>54</v>
      </c>
      <c r="L22" s="5">
        <f t="shared" si="0"/>
        <v>26</v>
      </c>
      <c r="M22" s="5">
        <f>D22+F22</f>
        <v>80</v>
      </c>
    </row>
    <row r="23" spans="1:13">
      <c r="A23" s="10" t="s">
        <v>23</v>
      </c>
      <c r="B23" s="11"/>
      <c r="C23" s="11"/>
      <c r="D23" s="12"/>
      <c r="E23" s="11"/>
      <c r="F23" s="13"/>
      <c r="G23" s="11"/>
      <c r="H23" s="11"/>
      <c r="I23" s="14"/>
      <c r="J23" s="11"/>
      <c r="K23" s="14"/>
      <c r="L23" s="14"/>
      <c r="M23" s="14"/>
    </row>
    <row r="24" spans="1:13">
      <c r="A24" s="2" t="s">
        <v>170</v>
      </c>
      <c r="B24" s="333" t="s">
        <v>17</v>
      </c>
      <c r="C24" s="333"/>
      <c r="D24" s="7">
        <f>NEW!F8</f>
        <v>26</v>
      </c>
      <c r="E24" s="11"/>
      <c r="F24" s="173">
        <f>CAL!F8</f>
        <v>21</v>
      </c>
      <c r="G24" s="333" t="s">
        <v>8</v>
      </c>
      <c r="H24" s="333"/>
      <c r="I24" s="174" t="str">
        <f>NEW!T8</f>
        <v>17-7</v>
      </c>
      <c r="J24" s="3" t="s">
        <v>124</v>
      </c>
      <c r="K24" s="5">
        <v>24</v>
      </c>
      <c r="L24" s="5">
        <f t="shared" si="0"/>
        <v>23</v>
      </c>
      <c r="M24" s="5">
        <f>D24+F24</f>
        <v>47</v>
      </c>
    </row>
    <row r="25" spans="1:13">
      <c r="A25" s="2" t="s">
        <v>171</v>
      </c>
      <c r="B25" s="333" t="s">
        <v>19</v>
      </c>
      <c r="C25" s="333"/>
      <c r="D25" s="7">
        <f>OGDC!F8</f>
        <v>25</v>
      </c>
      <c r="E25" s="11"/>
      <c r="F25" s="173">
        <f>SEA!F8</f>
        <v>30</v>
      </c>
      <c r="G25" s="333" t="s">
        <v>14</v>
      </c>
      <c r="H25" s="333"/>
      <c r="I25" s="174" t="str">
        <f>OGDC!T8</f>
        <v>15-6</v>
      </c>
      <c r="J25" s="3" t="s">
        <v>128</v>
      </c>
      <c r="K25" s="5">
        <v>21</v>
      </c>
      <c r="L25" s="5">
        <f t="shared" si="0"/>
        <v>34</v>
      </c>
      <c r="M25" s="5">
        <f t="shared" ref="M25:M26" si="5">D25+F25</f>
        <v>55</v>
      </c>
    </row>
    <row r="26" spans="1:13">
      <c r="A26" s="214" t="s">
        <v>171</v>
      </c>
      <c r="B26" s="333" t="s">
        <v>16</v>
      </c>
      <c r="C26" s="333"/>
      <c r="D26" s="7">
        <f>CHI!F8</f>
        <v>61</v>
      </c>
      <c r="E26" s="11"/>
      <c r="F26" s="173">
        <f>ANT!F8</f>
        <v>36</v>
      </c>
      <c r="G26" s="333" t="s">
        <v>15</v>
      </c>
      <c r="H26" s="333"/>
      <c r="I26" s="174" t="str">
        <f>CHI!T8</f>
        <v>33-19</v>
      </c>
      <c r="J26" s="3" t="s">
        <v>125</v>
      </c>
      <c r="K26" s="5">
        <v>52</v>
      </c>
      <c r="L26" s="5">
        <f t="shared" si="0"/>
        <v>45</v>
      </c>
      <c r="M26" s="5">
        <f t="shared" si="5"/>
        <v>97</v>
      </c>
    </row>
    <row r="27" spans="1:13">
      <c r="A27" s="10" t="s">
        <v>24</v>
      </c>
      <c r="B27" s="11"/>
      <c r="C27" s="11"/>
      <c r="D27" s="12"/>
      <c r="E27" s="11"/>
      <c r="F27" s="13"/>
      <c r="G27" s="11"/>
      <c r="H27" s="11"/>
      <c r="I27" s="14"/>
      <c r="J27" s="11"/>
      <c r="K27" s="14"/>
      <c r="L27" s="14"/>
      <c r="M27" s="14"/>
    </row>
    <row r="28" spans="1:13">
      <c r="A28" s="2" t="s">
        <v>172</v>
      </c>
      <c r="B28" s="333" t="s">
        <v>8</v>
      </c>
      <c r="C28" s="333"/>
      <c r="D28" s="7">
        <f>CAL!F9</f>
        <v>26</v>
      </c>
      <c r="E28" s="11"/>
      <c r="F28" s="173">
        <f>CHI!F9</f>
        <v>36</v>
      </c>
      <c r="G28" s="333" t="s">
        <v>16</v>
      </c>
      <c r="H28" s="333"/>
      <c r="I28" s="174" t="str">
        <f>CAL!T9</f>
        <v>19-12</v>
      </c>
      <c r="J28" s="3" t="s">
        <v>129</v>
      </c>
      <c r="K28" s="5">
        <v>31</v>
      </c>
      <c r="L28" s="5">
        <f t="shared" si="0"/>
        <v>31</v>
      </c>
      <c r="M28" s="5">
        <f>D28+F28</f>
        <v>62</v>
      </c>
    </row>
    <row r="29" spans="1:13">
      <c r="A29" s="2" t="s">
        <v>173</v>
      </c>
      <c r="B29" s="333" t="s">
        <v>14</v>
      </c>
      <c r="C29" s="333"/>
      <c r="D29" s="7">
        <f>SEA!F9</f>
        <v>57</v>
      </c>
      <c r="E29" s="11"/>
      <c r="F29" s="173">
        <f>ANT!F9</f>
        <v>21</v>
      </c>
      <c r="G29" s="333" t="s">
        <v>15</v>
      </c>
      <c r="H29" s="333"/>
      <c r="I29" s="174" t="str">
        <f>SEA!T9</f>
        <v>42-14</v>
      </c>
      <c r="J29" s="3" t="s">
        <v>121</v>
      </c>
      <c r="K29" s="5">
        <v>56</v>
      </c>
      <c r="L29" s="5">
        <f t="shared" si="0"/>
        <v>22</v>
      </c>
      <c r="M29" s="5">
        <f t="shared" ref="M29:M30" si="6">D29+F29</f>
        <v>78</v>
      </c>
    </row>
    <row r="30" spans="1:13">
      <c r="A30" s="214" t="s">
        <v>173</v>
      </c>
      <c r="B30" s="333" t="s">
        <v>19</v>
      </c>
      <c r="C30" s="333"/>
      <c r="D30" s="7">
        <f>OGDC!F9</f>
        <v>24</v>
      </c>
      <c r="E30" s="11"/>
      <c r="F30" s="173">
        <f>NEW!F9</f>
        <v>23</v>
      </c>
      <c r="G30" s="333" t="s">
        <v>17</v>
      </c>
      <c r="H30" s="333"/>
      <c r="I30" s="174" t="str">
        <f>OGDC!T9</f>
        <v>14-17</v>
      </c>
      <c r="J30" s="3" t="s">
        <v>128</v>
      </c>
      <c r="K30" s="5">
        <v>31</v>
      </c>
      <c r="L30" s="5">
        <f t="shared" si="0"/>
        <v>16</v>
      </c>
      <c r="M30" s="5">
        <f t="shared" si="6"/>
        <v>47</v>
      </c>
    </row>
    <row r="31" spans="1:13">
      <c r="A31" s="10" t="s">
        <v>25</v>
      </c>
      <c r="B31" s="11"/>
      <c r="C31" s="11"/>
      <c r="D31" s="12"/>
      <c r="E31" s="11"/>
      <c r="F31" s="13"/>
      <c r="G31" s="11"/>
      <c r="H31" s="11"/>
      <c r="I31" s="14"/>
      <c r="J31" s="11"/>
      <c r="K31" s="14"/>
      <c r="L31" s="14"/>
      <c r="M31" s="14"/>
    </row>
    <row r="32" spans="1:13">
      <c r="A32" s="2" t="s">
        <v>174</v>
      </c>
      <c r="B32" s="333" t="s">
        <v>15</v>
      </c>
      <c r="C32" s="333"/>
      <c r="D32" s="7">
        <f>ANT!F10</f>
        <v>7</v>
      </c>
      <c r="E32" s="11"/>
      <c r="F32" s="173">
        <f>NEW!F10</f>
        <v>20</v>
      </c>
      <c r="G32" s="333" t="s">
        <v>17</v>
      </c>
      <c r="H32" s="333"/>
      <c r="I32" s="174" t="str">
        <f>ANT!T10</f>
        <v>0-7</v>
      </c>
      <c r="J32" s="3" t="s">
        <v>122</v>
      </c>
      <c r="K32" s="5">
        <v>7</v>
      </c>
      <c r="L32" s="5">
        <f t="shared" si="0"/>
        <v>20</v>
      </c>
      <c r="M32" s="5">
        <f>D32+F32</f>
        <v>27</v>
      </c>
    </row>
    <row r="33" spans="1:13">
      <c r="A33" s="2" t="s">
        <v>175</v>
      </c>
      <c r="B33" s="333" t="s">
        <v>16</v>
      </c>
      <c r="C33" s="333"/>
      <c r="D33" s="7">
        <f>CHI!F10</f>
        <v>57</v>
      </c>
      <c r="E33" s="11"/>
      <c r="F33" s="173">
        <f>SEA!F10</f>
        <v>17</v>
      </c>
      <c r="G33" s="333" t="s">
        <v>14</v>
      </c>
      <c r="H33" s="333"/>
      <c r="I33" s="174" t="str">
        <f>CHI!T10</f>
        <v>26-10</v>
      </c>
      <c r="J33" s="3" t="s">
        <v>125</v>
      </c>
      <c r="K33" s="5">
        <v>36</v>
      </c>
      <c r="L33" s="5">
        <f t="shared" si="0"/>
        <v>38</v>
      </c>
      <c r="M33" s="5">
        <f t="shared" ref="M33:M34" si="7">D33+F33</f>
        <v>74</v>
      </c>
    </row>
    <row r="34" spans="1:13">
      <c r="A34" s="214" t="s">
        <v>175</v>
      </c>
      <c r="B34" s="333" t="s">
        <v>8</v>
      </c>
      <c r="C34" s="333"/>
      <c r="D34" s="7">
        <f>CAL!F10</f>
        <v>42</v>
      </c>
      <c r="E34" s="11"/>
      <c r="F34" s="173">
        <f>OGDC!F10</f>
        <v>10</v>
      </c>
      <c r="G34" s="333" t="s">
        <v>19</v>
      </c>
      <c r="H34" s="333"/>
      <c r="I34" s="174" t="s">
        <v>268</v>
      </c>
      <c r="J34" s="3" t="s">
        <v>130</v>
      </c>
      <c r="K34" s="5">
        <v>26</v>
      </c>
      <c r="L34" s="5">
        <f t="shared" si="0"/>
        <v>26</v>
      </c>
      <c r="M34" s="5">
        <f t="shared" si="7"/>
        <v>52</v>
      </c>
    </row>
    <row r="35" spans="1:13">
      <c r="A35" s="10" t="s">
        <v>26</v>
      </c>
      <c r="B35" s="11"/>
      <c r="C35" s="11"/>
      <c r="D35" s="12"/>
      <c r="E35" s="11"/>
      <c r="F35" s="13"/>
      <c r="G35" s="11"/>
      <c r="H35" s="11"/>
      <c r="I35" s="14"/>
      <c r="J35" s="11"/>
      <c r="K35" s="14"/>
      <c r="L35" s="14"/>
      <c r="M35" s="14"/>
    </row>
    <row r="36" spans="1:13">
      <c r="A36" s="2" t="s">
        <v>176</v>
      </c>
      <c r="B36" s="333" t="s">
        <v>19</v>
      </c>
      <c r="C36" s="333"/>
      <c r="D36" s="7">
        <f>OGDC!F11</f>
        <v>0</v>
      </c>
      <c r="E36" s="11"/>
      <c r="F36" s="173">
        <f>CHI!F11</f>
        <v>0</v>
      </c>
      <c r="G36" s="333" t="s">
        <v>16</v>
      </c>
      <c r="H36" s="333"/>
      <c r="I36" s="174">
        <f>OGDC!T11</f>
        <v>0</v>
      </c>
      <c r="J36" s="3" t="s">
        <v>128</v>
      </c>
      <c r="L36" s="5">
        <f t="shared" si="0"/>
        <v>0</v>
      </c>
      <c r="M36" s="5">
        <f>D36+F36</f>
        <v>0</v>
      </c>
    </row>
    <row r="37" spans="1:13">
      <c r="A37" s="2" t="s">
        <v>177</v>
      </c>
      <c r="B37" s="333" t="s">
        <v>15</v>
      </c>
      <c r="C37" s="333"/>
      <c r="D37" s="7">
        <f>ANT!F11</f>
        <v>0</v>
      </c>
      <c r="E37" s="11"/>
      <c r="F37" s="173">
        <f>CAL!F11</f>
        <v>0</v>
      </c>
      <c r="G37" s="333" t="s">
        <v>8</v>
      </c>
      <c r="H37" s="333"/>
      <c r="I37" s="174">
        <f>ANT!T11</f>
        <v>0</v>
      </c>
      <c r="J37" s="3" t="s">
        <v>122</v>
      </c>
      <c r="L37" s="5">
        <f t="shared" si="0"/>
        <v>0</v>
      </c>
      <c r="M37" s="5">
        <f t="shared" ref="M37:M38" si="8">D37+F37</f>
        <v>0</v>
      </c>
    </row>
    <row r="38" spans="1:13">
      <c r="A38" s="214" t="s">
        <v>177</v>
      </c>
      <c r="B38" s="333" t="s">
        <v>14</v>
      </c>
      <c r="C38" s="333"/>
      <c r="D38" s="7">
        <f>SEA!F11</f>
        <v>0</v>
      </c>
      <c r="E38" s="11"/>
      <c r="F38" s="173">
        <f>NEW!F11</f>
        <v>0</v>
      </c>
      <c r="G38" s="333" t="s">
        <v>17</v>
      </c>
      <c r="H38" s="333"/>
      <c r="I38" s="174">
        <f>SEA!T11</f>
        <v>0</v>
      </c>
      <c r="J38" s="3" t="s">
        <v>121</v>
      </c>
      <c r="L38" s="5">
        <f t="shared" si="0"/>
        <v>0</v>
      </c>
      <c r="M38" s="5">
        <f t="shared" si="8"/>
        <v>0</v>
      </c>
    </row>
    <row r="39" spans="1:13">
      <c r="A39" s="10" t="s">
        <v>27</v>
      </c>
      <c r="B39" s="11"/>
      <c r="C39" s="11"/>
      <c r="D39" s="12"/>
      <c r="E39" s="11"/>
      <c r="F39" s="13"/>
      <c r="G39" s="11"/>
      <c r="H39" s="11"/>
      <c r="I39" s="14"/>
      <c r="J39" s="11"/>
      <c r="K39" s="14"/>
      <c r="L39" s="14"/>
      <c r="M39" s="14"/>
    </row>
    <row r="40" spans="1:13">
      <c r="A40" s="2" t="s">
        <v>178</v>
      </c>
      <c r="B40" s="333" t="s">
        <v>19</v>
      </c>
      <c r="C40" s="333"/>
      <c r="D40" s="7">
        <f>OGDC!F12</f>
        <v>0</v>
      </c>
      <c r="E40" s="11"/>
      <c r="F40" s="173">
        <f>ANT!F12</f>
        <v>0</v>
      </c>
      <c r="G40" s="333" t="s">
        <v>15</v>
      </c>
      <c r="H40" s="333"/>
      <c r="I40" s="174">
        <f>OGDC!T12</f>
        <v>0</v>
      </c>
      <c r="J40" s="3" t="s">
        <v>128</v>
      </c>
      <c r="L40" s="5">
        <f t="shared" si="0"/>
        <v>0</v>
      </c>
      <c r="M40" s="5">
        <f>D40+F40</f>
        <v>0</v>
      </c>
    </row>
    <row r="41" spans="1:13">
      <c r="A41" s="2" t="s">
        <v>179</v>
      </c>
      <c r="B41" s="333" t="s">
        <v>17</v>
      </c>
      <c r="C41" s="333"/>
      <c r="D41" s="7">
        <f>NEW!F12</f>
        <v>0</v>
      </c>
      <c r="E41" s="11"/>
      <c r="F41" s="173">
        <f>CHI!F12</f>
        <v>0</v>
      </c>
      <c r="G41" s="333" t="s">
        <v>16</v>
      </c>
      <c r="H41" s="333"/>
      <c r="I41" s="174">
        <f>NEW!T12</f>
        <v>0</v>
      </c>
      <c r="J41" s="3" t="s">
        <v>124</v>
      </c>
      <c r="L41" s="5">
        <f t="shared" si="0"/>
        <v>0</v>
      </c>
      <c r="M41" s="5">
        <f t="shared" ref="M41:M42" si="9">D41+F41</f>
        <v>0</v>
      </c>
    </row>
    <row r="42" spans="1:13">
      <c r="A42" s="214" t="s">
        <v>180</v>
      </c>
      <c r="B42" s="333" t="s">
        <v>14</v>
      </c>
      <c r="C42" s="333"/>
      <c r="D42" s="7">
        <f>SEA!F12</f>
        <v>0</v>
      </c>
      <c r="E42" s="11"/>
      <c r="F42" s="173">
        <f>CAL!F12</f>
        <v>0</v>
      </c>
      <c r="G42" s="333" t="s">
        <v>8</v>
      </c>
      <c r="H42" s="333"/>
      <c r="I42" s="174">
        <f>SEA!T12</f>
        <v>0</v>
      </c>
      <c r="J42" s="3" t="s">
        <v>121</v>
      </c>
      <c r="L42" s="5">
        <f t="shared" si="0"/>
        <v>0</v>
      </c>
      <c r="M42" s="5">
        <f t="shared" si="9"/>
        <v>0</v>
      </c>
    </row>
    <row r="43" spans="1:13">
      <c r="A43" s="10" t="s">
        <v>28</v>
      </c>
      <c r="B43" s="11"/>
      <c r="C43" s="11"/>
      <c r="D43" s="12"/>
      <c r="E43" s="11"/>
      <c r="F43" s="13"/>
      <c r="G43" s="11"/>
      <c r="H43" s="11"/>
      <c r="I43" s="14"/>
      <c r="J43" s="11"/>
      <c r="K43" s="14"/>
      <c r="L43" s="14"/>
      <c r="M43" s="14"/>
    </row>
    <row r="44" spans="1:13">
      <c r="A44" s="214"/>
      <c r="B44" s="333"/>
      <c r="C44" s="333"/>
      <c r="E44" s="11"/>
      <c r="G44" s="333"/>
      <c r="H44" s="333"/>
      <c r="J44" s="3" t="s">
        <v>131</v>
      </c>
      <c r="L44" s="5">
        <f t="shared" si="0"/>
        <v>0</v>
      </c>
      <c r="M44" s="5">
        <f>D44+F44</f>
        <v>0</v>
      </c>
    </row>
    <row r="45" spans="1:13">
      <c r="A45" s="214"/>
      <c r="B45" s="333"/>
      <c r="C45" s="333"/>
      <c r="E45" s="11"/>
      <c r="G45" s="333"/>
      <c r="H45" s="333"/>
      <c r="J45" s="3" t="s">
        <v>131</v>
      </c>
      <c r="L45" s="5">
        <f t="shared" si="0"/>
        <v>0</v>
      </c>
      <c r="M45" s="5">
        <f>D45+F45</f>
        <v>0</v>
      </c>
    </row>
    <row r="46" spans="1:13">
      <c r="A46" s="10" t="s">
        <v>29</v>
      </c>
      <c r="B46" s="11"/>
      <c r="C46" s="11"/>
      <c r="D46" s="12"/>
      <c r="E46" s="11"/>
      <c r="F46" s="13"/>
      <c r="G46" s="11"/>
      <c r="H46" s="11"/>
      <c r="I46" s="14"/>
      <c r="J46" s="11"/>
      <c r="K46" s="14"/>
      <c r="L46" s="14"/>
      <c r="M46" s="14"/>
    </row>
    <row r="47" spans="1:13">
      <c r="A47" s="214"/>
      <c r="B47" s="333"/>
      <c r="C47" s="333"/>
      <c r="E47" s="11"/>
      <c r="G47" s="333"/>
      <c r="H47" s="333"/>
      <c r="J47" s="3" t="s">
        <v>125</v>
      </c>
      <c r="L47" s="5">
        <f t="shared" si="0"/>
        <v>0</v>
      </c>
      <c r="M47" s="5">
        <f>D47+F47</f>
        <v>0</v>
      </c>
    </row>
  </sheetData>
  <mergeCells count="68">
    <mergeCell ref="G45:H45"/>
    <mergeCell ref="G47:H47"/>
    <mergeCell ref="G37:H37"/>
    <mergeCell ref="G38:H38"/>
    <mergeCell ref="G40:H40"/>
    <mergeCell ref="G41:H41"/>
    <mergeCell ref="G42:H42"/>
    <mergeCell ref="G44:H44"/>
    <mergeCell ref="G36:H36"/>
    <mergeCell ref="G21:H21"/>
    <mergeCell ref="G22:H22"/>
    <mergeCell ref="G24:H24"/>
    <mergeCell ref="G25:H25"/>
    <mergeCell ref="G26:H26"/>
    <mergeCell ref="G28:H28"/>
    <mergeCell ref="G29:H29"/>
    <mergeCell ref="G30:H30"/>
    <mergeCell ref="G32:H32"/>
    <mergeCell ref="G33:H33"/>
    <mergeCell ref="G34:H34"/>
    <mergeCell ref="B25:C25"/>
    <mergeCell ref="G13:H13"/>
    <mergeCell ref="G14:H14"/>
    <mergeCell ref="G15:H15"/>
    <mergeCell ref="G17:H17"/>
    <mergeCell ref="G18:H18"/>
    <mergeCell ref="B18:C18"/>
    <mergeCell ref="B19:C19"/>
    <mergeCell ref="B21:C21"/>
    <mergeCell ref="B22:C22"/>
    <mergeCell ref="B24:C24"/>
    <mergeCell ref="B17:C17"/>
    <mergeCell ref="B13:C13"/>
    <mergeCell ref="B14:C14"/>
    <mergeCell ref="B15:C15"/>
    <mergeCell ref="B42:C42"/>
    <mergeCell ref="B44:C44"/>
    <mergeCell ref="B45:C45"/>
    <mergeCell ref="B47:C47"/>
    <mergeCell ref="B40:C40"/>
    <mergeCell ref="B41:C41"/>
    <mergeCell ref="G6:H6"/>
    <mergeCell ref="G7:H7"/>
    <mergeCell ref="G9:H9"/>
    <mergeCell ref="G10:H10"/>
    <mergeCell ref="G19:H19"/>
    <mergeCell ref="G11:H11"/>
    <mergeCell ref="B34:C34"/>
    <mergeCell ref="B36:C36"/>
    <mergeCell ref="B37:C37"/>
    <mergeCell ref="B38:C38"/>
    <mergeCell ref="B26:C26"/>
    <mergeCell ref="B28:C28"/>
    <mergeCell ref="B29:C29"/>
    <mergeCell ref="B30:C30"/>
    <mergeCell ref="B32:C32"/>
    <mergeCell ref="B33:C33"/>
    <mergeCell ref="B1:C1"/>
    <mergeCell ref="G1:H1"/>
    <mergeCell ref="B3:C3"/>
    <mergeCell ref="G3:H3"/>
    <mergeCell ref="B5:C5"/>
    <mergeCell ref="G5:H5"/>
    <mergeCell ref="B6:C6"/>
    <mergeCell ref="B7:C7"/>
    <mergeCell ref="B9:C9"/>
    <mergeCell ref="B10:C10"/>
    <mergeCell ref="B11:C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17047-46A3-2143-A17A-280F537F65CF}">
  <dimension ref="A1:I21"/>
  <sheetViews>
    <sheetView tabSelected="1" workbookViewId="0"/>
  </sheetViews>
  <sheetFormatPr defaultColWidth="11.5546875" defaultRowHeight="16.3"/>
  <cols>
    <col min="1" max="1" width="10.77734375" style="3"/>
    <col min="2" max="2" width="17.77734375" style="3" customWidth="1"/>
    <col min="3" max="3" width="4.77734375" style="3" customWidth="1"/>
    <col min="4" max="4" width="17.77734375" style="3" customWidth="1"/>
    <col min="5" max="5" width="4.77734375" style="3" customWidth="1"/>
    <col min="6" max="6" width="17.77734375" style="3" customWidth="1"/>
    <col min="7" max="7" width="4.77734375" style="3" customWidth="1"/>
    <col min="8" max="8" width="17.77734375" style="3" customWidth="1"/>
    <col min="9" max="9" width="5" style="3" customWidth="1"/>
  </cols>
  <sheetData>
    <row r="1" spans="1:9" ht="17" thickBot="1">
      <c r="B1" s="2" t="s">
        <v>30</v>
      </c>
    </row>
    <row r="2" spans="1:9" ht="17" thickBot="1">
      <c r="B2" s="17" t="s">
        <v>31</v>
      </c>
      <c r="C2" s="17"/>
      <c r="D2" s="19" t="s">
        <v>34</v>
      </c>
      <c r="E2" s="19"/>
      <c r="F2" s="21" t="s">
        <v>35</v>
      </c>
      <c r="G2" s="21"/>
      <c r="H2" s="24" t="s">
        <v>36</v>
      </c>
      <c r="I2" s="25"/>
    </row>
    <row r="3" spans="1:9" ht="17" thickBot="1">
      <c r="B3" s="18" t="s">
        <v>13</v>
      </c>
      <c r="C3" s="18">
        <f>CHI!J15</f>
        <v>59</v>
      </c>
      <c r="D3" s="20" t="s">
        <v>13</v>
      </c>
      <c r="E3" s="20">
        <f>CHI!H15</f>
        <v>8</v>
      </c>
      <c r="F3" s="22" t="s">
        <v>12</v>
      </c>
      <c r="G3" s="22">
        <f>OGDC!R15</f>
        <v>31</v>
      </c>
      <c r="H3" s="25" t="s">
        <v>12</v>
      </c>
      <c r="I3" s="25">
        <f>OGDC!P15</f>
        <v>4</v>
      </c>
    </row>
    <row r="4" spans="1:9" ht="17" thickBot="1">
      <c r="B4" s="18" t="s">
        <v>32</v>
      </c>
      <c r="C4" s="18">
        <f>CAL!J15</f>
        <v>37</v>
      </c>
      <c r="D4" s="20" t="s">
        <v>32</v>
      </c>
      <c r="E4" s="20">
        <f>CAL!H15</f>
        <v>7</v>
      </c>
      <c r="F4" s="22" t="s">
        <v>13</v>
      </c>
      <c r="G4" s="22">
        <f>CHI!R15</f>
        <v>32</v>
      </c>
      <c r="H4" s="25" t="s">
        <v>11</v>
      </c>
      <c r="I4" s="25">
        <f>SEA!P15</f>
        <v>4</v>
      </c>
    </row>
    <row r="5" spans="1:9" ht="17" thickBot="1">
      <c r="B5" s="18" t="s">
        <v>11</v>
      </c>
      <c r="C5" s="18">
        <f>SEA!J15</f>
        <v>33</v>
      </c>
      <c r="D5" s="20" t="s">
        <v>9</v>
      </c>
      <c r="E5" s="20">
        <f>ANT!H15</f>
        <v>4</v>
      </c>
      <c r="F5" s="22" t="s">
        <v>32</v>
      </c>
      <c r="G5" s="22">
        <f>CAL!R15</f>
        <v>32</v>
      </c>
      <c r="H5" s="25" t="s">
        <v>32</v>
      </c>
      <c r="I5" s="25">
        <f>CAL!P15</f>
        <v>4</v>
      </c>
    </row>
    <row r="6" spans="1:9" ht="17" thickBot="1">
      <c r="B6" s="18" t="s">
        <v>9</v>
      </c>
      <c r="C6" s="18">
        <f>ANT!J15</f>
        <v>29</v>
      </c>
      <c r="D6" s="20" t="s">
        <v>11</v>
      </c>
      <c r="E6" s="20">
        <f>SEA!H15</f>
        <v>4</v>
      </c>
      <c r="F6" s="22" t="s">
        <v>33</v>
      </c>
      <c r="G6" s="22">
        <f>NEW!R15</f>
        <v>32</v>
      </c>
      <c r="H6" s="25" t="s">
        <v>33</v>
      </c>
      <c r="I6" s="25">
        <f>NEW!P15</f>
        <v>4</v>
      </c>
    </row>
    <row r="7" spans="1:9" ht="17" thickBot="1">
      <c r="B7" s="18" t="s">
        <v>12</v>
      </c>
      <c r="C7" s="18">
        <f>OGDC!J15</f>
        <v>25</v>
      </c>
      <c r="D7" s="20" t="s">
        <v>33</v>
      </c>
      <c r="E7" s="20">
        <f>NEW!H15</f>
        <v>2</v>
      </c>
      <c r="F7" s="22" t="s">
        <v>11</v>
      </c>
      <c r="G7" s="22">
        <f>SEA!R15</f>
        <v>35</v>
      </c>
      <c r="H7" s="25" t="s">
        <v>13</v>
      </c>
      <c r="I7" s="25">
        <f>CHI!P15</f>
        <v>5</v>
      </c>
    </row>
    <row r="8" spans="1:9" ht="17" thickBot="1">
      <c r="B8" s="18" t="s">
        <v>33</v>
      </c>
      <c r="C8" s="18">
        <f>NEW!J15</f>
        <v>22</v>
      </c>
      <c r="D8" s="20" t="s">
        <v>12</v>
      </c>
      <c r="E8" s="20">
        <f>OGDC!H15</f>
        <v>2</v>
      </c>
      <c r="F8" s="22" t="s">
        <v>9</v>
      </c>
      <c r="G8" s="22">
        <f>ANT!R15</f>
        <v>43</v>
      </c>
      <c r="H8" s="25" t="s">
        <v>9</v>
      </c>
      <c r="I8" s="25">
        <f>ANT!P15</f>
        <v>6</v>
      </c>
    </row>
    <row r="10" spans="1:9" s="16" customFormat="1">
      <c r="A10" s="2"/>
      <c r="B10" s="2" t="s">
        <v>37</v>
      </c>
      <c r="C10" s="2">
        <f>SUM(C3:C8)</f>
        <v>205</v>
      </c>
      <c r="D10" s="2"/>
      <c r="E10" s="2">
        <f t="shared" ref="E10:I10" si="0">SUM(E3:E8)</f>
        <v>27</v>
      </c>
      <c r="F10" s="2"/>
      <c r="G10" s="2">
        <f t="shared" si="0"/>
        <v>205</v>
      </c>
      <c r="H10" s="2"/>
      <c r="I10" s="2">
        <f t="shared" si="0"/>
        <v>27</v>
      </c>
    </row>
    <row r="12" spans="1:9" ht="17" thickBot="1">
      <c r="B12" s="2" t="s">
        <v>38</v>
      </c>
      <c r="C12" s="2"/>
      <c r="D12" s="2"/>
    </row>
    <row r="13" spans="1:9" ht="17" thickBot="1">
      <c r="B13" s="17" t="s">
        <v>31</v>
      </c>
      <c r="C13" s="17"/>
      <c r="D13" s="21" t="s">
        <v>35</v>
      </c>
      <c r="E13" s="23"/>
    </row>
    <row r="14" spans="1:9" ht="17" thickBot="1">
      <c r="B14" s="18" t="s">
        <v>9</v>
      </c>
      <c r="C14" s="18">
        <f>ANT!J16</f>
        <v>0</v>
      </c>
      <c r="D14" s="22" t="s">
        <v>9</v>
      </c>
      <c r="E14" s="22">
        <f>ANT!R16</f>
        <v>0</v>
      </c>
    </row>
    <row r="15" spans="1:9" ht="17" thickBot="1">
      <c r="B15" s="18" t="s">
        <v>32</v>
      </c>
      <c r="C15" s="18">
        <f>CAL!J16</f>
        <v>0</v>
      </c>
      <c r="D15" s="22" t="s">
        <v>32</v>
      </c>
      <c r="E15" s="22">
        <f>CAL!R16</f>
        <v>0</v>
      </c>
    </row>
    <row r="16" spans="1:9" ht="17" thickBot="1">
      <c r="B16" s="18" t="s">
        <v>13</v>
      </c>
      <c r="C16" s="18">
        <f>CHI!J16</f>
        <v>0</v>
      </c>
      <c r="D16" s="22" t="s">
        <v>13</v>
      </c>
      <c r="E16" s="22">
        <f>CHI!R16</f>
        <v>0</v>
      </c>
    </row>
    <row r="17" spans="1:9" ht="17" thickBot="1">
      <c r="B17" s="18" t="s">
        <v>33</v>
      </c>
      <c r="C17" s="18">
        <f>NEW!J16</f>
        <v>0</v>
      </c>
      <c r="D17" s="22" t="s">
        <v>33</v>
      </c>
      <c r="E17" s="22">
        <f>NEW!R16</f>
        <v>0</v>
      </c>
    </row>
    <row r="18" spans="1:9" ht="17" thickBot="1">
      <c r="B18" s="18" t="s">
        <v>12</v>
      </c>
      <c r="C18" s="18">
        <f>OGDC!J16</f>
        <v>0</v>
      </c>
      <c r="D18" s="22" t="s">
        <v>12</v>
      </c>
      <c r="E18" s="22">
        <f>OGDC!R16</f>
        <v>0</v>
      </c>
    </row>
    <row r="19" spans="1:9" ht="17" thickBot="1">
      <c r="B19" s="18" t="s">
        <v>11</v>
      </c>
      <c r="C19" s="18">
        <f>SEA!J16</f>
        <v>0</v>
      </c>
      <c r="D19" s="22" t="s">
        <v>11</v>
      </c>
      <c r="E19" s="22">
        <f>SEA!R16</f>
        <v>0</v>
      </c>
    </row>
    <row r="21" spans="1:9" s="16" customFormat="1">
      <c r="A21" s="2"/>
      <c r="B21" s="2" t="s">
        <v>37</v>
      </c>
      <c r="C21" s="2">
        <f>SUM(C14:C19)</f>
        <v>0</v>
      </c>
      <c r="D21" s="2"/>
      <c r="E21" s="2">
        <f>SUM(E14:E19)</f>
        <v>0</v>
      </c>
      <c r="F21" s="2"/>
      <c r="G21" s="2"/>
      <c r="H21" s="2"/>
      <c r="I2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6DD45-5B11-924B-A2D7-BA3CD3548543}">
  <dimension ref="A1:R22"/>
  <sheetViews>
    <sheetView zoomScale="120" zoomScaleNormal="120" workbookViewId="0">
      <selection sqref="A1:B1"/>
    </sheetView>
  </sheetViews>
  <sheetFormatPr defaultColWidth="11.5546875" defaultRowHeight="16.3"/>
  <cols>
    <col min="1" max="1" width="10.77734375" style="3"/>
    <col min="2" max="2" width="5" style="3" customWidth="1"/>
    <col min="3" max="3" width="57.33203125" style="3" customWidth="1"/>
    <col min="4" max="4" width="5" style="3" customWidth="1"/>
    <col min="5" max="5" width="17" style="3" customWidth="1"/>
    <col min="6" max="6" width="5.33203125" style="3" customWidth="1"/>
    <col min="7" max="7" width="10.77734375" style="3"/>
    <col min="8" max="8" width="14.33203125" style="3" customWidth="1"/>
    <col min="9" max="18" width="10.77734375" style="3"/>
  </cols>
  <sheetData>
    <row r="1" spans="1:17" ht="17" thickBot="1">
      <c r="A1" s="335" t="s">
        <v>39</v>
      </c>
      <c r="B1" s="335"/>
      <c r="C1" s="2"/>
      <c r="D1" s="2"/>
      <c r="E1" s="2"/>
      <c r="F1" s="2"/>
    </row>
    <row r="2" spans="1:17" ht="17" thickBot="1">
      <c r="A2" s="2"/>
      <c r="B2" s="341" t="s">
        <v>41</v>
      </c>
      <c r="C2" s="341"/>
      <c r="D2" s="342" t="s">
        <v>42</v>
      </c>
      <c r="E2" s="342"/>
      <c r="F2" s="26" t="s">
        <v>43</v>
      </c>
      <c r="H2" s="339" t="s">
        <v>46</v>
      </c>
      <c r="I2" s="336" t="s">
        <v>6</v>
      </c>
      <c r="J2" s="338"/>
      <c r="K2" s="336" t="s">
        <v>47</v>
      </c>
      <c r="L2" s="337"/>
      <c r="M2" s="337"/>
      <c r="N2" s="337"/>
      <c r="O2" s="338"/>
      <c r="P2" s="336" t="s">
        <v>48</v>
      </c>
      <c r="Q2" s="338"/>
    </row>
    <row r="3" spans="1:17" ht="17" thickBot="1">
      <c r="A3" s="29" t="s">
        <v>12</v>
      </c>
      <c r="B3" s="28">
        <f>OGDC!N17</f>
        <v>5</v>
      </c>
      <c r="C3" s="28" t="s">
        <v>271</v>
      </c>
      <c r="D3" s="27">
        <f>OGDC!O17</f>
        <v>1</v>
      </c>
      <c r="E3" s="27" t="s">
        <v>248</v>
      </c>
      <c r="F3" s="26">
        <f t="shared" ref="F3:F8" si="0">SUM(B3+D3*2)</f>
        <v>7</v>
      </c>
      <c r="H3" s="340"/>
      <c r="I3" s="30" t="s">
        <v>49</v>
      </c>
      <c r="J3" s="30" t="s">
        <v>50</v>
      </c>
      <c r="K3" s="31" t="s">
        <v>51</v>
      </c>
      <c r="L3" s="32" t="s">
        <v>52</v>
      </c>
      <c r="M3" s="32" t="s">
        <v>53</v>
      </c>
      <c r="N3" s="33" t="s">
        <v>54</v>
      </c>
      <c r="O3" s="34" t="s">
        <v>55</v>
      </c>
      <c r="P3" s="31" t="s">
        <v>49</v>
      </c>
      <c r="Q3" s="34" t="s">
        <v>50</v>
      </c>
    </row>
    <row r="4" spans="1:17" ht="17" thickBot="1">
      <c r="A4" s="29" t="s">
        <v>13</v>
      </c>
      <c r="B4" s="28">
        <f>CHI!N17</f>
        <v>8</v>
      </c>
      <c r="C4" s="28" t="s">
        <v>253</v>
      </c>
      <c r="D4" s="27">
        <f>CHI!O17</f>
        <v>0</v>
      </c>
      <c r="E4" s="27"/>
      <c r="F4" s="26">
        <f t="shared" si="0"/>
        <v>8</v>
      </c>
      <c r="H4" s="35" t="s">
        <v>9</v>
      </c>
      <c r="I4" s="36">
        <v>21</v>
      </c>
      <c r="J4" s="37">
        <v>71</v>
      </c>
      <c r="K4" s="36">
        <v>89</v>
      </c>
      <c r="L4" s="38"/>
      <c r="M4" s="39"/>
      <c r="N4" s="38"/>
      <c r="O4" s="40">
        <f>SUM(K4:N4)</f>
        <v>89</v>
      </c>
      <c r="P4" s="41">
        <f t="shared" ref="P4:P9" si="1">SUM(I4/O4)*10</f>
        <v>2.3595505617977528</v>
      </c>
      <c r="Q4" s="42">
        <f t="shared" ref="Q4:Q9" si="2">SUM(J4/O4)*10</f>
        <v>7.97752808988764</v>
      </c>
    </row>
    <row r="5" spans="1:17" ht="17" thickBot="1">
      <c r="A5" s="29" t="s">
        <v>33</v>
      </c>
      <c r="B5" s="28">
        <f>NEW!N17</f>
        <v>8</v>
      </c>
      <c r="C5" s="28" t="s">
        <v>263</v>
      </c>
      <c r="D5" s="27">
        <f>NEW!O17</f>
        <v>1</v>
      </c>
      <c r="E5" s="27" t="s">
        <v>223</v>
      </c>
      <c r="F5" s="26">
        <f t="shared" si="0"/>
        <v>10</v>
      </c>
      <c r="H5" s="43" t="s">
        <v>32</v>
      </c>
      <c r="I5" s="44">
        <v>36</v>
      </c>
      <c r="J5" s="45">
        <v>47</v>
      </c>
      <c r="K5" s="44">
        <v>90</v>
      </c>
      <c r="L5" s="39">
        <v>9</v>
      </c>
      <c r="M5" s="39"/>
      <c r="N5" s="39"/>
      <c r="O5" s="40">
        <f t="shared" ref="O5:O9" si="3">SUM(K5:N5)</f>
        <v>99</v>
      </c>
      <c r="P5" s="41">
        <f t="shared" si="1"/>
        <v>3.6363636363636367</v>
      </c>
      <c r="Q5" s="42">
        <f t="shared" si="2"/>
        <v>4.7474747474747474</v>
      </c>
    </row>
    <row r="6" spans="1:17" ht="17" thickBot="1">
      <c r="A6" s="29" t="s">
        <v>11</v>
      </c>
      <c r="B6" s="28">
        <f>SEA!N17</f>
        <v>7</v>
      </c>
      <c r="C6" s="28" t="s">
        <v>255</v>
      </c>
      <c r="D6" s="27">
        <f>SEA!O17</f>
        <v>2</v>
      </c>
      <c r="E6" s="27" t="s">
        <v>230</v>
      </c>
      <c r="F6" s="26">
        <f t="shared" si="0"/>
        <v>11</v>
      </c>
      <c r="H6" s="43" t="s">
        <v>13</v>
      </c>
      <c r="I6" s="44">
        <v>23</v>
      </c>
      <c r="J6" s="45">
        <v>33</v>
      </c>
      <c r="K6" s="44">
        <v>41</v>
      </c>
      <c r="L6" s="39">
        <v>10</v>
      </c>
      <c r="M6" s="39"/>
      <c r="N6" s="39"/>
      <c r="O6" s="40">
        <f t="shared" si="3"/>
        <v>51</v>
      </c>
      <c r="P6" s="41">
        <f t="shared" si="1"/>
        <v>4.5098039215686274</v>
      </c>
      <c r="Q6" s="42">
        <f t="shared" si="2"/>
        <v>6.4705882352941178</v>
      </c>
    </row>
    <row r="7" spans="1:17" ht="17" thickBot="1">
      <c r="A7" s="29" t="s">
        <v>9</v>
      </c>
      <c r="B7" s="28">
        <f>ANT!N17</f>
        <v>11</v>
      </c>
      <c r="C7" s="28" t="s">
        <v>264</v>
      </c>
      <c r="D7" s="27">
        <f>ANT!O17</f>
        <v>1</v>
      </c>
      <c r="E7" s="27" t="s">
        <v>218</v>
      </c>
      <c r="F7" s="26">
        <f t="shared" si="0"/>
        <v>13</v>
      </c>
      <c r="H7" s="43" t="s">
        <v>33</v>
      </c>
      <c r="I7" s="44">
        <v>32</v>
      </c>
      <c r="J7" s="45">
        <v>51</v>
      </c>
      <c r="K7" s="44">
        <v>107</v>
      </c>
      <c r="L7" s="39">
        <v>3</v>
      </c>
      <c r="M7" s="39"/>
      <c r="N7" s="39"/>
      <c r="O7" s="40">
        <f t="shared" si="3"/>
        <v>110</v>
      </c>
      <c r="P7" s="41">
        <f t="shared" si="1"/>
        <v>2.9090909090909092</v>
      </c>
      <c r="Q7" s="42">
        <f t="shared" si="2"/>
        <v>4.6363636363636367</v>
      </c>
    </row>
    <row r="8" spans="1:17" ht="17" thickBot="1">
      <c r="A8" s="29" t="s">
        <v>32</v>
      </c>
      <c r="B8" s="28">
        <f>CAL!N17</f>
        <v>9</v>
      </c>
      <c r="C8" s="28" t="s">
        <v>270</v>
      </c>
      <c r="D8" s="27">
        <f>CAL!O17</f>
        <v>2</v>
      </c>
      <c r="E8" s="27" t="s">
        <v>237</v>
      </c>
      <c r="F8" s="26">
        <f t="shared" si="0"/>
        <v>13</v>
      </c>
      <c r="H8" s="43" t="s">
        <v>12</v>
      </c>
      <c r="I8" s="44">
        <v>24</v>
      </c>
      <c r="J8" s="45">
        <v>36</v>
      </c>
      <c r="K8" s="44">
        <v>37</v>
      </c>
      <c r="L8" s="39">
        <v>18</v>
      </c>
      <c r="M8" s="39"/>
      <c r="N8" s="39"/>
      <c r="O8" s="40">
        <f t="shared" si="3"/>
        <v>55</v>
      </c>
      <c r="P8" s="41">
        <f t="shared" si="1"/>
        <v>4.3636363636363633</v>
      </c>
      <c r="Q8" s="42">
        <f t="shared" si="2"/>
        <v>6.545454545454545</v>
      </c>
    </row>
    <row r="9" spans="1:17" ht="17" thickBot="1">
      <c r="A9" s="29" t="s">
        <v>40</v>
      </c>
      <c r="B9" s="28">
        <f>SUM(B3:B8)</f>
        <v>48</v>
      </c>
      <c r="C9" s="28"/>
      <c r="D9" s="27">
        <f>SUM(D3:D8)</f>
        <v>7</v>
      </c>
      <c r="E9" s="27"/>
      <c r="F9" s="26"/>
      <c r="H9" s="43" t="s">
        <v>11</v>
      </c>
      <c r="I9" s="44">
        <v>13</v>
      </c>
      <c r="J9" s="45">
        <v>31</v>
      </c>
      <c r="K9" s="44">
        <v>71</v>
      </c>
      <c r="L9" s="39"/>
      <c r="M9" s="39"/>
      <c r="N9" s="39"/>
      <c r="O9" s="40">
        <f t="shared" si="3"/>
        <v>71</v>
      </c>
      <c r="P9" s="41">
        <f t="shared" si="1"/>
        <v>1.8309859154929577</v>
      </c>
      <c r="Q9" s="42">
        <f t="shared" si="2"/>
        <v>4.3661971830985911</v>
      </c>
    </row>
    <row r="10" spans="1:17" ht="17" thickBot="1">
      <c r="H10" s="46" t="s">
        <v>56</v>
      </c>
      <c r="I10" s="47">
        <f t="shared" ref="I10:Q10" si="4">SUM(I4:I9)</f>
        <v>149</v>
      </c>
      <c r="J10" s="47">
        <f t="shared" si="4"/>
        <v>269</v>
      </c>
      <c r="K10" s="47">
        <f t="shared" si="4"/>
        <v>435</v>
      </c>
      <c r="L10" s="47">
        <f t="shared" si="4"/>
        <v>40</v>
      </c>
      <c r="M10" s="47">
        <f t="shared" si="4"/>
        <v>0</v>
      </c>
      <c r="N10" s="47">
        <f t="shared" si="4"/>
        <v>0</v>
      </c>
      <c r="O10" s="47">
        <f t="shared" si="4"/>
        <v>475</v>
      </c>
      <c r="P10" s="48">
        <f t="shared" si="4"/>
        <v>19.609431307950246</v>
      </c>
      <c r="Q10" s="48">
        <f t="shared" si="4"/>
        <v>34.743606437573277</v>
      </c>
    </row>
    <row r="11" spans="1:17">
      <c r="A11" s="343" t="s">
        <v>44</v>
      </c>
      <c r="B11" s="343"/>
      <c r="C11" s="343"/>
    </row>
    <row r="12" spans="1:17">
      <c r="H12" s="49" t="s">
        <v>57</v>
      </c>
    </row>
    <row r="13" spans="1:17" ht="17" thickBot="1">
      <c r="A13" s="344" t="s">
        <v>45</v>
      </c>
      <c r="B13" s="344"/>
      <c r="C13" s="344"/>
    </row>
    <row r="14" spans="1:17" ht="17" thickBot="1">
      <c r="H14" s="339" t="s">
        <v>46</v>
      </c>
      <c r="I14" s="336" t="s">
        <v>6</v>
      </c>
      <c r="J14" s="338"/>
      <c r="K14" s="336" t="s">
        <v>47</v>
      </c>
      <c r="L14" s="337"/>
      <c r="M14" s="337"/>
      <c r="N14" s="337"/>
      <c r="O14" s="338"/>
      <c r="P14" s="336" t="s">
        <v>48</v>
      </c>
      <c r="Q14" s="338"/>
    </row>
    <row r="15" spans="1:17" ht="17" thickBot="1">
      <c r="A15" s="3" t="s">
        <v>224</v>
      </c>
      <c r="H15" s="340"/>
      <c r="I15" s="30" t="s">
        <v>49</v>
      </c>
      <c r="J15" s="30" t="s">
        <v>50</v>
      </c>
      <c r="K15" s="31" t="s">
        <v>51</v>
      </c>
      <c r="L15" s="32" t="s">
        <v>52</v>
      </c>
      <c r="M15" s="32" t="s">
        <v>53</v>
      </c>
      <c r="N15" s="33" t="s">
        <v>54</v>
      </c>
      <c r="O15" s="34" t="s">
        <v>55</v>
      </c>
      <c r="P15" s="31" t="s">
        <v>49</v>
      </c>
      <c r="Q15" s="34" t="s">
        <v>50</v>
      </c>
    </row>
    <row r="16" spans="1:17">
      <c r="H16" s="35" t="s">
        <v>9</v>
      </c>
      <c r="I16" s="36">
        <v>31</v>
      </c>
      <c r="J16" s="37">
        <v>10</v>
      </c>
      <c r="K16" s="36">
        <v>60</v>
      </c>
      <c r="L16" s="38">
        <v>1</v>
      </c>
      <c r="M16" s="39"/>
      <c r="N16" s="38"/>
      <c r="O16" s="40">
        <f>SUM(K16:N16)</f>
        <v>61</v>
      </c>
      <c r="P16" s="41">
        <f t="shared" ref="P16:P21" si="5">SUM(I16/O16)*10</f>
        <v>5.081967213114754</v>
      </c>
      <c r="Q16" s="42">
        <f t="shared" ref="Q16:Q21" si="6">SUM(J16/O16)*10</f>
        <v>1.6393442622950818</v>
      </c>
    </row>
    <row r="17" spans="8:17">
      <c r="H17" s="43" t="s">
        <v>32</v>
      </c>
      <c r="I17" s="44">
        <v>45</v>
      </c>
      <c r="J17" s="45">
        <v>8</v>
      </c>
      <c r="K17" s="44">
        <v>51</v>
      </c>
      <c r="L17" s="39">
        <v>9</v>
      </c>
      <c r="M17" s="39"/>
      <c r="N17" s="39"/>
      <c r="O17" s="40">
        <f t="shared" ref="O17:O21" si="7">SUM(K17:N17)</f>
        <v>60</v>
      </c>
      <c r="P17" s="41">
        <f t="shared" si="5"/>
        <v>7.5</v>
      </c>
      <c r="Q17" s="42">
        <f t="shared" si="6"/>
        <v>1.3333333333333333</v>
      </c>
    </row>
    <row r="18" spans="8:17">
      <c r="H18" s="43" t="s">
        <v>13</v>
      </c>
      <c r="I18" s="44">
        <v>92</v>
      </c>
      <c r="J18" s="45">
        <v>40</v>
      </c>
      <c r="K18" s="44">
        <v>116</v>
      </c>
      <c r="L18" s="39"/>
      <c r="M18" s="39"/>
      <c r="N18" s="39"/>
      <c r="O18" s="40">
        <f t="shared" si="7"/>
        <v>116</v>
      </c>
      <c r="P18" s="41">
        <f t="shared" si="5"/>
        <v>7.931034482758621</v>
      </c>
      <c r="Q18" s="42">
        <f t="shared" si="6"/>
        <v>3.4482758620689657</v>
      </c>
    </row>
    <row r="19" spans="8:17">
      <c r="H19" s="43" t="s">
        <v>33</v>
      </c>
      <c r="I19" s="44">
        <v>27</v>
      </c>
      <c r="J19" s="45">
        <v>21</v>
      </c>
      <c r="K19" s="44">
        <v>48</v>
      </c>
      <c r="L19" s="39">
        <v>9</v>
      </c>
      <c r="M19" s="39"/>
      <c r="N19" s="39"/>
      <c r="O19" s="40">
        <f t="shared" si="7"/>
        <v>57</v>
      </c>
      <c r="P19" s="41">
        <f t="shared" si="5"/>
        <v>4.7368421052631575</v>
      </c>
      <c r="Q19" s="42">
        <f t="shared" si="6"/>
        <v>3.6842105263157894</v>
      </c>
    </row>
    <row r="20" spans="8:17">
      <c r="H20" s="43" t="s">
        <v>12</v>
      </c>
      <c r="I20" s="44">
        <v>15</v>
      </c>
      <c r="J20" s="45">
        <v>43</v>
      </c>
      <c r="K20" s="44">
        <v>88</v>
      </c>
      <c r="L20" s="39"/>
      <c r="M20" s="39"/>
      <c r="N20" s="39"/>
      <c r="O20" s="40">
        <f t="shared" si="7"/>
        <v>88</v>
      </c>
      <c r="P20" s="41">
        <f t="shared" si="5"/>
        <v>1.7045454545454544</v>
      </c>
      <c r="Q20" s="42">
        <f t="shared" si="6"/>
        <v>4.8863636363636367</v>
      </c>
    </row>
    <row r="21" spans="8:17" ht="17" thickBot="1">
      <c r="H21" s="43" t="s">
        <v>11</v>
      </c>
      <c r="I21" s="44">
        <v>59</v>
      </c>
      <c r="J21" s="45">
        <v>27</v>
      </c>
      <c r="K21" s="44">
        <v>72</v>
      </c>
      <c r="L21" s="39">
        <v>21</v>
      </c>
      <c r="M21" s="39"/>
      <c r="N21" s="39"/>
      <c r="O21" s="40">
        <f t="shared" si="7"/>
        <v>93</v>
      </c>
      <c r="P21" s="41">
        <f t="shared" si="5"/>
        <v>6.344086021505376</v>
      </c>
      <c r="Q21" s="42">
        <f t="shared" si="6"/>
        <v>2.903225806451613</v>
      </c>
    </row>
    <row r="22" spans="8:17" ht="17" thickBot="1">
      <c r="H22" s="46" t="s">
        <v>56</v>
      </c>
      <c r="I22" s="47">
        <f t="shared" ref="I22:Q22" si="8">SUM(I16:I21)</f>
        <v>269</v>
      </c>
      <c r="J22" s="47">
        <f t="shared" si="8"/>
        <v>149</v>
      </c>
      <c r="K22" s="47">
        <f t="shared" si="8"/>
        <v>435</v>
      </c>
      <c r="L22" s="47">
        <f t="shared" si="8"/>
        <v>40</v>
      </c>
      <c r="M22" s="47">
        <f t="shared" si="8"/>
        <v>0</v>
      </c>
      <c r="N22" s="47">
        <f t="shared" si="8"/>
        <v>0</v>
      </c>
      <c r="O22" s="47">
        <f t="shared" si="8"/>
        <v>475</v>
      </c>
      <c r="P22" s="48">
        <f t="shared" si="8"/>
        <v>33.298475277187364</v>
      </c>
      <c r="Q22" s="48">
        <f t="shared" si="8"/>
        <v>17.894753426828419</v>
      </c>
    </row>
  </sheetData>
  <mergeCells count="13">
    <mergeCell ref="A1:B1"/>
    <mergeCell ref="K2:O2"/>
    <mergeCell ref="P2:Q2"/>
    <mergeCell ref="H14:H15"/>
    <mergeCell ref="I14:J14"/>
    <mergeCell ref="K14:O14"/>
    <mergeCell ref="P14:Q14"/>
    <mergeCell ref="I2:J2"/>
    <mergeCell ref="B2:C2"/>
    <mergeCell ref="D2:E2"/>
    <mergeCell ref="A11:C11"/>
    <mergeCell ref="A13:C1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ANT</vt:lpstr>
      <vt:lpstr>CAL</vt:lpstr>
      <vt:lpstr>CHI</vt:lpstr>
      <vt:lpstr>NEW</vt:lpstr>
      <vt:lpstr>OGDC</vt:lpstr>
      <vt:lpstr>SEA</vt:lpstr>
      <vt:lpstr>Results</vt:lpstr>
      <vt:lpstr>Stats</vt:lpstr>
      <vt:lpstr>Cards</vt:lpstr>
      <vt:lpstr>Table</vt:lpstr>
      <vt:lpstr>All-Time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Whatmore</dc:creator>
  <cp:lastModifiedBy>Ade Hill</cp:lastModifiedBy>
  <dcterms:created xsi:type="dcterms:W3CDTF">2025-12-08T14:10:36Z</dcterms:created>
  <dcterms:modified xsi:type="dcterms:W3CDTF">2026-05-26T17:22:43Z</dcterms:modified>
</cp:coreProperties>
</file>