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INTERNATIONAL WOMEN'S RUGBY/2022/"/>
    </mc:Choice>
  </mc:AlternateContent>
  <xr:revisionPtr revIDLastSave="408" documentId="8_{CC768398-B17F-49F7-861D-E1EB4024373A}" xr6:coauthVersionLast="47" xr6:coauthVersionMax="47" xr10:uidLastSave="{E51FC812-0D94-4596-A631-0A7D838DCC2D}"/>
  <bookViews>
    <workbookView xWindow="-26192" yWindow="747" windowWidth="26301" windowHeight="14169" tabRatio="969" activeTab="13" xr2:uid="{00000000-000D-0000-FFFF-FFFF00000000}"/>
  </bookViews>
  <sheets>
    <sheet name="Results" sheetId="34" r:id="rId1"/>
    <sheet name="WC Res &amp; Tabs" sheetId="42" r:id="rId2"/>
    <sheet name="WC Cards" sheetId="43" r:id="rId3"/>
    <sheet name="WC Stats" sheetId="44" r:id="rId4"/>
    <sheet name="6N Tab" sheetId="31" r:id="rId5"/>
    <sheet name="6N Res" sheetId="33" r:id="rId6"/>
    <sheet name="6N Cds" sheetId="32" r:id="rId7"/>
    <sheet name="AUS" sheetId="35" r:id="rId8"/>
    <sheet name="CAN" sheetId="38" r:id="rId9"/>
    <sheet name="ENG" sheetId="11" r:id="rId10"/>
    <sheet name="FIJ" sheetId="36" r:id="rId11"/>
    <sheet name="FRA" sheetId="13" r:id="rId12"/>
    <sheet name="IRE" sheetId="16" r:id="rId13"/>
    <sheet name="ITA" sheetId="17" r:id="rId14"/>
    <sheet name="JPN" sheetId="37" r:id="rId15"/>
    <sheet name="NZL" sheetId="40" r:id="rId16"/>
    <sheet name="SCO" sheetId="25" r:id="rId17"/>
    <sheet name="RSA" sheetId="41" r:id="rId18"/>
    <sheet name="USA" sheetId="39" r:id="rId19"/>
    <sheet name="WAL" sheetId="30" r:id="rId20"/>
  </sheets>
  <externalReferences>
    <externalReference r:id="rId21"/>
    <externalReference r:id="rId22"/>
    <externalReference r:id="rId23"/>
  </externalReferences>
  <definedNames>
    <definedName name="alltestshistlost">#REF!</definedName>
    <definedName name="alltestshistwon">#REF!</definedName>
    <definedName name="arg2019dg">#REF!</definedName>
    <definedName name="arg2019drawn">#REF!</definedName>
    <definedName name="arg2019lost">#REF!</definedName>
    <definedName name="arg2019played">#REF!</definedName>
    <definedName name="arg2019ptsconc">#REF!</definedName>
    <definedName name="arg2019ptsscored">#REF!</definedName>
    <definedName name="arg2019rwcdrawn">#REF!</definedName>
    <definedName name="arg2019rwclost">#REF!</definedName>
    <definedName name="arg2019rwcplayed">#REF!</definedName>
    <definedName name="arg2019rwcptsconc">#REF!</definedName>
    <definedName name="arg2019rwcptsscored">#REF!</definedName>
    <definedName name="arg2019rwcrc">#REF!</definedName>
    <definedName name="arg2019rwctriesconc">#REF!</definedName>
    <definedName name="arg2019rwctriesscored">#REF!</definedName>
    <definedName name="arg2019rwcwon">#REF!</definedName>
    <definedName name="arg2019rwcyc">#REF!</definedName>
    <definedName name="arg2019triesconc">#REF!</definedName>
    <definedName name="arg2019triesscored">#REF!</definedName>
    <definedName name="arg2019won">#REF!</definedName>
    <definedName name="Argentinaalltestsdrawn">#REF!</definedName>
    <definedName name="Argentinaalltestslost">#REF!</definedName>
    <definedName name="Argentinaalltestsplayed">#REF!</definedName>
    <definedName name="Argentinaalltestsptsagainst">#REF!</definedName>
    <definedName name="Argentinaalltestsptsscored">#REF!</definedName>
    <definedName name="Argentinaallteststriesscored">#REF!</definedName>
    <definedName name="Argentinaalltestswon">#REF!</definedName>
    <definedName name="ArgentinaWChistdrawn">#REF!</definedName>
    <definedName name="ArgentinaWChistlost">#REF!</definedName>
    <definedName name="ArgentinaWChistplayed">#REF!</definedName>
    <definedName name="ArgentinaWChistptsagainst">#REF!</definedName>
    <definedName name="ArgentinaWChistptsscored">#REF!</definedName>
    <definedName name="ArgentinaWChisttriesscored">#REF!</definedName>
    <definedName name="ArgentinaWChistwon">#REF!</definedName>
    <definedName name="argoveralllb">#REF!</definedName>
    <definedName name="argoverallptsag">#REF!</definedName>
    <definedName name="argoverallptsfor">#REF!</definedName>
    <definedName name="argoverallreds">#REF!</definedName>
    <definedName name="argoveralltb">#REF!</definedName>
    <definedName name="argoveralltbcon">#REF!</definedName>
    <definedName name="argoveralltries">#REF!</definedName>
    <definedName name="argoveralltriescon">#REF!</definedName>
    <definedName name="argoverallyellows">#REF!</definedName>
    <definedName name="ArgPool2019drawn">#REF!</definedName>
    <definedName name="ArgPool2019lost">#REF!</definedName>
    <definedName name="ArgPool2019won">#REF!</definedName>
    <definedName name="ArgPoolagainst">#REF!</definedName>
    <definedName name="Argpooldrawn">#REF!</definedName>
    <definedName name="ArgPoolfor">#REF!</definedName>
    <definedName name="Argpoollb">#REF!</definedName>
    <definedName name="ArgPoollbfor">#REF!</definedName>
    <definedName name="argpoollbscored">#REF!</definedName>
    <definedName name="Argpoollost">#REF!</definedName>
    <definedName name="ArgPoolplayed">#REF!</definedName>
    <definedName name="Argpoolpld">#REF!</definedName>
    <definedName name="Argpoolptsag">#REF!</definedName>
    <definedName name="Argpoolreds">#REF!</definedName>
    <definedName name="Argpooltb">#REF!</definedName>
    <definedName name="ArgPooltbagainst">#REF!</definedName>
    <definedName name="Argpooltbcon">#REF!</definedName>
    <definedName name="ArgPooltbfor">#REF!</definedName>
    <definedName name="argpooltbscored">#REF!</definedName>
    <definedName name="ArgPooltriesagainst">#REF!</definedName>
    <definedName name="Argpooltriescon">#REF!</definedName>
    <definedName name="argpooltriesconcorrect">#REF!</definedName>
    <definedName name="Argpooltriesfor">#REF!</definedName>
    <definedName name="ArgPooltriesscored">#REF!</definedName>
    <definedName name="argpooltriesscoredcorrect">#REF!</definedName>
    <definedName name="Argpoolwon">#REF!</definedName>
    <definedName name="Argpoolyellows">#REF!</definedName>
    <definedName name="Argptsfor">#REF!</definedName>
    <definedName name="Aus2019pooldrawn">#REF!</definedName>
    <definedName name="Aus2019poollbcon">#REF!</definedName>
    <definedName name="Aus2019poollbscored">#REF!</definedName>
    <definedName name="Aus2019poollost">#REF!</definedName>
    <definedName name="Aus2019poolplayed">#REF!</definedName>
    <definedName name="Aus2019poolptsagainst">#REF!</definedName>
    <definedName name="Aus2019poolptsscored">#REF!</definedName>
    <definedName name="Aus2019pooltbcon">#REF!</definedName>
    <definedName name="Aus2019pooltbscored">#REF!</definedName>
    <definedName name="Aus2019pooltriesconc">#REF!</definedName>
    <definedName name="Aus2019pooltriesscored">#REF!</definedName>
    <definedName name="Aus2019poolwon">#REF!</definedName>
    <definedName name="Aus2019rwcdrawn">#REF!</definedName>
    <definedName name="Aus2019rwclost">#REF!</definedName>
    <definedName name="Aus2019rwclostcorrect">#REF!</definedName>
    <definedName name="Aus2019rwcplayed">#REF!</definedName>
    <definedName name="Aus2019rwcptsagainst">#REF!</definedName>
    <definedName name="Aus2019rwcptsscored">#REF!</definedName>
    <definedName name="Aus2019rwcrc">#REF!</definedName>
    <definedName name="Aus2019rwctriesconc">#REF!</definedName>
    <definedName name="Aus2019rwctriesscored">#REF!</definedName>
    <definedName name="Aus2019rwcwon">#REF!</definedName>
    <definedName name="Aus2019rwcyc">#REF!</definedName>
    <definedName name="aus2021wcpooldrawn">AUS!$AA$17</definedName>
    <definedName name="aus2021wcpoollbscored">AUS!$I$17</definedName>
    <definedName name="aus2021wcpoollost">AUS!$AB$17</definedName>
    <definedName name="aus2021wcpoolplayed">AUS!$Y$17</definedName>
    <definedName name="aus2021wcpoolpointsagainst">AUS!$G$17</definedName>
    <definedName name="aus2021wcpoolpointsscored">AUS!$F$17</definedName>
    <definedName name="Aus2021wcpooltbscored">AUS!$H$17</definedName>
    <definedName name="aus2021wcpooltriesconceded">AUS!$R$17</definedName>
    <definedName name="aus2021wcpooltriesscored">AUS!$J$17</definedName>
    <definedName name="aus2021wcpoolwon">AUS!$Z$17</definedName>
    <definedName name="aus2021wcrc">AUS!$O$10</definedName>
    <definedName name="aus2021wcrccorrect">AUS!$O$19</definedName>
    <definedName name="aus2021wctbcon">AUS!$P$17</definedName>
    <definedName name="aus2021wcyc">AUS!$N$19</definedName>
    <definedName name="ausbp">#REF!</definedName>
    <definedName name="ausd">#REF!</definedName>
    <definedName name="ausl">#REF!</definedName>
    <definedName name="auslb">#REF!</definedName>
    <definedName name="auslbcon">#REF!</definedName>
    <definedName name="ausoveralldrawn">#REF!</definedName>
    <definedName name="ausoveralllost">#REF!</definedName>
    <definedName name="ausoverallpld">#REF!</definedName>
    <definedName name="ausoverallptsaga">#REF!</definedName>
    <definedName name="ausoverallptsfor">#REF!</definedName>
    <definedName name="ausoveralltriescon">#REF!</definedName>
    <definedName name="ausoveralltriesscored">#REF!</definedName>
    <definedName name="ausoverallwon">#REF!</definedName>
    <definedName name="auspl">#REF!</definedName>
    <definedName name="auspooldrawn">#REF!</definedName>
    <definedName name="auspoollb">#REF!</definedName>
    <definedName name="auspoollost">#REF!</definedName>
    <definedName name="auspoolpld">#REF!</definedName>
    <definedName name="auspoolptsag">#REF!</definedName>
    <definedName name="auspoolptsfor">#REF!</definedName>
    <definedName name="auspooltb">#REF!</definedName>
    <definedName name="auspooltriescon">#REF!</definedName>
    <definedName name="auspooltriesscored">#REF!</definedName>
    <definedName name="auspoolwon">#REF!</definedName>
    <definedName name="ausptsa">#REF!</definedName>
    <definedName name="ausptsf">#REF!</definedName>
    <definedName name="ausred">#REF!</definedName>
    <definedName name="austb">#REF!</definedName>
    <definedName name="austbcon">#REF!</definedName>
    <definedName name="austra">#REF!</definedName>
    <definedName name="australiaalltests2019drawn">#REF!</definedName>
    <definedName name="australiaalltests2019lost">#REF!</definedName>
    <definedName name="australiaalltests2019played">#REF!</definedName>
    <definedName name="australiaalltests2019playedcorrect">#REF!</definedName>
    <definedName name="australiaalltests2019ptsagainst">#REF!</definedName>
    <definedName name="australiaalltests2019ptsscored">#REF!</definedName>
    <definedName name="australiaalltests2019triesconc">#REF!</definedName>
    <definedName name="australiaalltests2019triesscored">#REF!</definedName>
    <definedName name="australiaalltests2019won">#REF!</definedName>
    <definedName name="Australiaalltestshistdrawn">#REF!</definedName>
    <definedName name="Australiaalltestshistlost">#REF!</definedName>
    <definedName name="Australiaalltestshistplayed">#REF!</definedName>
    <definedName name="Australiaalltestshistptsagainst">#REF!</definedName>
    <definedName name="Australiaalltestshistptsscored">#REF!</definedName>
    <definedName name="Australiaalltestshisttriesscored">#REF!</definedName>
    <definedName name="Australiaalltestshistwon">#REF!</definedName>
    <definedName name="AustraliaWChistdrawn">#REF!</definedName>
    <definedName name="AustraliaWChistlost">#REF!</definedName>
    <definedName name="AustraliaWChistplayed">#REF!</definedName>
    <definedName name="AustraliaWChistptsagainst">#REF!</definedName>
    <definedName name="AustraliaWChistptsscored">#REF!</definedName>
    <definedName name="AustraliaWChisttriesscored">#REF!</definedName>
    <definedName name="AustraliaWChistwon">#REF!</definedName>
    <definedName name="austrf">#REF!</definedName>
    <definedName name="auswon">#REF!</definedName>
    <definedName name="ausyellow">#REF!</definedName>
    <definedName name="bathbonus">#REF!</definedName>
    <definedName name="bathbonusccorrect">#REF!</definedName>
    <definedName name="bathconceded">#REF!</definedName>
    <definedName name="bathdrawn">#REF!</definedName>
    <definedName name="bathdropgoals">#REF!</definedName>
    <definedName name="bathlost">#REF!</definedName>
    <definedName name="bathpld">#REF!</definedName>
    <definedName name="bathpodrawn">#REF!</definedName>
    <definedName name="bathpolost">#REF!</definedName>
    <definedName name="bathpopld">#REF!</definedName>
    <definedName name="bathpoptsconceded">#REF!</definedName>
    <definedName name="bathpoptsscored">#REF!</definedName>
    <definedName name="bathpored">#REF!</definedName>
    <definedName name="bathpotriesconceded">#REF!</definedName>
    <definedName name="bathpotriesscored">#REF!</definedName>
    <definedName name="bathpowon">#REF!</definedName>
    <definedName name="bathpoyellow">#REF!</definedName>
    <definedName name="bathred">#REF!</definedName>
    <definedName name="bathscored">#REF!</definedName>
    <definedName name="bathtriesconceded">#REF!</definedName>
    <definedName name="bathtriesscored">#REF!</definedName>
    <definedName name="bathtrybonus">#REF!</definedName>
    <definedName name="bathtrybonusconceded">#REF!</definedName>
    <definedName name="bathwon">#REF!</definedName>
    <definedName name="bathyellow">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#REF!</definedName>
    <definedName name="can2019alltestslost">#REF!</definedName>
    <definedName name="can2019alltestsplayed">#REF!</definedName>
    <definedName name="can2019alltestsptsagainst">#REF!</definedName>
    <definedName name="can2019alltestsptsscored">#REF!</definedName>
    <definedName name="can2019allteststriescon">#REF!</definedName>
    <definedName name="can2019allteststriesscored">#REF!</definedName>
    <definedName name="can2019alltestswon">#REF!</definedName>
    <definedName name="can2019pooldrawn">#REF!</definedName>
    <definedName name="can2019poollbcon">#REF!</definedName>
    <definedName name="can2019poollbscored">#REF!</definedName>
    <definedName name="can2019poollost">#REF!</definedName>
    <definedName name="can2019poolplayed">#REF!</definedName>
    <definedName name="can2019poolptsagainst">#REF!</definedName>
    <definedName name="can2019poolptsscored">#REF!</definedName>
    <definedName name="can2019pooltbcon">#REF!</definedName>
    <definedName name="can2019pooltbscored">#REF!</definedName>
    <definedName name="can2019pooltriescon">#REF!</definedName>
    <definedName name="can2019pooltriesscored">#REF!</definedName>
    <definedName name="can2019pooltriesscoredcorrect">#REF!</definedName>
    <definedName name="can2019poolwon">#REF!</definedName>
    <definedName name="can2019rwcdrawn">#REF!</definedName>
    <definedName name="can2019rwclost">#REF!</definedName>
    <definedName name="can2019rwcplayed">#REF!</definedName>
    <definedName name="can2019rwcptsagainst">#REF!</definedName>
    <definedName name="can2019rwcptsscored">#REF!</definedName>
    <definedName name="can2019rwcrc">#REF!</definedName>
    <definedName name="can2019rwctriescon">#REF!</definedName>
    <definedName name="can2019rwctriesscored">#REF!</definedName>
    <definedName name="can2019rwcwon">#REF!</definedName>
    <definedName name="can2019rwcyc">#REF!</definedName>
    <definedName name="can2021wcpooldrawn">CAN!$AA$16</definedName>
    <definedName name="can2021wcpoollbscored">CAN!$I$16</definedName>
    <definedName name="can2021wcpoollost">CAN!$AB$16</definedName>
    <definedName name="can2021wcpoolplayed">CAN!$Y$16</definedName>
    <definedName name="can2021wcpoolpointsagainst">CAN!$G$16</definedName>
    <definedName name="can2021wcpoolpointsscored">CAN!$F$16</definedName>
    <definedName name="can2021wcpooltbscored">CAN!$H$16</definedName>
    <definedName name="can2021wcpooltriesconceded">CAN!$R$16</definedName>
    <definedName name="can2021wcpooltriesscored">CAN!$J$16</definedName>
    <definedName name="can2021wcpoolwon">CAN!$Z$16</definedName>
    <definedName name="can2021wcrc">CAN!$O$18</definedName>
    <definedName name="can2021wctbcon">CAN!$P$16</definedName>
    <definedName name="can2021wcyc">CAN!$N$18</definedName>
    <definedName name="Canadaalltestshistdrawn">#REF!</definedName>
    <definedName name="Canadaalltestshistlost">#REF!</definedName>
    <definedName name="Canadaalltestshistplayed">#REF!</definedName>
    <definedName name="Canadaalltestshistptsagainst">#REF!</definedName>
    <definedName name="Canadaalltestshistptsscored">#REF!</definedName>
    <definedName name="Canadaalltestshisttriesscored">#REF!</definedName>
    <definedName name="Canadaalltestshistwon">#REF!</definedName>
    <definedName name="CanadaRWChistdrawn">#REF!</definedName>
    <definedName name="CanadaRWChistlost">#REF!</definedName>
    <definedName name="CanadaRWChistplayed">#REF!</definedName>
    <definedName name="CanadaRWChistptsagainst">#REF!</definedName>
    <definedName name="CanadaRWChistptsscored">#REF!</definedName>
    <definedName name="CanadaRWChisttriesscored">#REF!</definedName>
    <definedName name="CanadaRWChistwon">#REF!</definedName>
    <definedName name="canlb">#REF!</definedName>
    <definedName name="canlbcon">#REF!</definedName>
    <definedName name="canoveralldrwn">#REF!</definedName>
    <definedName name="canoveralllost">#REF!</definedName>
    <definedName name="canoverallpld">#REF!</definedName>
    <definedName name="canoverallptsag">#REF!</definedName>
    <definedName name="canoverallptsscored">#REF!</definedName>
    <definedName name="canoveralltriescon">#REF!</definedName>
    <definedName name="canoveralltriesscored">#REF!</definedName>
    <definedName name="canoverallwon">#REF!</definedName>
    <definedName name="canpooldrawn">#REF!</definedName>
    <definedName name="canpoollost">#REF!</definedName>
    <definedName name="canpoolpld">#REF!</definedName>
    <definedName name="canpoolptsag">#REF!</definedName>
    <definedName name="canpoolptsscored">#REF!</definedName>
    <definedName name="canpooltriescon">#REF!</definedName>
    <definedName name="canpooltriesscored">#REF!</definedName>
    <definedName name="canpoolwoin">#REF!</definedName>
    <definedName name="canred">#REF!</definedName>
    <definedName name="cantb">#REF!</definedName>
    <definedName name="cantbcon">#REF!</definedName>
    <definedName name="canyellow">#REF!</definedName>
    <definedName name="drawn">#REF!</definedName>
    <definedName name="Eng2019alltestsdrawn">ENG!$AA$21</definedName>
    <definedName name="Eng2019alltestslost">ENG!$AB$21</definedName>
    <definedName name="Eng2019alltestsplayed">ENG!$Y$21</definedName>
    <definedName name="Eng2019alltestsptsagainst">ENG!$G$21</definedName>
    <definedName name="Eng2019alltestsptsscored">ENG!$F$21</definedName>
    <definedName name="Eng2019allteststriescon">ENG!$R$21</definedName>
    <definedName name="Eng2019allteststriesscored">ENG!$J$21</definedName>
    <definedName name="Eng2019alltestswon">ENG!$Z$21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2021wcpooldrawn">ENG!$AA$17</definedName>
    <definedName name="eng2021wcpoollbscored">ENG!$I$17</definedName>
    <definedName name="eng2021wcpoollost">ENG!$AB$17</definedName>
    <definedName name="eng2021wcpoolplayed">ENG!$Y$17</definedName>
    <definedName name="eng2021wcpoolpointsagainst">ENG!$G$17</definedName>
    <definedName name="eng2021wcpoolpointsscored">ENG!$F$17</definedName>
    <definedName name="eng2021wcpooltbscored">ENG!$H$17</definedName>
    <definedName name="eng2021wcpooltriesconceded">ENG!$R$17</definedName>
    <definedName name="eng2021wcpooltriesscored">ENG!$J$17</definedName>
    <definedName name="eng2021wcpoolwon">ENG!$Z$17</definedName>
    <definedName name="eng2021wcrc">ENG!$O$19</definedName>
    <definedName name="eng2021wctbcon">ENG!$P$17</definedName>
    <definedName name="eng2021wcyc">ENG!$N$19</definedName>
    <definedName name="Englandalltestshistdrawn">#REF!</definedName>
    <definedName name="Englandalltestshistlost">#REF!</definedName>
    <definedName name="Englandalltestshistplayed">#REF!</definedName>
    <definedName name="Englandalltestshistptsagainst">#REF!</definedName>
    <definedName name="Englandalltestshistptsscored">#REF!</definedName>
    <definedName name="Englandalltestshisttriesscored">#REF!</definedName>
    <definedName name="Englandalltestshistwon">#REF!</definedName>
    <definedName name="Englanddrawn">ENG!$AA$16</definedName>
    <definedName name="Englandlosingbonus">ENG!$I$16</definedName>
    <definedName name="Englandlost">ENG!$AB$16</definedName>
    <definedName name="Englandplayed">ENG!$Y$16</definedName>
    <definedName name="Englandptsagainst">ENG!$G$16</definedName>
    <definedName name="Englandptsscored">ENG!$F$16</definedName>
    <definedName name="Englandred">ENG!$O$16</definedName>
    <definedName name="EnglandRWChistdrawn">#REF!</definedName>
    <definedName name="EnglandRWChistlost">#REF!</definedName>
    <definedName name="EnglandRWChistplayed">#REF!</definedName>
    <definedName name="EnglandRWChistptsagainst">#REF!</definedName>
    <definedName name="EnglandRWChistptsscored">#REF!</definedName>
    <definedName name="EnglandRWChisttriesscored">#REF!</definedName>
    <definedName name="EnglandRWChistwon">#REF!</definedName>
    <definedName name="Englandtriesagainst">ENG!$R$16</definedName>
    <definedName name="Englandtriesscored">ENG!$J$16</definedName>
    <definedName name="Englandtrybonus">ENG!$H$16</definedName>
    <definedName name="Englandwon">ENG!$Z$16</definedName>
    <definedName name="Englandyellow">ENG!$N$16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#REF!</definedName>
    <definedName name="exeterconceded">#REF!</definedName>
    <definedName name="exeterdrawn">#REF!</definedName>
    <definedName name="exeterlosingbonus">#REF!</definedName>
    <definedName name="exeterlosingbonusconceded">#REF!</definedName>
    <definedName name="exeterlost">#REF!</definedName>
    <definedName name="exeterpld">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#REF!</definedName>
    <definedName name="exeterscored">#REF!</definedName>
    <definedName name="exetertriesconceded">#REF!</definedName>
    <definedName name="exetertriesscored">#REF!</definedName>
    <definedName name="exetertrybonusconceded">#REF!</definedName>
    <definedName name="exetertrybonusscored">#REF!</definedName>
    <definedName name="exeterwon">#REF!</definedName>
    <definedName name="exeteryellow">#REF!</definedName>
    <definedName name="feapoolptsag">FRA!#REF!</definedName>
    <definedName name="Fij2019alltestsdrawn">#REF!</definedName>
    <definedName name="Fij2019alltestslost">#REF!</definedName>
    <definedName name="Fij2019alltestsplayed">#REF!</definedName>
    <definedName name="Fij2019alltestsptsagainst">#REF!</definedName>
    <definedName name="Fij2019alltestsptsscored">#REF!</definedName>
    <definedName name="Fij2019allteststriescon">#REF!</definedName>
    <definedName name="Fij2019allteststriesscored">#REF!</definedName>
    <definedName name="Fij2019alltestswon">#REF!</definedName>
    <definedName name="Fij2019pooldrawn">#REF!</definedName>
    <definedName name="Fij2019poollbcon">#REF!</definedName>
    <definedName name="Fij2019poollbscored">#REF!</definedName>
    <definedName name="Fij2019poollost">#REF!</definedName>
    <definedName name="Fij2019poolplayed">#REF!</definedName>
    <definedName name="Fij2019poolptsagainst">#REF!</definedName>
    <definedName name="Fij2019poolptsscored">#REF!</definedName>
    <definedName name="Fij2019pooltbcon">#REF!</definedName>
    <definedName name="Fij2019pooltbscored">#REF!</definedName>
    <definedName name="Fij2019pooltriescon">#REF!</definedName>
    <definedName name="Fij2019pooltriesscored">#REF!</definedName>
    <definedName name="Fij2019poolwon">#REF!</definedName>
    <definedName name="Fij2019RWCdrawn">#REF!</definedName>
    <definedName name="Fij2019RWClost">#REF!</definedName>
    <definedName name="Fij2019RWCplayed">#REF!</definedName>
    <definedName name="Fij2019RWCptsagainst">#REF!</definedName>
    <definedName name="Fij2019RWCptsscored">#REF!</definedName>
    <definedName name="Fij2019RWCrc">#REF!</definedName>
    <definedName name="Fij2019RWCtriescon">#REF!</definedName>
    <definedName name="Fij2019RWCtriesscored">#REF!</definedName>
    <definedName name="Fij2019RWCwonj">#REF!</definedName>
    <definedName name="Fij2019RWCyc">#REF!</definedName>
    <definedName name="fij2021wcpooldrawn">FIJ!$AA$17</definedName>
    <definedName name="fij2021wcpoollbscored">FIJ!$I$17</definedName>
    <definedName name="fij2021wcpoollost">FIJ!$AB$17</definedName>
    <definedName name="fij2021wcpoolplayed">FIJ!$Y$17</definedName>
    <definedName name="fij2021wcpoolpointsagainst">FIJ!$G$17</definedName>
    <definedName name="fij2021wcpoolpointsscored">FIJ!$F$17</definedName>
    <definedName name="fij2021wcpooltbscored">FIJ!$H$17</definedName>
    <definedName name="fij2021wcpooltriesconceded">FIJ!$R$17</definedName>
    <definedName name="fij2021wcpooltriesscored">FIJ!$J$17</definedName>
    <definedName name="fij2021wcpoolwon">FIJ!$Z$17</definedName>
    <definedName name="fij2021wcrc">FIJ!$O$19</definedName>
    <definedName name="fij2021wctbcon">FIJ!$P$17</definedName>
    <definedName name="fij2021wcyc">FIJ!$O$19</definedName>
    <definedName name="fij2021wcyccorrect">FIJ!$N$19</definedName>
    <definedName name="Fijialltestshistdrawn">#REF!</definedName>
    <definedName name="Fijialltestshistlost">#REF!</definedName>
    <definedName name="Fijialltestshistplayed">#REF!</definedName>
    <definedName name="Fijialltestshistptsagainst">#REF!</definedName>
    <definedName name="Fijialltestshistptsscored">#REF!</definedName>
    <definedName name="Fijialltestshisttriesscored">#REF!</definedName>
    <definedName name="Fijialltestshistwon">#REF!</definedName>
    <definedName name="FijiRWChistdrawn">#REF!</definedName>
    <definedName name="FijiRWChistlost">#REF!</definedName>
    <definedName name="FijiRWChistplayed">#REF!</definedName>
    <definedName name="FijiRWChistptsagainst">#REF!</definedName>
    <definedName name="FijiRWChistptsscored">#REF!</definedName>
    <definedName name="FijiRWChisttriesscored">#REF!</definedName>
    <definedName name="FijiRWChistwon">#REF!</definedName>
    <definedName name="fijlb">#REF!</definedName>
    <definedName name="fijlbcon">#REF!</definedName>
    <definedName name="fijoveralldrawn">#REF!</definedName>
    <definedName name="fijoveralllost">#REF!</definedName>
    <definedName name="fijoverallpld">#REF!</definedName>
    <definedName name="fijoverallptsaga">#REF!</definedName>
    <definedName name="fijoverallptsscored">#REF!</definedName>
    <definedName name="fijoveralltriescon">#REF!</definedName>
    <definedName name="fijoveralltriesscored">#REF!</definedName>
    <definedName name="fijoverallwon">#REF!</definedName>
    <definedName name="Fijpooldrawn">#REF!</definedName>
    <definedName name="Fijpoollost">#REF!</definedName>
    <definedName name="Fijpoolpld">#REF!</definedName>
    <definedName name="Fijpoolptsag">#REF!</definedName>
    <definedName name="Fijpoolptsscored">#REF!</definedName>
    <definedName name="Fijpooltriescon">#REF!</definedName>
    <definedName name="Fijpooltriesscored">#REF!</definedName>
    <definedName name="Fijpoolwon">#REF!</definedName>
    <definedName name="fijred">#REF!</definedName>
    <definedName name="fijtb">#REF!</definedName>
    <definedName name="fijtbcon">#REF!</definedName>
    <definedName name="fijyellow">#REF!</definedName>
    <definedName name="Fra2019alltestsdrawn">FRA!$AA$21</definedName>
    <definedName name="Fra2019alltestslost">FRA!$AB$21</definedName>
    <definedName name="Fra2019alltestsplayed">FRA!$Y$21</definedName>
    <definedName name="Fra2019alltestsptsagainst">FRA!$G$21</definedName>
    <definedName name="Fra2019alltestsptsscored">FRA!$F$21</definedName>
    <definedName name="Fra2019allteststriescon">FRA!$R$21</definedName>
    <definedName name="Fra2019allteststriesscored">FRA!$J$21</definedName>
    <definedName name="Fra2019alltestswon">FRA!$Z$21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2021wcpooldrawn">FRA!$AA$17</definedName>
    <definedName name="fra2021wcpoollbscored">FRA!$I$17</definedName>
    <definedName name="fra2021wcpoollost">FRA!$AB$17</definedName>
    <definedName name="fra2021wcpoolplayed">FRA!$Y$17</definedName>
    <definedName name="fra2021wcpoolpointsagainst">FRA!$G$17</definedName>
    <definedName name="fra2021wcpoolpointsscored">FRA!$F$17</definedName>
    <definedName name="fra2021wcpooltbscored">FRA!$H$17</definedName>
    <definedName name="fra2021wcpooltriesconceded">FRA!$R$17</definedName>
    <definedName name="fra2021wcpooltriesscored">FRA!$J$17</definedName>
    <definedName name="fra2021wcpoolwon">FRA!$Z$17</definedName>
    <definedName name="fra2021wcrc">FRA!$O$19</definedName>
    <definedName name="fra2021wctbcon">FRA!$P$17</definedName>
    <definedName name="fra2021wcyc">FRA!$N$19</definedName>
    <definedName name="fralb">FRA!#REF!</definedName>
    <definedName name="fralbcon">FRA!#REF!</definedName>
    <definedName name="Francealltestshistdrawn">#REF!</definedName>
    <definedName name="Francealltestshistlost">#REF!</definedName>
    <definedName name="Francealltestshistplayed">#REF!</definedName>
    <definedName name="Francealltestshistptscon">#REF!</definedName>
    <definedName name="Francealltestshistptsscored">#REF!</definedName>
    <definedName name="Francealltestshisttriesscored">#REF!</definedName>
    <definedName name="Francealltestshistwon">#REF!</definedName>
    <definedName name="Francedrawn">FRA!$AA$16</definedName>
    <definedName name="Francelosingbonus">FRA!$I$16</definedName>
    <definedName name="Francelost">FRA!$AB$16</definedName>
    <definedName name="Franceplayed">FRA!$Y$16</definedName>
    <definedName name="Franceptsagainst">FRA!$G$16</definedName>
    <definedName name="Franceptsscored">FRA!$F$16</definedName>
    <definedName name="Francered">FRA!$O$16</definedName>
    <definedName name="FranceRWChistdrawn">#REF!</definedName>
    <definedName name="FranceRWChistlost">#REF!</definedName>
    <definedName name="FranceRWChistplayed">#REF!</definedName>
    <definedName name="FranceRWChistptsagainst">#REF!</definedName>
    <definedName name="FranceRWChistptsscored">#REF!</definedName>
    <definedName name="FranceRWChisttriesscored">#REF!</definedName>
    <definedName name="FranceRWChistwon">#REF!</definedName>
    <definedName name="Francetriesagainst">FRA!$R$16</definedName>
    <definedName name="Francetriesscored">FRA!$J$16</definedName>
    <definedName name="Francetrybonus">FRA!$H$16</definedName>
    <definedName name="Francewon">FRA!$Z$16</definedName>
    <definedName name="FRanceyellow">FRA!$N$16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#REF!</definedName>
    <definedName name="Geo2019alltestslost">#REF!</definedName>
    <definedName name="Geo2019alltestsplayed">#REF!</definedName>
    <definedName name="Geo2019alltestsptsagainst">#REF!</definedName>
    <definedName name="Geo2019alltestsptsscored">#REF!</definedName>
    <definedName name="Geo2019allteststriesconceded">#REF!</definedName>
    <definedName name="Geo2019allteststriesscored">#REF!</definedName>
    <definedName name="Geo2019alltestswon">#REF!</definedName>
    <definedName name="Geo2019pooldrawn">#REF!</definedName>
    <definedName name="Geo2019poollbcon">#REF!</definedName>
    <definedName name="Geo2019poollbscored">#REF!</definedName>
    <definedName name="Geo2019poollost">#REF!</definedName>
    <definedName name="Geo2019poolplayed">#REF!</definedName>
    <definedName name="Geo2019poolptsagainst">#REF!</definedName>
    <definedName name="Geo2019poolptsscored">#REF!</definedName>
    <definedName name="Geo2019pooltbcon">#REF!</definedName>
    <definedName name="Geo2019pooltbscored">#REF!</definedName>
    <definedName name="Geo2019pooltriescon">#REF!</definedName>
    <definedName name="Geo2019pooltriesscored">#REF!</definedName>
    <definedName name="Geo2019poolwon">#REF!</definedName>
    <definedName name="Geo2019RWCdrawn">#REF!</definedName>
    <definedName name="Geo2019RWClost">#REF!</definedName>
    <definedName name="Geo2019RWCplayed">#REF!</definedName>
    <definedName name="Geo2019RWCptsagainst">#REF!</definedName>
    <definedName name="Geo2019RWCptsscored">#REF!</definedName>
    <definedName name="Geo2019RWCrc">#REF!</definedName>
    <definedName name="Geo2019RWCtriescon">#REF!</definedName>
    <definedName name="Geo2019RWCtriesscored">#REF!</definedName>
    <definedName name="Geo2019RWCwon">#REF!</definedName>
    <definedName name="Geo2019RWCyc">#REF!</definedName>
    <definedName name="geolb">#REF!</definedName>
    <definedName name="geolbcon">#REF!</definedName>
    <definedName name="geooveralldrawn">#REF!</definedName>
    <definedName name="geooveralllost">#REF!</definedName>
    <definedName name="geooverallpld">#REF!</definedName>
    <definedName name="geooverallptsag">#REF!</definedName>
    <definedName name="geooverallptsscored">#REF!</definedName>
    <definedName name="geooveralltriescon">#REF!</definedName>
    <definedName name="geooveralltriesscored">#REF!</definedName>
    <definedName name="geooverallwon">#REF!</definedName>
    <definedName name="geopooldrawn">#REF!</definedName>
    <definedName name="geopoollost">#REF!</definedName>
    <definedName name="geopoolpld">#REF!</definedName>
    <definedName name="geopoolptsag">#REF!</definedName>
    <definedName name="geopoolptsscored">#REF!</definedName>
    <definedName name="geopooltriescon">#REF!</definedName>
    <definedName name="geopooltriesscored">#REF!</definedName>
    <definedName name="geopoolwon">#REF!</definedName>
    <definedName name="geored">#REF!</definedName>
    <definedName name="Georgiaalltestshistdrawn">#REF!</definedName>
    <definedName name="Georgiaalltestshistlost">#REF!</definedName>
    <definedName name="Georgiaalltestshistplayed">#REF!</definedName>
    <definedName name="Georgiaalltestshistptsagainst">#REF!</definedName>
    <definedName name="Georgiaalltestshistptsscored">#REF!</definedName>
    <definedName name="Georgiaalltestshisttriesscored">#REF!</definedName>
    <definedName name="Georgiaalltestshistwon">#REF!</definedName>
    <definedName name="GeorgiaRWChistdrawn">#REF!</definedName>
    <definedName name="GeorgiaRWChistlost">#REF!</definedName>
    <definedName name="GeorgiaRWChistplayed">#REF!</definedName>
    <definedName name="GeorgiaRWChistptsagainst">#REF!</definedName>
    <definedName name="GeorgiaRWChistptsscored">#REF!</definedName>
    <definedName name="GeorgiaRWChisttriesscored">#REF!</definedName>
    <definedName name="GeorgiaRWChistwon">#REF!</definedName>
    <definedName name="geotb">#REF!</definedName>
    <definedName name="geotbcon">#REF!</definedName>
    <definedName name="geoyellow">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#REF!</definedName>
    <definedName name="harconceded">#REF!</definedName>
    <definedName name="hardrawn">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#REF!</definedName>
    <definedName name="harlosingbonusconceded">#REF!</definedName>
    <definedName name="harlost">#REF!</definedName>
    <definedName name="harplayed">#REF!</definedName>
    <definedName name="harred">#REF!</definedName>
    <definedName name="harscored">#REF!</definedName>
    <definedName name="hartriesconceded">#REF!</definedName>
    <definedName name="hartriesscored">#REF!</definedName>
    <definedName name="hartrybonus">#REF!</definedName>
    <definedName name="hartrybonusconceded">#REF!</definedName>
    <definedName name="harwon">#REF!</definedName>
    <definedName name="haryellow">#REF!</definedName>
    <definedName name="Ire2019alltestsdrawn">IRE!$AA$12</definedName>
    <definedName name="Ire2019alltestslost">IRE!$AB$12</definedName>
    <definedName name="Ire2019alltestsplayed">IRE!$Y$12</definedName>
    <definedName name="Ire2019alltestsptscon">IRE!$G$12</definedName>
    <definedName name="Ire2019alltestsptsscored">IRE!$F$12</definedName>
    <definedName name="Ire2019allteststriescon">IRE!$R$12</definedName>
    <definedName name="Ire2019allteststriesscored">IRE!$J$12</definedName>
    <definedName name="Ire2019alltestswon">IRE!$Z$12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landalltestshistdrawn">#REF!</definedName>
    <definedName name="Irelandalltestshistlost">#REF!</definedName>
    <definedName name="Irelandalltestshistplayed">#REF!</definedName>
    <definedName name="Irelandalltestshistptsagainst">#REF!</definedName>
    <definedName name="Irelandalltestshistptsscored">#REF!</definedName>
    <definedName name="Irelandalltestshisttriesscored">#REF!</definedName>
    <definedName name="Irelandalltestshistwon">#REF!</definedName>
    <definedName name="Irelanddrawn">IRE!$AA$10</definedName>
    <definedName name="Irelandlosingbonus">IRE!$I$10</definedName>
    <definedName name="Irelandlost">IRE!$AB$10</definedName>
    <definedName name="Irelandplayed">IRE!$Y$10</definedName>
    <definedName name="Irelandptsagainst">IRE!$G$10</definedName>
    <definedName name="Irelandptsscored">IRE!$F$10</definedName>
    <definedName name="Irelandred">IRE!$O$10</definedName>
    <definedName name="IrelandRWChistdrawn">#REF!</definedName>
    <definedName name="IrelandRWChistlost">#REF!</definedName>
    <definedName name="IrelandRWChistplayed">#REF!</definedName>
    <definedName name="IrelandRWChistptsagainst">#REF!</definedName>
    <definedName name="IrelandRWChistptsscored">#REF!</definedName>
    <definedName name="IrelandRWChisttriesscored">#REF!</definedName>
    <definedName name="IrelandRWChistwon">#REF!</definedName>
    <definedName name="Irelandtriesagainst">IRE!$R$10</definedName>
    <definedName name="Irelandtriesscored">IRE!$J$10</definedName>
    <definedName name="Irelandtrybonus">IRE!$H$10</definedName>
    <definedName name="Irelandwon">IRE!$Z$10</definedName>
    <definedName name="Irelandyellow">IRE!$N$10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ITA!$AA$22</definedName>
    <definedName name="ita2019alltestslost">ITA!$AB$22</definedName>
    <definedName name="ita2019alltestsplayed">ITA!$Y$22</definedName>
    <definedName name="ita2019alltestsptscon">ITA!$G$22</definedName>
    <definedName name="ita2019alltestsptsscored">ITA!$F$22</definedName>
    <definedName name="ita2019allteststriescon">ITA!$R$22</definedName>
    <definedName name="ita2019allteststriesscored">ITA!$J$22</definedName>
    <definedName name="ita2019alltestswon">ITA!$Z$22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2021wcpooldrawn">ITA!$AA$18</definedName>
    <definedName name="ita2021wcpoollbscored">ITA!$H$18</definedName>
    <definedName name="ita2021wcpoollbscoredcorrect">ITA!$I$18</definedName>
    <definedName name="ita2021wcpoollost">ITA!$AB$18</definedName>
    <definedName name="ita2021wcpoolplayed">ITA!$Y$18</definedName>
    <definedName name="ita2021wcpoolpointsagainst">ITA!$G$18</definedName>
    <definedName name="ita2021wcpoolpointsscored">ITA!$F$18</definedName>
    <definedName name="ita2021wcpooltbscored">ITA!$H$18</definedName>
    <definedName name="ita2021wcpooltriesconceded">ITA!$R$18</definedName>
    <definedName name="ita2021wcpooltriesscored">ITA!$J$18</definedName>
    <definedName name="ita2021wcpoolwon">ITA!$Z$18</definedName>
    <definedName name="ita2021wcrc">ITA!$O$20</definedName>
    <definedName name="ita2021wctbcon">ITA!$P$18</definedName>
    <definedName name="ita2021wcyc">ITA!$N$20</definedName>
    <definedName name="italb">ITA!#REF!</definedName>
    <definedName name="italbcon">ITA!#REF!</definedName>
    <definedName name="Italyalltestshistdrawn">#REF!</definedName>
    <definedName name="Italyalltestshistlost">#REF!</definedName>
    <definedName name="Italyalltestshistplayed">#REF!</definedName>
    <definedName name="Italyalltestshistptsagainst">#REF!</definedName>
    <definedName name="Italyalltestshistptsscored">#REF!</definedName>
    <definedName name="Italyalltestshisttriesscored">#REF!</definedName>
    <definedName name="Italyalltestshistwon">#REF!</definedName>
    <definedName name="Italydrawn">ITA!$AA$17</definedName>
    <definedName name="Italylosingbonus">ITA!$I$17</definedName>
    <definedName name="Italylost">ITA!$AB$17</definedName>
    <definedName name="Italyplayed">ITA!$Y$17</definedName>
    <definedName name="Italyptsagainst">ITA!$G$17</definedName>
    <definedName name="Italyptsscored">ITA!$F$17</definedName>
    <definedName name="Italyred">ITA!$O$17</definedName>
    <definedName name="ItalyRWChistdrawn">#REF!</definedName>
    <definedName name="ItalyRWChistlost">#REF!</definedName>
    <definedName name="ItalyRWChistplayed">#REF!</definedName>
    <definedName name="ItalyRWChistptsagainst">#REF!</definedName>
    <definedName name="ItalyRWChistptsscored">#REF!</definedName>
    <definedName name="ItalyRWChisttriesscored">#REF!</definedName>
    <definedName name="ItalyRWChistwon">#REF!</definedName>
    <definedName name="Italytriesagainst">ITA!$R$17</definedName>
    <definedName name="Italytriesscored">ITA!$J$17</definedName>
    <definedName name="Italytrybonus">ITA!$H$17</definedName>
    <definedName name="Italywon">ITA!$Z$17</definedName>
    <definedName name="Italyyellow">ITA!$N$17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#REF!</definedName>
    <definedName name="Japanalltestshistlost">#REF!</definedName>
    <definedName name="Japanalltestshistplayed">#REF!</definedName>
    <definedName name="Japanalltestshistptscon">#REF!</definedName>
    <definedName name="Japanalltestshistptsscored">#REF!</definedName>
    <definedName name="Japanalltestshisttriesscored">#REF!</definedName>
    <definedName name="Japanalltestshisttriesscoredcorrect">#REF!</definedName>
    <definedName name="Japanalltestshistwon">#REF!</definedName>
    <definedName name="JapanRWChistdrawn">#REF!</definedName>
    <definedName name="JapanRWChistlost">#REF!</definedName>
    <definedName name="JapanRWChistplayed">#REF!</definedName>
    <definedName name="JapanRWChistptsagainst">#REF!</definedName>
    <definedName name="JapanRWChistptsscored">#REF!</definedName>
    <definedName name="JapanRWChisttriesscored">#REF!</definedName>
    <definedName name="JapanRWChistwon">#REF!</definedName>
    <definedName name="jpn2019alltestsdrawn">#REF!</definedName>
    <definedName name="jpn2019alltestslost">#REF!</definedName>
    <definedName name="jpn2019alltestsplayed">#REF!</definedName>
    <definedName name="jpn2019alltestsptsagainst">#REF!</definedName>
    <definedName name="jpn2019alltestsptsscored">#REF!</definedName>
    <definedName name="jpn2019allteststriescon">#REF!</definedName>
    <definedName name="jpn2019allteststriesscored">#REF!</definedName>
    <definedName name="jpn2019alltestswon">#REF!</definedName>
    <definedName name="jpn2019pooldrawn">#REF!</definedName>
    <definedName name="jpn2019poollbcon">#REF!</definedName>
    <definedName name="jpn2019poollbscored">#REF!</definedName>
    <definedName name="jpn2019poollost">#REF!</definedName>
    <definedName name="jpn2019poolplayed">#REF!</definedName>
    <definedName name="jpn2019poolptscon">#REF!</definedName>
    <definedName name="jpn2019poolptsscored">#REF!</definedName>
    <definedName name="jpn2019pooltbcon">#REF!</definedName>
    <definedName name="jpn2019pooltbscored">#REF!</definedName>
    <definedName name="jpn2019pooltriescon">#REF!</definedName>
    <definedName name="jpn2019pooltriesscored">#REF!</definedName>
    <definedName name="jpn2019poolwon">#REF!</definedName>
    <definedName name="jpn2019rwcdrawn">#REF!</definedName>
    <definedName name="jpn2019rwclost">#REF!</definedName>
    <definedName name="jpn2019rwcplayed">#REF!</definedName>
    <definedName name="jpn2019rwcptsagainst">#REF!</definedName>
    <definedName name="jpn2019rwcptsscored">#REF!</definedName>
    <definedName name="jpn2019rwcrc">#REF!</definedName>
    <definedName name="jpn2019rwctriescon">#REF!</definedName>
    <definedName name="jpn2019rwctriesscored">#REF!</definedName>
    <definedName name="jpn2019rwcwon">#REF!</definedName>
    <definedName name="jpn2019rwcyc">#REF!</definedName>
    <definedName name="jpn2021wcpooldrawn">JPN!$AA$17</definedName>
    <definedName name="jpn2021wcpoollbscored">JPN!$I$17</definedName>
    <definedName name="jpn2021wcpoollost">JPN!$AB$17</definedName>
    <definedName name="jpn2021wcpoolplayed">JPN!$Y$17</definedName>
    <definedName name="jpn2021wcpoolpointsagainst">JPN!$G$17</definedName>
    <definedName name="jpn2021wcpoolpointsscored">JPN!$F$17</definedName>
    <definedName name="jpn2021wcpooltbscored">JPN!$H$17</definedName>
    <definedName name="jpn2021wcpooltriesconceded">JPN!$R$17</definedName>
    <definedName name="jpn2021wcpooltriesscored">JPN!$J$17</definedName>
    <definedName name="jpn2021wcpoolwon">JPN!$Z$17</definedName>
    <definedName name="jpn2021wcrc">JPN!$O$19</definedName>
    <definedName name="jpn2021wctbcon">JPN!$P$17</definedName>
    <definedName name="jpn2021wcyc">JPN!$N$19</definedName>
    <definedName name="jpnlb">#REF!</definedName>
    <definedName name="jpnlbcon">#REF!</definedName>
    <definedName name="jpnoveralldrawn">#REF!</definedName>
    <definedName name="jpnoveralllost">#REF!</definedName>
    <definedName name="jpnoverallpld">#REF!</definedName>
    <definedName name="jpnoverallptsag">#REF!</definedName>
    <definedName name="jpnoverallptsscored">#REF!</definedName>
    <definedName name="jpnoveralltriescon">#REF!</definedName>
    <definedName name="jpnoveralltriesscored">#REF!</definedName>
    <definedName name="jpnoverallwon">#REF!</definedName>
    <definedName name="jpnpooldrawn">#REF!</definedName>
    <definedName name="jpnpoollost">#REF!</definedName>
    <definedName name="jpnpoolpld">#REF!</definedName>
    <definedName name="jpnpoolptsag">#REF!</definedName>
    <definedName name="jpnpoolptsscored">#REF!</definedName>
    <definedName name="jpnpooltriescon">#REF!</definedName>
    <definedName name="jpnpooltriesscored">#REF!</definedName>
    <definedName name="jpnpoolwon">#REF!</definedName>
    <definedName name="jpnred">#REF!</definedName>
    <definedName name="jpntb">#REF!</definedName>
    <definedName name="jpntbcon">#REF!</definedName>
    <definedName name="jpnyellow">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#REF!</definedName>
    <definedName name="liconceded">#REF!</definedName>
    <definedName name="lidrawn">#REF!</definedName>
    <definedName name="lilosingbonus">#REF!</definedName>
    <definedName name="lilosingbonusconceded">#REF!</definedName>
    <definedName name="lilost">#REF!</definedName>
    <definedName name="liplayed">#REF!</definedName>
    <definedName name="lirdgsscored">[1]BRI!$L$36</definedName>
    <definedName name="lired">#REF!</definedName>
    <definedName name="liscored">#REF!</definedName>
    <definedName name="litries">#REF!</definedName>
    <definedName name="litriesconceded">#REF!</definedName>
    <definedName name="litrybonus">#REF!</definedName>
    <definedName name="litrybonusconceded">#REF!</definedName>
    <definedName name="liwon">#REF!</definedName>
    <definedName name="liyellow">#REF!</definedName>
    <definedName name="lweagainst">#REF!</definedName>
    <definedName name="lwedrawn">#REF!</definedName>
    <definedName name="lwelosingbonus">#REF!</definedName>
    <definedName name="lwelosingbonusonceded">#REF!</definedName>
    <definedName name="lwelost">#REF!</definedName>
    <definedName name="lweplayed">#REF!</definedName>
    <definedName name="lwered">#REF!</definedName>
    <definedName name="lwescored">#REF!</definedName>
    <definedName name="lwetriesconceded">#REF!</definedName>
    <definedName name="lwetriesscored">#REF!</definedName>
    <definedName name="lwetrybonus">#REF!</definedName>
    <definedName name="lwetrybonusconceded">#REF!</definedName>
    <definedName name="lwewon">#REF!</definedName>
    <definedName name="lweyellow">#REF!</definedName>
    <definedName name="Nam2019alltestsdrawn">#REF!</definedName>
    <definedName name="Nam2019alltestslost">#REF!</definedName>
    <definedName name="Nam2019alltestsplayed">#REF!</definedName>
    <definedName name="Nam2019alltestsptscon">#REF!</definedName>
    <definedName name="Nam2019alltestsptsscored">#REF!</definedName>
    <definedName name="Nam2019allteststriescon">#REF!</definedName>
    <definedName name="Nam2019allteststriesscored">#REF!</definedName>
    <definedName name="Nam2019alltestswon">#REF!</definedName>
    <definedName name="Nam2019pooldrawn">#REF!</definedName>
    <definedName name="Nam2019poollbcon">#REF!</definedName>
    <definedName name="Nam2019poollbscored">#REF!</definedName>
    <definedName name="Nam2019poollost">#REF!</definedName>
    <definedName name="Nam2019poolplayed">#REF!</definedName>
    <definedName name="Nam2019poolptscon">#REF!</definedName>
    <definedName name="Nam2019poolptsscored">#REF!</definedName>
    <definedName name="Nam2019pooltbcon">#REF!</definedName>
    <definedName name="Nam2019pooltbscored">#REF!</definedName>
    <definedName name="Nam2019pooltriescon">#REF!</definedName>
    <definedName name="Nam2019pooltriesscored">#REF!</definedName>
    <definedName name="Nam2019poolwon">#REF!</definedName>
    <definedName name="Nam2019RWCdrawn">#REF!</definedName>
    <definedName name="Nam2019RWClost">#REF!</definedName>
    <definedName name="Nam2019RWCplayed">#REF!</definedName>
    <definedName name="Nam2019RWCptsagainst">#REF!</definedName>
    <definedName name="Nam2019RWCptsscored">#REF!</definedName>
    <definedName name="Nam2019RWCrc">#REF!</definedName>
    <definedName name="Nam2019RWCtriescon">#REF!</definedName>
    <definedName name="Nam2019RWCtriesscored">#REF!</definedName>
    <definedName name="Nam2019RWCwon">#REF!</definedName>
    <definedName name="Nam2019RWCyc">#REF!</definedName>
    <definedName name="Namibiaalltestshistdrawn">#REF!</definedName>
    <definedName name="Namibiaalltestshistlost">#REF!</definedName>
    <definedName name="Namibiaalltestshistplayed">#REF!</definedName>
    <definedName name="Namibiaalltestshistptscon">#REF!</definedName>
    <definedName name="Namibiaalltestshistptsscored">#REF!</definedName>
    <definedName name="Namibiaalltestshisttriesscored">#REF!</definedName>
    <definedName name="Namibiaalltestshistwon">#REF!</definedName>
    <definedName name="NamibiaRWChistdrawn">#REF!</definedName>
    <definedName name="NamibiaRWChistlost">#REF!</definedName>
    <definedName name="NamibiaRWChistplayed">#REF!</definedName>
    <definedName name="NamibiaRWChistptsagainst">#REF!</definedName>
    <definedName name="NamibiaRWChistptsscored">#REF!</definedName>
    <definedName name="NamibiaRWChisttriesscored">#REF!</definedName>
    <definedName name="NamibiaRWChistwon">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#REF!</definedName>
    <definedName name="New_ZealandRWChistlost">#REF!</definedName>
    <definedName name="New_ZealandRWChistplayed">#REF!</definedName>
    <definedName name="New_ZealandRWChistptscon">#REF!</definedName>
    <definedName name="New_ZealandRWChistptsconcorrect">#REF!</definedName>
    <definedName name="New_ZealandRWChistptsscored">#REF!</definedName>
    <definedName name="New_ZealandRWChisttriesscored">#REF!</definedName>
    <definedName name="New_ZealandRWChistwon">#REF!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#REF!</definedName>
    <definedName name="Nzl2019alltestshistdrawn">#REF!</definedName>
    <definedName name="Nzl2019alltestshistlost">#REF!</definedName>
    <definedName name="Nzl2019alltestshistplayed">#REF!</definedName>
    <definedName name="Nzl2019alltestshistptscon">#REF!</definedName>
    <definedName name="Nzl2019alltestshistptsscored">#REF!</definedName>
    <definedName name="Nzl2019alltestshisttriesscored">#REF!</definedName>
    <definedName name="Nzl2019alltestshistwon">#REF!</definedName>
    <definedName name="Nzl2019alltestslost">#REF!</definedName>
    <definedName name="Nzl2019alltestsplayed">#REF!</definedName>
    <definedName name="Nzl2019alltestsptscon">#REF!</definedName>
    <definedName name="Nzl2019alltestsptsscored">#REF!</definedName>
    <definedName name="Nzl2019allteststriescon">#REF!</definedName>
    <definedName name="Nzl2019allteststriesscored">#REF!</definedName>
    <definedName name="Nzl2019alltestswon">#REF!</definedName>
    <definedName name="Nzl2019pooldrawn">#REF!</definedName>
    <definedName name="Nzl2019poollbcon">#REF!</definedName>
    <definedName name="Nzl2019poollbscored">#REF!</definedName>
    <definedName name="Nzl2019poollost">#REF!</definedName>
    <definedName name="Nzl2019poolplayed">#REF!</definedName>
    <definedName name="Nzl2019poolptscon">#REF!</definedName>
    <definedName name="Nzl2019poolptsscored">#REF!</definedName>
    <definedName name="Nzl2019pooltbcon">#REF!</definedName>
    <definedName name="Nzl2019pooltbscored">#REF!</definedName>
    <definedName name="Nzl2019pooltriescon">#REF!</definedName>
    <definedName name="Nzl2019pooltriesscored">#REF!</definedName>
    <definedName name="Nzl2019poolwon">#REF!</definedName>
    <definedName name="Nzl2019RWCdrawn">#REF!</definedName>
    <definedName name="Nzl2019RWClost">#REF!</definedName>
    <definedName name="Nzl2019RWCplayed">#REF!</definedName>
    <definedName name="Nzl2019RWCptsscon">#REF!</definedName>
    <definedName name="Nzl2019RWCptsscored">#REF!</definedName>
    <definedName name="Nzl2019RWCrc">#REF!</definedName>
    <definedName name="Nzl2019RWCtriescon">#REF!</definedName>
    <definedName name="Nzl2019RWCtriesscored">#REF!</definedName>
    <definedName name="Nzl2019RWCwon">#REF!</definedName>
    <definedName name="Nzl2019RWCyc">#REF!</definedName>
    <definedName name="nzl2021wcpooldrawn">NZL!$AA$16</definedName>
    <definedName name="nzl2021wcpoollbscored">NZL!$I$16</definedName>
    <definedName name="nzl2021wcpoollost">NZL!$AB$16</definedName>
    <definedName name="nzl2021wcpoolplayed">NZL!$Y$16</definedName>
    <definedName name="nzl2021wcpoolpointsagainst">NZL!$G$16</definedName>
    <definedName name="nzl2021wcpoolpointsscored">NZL!$F$16</definedName>
    <definedName name="nzl2021wcpooltbscored">NZL!$H$16</definedName>
    <definedName name="nzl2021wcpooltriesconceded">NZL!$R$16</definedName>
    <definedName name="nzl2021wcpooltriesscored">NZL!$J$16</definedName>
    <definedName name="nzl2021wcpoolwon">NZL!$Z$16</definedName>
    <definedName name="nzl2021wcrc">NZL!$O$18</definedName>
    <definedName name="nzl2021wctbcon">NZL!$P$16</definedName>
    <definedName name="nzl2021wcyc">NZL!$N$18</definedName>
    <definedName name="nzllb">#REF!</definedName>
    <definedName name="nzllbcon">#REF!</definedName>
    <definedName name="nzloveralldrawn">#REF!</definedName>
    <definedName name="nzloveralllost">#REF!</definedName>
    <definedName name="nzloverallpld">#REF!</definedName>
    <definedName name="nzloverallptsag">#REF!</definedName>
    <definedName name="nzloverallptsscored">#REF!</definedName>
    <definedName name="nzloveralltriescon">#REF!</definedName>
    <definedName name="nzloveralltriesscored">#REF!</definedName>
    <definedName name="nzloverallwon">#REF!</definedName>
    <definedName name="nzlpooldrawn">#REF!</definedName>
    <definedName name="nzlpoollost">#REF!</definedName>
    <definedName name="nzlpoolpld">#REF!</definedName>
    <definedName name="nzlpoolptsag">#REF!</definedName>
    <definedName name="nzlpoolptsscored">#REF!</definedName>
    <definedName name="nzlpooltriescon">#REF!</definedName>
    <definedName name="nzlpooltriesscored">#REF!</definedName>
    <definedName name="nzlpoolwon">#REF!</definedName>
    <definedName name="nzlred">#REF!</definedName>
    <definedName name="nzltb">#REF!</definedName>
    <definedName name="nzltbcon">#REF!</definedName>
    <definedName name="nzlyellow">#REF!</definedName>
    <definedName name="quinspoconceded">#REF!</definedName>
    <definedName name="quinspolost">#REF!</definedName>
    <definedName name="quinspoplayed">#REF!</definedName>
    <definedName name="quinspored">#REF!</definedName>
    <definedName name="quinsposcored">#REF!</definedName>
    <definedName name="quinspotriesconceded">#REF!</definedName>
    <definedName name="quinspotriesscored">#REF!</definedName>
    <definedName name="quinspowon">#REF!</definedName>
    <definedName name="quinspoyellow">#REF!</definedName>
    <definedName name="romaniaalltestsdrawn">#REF!</definedName>
    <definedName name="romaniaalltestslost">#REF!</definedName>
    <definedName name="romaniaalltestsplayed">#REF!</definedName>
    <definedName name="romaniaalltestsptsagainst">#REF!</definedName>
    <definedName name="romaniaalltestsptsscored">#REF!</definedName>
    <definedName name="romaniaallteststriesagaiant">#REF!</definedName>
    <definedName name="romaniaallteststriesscored">#REF!</definedName>
    <definedName name="romaniaalltestswon">#REF!</definedName>
    <definedName name="romlb">#REF!</definedName>
    <definedName name="romlbcon">#REF!</definedName>
    <definedName name="romoveralldrawn">#REF!</definedName>
    <definedName name="romoveralllost">#REF!</definedName>
    <definedName name="romoverallpld">#REF!</definedName>
    <definedName name="romoverallptsag">#REF!</definedName>
    <definedName name="romoverallptsscored">#REF!</definedName>
    <definedName name="romoveralltriescon">#REF!</definedName>
    <definedName name="romoveralltriesscored">#REF!</definedName>
    <definedName name="romoverallwon">#REF!</definedName>
    <definedName name="rompooldrawn">#REF!</definedName>
    <definedName name="rompoollost">#REF!</definedName>
    <definedName name="rompoolpld">#REF!</definedName>
    <definedName name="rompoolptsag">#REF!</definedName>
    <definedName name="rompoolptsscored">#REF!</definedName>
    <definedName name="rompooltriescon">#REF!</definedName>
    <definedName name="rompooltriesscored">#REF!</definedName>
    <definedName name="rompoolwon">#REF!</definedName>
    <definedName name="romred">#REF!</definedName>
    <definedName name="romtb">#REF!</definedName>
    <definedName name="romtbcon">#REF!</definedName>
    <definedName name="romyellow">#REF!</definedName>
    <definedName name="Rsa2019alltestsdrawn">#REF!</definedName>
    <definedName name="Rsa2019alltestslost">#REF!</definedName>
    <definedName name="Rsa2019alltestsplayed">#REF!</definedName>
    <definedName name="Rsa2019alltestsptscon">#REF!</definedName>
    <definedName name="Rsa2019alltestsptsscored">#REF!</definedName>
    <definedName name="Rsa2019allteststriescon">#REF!</definedName>
    <definedName name="Rsa2019allteststriesscored">#REF!</definedName>
    <definedName name="Rsa2019alltestswon">#REF!</definedName>
    <definedName name="Rsa2019pooldrawn">#REF!</definedName>
    <definedName name="Rsa2019poollbcon">#REF!</definedName>
    <definedName name="Rsa2019poollbscored">#REF!</definedName>
    <definedName name="Rsa2019poollost">#REF!</definedName>
    <definedName name="Rsa2019poolplayed">#REF!</definedName>
    <definedName name="Rsa2019poolptscon">#REF!</definedName>
    <definedName name="Rsa2019poolptsscored">#REF!</definedName>
    <definedName name="Rsa2019pooltbcon">#REF!</definedName>
    <definedName name="Rsa2019pooltbscored">#REF!</definedName>
    <definedName name="Rsa2019pooltriescon">#REF!</definedName>
    <definedName name="Rsa2019pooltriesscored">#REF!</definedName>
    <definedName name="Rsa2019poolwon">#REF!</definedName>
    <definedName name="Rsa2019RWCdrawn">#REF!</definedName>
    <definedName name="Rsa2019RWClost">#REF!</definedName>
    <definedName name="Rsa2019RWCplayed">#REF!</definedName>
    <definedName name="Rsa2019RWCptscon">#REF!</definedName>
    <definedName name="Rsa2019RWCptsscored">#REF!</definedName>
    <definedName name="Rsa2019RWCrc">#REF!</definedName>
    <definedName name="Rsa2019RWCtriescon">#REF!</definedName>
    <definedName name="Rsa2019RWCtriesscored">#REF!</definedName>
    <definedName name="Rsa2019RWCwon">#REF!</definedName>
    <definedName name="Rsa2019RWCyc">#REF!</definedName>
    <definedName name="rsa2021wcpooldrawn">RSA!$AA$17</definedName>
    <definedName name="rsa2021wcpoollbscored">RSA!$I$17</definedName>
    <definedName name="rsa2021wcpoollost">RSA!$AB$17</definedName>
    <definedName name="rsa2021wcpoolplayed">RSA!$Y$17</definedName>
    <definedName name="rsa2021wcpoolpointsagainst">RSA!$G$17</definedName>
    <definedName name="rsa2021wcpoolpointsscored">RSA!$F$17</definedName>
    <definedName name="rsa2021wcpooltbscored">RSA!$H$17</definedName>
    <definedName name="rsa2021wcpooltriesconceded">RSA!$R$17</definedName>
    <definedName name="rsa2021wcpooltriesscored">RSA!$J$17</definedName>
    <definedName name="rsa2021wcpoolwon">RSA!$Z$17</definedName>
    <definedName name="rsa2021wcrc">RSA!$O$19</definedName>
    <definedName name="rsa2021wctbcon">RSA!$P$17</definedName>
    <definedName name="rsa2021wcyc">RSA!$N$19</definedName>
    <definedName name="Rsaalltestshistdrawn">#REF!</definedName>
    <definedName name="Rsaalltestshistlost">#REF!</definedName>
    <definedName name="Rsaalltestshistplayed">#REF!</definedName>
    <definedName name="Rsaalltestshistptscon">#REF!</definedName>
    <definedName name="Rsaalltestshistptsscored">#REF!</definedName>
    <definedName name="Rsaalltestshisttriesscored">#REF!</definedName>
    <definedName name="Rsaalltestshistwon">#REF!</definedName>
    <definedName name="rsalb">#REF!</definedName>
    <definedName name="rsalbcon">#REF!</definedName>
    <definedName name="rsaoveralldrawn">#REF!</definedName>
    <definedName name="rsaoveralllost">#REF!</definedName>
    <definedName name="rsaoverallpld">#REF!</definedName>
    <definedName name="rsaoverallptsag">#REF!</definedName>
    <definedName name="rsaoverallptsscored">#REF!</definedName>
    <definedName name="rsaoveralltriescon">#REF!</definedName>
    <definedName name="rsaoveralltriesscored">#REF!</definedName>
    <definedName name="rsaoverallwon">#REF!</definedName>
    <definedName name="rsapooldrawn">#REF!</definedName>
    <definedName name="rsapoollost">#REF!</definedName>
    <definedName name="rsapoolpld">#REF!</definedName>
    <definedName name="rsapoolptsag">#REF!</definedName>
    <definedName name="rsapoolptsscored">#REF!</definedName>
    <definedName name="rsapooltriescon">#REF!</definedName>
    <definedName name="rsapooltriesscored">#REF!</definedName>
    <definedName name="rsapoolwon">#REF!</definedName>
    <definedName name="rsared">#REF!</definedName>
    <definedName name="RsaRWChistdrawn">#REF!</definedName>
    <definedName name="RsaRWChistlost">#REF!</definedName>
    <definedName name="RsaRWChistplayed">#REF!</definedName>
    <definedName name="RsaRWChistptscon">#REF!</definedName>
    <definedName name="RsaRWChistptsscored">#REF!</definedName>
    <definedName name="RsaRWChisttriesscored">#REF!</definedName>
    <definedName name="RsaRWChistwon">#REF!</definedName>
    <definedName name="rsatb">#REF!</definedName>
    <definedName name="rsatbcon">#REF!</definedName>
    <definedName name="rsayellow">#REF!</definedName>
    <definedName name="Rus2019alltestsdrawn">#REF!</definedName>
    <definedName name="Rus2019alltestslost">#REF!</definedName>
    <definedName name="Rus2019alltestsplayed">#REF!</definedName>
    <definedName name="Rus2019alltestsptscon">#REF!</definedName>
    <definedName name="Rus2019alltestsptsscored">#REF!</definedName>
    <definedName name="Rus2019allteststriescon">#REF!</definedName>
    <definedName name="Rus2019allteststriescored">#REF!</definedName>
    <definedName name="Rus2019alltestswon">#REF!</definedName>
    <definedName name="Rus2019pooldrawn">#REF!</definedName>
    <definedName name="Rus2019poollbcon">#REF!</definedName>
    <definedName name="Rus2019poollbscored">#REF!</definedName>
    <definedName name="Rus2019poollost">#REF!</definedName>
    <definedName name="Rus2019poolplayed">#REF!</definedName>
    <definedName name="Rus2019poolplayedcorrect">#REF!</definedName>
    <definedName name="Rus2019poolptscon">#REF!</definedName>
    <definedName name="Rus2019poolptsscored">#REF!</definedName>
    <definedName name="Rus2019pooltbcon">#REF!</definedName>
    <definedName name="Rus2019pooltbscored">#REF!</definedName>
    <definedName name="Rus2019pooltriescon">#REF!</definedName>
    <definedName name="Rus2019pooltriesscored">#REF!</definedName>
    <definedName name="Rus2019poolwon">#REF!</definedName>
    <definedName name="Rus2019poolwoncorrect">#REF!</definedName>
    <definedName name="Rus2019RWCdrawn">#REF!</definedName>
    <definedName name="Rus2019RWClost">#REF!</definedName>
    <definedName name="Rus2019RWCplayed">#REF!</definedName>
    <definedName name="Rus2019RWCptscon">#REF!</definedName>
    <definedName name="Rus2019RWCptsscored">#REF!</definedName>
    <definedName name="Rus2019RWCrc">#REF!</definedName>
    <definedName name="Rus2019RWCtriescon">#REF!</definedName>
    <definedName name="Rus2019RWCtriesscored">#REF!</definedName>
    <definedName name="Rus2019RWCwon">#REF!</definedName>
    <definedName name="Rus2019RWCyc">#REF!</definedName>
    <definedName name="Russiaalltestshistdrawn">#REF!</definedName>
    <definedName name="Russiaalltestshistlost">#REF!</definedName>
    <definedName name="Russiaalltestshistplayed">#REF!</definedName>
    <definedName name="Russiaalltestshistptsagainst">#REF!</definedName>
    <definedName name="Russiaalltestshistptsscored">#REF!</definedName>
    <definedName name="Russiaalltestshisttriesscored">#REF!</definedName>
    <definedName name="Russiaalltestshistwon">#REF!</definedName>
    <definedName name="RussiaRWChistdrawn">#REF!</definedName>
    <definedName name="RussiaRWChistlost">#REF!</definedName>
    <definedName name="RussiaRWChistplayed">#REF!</definedName>
    <definedName name="RussiaRWChistptscon">#REF!</definedName>
    <definedName name="RussiaRWChistptsscored">#REF!</definedName>
    <definedName name="RussiaRWChisttriesscored">#REF!</definedName>
    <definedName name="RussiaRWChistwon">#REF!</definedName>
    <definedName name="RWC2019startarg">#REF!</definedName>
    <definedName name="RWC2019startaus">#REF!</definedName>
    <definedName name="RWC2019startcan">#REF!</definedName>
    <definedName name="RWC2019starteng">ENG!#REF!</definedName>
    <definedName name="RWC2019startfij">#REF!</definedName>
    <definedName name="RWC2019startfra">FRA!#REF!</definedName>
    <definedName name="RWC2019startgeo">#REF!</definedName>
    <definedName name="RWC2019startire">IRE!#REF!</definedName>
    <definedName name="RWC2019startita">ITA!#REF!</definedName>
    <definedName name="RWC2019startjpn">#REF!</definedName>
    <definedName name="RWC2019startnam">#REF!</definedName>
    <definedName name="RWC2019startnzl">#REF!</definedName>
    <definedName name="RWC2019startrsa">#REF!</definedName>
    <definedName name="RWC2019startrus">#REF!</definedName>
    <definedName name="RWC2019startsam">#REF!</definedName>
    <definedName name="RWC2019startsco">SCO!#REF!</definedName>
    <definedName name="RWCstartton">#REF!</definedName>
    <definedName name="RWCstartUru">#REF!</definedName>
    <definedName name="RWCstartUSA">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#REF!</definedName>
    <definedName name="saleconceded">#REF!</definedName>
    <definedName name="saledrawn">#REF!</definedName>
    <definedName name="salelosingbonus">#REF!</definedName>
    <definedName name="salelosingbonusconceded">#REF!</definedName>
    <definedName name="salelost">#REF!</definedName>
    <definedName name="saleplayed">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#REF!</definedName>
    <definedName name="salescored">#REF!</definedName>
    <definedName name="saletriesconceded">#REF!</definedName>
    <definedName name="saletriesscored">#REF!</definedName>
    <definedName name="saletrybonus">#REF!</definedName>
    <definedName name="saletrybonusconceded">#REF!</definedName>
    <definedName name="salewon">#REF!</definedName>
    <definedName name="saleyellow">#REF!</definedName>
    <definedName name="Sam2019alltestsdrawn">#REF!</definedName>
    <definedName name="Sam2019alltestslost">#REF!</definedName>
    <definedName name="Sam2019alltestsplayed">#REF!</definedName>
    <definedName name="Sam2019alltestsptscon">#REF!</definedName>
    <definedName name="Sam2019alltestsptsscored">#REF!</definedName>
    <definedName name="Sam2019allteststriescon">#REF!</definedName>
    <definedName name="Sam2019allteststriescored">#REF!</definedName>
    <definedName name="Sam2019alltestswon">#REF!</definedName>
    <definedName name="Sam2019pooldrawn">#REF!</definedName>
    <definedName name="Sam2019poollbcon">#REF!</definedName>
    <definedName name="Sam2019poollbscored">#REF!</definedName>
    <definedName name="Sam2019poollost">#REF!</definedName>
    <definedName name="Sam2019poolplayed">#REF!</definedName>
    <definedName name="Sam2019poolptscon">#REF!</definedName>
    <definedName name="Sam2019poolptsscored">#REF!</definedName>
    <definedName name="Sam2019pooltbcon">#REF!</definedName>
    <definedName name="Sam2019pooltbscored">#REF!</definedName>
    <definedName name="Sam2019pooltriescon">#REF!</definedName>
    <definedName name="Sam2019pooltriesscored">#REF!</definedName>
    <definedName name="Sam2019poolwon">#REF!</definedName>
    <definedName name="Sam2019RWCdrawn">#REF!</definedName>
    <definedName name="Sam2019RWClost">#REF!</definedName>
    <definedName name="Sam2019RWCplayed">#REF!</definedName>
    <definedName name="Sam2019RWCptscon">#REF!</definedName>
    <definedName name="Sam2019RWCptsscored">#REF!</definedName>
    <definedName name="SAM2019rwcRC">#REF!</definedName>
    <definedName name="Sam2019RWCtriescon">#REF!</definedName>
    <definedName name="Sam2019RWCtriescored">#REF!</definedName>
    <definedName name="Sam2019RWCwon">#REF!</definedName>
    <definedName name="Sam2019RWCyc">#REF!</definedName>
    <definedName name="Samalltestshistdrawn">#REF!</definedName>
    <definedName name="Samalltestshistlost">#REF!</definedName>
    <definedName name="Samalltestshistplayed">#REF!</definedName>
    <definedName name="Samalltestshistptscon">#REF!</definedName>
    <definedName name="Samalltestshistptsscored">#REF!</definedName>
    <definedName name="SamalltestshistTRIESSCORED">#REF!</definedName>
    <definedName name="Samalltestshistwon">#REF!</definedName>
    <definedName name="samlb">#REF!</definedName>
    <definedName name="samlbcon">#REF!</definedName>
    <definedName name="samoveralldrawn">#REF!</definedName>
    <definedName name="samoveralllost">#REF!</definedName>
    <definedName name="samoverallpld">#REF!</definedName>
    <definedName name="samoverallptsag">#REF!</definedName>
    <definedName name="samoverallptsscored">#REF!</definedName>
    <definedName name="samoveralltriescon">#REF!</definedName>
    <definedName name="samoveralltriesscored">#REF!</definedName>
    <definedName name="samoverallwon">#REF!</definedName>
    <definedName name="sampooldrawn">#REF!</definedName>
    <definedName name="sampoollost">#REF!</definedName>
    <definedName name="sampoolpld">#REF!</definedName>
    <definedName name="sampoolptsag">#REF!</definedName>
    <definedName name="sampoolptsscored">#REF!</definedName>
    <definedName name="sampooltriescon">#REF!</definedName>
    <definedName name="sampooltriesscored">#REF!</definedName>
    <definedName name="sampoolwon">#REF!</definedName>
    <definedName name="samred">#REF!</definedName>
    <definedName name="SamRWChistdrawn">#REF!</definedName>
    <definedName name="SamRWChistlost">#REF!</definedName>
    <definedName name="SamRWChistplayed">#REF!</definedName>
    <definedName name="SamRWChistptscon">#REF!</definedName>
    <definedName name="SamRWChistptsscored">#REF!</definedName>
    <definedName name="SamRWChisttriesscored">#REF!</definedName>
    <definedName name="SamRWChistwon">#REF!</definedName>
    <definedName name="samtb">#REF!</definedName>
    <definedName name="samtbcon">#REF!</definedName>
    <definedName name="samyellow">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SCO!$AA$22</definedName>
    <definedName name="Sco2019alltestslost">SCO!$AB$22</definedName>
    <definedName name="Sco2019alltestsplayed">SCO!$Y$22</definedName>
    <definedName name="Sco2019alltestsptsagainst">SCO!$G$22</definedName>
    <definedName name="Sco2019alltestsptsscored">SCO!$F$22</definedName>
    <definedName name="Sco2019allteststriescon">SCO!$R$22</definedName>
    <definedName name="Sco2019allteststriesscored">SCO!$J$22</definedName>
    <definedName name="Sco2019alltestswon">SCO!$Z$22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2021wcpooldrawn">SCO!$AA$18</definedName>
    <definedName name="sco2021wcpoollbscored">SCO!$I$18</definedName>
    <definedName name="sco2021wcpoollost">SCO!$AB$18</definedName>
    <definedName name="sco2021wcpoolplayed">SCO!$Y$18</definedName>
    <definedName name="sco2021wcpoolpointsagainst">SCO!$G$18</definedName>
    <definedName name="sco2021wcpoolpointsscored">SCO!$F$18</definedName>
    <definedName name="sco2021wcpooltbscored">SCO!$H$18</definedName>
    <definedName name="sco2021wcpooltriesconceded">SCO!$R$18</definedName>
    <definedName name="sco2021wcpooltriesscored">SCO!$J$18</definedName>
    <definedName name="sco2021wcpoolwon">SCO!$Z$18</definedName>
    <definedName name="sco2021wcrc">SCO!$O$20</definedName>
    <definedName name="sco2021wctbcon">SCO!$P$18</definedName>
    <definedName name="sco2021wcyc">SCO!$N$20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#REF!</definedName>
    <definedName name="Scotlandalltestshistlost">#REF!</definedName>
    <definedName name="Scotlandalltestshistplayed">#REF!</definedName>
    <definedName name="Scotlandalltestshistptscon">#REF!</definedName>
    <definedName name="Scotlandalltestshistptsscored">#REF!</definedName>
    <definedName name="Scotlandalltestshisttriesscored">#REF!</definedName>
    <definedName name="Scotlandalltestshistwon">#REF!</definedName>
    <definedName name="Scotlanddrawn">SCO!$AA$16</definedName>
    <definedName name="Scotlandlosingbonus">SCO!$I$16</definedName>
    <definedName name="Scotlandlost">SCO!$AB$16</definedName>
    <definedName name="Scotlandplayed">SCO!$Y$16</definedName>
    <definedName name="Scotlandptsagainst">SCO!$G$16</definedName>
    <definedName name="Scotlandptsscored">SCO!$F$16</definedName>
    <definedName name="Scotlandred">SCO!$O$16</definedName>
    <definedName name="ScotlandRWChistdrawn">#REF!</definedName>
    <definedName name="ScotlandRWChistlost">#REF!</definedName>
    <definedName name="ScotlandRWChistplayed">#REF!</definedName>
    <definedName name="ScotlandRWChistptscon">#REF!</definedName>
    <definedName name="ScotlandRWChistptsscored">#REF!</definedName>
    <definedName name="ScotlandRWChisttriesscored">#REF!</definedName>
    <definedName name="ScotlandRWChistwon">#REF!</definedName>
    <definedName name="Scotlandtriesagainst">SCO!$R$16</definedName>
    <definedName name="Scotlandtriesscored">SCO!$J$16</definedName>
    <definedName name="Scotlandtrybonus">SCO!$H$16</definedName>
    <definedName name="Scotlandwon">SCO!$Z$16</definedName>
    <definedName name="Scotlandyellow">SCO!$N$16</definedName>
    <definedName name="scoyellow">SCO!#REF!</definedName>
    <definedName name="tgalb">#REF!</definedName>
    <definedName name="tgalbcon">#REF!</definedName>
    <definedName name="tgaoveralldrawn">#REF!</definedName>
    <definedName name="tgaoveralllost">#REF!</definedName>
    <definedName name="tgaoverallpld">#REF!</definedName>
    <definedName name="tgaoverallptsag">#REF!</definedName>
    <definedName name="tgaoverallptsscored">#REF!</definedName>
    <definedName name="tgaoveralltriescon">#REF!</definedName>
    <definedName name="tgaoveralltriesscored">#REF!</definedName>
    <definedName name="tgaoveralltriesscoredcorr">#REF!</definedName>
    <definedName name="tgaoverallwon">#REF!</definedName>
    <definedName name="tgaovralltriesscoredcorrect">#REF!</definedName>
    <definedName name="tgapooldrawn">#REF!</definedName>
    <definedName name="tgapoollost">#REF!</definedName>
    <definedName name="tgapoolpld">#REF!</definedName>
    <definedName name="tgapoolptsag">#REF!</definedName>
    <definedName name="tgapoolptsscored">#REF!</definedName>
    <definedName name="tgapooltriescon">#REF!</definedName>
    <definedName name="tgapooltriesscored">#REF!</definedName>
    <definedName name="tgapoolwon">#REF!</definedName>
    <definedName name="tgared">#REF!</definedName>
    <definedName name="tgatb">#REF!</definedName>
    <definedName name="tgatbcon">#REF!</definedName>
    <definedName name="tgayellow">#REF!</definedName>
    <definedName name="Ton2019alltestsdrawn">#REF!</definedName>
    <definedName name="Ton2019alltestslost">#REF!</definedName>
    <definedName name="Ton2019alltestsplayed">#REF!</definedName>
    <definedName name="Ton2019alltestsptscon">#REF!</definedName>
    <definedName name="Ton2019alltestsptsscored">#REF!</definedName>
    <definedName name="Ton2019allteststriescon">#REF!</definedName>
    <definedName name="Ton2019allteststriesscored">#REF!</definedName>
    <definedName name="Ton2019alltestswon">#REF!</definedName>
    <definedName name="Ton2019pooldrawn">#REF!</definedName>
    <definedName name="Ton2019poollbcon">#REF!</definedName>
    <definedName name="Ton2019poollbscored">#REF!</definedName>
    <definedName name="Ton2019poollost">#REF!</definedName>
    <definedName name="Ton2019poolplayed">#REF!</definedName>
    <definedName name="Ton2019poolplayedcorrect">#REF!</definedName>
    <definedName name="Ton2019poolptscon">#REF!</definedName>
    <definedName name="Ton2019poolptsscored">#REF!</definedName>
    <definedName name="Ton2019poolrtbcon">#REF!</definedName>
    <definedName name="Ton2019pooltbscored">#REF!</definedName>
    <definedName name="Ton2019pooltriescon">#REF!</definedName>
    <definedName name="Ton2019pooltriesscored">#REF!</definedName>
    <definedName name="Ton2019poolwon">#REF!</definedName>
    <definedName name="Ton2019RWCdrawn">#REF!</definedName>
    <definedName name="Ton2019RWClost">#REF!</definedName>
    <definedName name="Ton2019RWCplayed">#REF!</definedName>
    <definedName name="Ton2019RWCptscon">#REF!</definedName>
    <definedName name="Ton2019RWCptsscored">#REF!</definedName>
    <definedName name="Ton2019RWCrc">#REF!</definedName>
    <definedName name="Ton2019RWCtriescon">#REF!</definedName>
    <definedName name="Ton2019RWCtriesscored">#REF!</definedName>
    <definedName name="Ton2019RWCwon">#REF!</definedName>
    <definedName name="Ton2019RWCyc">#REF!</definedName>
    <definedName name="Tongaalltestshistdrawn">#REF!</definedName>
    <definedName name="Tongaalltestshistlost">#REF!</definedName>
    <definedName name="Tongaalltestshistplayed">#REF!</definedName>
    <definedName name="Tongaalltestshistptsagainst">#REF!</definedName>
    <definedName name="Tongaalltestshistptsscored">#REF!</definedName>
    <definedName name="Tongaalltestshisttriesscored">#REF!</definedName>
    <definedName name="Tongaalltestshistwon">#REF!</definedName>
    <definedName name="TongaRWChistdrawn">#REF!</definedName>
    <definedName name="TongaRWChistlost">#REF!</definedName>
    <definedName name="TongaRWChistplayed">#REF!</definedName>
    <definedName name="TongaRWChistptscon">#REF!</definedName>
    <definedName name="TongaRWChistptsscored">#REF!</definedName>
    <definedName name="TongaRWChisttriesscored">#REF!</definedName>
    <definedName name="TongaRWChistwon">#REF!</definedName>
    <definedName name="triesscored">ENG!#REF!</definedName>
    <definedName name="United_Statesalltestshistdrawn">#REF!</definedName>
    <definedName name="United_Statesalltestshistlost">#REF!</definedName>
    <definedName name="United_Statesalltestshistplayed">#REF!</definedName>
    <definedName name="United_Statesalltestshistptscon">#REF!</definedName>
    <definedName name="United_Statesalltestshistptsscored">#REF!</definedName>
    <definedName name="United_Statesalltestshisttriesscored">#REF!</definedName>
    <definedName name="United_Statesalltestshistwon">#REF!</definedName>
    <definedName name="United_StatesRWChistdrawn">#REF!</definedName>
    <definedName name="United_StatesRWChistlost">#REF!</definedName>
    <definedName name="United_StatesRWChistplayed">#REF!</definedName>
    <definedName name="United_StatesRWChistptscon">#REF!</definedName>
    <definedName name="United_StatesRWChistptsscored">#REF!</definedName>
    <definedName name="United_StatesRWChisttriesscored">#REF!</definedName>
    <definedName name="United_StatesRWChistwon">#REF!</definedName>
    <definedName name="Uru2019alltestsdrawn">#REF!</definedName>
    <definedName name="Uru2019alltestslost">#REF!</definedName>
    <definedName name="Uru2019alltestsplayed">#REF!</definedName>
    <definedName name="Uru2019alltestsplayedcorrect">#REF!</definedName>
    <definedName name="Uru2019alltestsptscon">#REF!</definedName>
    <definedName name="Uru2019alltestsptsscored">#REF!</definedName>
    <definedName name="Uru2019allteststriescon">#REF!</definedName>
    <definedName name="Uru2019allteststriesconcorrect">#REF!</definedName>
    <definedName name="Uru2019allteststriesscored">#REF!</definedName>
    <definedName name="Uru2019alltestswon">#REF!</definedName>
    <definedName name="Uru2019pooldrawn">#REF!</definedName>
    <definedName name="Uru2019poollbcon">#REF!</definedName>
    <definedName name="Uru2019poollbscored">#REF!</definedName>
    <definedName name="Uru2019poollost">#REF!</definedName>
    <definedName name="Uru2019poolplayed">#REF!</definedName>
    <definedName name="Uru2019poolptsagainst">#REF!</definedName>
    <definedName name="Uru2019poolptscon">#REF!</definedName>
    <definedName name="Uru2019poolptsconcorrect">#REF!</definedName>
    <definedName name="Uru2019poolptsscored">#REF!</definedName>
    <definedName name="Uru2019pooltbcon">#REF!</definedName>
    <definedName name="Uru2019pooltbscored">#REF!</definedName>
    <definedName name="Uru2019pooltriescon">#REF!</definedName>
    <definedName name="Uru2019pooltriesscored">#REF!</definedName>
    <definedName name="uru2019poolwon">#REF!</definedName>
    <definedName name="Uru2019RWCdrawn">#REF!</definedName>
    <definedName name="Uru2019RWClostcorrect">#REF!</definedName>
    <definedName name="Uru2019RWCplayed">#REF!</definedName>
    <definedName name="Uru2019RWCptscon">#REF!</definedName>
    <definedName name="Uru2019RWCptsscored">#REF!</definedName>
    <definedName name="Uru2019RWCrc">#REF!</definedName>
    <definedName name="Uru2019RWCtriescon">#REF!</definedName>
    <definedName name="Uru2019RWCtriesscored">#REF!</definedName>
    <definedName name="Uru2019RWCwon">#REF!</definedName>
    <definedName name="Uru2019RWCyc">#REF!</definedName>
    <definedName name="Urualltestshistdrawn">#REF!</definedName>
    <definedName name="Urualltestshistlost">#REF!</definedName>
    <definedName name="Urualltestshistplayed">#REF!</definedName>
    <definedName name="Urualltestshistptscon">#REF!</definedName>
    <definedName name="Urualltestshistptsscored">#REF!</definedName>
    <definedName name="Urualltestshisttriesscored">#REF!</definedName>
    <definedName name="Urualltestshistwon">#REF!</definedName>
    <definedName name="urulb">#REF!</definedName>
    <definedName name="urulbcon">#REF!</definedName>
    <definedName name="uruoveralldrawn">#REF!</definedName>
    <definedName name="uruoveralllost">#REF!</definedName>
    <definedName name="uruoverallpld">#REF!</definedName>
    <definedName name="uruoverallptsag">#REF!</definedName>
    <definedName name="uruoverallptsscored">#REF!</definedName>
    <definedName name="uruoveralltriescon">#REF!</definedName>
    <definedName name="uruoveralltriesscored">#REF!</definedName>
    <definedName name="uruoverallwon">#REF!</definedName>
    <definedName name="urupooldrawn">#REF!</definedName>
    <definedName name="urupoollost">#REF!</definedName>
    <definedName name="urupoolpld">#REF!</definedName>
    <definedName name="urupoolptsag">#REF!</definedName>
    <definedName name="urupoolptsscored">#REF!</definedName>
    <definedName name="urupooltriesscored">#REF!</definedName>
    <definedName name="urupoolwon">#REF!</definedName>
    <definedName name="urured">#REF!</definedName>
    <definedName name="UruRWChistdrawn">#REF!</definedName>
    <definedName name="UruRWChistlost">#REF!</definedName>
    <definedName name="UruRWChistplayed">#REF!</definedName>
    <definedName name="UruRWChistptscon">#REF!</definedName>
    <definedName name="UruRWChistptsscored">#REF!</definedName>
    <definedName name="UruRWChisttriesscored">#REF!</definedName>
    <definedName name="UruRWChistwon">#REF!</definedName>
    <definedName name="urutb">#REF!</definedName>
    <definedName name="urutbcon">#REF!</definedName>
    <definedName name="urutriescon">#REF!</definedName>
    <definedName name="uruyellow">#REF!</definedName>
    <definedName name="USA2019alltestsdrawn">#REF!</definedName>
    <definedName name="USA2019alltestslost">#REF!</definedName>
    <definedName name="USA2019alltestsplayed">#REF!</definedName>
    <definedName name="USA2019alltestsptscon">#REF!</definedName>
    <definedName name="USA2019alltestsptsscored">#REF!</definedName>
    <definedName name="USA2019allteststriescon">#REF!</definedName>
    <definedName name="USA2019allteststriesscored">#REF!</definedName>
    <definedName name="USA2019alltestswon">#REF!</definedName>
    <definedName name="USA2019pooldrawn">#REF!</definedName>
    <definedName name="USA2019poollbcon">#REF!</definedName>
    <definedName name="USA2019poollbscored">#REF!</definedName>
    <definedName name="USA2019poollost">#REF!</definedName>
    <definedName name="USA2019poolplayed">#REF!</definedName>
    <definedName name="USA2019poolptscon">#REF!</definedName>
    <definedName name="USA2019poolptsscored">#REF!</definedName>
    <definedName name="USA2019pooltbcon">#REF!</definedName>
    <definedName name="USA2019pooltbscored">#REF!</definedName>
    <definedName name="USA2019pooltriescon">#REF!</definedName>
    <definedName name="USA2019pooltriesscored">#REF!</definedName>
    <definedName name="USA2019poolwon">#REF!</definedName>
    <definedName name="USA2019RWCdrawn">#REF!</definedName>
    <definedName name="USA2019RWClost">#REF!</definedName>
    <definedName name="USA2019RWCplayed">#REF!</definedName>
    <definedName name="USA2019RWCptscon">#REF!</definedName>
    <definedName name="USA2019RWCptsscored">#REF!</definedName>
    <definedName name="USA2019RWCrc">#REF!</definedName>
    <definedName name="USA2019RWCtriescon">#REF!</definedName>
    <definedName name="USA2019RWCtriesscored">#REF!</definedName>
    <definedName name="USA2019RWCwon">#REF!</definedName>
    <definedName name="USA2019RWCyc">#REF!</definedName>
    <definedName name="usa2021wcpooldrawn">USA!$AA$15</definedName>
    <definedName name="usa2021wcpoollbscored">USA!$I$15</definedName>
    <definedName name="usa2021wcpoollost">USA!$AB$15</definedName>
    <definedName name="usa2021wcpoolplayed">USA!$Y$15</definedName>
    <definedName name="usa2021wcpoolpointsagainst">USA!$G$15</definedName>
    <definedName name="usa2021wcpoolpointsscored">USA!$F$15</definedName>
    <definedName name="usa2021wcpooltbscored">USA!$H$15</definedName>
    <definedName name="usa2021wcpooltriesconceded">USA!$R$15</definedName>
    <definedName name="usa2021wcpooltriesscored">USA!$J$15</definedName>
    <definedName name="usa2021wcpoolwon">USA!$Z$15</definedName>
    <definedName name="usa2021wcrc">USA!$O$17</definedName>
    <definedName name="usa2021wctbcon">USA!$P$15</definedName>
    <definedName name="usa2021wcyc">USA!$N$17</definedName>
    <definedName name="usalb">#REF!</definedName>
    <definedName name="usalbcon">#REF!</definedName>
    <definedName name="usaoveralldrawn">#REF!</definedName>
    <definedName name="usaoveralllost">#REF!</definedName>
    <definedName name="usaoverallpld">#REF!</definedName>
    <definedName name="usaoverallptsag">#REF!</definedName>
    <definedName name="usaoverallptsscored">#REF!</definedName>
    <definedName name="usaoveralltriescon">#REF!</definedName>
    <definedName name="usaoveralltriesscored">#REF!</definedName>
    <definedName name="usaoverallwon">#REF!</definedName>
    <definedName name="usapooldrawn">#REF!</definedName>
    <definedName name="usapoollost">#REF!</definedName>
    <definedName name="usapoolpld">#REF!</definedName>
    <definedName name="usapoolptsag">#REF!</definedName>
    <definedName name="usapoolptsscored">#REF!</definedName>
    <definedName name="usapooltriescon">#REF!</definedName>
    <definedName name="usapooltriesscored">#REF!</definedName>
    <definedName name="usapoolwon">#REF!</definedName>
    <definedName name="usared">#REF!</definedName>
    <definedName name="usatb">#REF!</definedName>
    <definedName name="usatbcon">#REF!</definedName>
    <definedName name="usayellow">#REF!</definedName>
    <definedName name="vdrawn">#REF!</definedName>
    <definedName name="vlost">SCO!#REF!</definedName>
    <definedName name="vrc">#REF!</definedName>
    <definedName name="vtriesscored">#REF!</definedName>
    <definedName name="vwon">#REF!</definedName>
    <definedName name="Wal2019alltestsdrawn">WAL!$AA$21</definedName>
    <definedName name="Wal2019alltestslostcorrect">WAL!$AB$21</definedName>
    <definedName name="Wal2019alltestsplayed">WAL!$Y$21</definedName>
    <definedName name="Wal2019alltestsptscon">WAL!$G$21</definedName>
    <definedName name="Wal2019alltestsptsscored">WAL!$F$21</definedName>
    <definedName name="Wal2019allteststriescon">WAL!$R$21</definedName>
    <definedName name="Wal2019allteststriesscored">WAL!$J$21</definedName>
    <definedName name="Wal2019alltestswon">WAL!$Z$21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2021wcpooldrawn">WAL!$AA$17</definedName>
    <definedName name="wal2021wcpoollbscored">WAL!$I$17</definedName>
    <definedName name="wal2021wcpoollost">WAL!$AB$17</definedName>
    <definedName name="wal2021wcpoolplayed">WAL!$Y$17</definedName>
    <definedName name="wal2021wcpoolpointsagainst">WAL!$G$17</definedName>
    <definedName name="wal2021wcpoolpointsscored">WAL!$F$17</definedName>
    <definedName name="wal2021wcpooltbscored">WAL!$H$17</definedName>
    <definedName name="wal2021wcpooltriesconceded">WAL!$R$17</definedName>
    <definedName name="wal2021wcpooltriesscored">WAL!$J$17</definedName>
    <definedName name="wal2021wcpoolwon">WAL!$Z$17</definedName>
    <definedName name="wal2021wcrc">WAL!$O$19</definedName>
    <definedName name="wal2021wctbcon">WAL!$P$17</definedName>
    <definedName name="wal2021wcyc">WAL!$N$19</definedName>
    <definedName name="Walesalltestshistdrawn">#REF!</definedName>
    <definedName name="Walesalltestshistlost">#REF!</definedName>
    <definedName name="Walesalltestshistplayed">#REF!</definedName>
    <definedName name="Walesalltestshistptscon">#REF!</definedName>
    <definedName name="Walesalltestshistptsscored">#REF!</definedName>
    <definedName name="Walesalltestshisttriesscored">#REF!</definedName>
    <definedName name="Walesalltestshistwon">#REF!</definedName>
    <definedName name="Walesdrawn">WAL!$AA$16</definedName>
    <definedName name="Waleslosingbonus">WAL!$I$16</definedName>
    <definedName name="Waleslost">WAL!$AB$16</definedName>
    <definedName name="Walesplayed">WAL!$Y$16</definedName>
    <definedName name="Walesptsagainst">WAL!$G$16</definedName>
    <definedName name="Walesptsscored">WAL!$F$16</definedName>
    <definedName name="Walesred">WAL!$O$16</definedName>
    <definedName name="WalesRWChistdrawn">#REF!</definedName>
    <definedName name="WalesRWChistlost">#REF!</definedName>
    <definedName name="WalesRWChistplayed">#REF!</definedName>
    <definedName name="WalesRWChistptscon">#REF!</definedName>
    <definedName name="WalesRWChistptsscored">#REF!</definedName>
    <definedName name="WalesRWChisttriesscored">#REF!</definedName>
    <definedName name="WalesRWChistwon">#REF!</definedName>
    <definedName name="Walestriesagainst">WAL!$R$16</definedName>
    <definedName name="Walestriesscored">WAL!$J$16</definedName>
    <definedName name="Walestrybonus">WAL!$H$16</definedName>
    <definedName name="Waleswon">WAL!$Z$16</definedName>
    <definedName name="Walesyellow">WAL!$N$16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#REF!</definedName>
    <definedName name="waspsconceded">#REF!</definedName>
    <definedName name="waspsdrawn">#REF!</definedName>
    <definedName name="waspsdrawncorrect">#REF!</definedName>
    <definedName name="waspslosingbonus">#REF!</definedName>
    <definedName name="waspslosingbonusconceded">#REF!</definedName>
    <definedName name="waspslost">#REF!</definedName>
    <definedName name="waspsplayed">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#REF!</definedName>
    <definedName name="waspsscored">#REF!</definedName>
    <definedName name="waspstriesconceded">#REF!</definedName>
    <definedName name="waspstriesscored">#REF!</definedName>
    <definedName name="waspstrybonus">#REF!</definedName>
    <definedName name="waspstrybonusconceded">#REF!</definedName>
    <definedName name="waspswon">#REF!</definedName>
    <definedName name="waspsyellow">#REF!</definedName>
    <definedName name="welshlosingbonus">#REF!</definedName>
    <definedName name="welshtrybonus">#REF!</definedName>
    <definedName name="worbonus">#REF!</definedName>
    <definedName name="worcester201314triesagainst">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#REF!</definedName>
    <definedName name="worconceded">#REF!</definedName>
    <definedName name="wordrawn">#REF!</definedName>
    <definedName name="worlosingbonus">#REF!</definedName>
    <definedName name="worlosingbonusconceded">#REF!</definedName>
    <definedName name="worlost">#REF!</definedName>
    <definedName name="worplayed">#REF!</definedName>
    <definedName name="worred">#REF!</definedName>
    <definedName name="worscored">#REF!</definedName>
    <definedName name="wortriesconceded">#REF!</definedName>
    <definedName name="wortriesscored">#REF!</definedName>
    <definedName name="wortrybonus">#REF!</definedName>
    <definedName name="wortrybonusconceded">#REF!</definedName>
    <definedName name="worwon">#REF!</definedName>
    <definedName name="woryellow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5" i="40" l="1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R15" i="40"/>
  <c r="O15" i="40"/>
  <c r="N15" i="40"/>
  <c r="M15" i="40"/>
  <c r="L15" i="40"/>
  <c r="K15" i="40"/>
  <c r="J15" i="40"/>
  <c r="G15" i="40"/>
  <c r="F15" i="40"/>
  <c r="J40" i="42" l="1"/>
  <c r="N34" i="43" l="1"/>
  <c r="M34" i="43"/>
  <c r="L34" i="43"/>
  <c r="K34" i="43"/>
  <c r="J34" i="43"/>
  <c r="I34" i="43"/>
  <c r="O33" i="43"/>
  <c r="Q33" i="43" s="1"/>
  <c r="O32" i="43"/>
  <c r="Q32" i="43" s="1"/>
  <c r="O31" i="43"/>
  <c r="Q31" i="43" s="1"/>
  <c r="O30" i="43"/>
  <c r="Q30" i="43" s="1"/>
  <c r="O29" i="43"/>
  <c r="P29" i="43" s="1"/>
  <c r="O28" i="43"/>
  <c r="Q28" i="43" s="1"/>
  <c r="O27" i="43"/>
  <c r="P27" i="43" s="1"/>
  <c r="O26" i="43"/>
  <c r="Q26" i="43" s="1"/>
  <c r="O25" i="43"/>
  <c r="Q25" i="43" s="1"/>
  <c r="O24" i="43"/>
  <c r="Q24" i="43" s="1"/>
  <c r="O23" i="43"/>
  <c r="P23" i="43" s="1"/>
  <c r="Q22" i="43"/>
  <c r="P22" i="43"/>
  <c r="O22" i="43"/>
  <c r="Q29" i="43" l="1"/>
  <c r="P24" i="43"/>
  <c r="Q27" i="43"/>
  <c r="P30" i="43"/>
  <c r="P25" i="43"/>
  <c r="P33" i="43"/>
  <c r="P31" i="43"/>
  <c r="Q23" i="43"/>
  <c r="P26" i="43"/>
  <c r="O34" i="43"/>
  <c r="P28" i="43"/>
  <c r="P32" i="43"/>
  <c r="P34" i="43" l="1"/>
  <c r="Q34" i="43"/>
  <c r="AN16" i="37" l="1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R16" i="37"/>
  <c r="O16" i="37"/>
  <c r="N16" i="37"/>
  <c r="M16" i="37"/>
  <c r="L16" i="37"/>
  <c r="K16" i="37"/>
  <c r="J16" i="37"/>
  <c r="G16" i="37"/>
  <c r="F16" i="37"/>
  <c r="S66" i="42"/>
  <c r="R66" i="42"/>
  <c r="S67" i="42"/>
  <c r="S65" i="42"/>
  <c r="R67" i="42"/>
  <c r="R65" i="42"/>
  <c r="S68" i="42" l="1"/>
  <c r="R68" i="42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R11" i="43"/>
  <c r="Q11" i="43"/>
  <c r="Q17" i="41"/>
  <c r="Q19" i="41" s="1"/>
  <c r="P17" i="41"/>
  <c r="H11" i="44" s="1"/>
  <c r="I17" i="41"/>
  <c r="I19" i="41" s="1"/>
  <c r="H17" i="41"/>
  <c r="D13" i="42"/>
  <c r="AN18" i="30"/>
  <c r="AM18" i="30"/>
  <c r="AL18" i="30"/>
  <c r="AK18" i="30"/>
  <c r="AJ18" i="30"/>
  <c r="AI18" i="30"/>
  <c r="AH18" i="30"/>
  <c r="AG18" i="30"/>
  <c r="AF18" i="30"/>
  <c r="AE18" i="30"/>
  <c r="AD18" i="30"/>
  <c r="AC18" i="30"/>
  <c r="AB18" i="30"/>
  <c r="AA18" i="30"/>
  <c r="Z18" i="30"/>
  <c r="Y18" i="30"/>
  <c r="R18" i="30"/>
  <c r="O18" i="30"/>
  <c r="N18" i="30"/>
  <c r="M18" i="30"/>
  <c r="L18" i="30"/>
  <c r="K18" i="30"/>
  <c r="J18" i="30"/>
  <c r="G18" i="30"/>
  <c r="F18" i="30"/>
  <c r="AN17" i="30"/>
  <c r="AN19" i="30" s="1"/>
  <c r="AM17" i="30"/>
  <c r="AM19" i="30" s="1"/>
  <c r="AL17" i="30"/>
  <c r="AL19" i="30" s="1"/>
  <c r="AK17" i="30"/>
  <c r="AJ17" i="30"/>
  <c r="AI17" i="30"/>
  <c r="AI19" i="30" s="1"/>
  <c r="AH17" i="30"/>
  <c r="AG17" i="30"/>
  <c r="AF17" i="30"/>
  <c r="AE17" i="30"/>
  <c r="AE19" i="30" s="1"/>
  <c r="AD17" i="30"/>
  <c r="AC17" i="30"/>
  <c r="AB17" i="30"/>
  <c r="AA17" i="30"/>
  <c r="Z17" i="30"/>
  <c r="Y17" i="30"/>
  <c r="B12" i="42" s="1"/>
  <c r="R17" i="30"/>
  <c r="Q17" i="30"/>
  <c r="Q19" i="30" s="1"/>
  <c r="P17" i="30"/>
  <c r="O17" i="30"/>
  <c r="N17" i="30"/>
  <c r="M17" i="30"/>
  <c r="L17" i="30"/>
  <c r="K17" i="30"/>
  <c r="K19" i="30" s="1"/>
  <c r="J17" i="30"/>
  <c r="I17" i="30"/>
  <c r="I19" i="30" s="1"/>
  <c r="H17" i="30"/>
  <c r="G17" i="30"/>
  <c r="F17" i="30"/>
  <c r="AN18" i="41"/>
  <c r="AM18" i="41"/>
  <c r="AL18" i="41"/>
  <c r="AK18" i="41"/>
  <c r="AJ18" i="41"/>
  <c r="AI18" i="41"/>
  <c r="AH18" i="41"/>
  <c r="AG18" i="41"/>
  <c r="AF18" i="41"/>
  <c r="AE18" i="41"/>
  <c r="AD18" i="41"/>
  <c r="AC18" i="41"/>
  <c r="AB18" i="41"/>
  <c r="AA18" i="41"/>
  <c r="Z18" i="41"/>
  <c r="Y18" i="41"/>
  <c r="R18" i="41"/>
  <c r="O18" i="41"/>
  <c r="N18" i="41"/>
  <c r="M18" i="41"/>
  <c r="L18" i="41"/>
  <c r="K18" i="41"/>
  <c r="J18" i="41"/>
  <c r="G18" i="41"/>
  <c r="F18" i="41"/>
  <c r="AN17" i="41"/>
  <c r="AM17" i="41"/>
  <c r="AL17" i="41"/>
  <c r="AK17" i="41"/>
  <c r="AJ17" i="41"/>
  <c r="AI17" i="41"/>
  <c r="AH17" i="41"/>
  <c r="AG17" i="41"/>
  <c r="AF17" i="41"/>
  <c r="AE17" i="41"/>
  <c r="AD17" i="41"/>
  <c r="AC17" i="41"/>
  <c r="AB17" i="41"/>
  <c r="E42" i="42" s="1"/>
  <c r="AA17" i="41"/>
  <c r="D42" i="42" s="1"/>
  <c r="Z17" i="41"/>
  <c r="C42" i="42" s="1"/>
  <c r="Y17" i="41"/>
  <c r="B42" i="42" s="1"/>
  <c r="R17" i="41"/>
  <c r="O17" i="41"/>
  <c r="N17" i="41"/>
  <c r="M17" i="41"/>
  <c r="L17" i="41"/>
  <c r="K17" i="41"/>
  <c r="J17" i="41"/>
  <c r="G17" i="41"/>
  <c r="G42" i="42" s="1"/>
  <c r="F17" i="41"/>
  <c r="F42" i="42" s="1"/>
  <c r="AN19" i="25"/>
  <c r="AM19" i="25"/>
  <c r="AL19" i="25"/>
  <c r="AK19" i="25"/>
  <c r="AJ19" i="25"/>
  <c r="AI19" i="25"/>
  <c r="AH19" i="25"/>
  <c r="AG19" i="25"/>
  <c r="AF19" i="25"/>
  <c r="AE19" i="25"/>
  <c r="AD19" i="25"/>
  <c r="AC19" i="25"/>
  <c r="AB19" i="25"/>
  <c r="AA19" i="25"/>
  <c r="Z19" i="25"/>
  <c r="Y19" i="25"/>
  <c r="R19" i="25"/>
  <c r="O19" i="25"/>
  <c r="N19" i="25"/>
  <c r="M19" i="25"/>
  <c r="L19" i="25"/>
  <c r="K19" i="25"/>
  <c r="J19" i="25"/>
  <c r="G19" i="25"/>
  <c r="F19" i="25"/>
  <c r="AN18" i="25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E13" i="42" s="1"/>
  <c r="AA18" i="25"/>
  <c r="Z18" i="25"/>
  <c r="C13" i="42" s="1"/>
  <c r="Y18" i="25"/>
  <c r="B13" i="42" s="1"/>
  <c r="R18" i="25"/>
  <c r="Q18" i="25"/>
  <c r="Q20" i="25" s="1"/>
  <c r="P18" i="25"/>
  <c r="O18" i="25"/>
  <c r="N18" i="25"/>
  <c r="M18" i="25"/>
  <c r="L18" i="25"/>
  <c r="K18" i="25"/>
  <c r="J18" i="25"/>
  <c r="I18" i="25"/>
  <c r="I20" i="25" s="1"/>
  <c r="H18" i="25"/>
  <c r="G18" i="25"/>
  <c r="G13" i="42" s="1"/>
  <c r="F18" i="25"/>
  <c r="F13" i="42" s="1"/>
  <c r="AJ19" i="30"/>
  <c r="AN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R16" i="39"/>
  <c r="O16" i="39"/>
  <c r="N16" i="39"/>
  <c r="M16" i="39"/>
  <c r="L16" i="39"/>
  <c r="K16" i="39"/>
  <c r="J16" i="39"/>
  <c r="G16" i="39"/>
  <c r="F16" i="39"/>
  <c r="AN15" i="39"/>
  <c r="AN17" i="39" s="1"/>
  <c r="AM15" i="39"/>
  <c r="AL15" i="39"/>
  <c r="AK15" i="39"/>
  <c r="AK17" i="39" s="1"/>
  <c r="AJ15" i="39"/>
  <c r="AJ17" i="39" s="1"/>
  <c r="AI15" i="39"/>
  <c r="AH15" i="39"/>
  <c r="AG15" i="39"/>
  <c r="AF15" i="39"/>
  <c r="AF17" i="39" s="1"/>
  <c r="AE15" i="39"/>
  <c r="AD15" i="39"/>
  <c r="AC15" i="39"/>
  <c r="AB15" i="39"/>
  <c r="AB17" i="39" s="1"/>
  <c r="AA15" i="39"/>
  <c r="D26" i="42" s="1"/>
  <c r="Z15" i="39"/>
  <c r="Y15" i="39"/>
  <c r="R15" i="39"/>
  <c r="Q15" i="39"/>
  <c r="Q17" i="39" s="1"/>
  <c r="P15" i="39"/>
  <c r="O15" i="39"/>
  <c r="N15" i="39"/>
  <c r="M15" i="39"/>
  <c r="L15" i="39"/>
  <c r="K15" i="39"/>
  <c r="J15" i="39"/>
  <c r="I15" i="39"/>
  <c r="I17" i="39" s="1"/>
  <c r="H15" i="39"/>
  <c r="G15" i="39"/>
  <c r="F15" i="39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R17" i="40"/>
  <c r="O17" i="40"/>
  <c r="N17" i="40"/>
  <c r="M17" i="40"/>
  <c r="L17" i="40"/>
  <c r="K17" i="40"/>
  <c r="J17" i="40"/>
  <c r="G17" i="40"/>
  <c r="F17" i="40"/>
  <c r="AN16" i="40"/>
  <c r="AM16" i="40"/>
  <c r="AM18" i="40" s="1"/>
  <c r="AL16" i="40"/>
  <c r="AL18" i="40" s="1"/>
  <c r="AK16" i="40"/>
  <c r="AJ16" i="40"/>
  <c r="AI16" i="40"/>
  <c r="AI18" i="40" s="1"/>
  <c r="AH16" i="40"/>
  <c r="AG16" i="40"/>
  <c r="AF16" i="40"/>
  <c r="AE16" i="40"/>
  <c r="AD16" i="40"/>
  <c r="AD18" i="40" s="1"/>
  <c r="AC16" i="40"/>
  <c r="AB16" i="40"/>
  <c r="AA16" i="40"/>
  <c r="Z16" i="40"/>
  <c r="Y16" i="40"/>
  <c r="R16" i="40"/>
  <c r="J10" i="42" s="1"/>
  <c r="Q16" i="40"/>
  <c r="Q18" i="40" s="1"/>
  <c r="P16" i="40"/>
  <c r="O16" i="40"/>
  <c r="N16" i="40"/>
  <c r="M16" i="40"/>
  <c r="L16" i="40"/>
  <c r="K16" i="40"/>
  <c r="J16" i="40"/>
  <c r="I10" i="42" s="1"/>
  <c r="I16" i="40"/>
  <c r="I18" i="40" s="1"/>
  <c r="H16" i="40"/>
  <c r="G16" i="40"/>
  <c r="F16" i="40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R18" i="37"/>
  <c r="O18" i="37"/>
  <c r="N18" i="37"/>
  <c r="M18" i="37"/>
  <c r="L18" i="37"/>
  <c r="K18" i="37"/>
  <c r="J18" i="37"/>
  <c r="G18" i="37"/>
  <c r="F18" i="37"/>
  <c r="AN17" i="37"/>
  <c r="AM17" i="37"/>
  <c r="AL17" i="37"/>
  <c r="AL19" i="37" s="1"/>
  <c r="AK17" i="37"/>
  <c r="AK19" i="37" s="1"/>
  <c r="AJ17" i="37"/>
  <c r="AI17" i="37"/>
  <c r="AH17" i="37"/>
  <c r="AH19" i="37" s="1"/>
  <c r="AG17" i="37"/>
  <c r="AG19" i="37" s="1"/>
  <c r="AF17" i="37"/>
  <c r="AE17" i="37"/>
  <c r="AD17" i="37"/>
  <c r="AD19" i="37" s="1"/>
  <c r="AC17" i="37"/>
  <c r="AC19" i="37" s="1"/>
  <c r="AB17" i="37"/>
  <c r="E27" i="42" s="1"/>
  <c r="AA17" i="37"/>
  <c r="D27" i="42" s="1"/>
  <c r="Z17" i="37"/>
  <c r="Z19" i="37" s="1"/>
  <c r="Y17" i="37"/>
  <c r="Y19" i="37" s="1"/>
  <c r="R17" i="37"/>
  <c r="Q17" i="37"/>
  <c r="Q19" i="37" s="1"/>
  <c r="P17" i="37"/>
  <c r="O17" i="37"/>
  <c r="O19" i="37" s="1"/>
  <c r="T9" i="43" s="1"/>
  <c r="N17" i="37"/>
  <c r="N19" i="37" s="1"/>
  <c r="B6" i="43" s="1"/>
  <c r="M17" i="37"/>
  <c r="M19" i="37" s="1"/>
  <c r="L17" i="37"/>
  <c r="K17" i="37"/>
  <c r="K19" i="37" s="1"/>
  <c r="J17" i="37"/>
  <c r="I27" i="42" s="1"/>
  <c r="I17" i="37"/>
  <c r="I19" i="37" s="1"/>
  <c r="H17" i="37"/>
  <c r="G17" i="37"/>
  <c r="G19" i="37" s="1"/>
  <c r="F17" i="37"/>
  <c r="F27" i="42" s="1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R19" i="17"/>
  <c r="O19" i="17"/>
  <c r="N19" i="17"/>
  <c r="M19" i="17"/>
  <c r="L19" i="17"/>
  <c r="K19" i="17"/>
  <c r="J19" i="17"/>
  <c r="G19" i="17"/>
  <c r="F19" i="17"/>
  <c r="AN18" i="17"/>
  <c r="AN20" i="17" s="1"/>
  <c r="AM18" i="17"/>
  <c r="AL18" i="17"/>
  <c r="AK18" i="17"/>
  <c r="AK20" i="17" s="1"/>
  <c r="AJ18" i="17"/>
  <c r="AJ20" i="17" s="1"/>
  <c r="AI18" i="17"/>
  <c r="AH18" i="17"/>
  <c r="AG18" i="17"/>
  <c r="AG20" i="17" s="1"/>
  <c r="AF18" i="17"/>
  <c r="AE18" i="17"/>
  <c r="AD18" i="17"/>
  <c r="AC18" i="17"/>
  <c r="AB18" i="17"/>
  <c r="AA18" i="17"/>
  <c r="D25" i="42" s="1"/>
  <c r="Z18" i="17"/>
  <c r="C25" i="42" s="1"/>
  <c r="Y18" i="17"/>
  <c r="Y20" i="17" s="1"/>
  <c r="R18" i="17"/>
  <c r="Q18" i="17"/>
  <c r="Q20" i="17" s="1"/>
  <c r="P18" i="17"/>
  <c r="O18" i="17"/>
  <c r="N18" i="17"/>
  <c r="M18" i="17"/>
  <c r="L18" i="17"/>
  <c r="K18" i="17"/>
  <c r="J18" i="17"/>
  <c r="I18" i="17"/>
  <c r="I20" i="17" s="1"/>
  <c r="H18" i="17"/>
  <c r="G18" i="17"/>
  <c r="G20" i="17" s="1"/>
  <c r="F18" i="17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R18" i="13"/>
  <c r="O18" i="13"/>
  <c r="N18" i="13"/>
  <c r="M18" i="13"/>
  <c r="L18" i="13"/>
  <c r="K18" i="13"/>
  <c r="J18" i="13"/>
  <c r="G18" i="13"/>
  <c r="F18" i="13"/>
  <c r="AN17" i="13"/>
  <c r="AM17" i="13"/>
  <c r="AL17" i="13"/>
  <c r="AK17" i="13"/>
  <c r="AJ17" i="13"/>
  <c r="AI17" i="13"/>
  <c r="AH17" i="13"/>
  <c r="AG17" i="13"/>
  <c r="AF17" i="13"/>
  <c r="AF19" i="13" s="1"/>
  <c r="AE17" i="13"/>
  <c r="AD17" i="13"/>
  <c r="AD19" i="13" s="1"/>
  <c r="AC17" i="13"/>
  <c r="AB17" i="13"/>
  <c r="AA17" i="13"/>
  <c r="D40" i="42" s="1"/>
  <c r="Z17" i="13"/>
  <c r="Y17" i="13"/>
  <c r="B40" i="42" s="1"/>
  <c r="R17" i="13"/>
  <c r="Q17" i="13"/>
  <c r="Q19" i="13" s="1"/>
  <c r="P17" i="13"/>
  <c r="O17" i="13"/>
  <c r="N17" i="13"/>
  <c r="M17" i="13"/>
  <c r="L17" i="13"/>
  <c r="K17" i="13"/>
  <c r="J17" i="13"/>
  <c r="I17" i="13"/>
  <c r="I19" i="13" s="1"/>
  <c r="H17" i="13"/>
  <c r="G17" i="13"/>
  <c r="G40" i="42" s="1"/>
  <c r="F17" i="13"/>
  <c r="AN18" i="36"/>
  <c r="AM18" i="36"/>
  <c r="AL18" i="36"/>
  <c r="AK18" i="36"/>
  <c r="AJ18" i="36"/>
  <c r="AI18" i="36"/>
  <c r="AH18" i="36"/>
  <c r="AG18" i="36"/>
  <c r="AF18" i="36"/>
  <c r="AE18" i="36"/>
  <c r="AD18" i="36"/>
  <c r="AC18" i="36"/>
  <c r="AB18" i="36"/>
  <c r="AA18" i="36"/>
  <c r="Z18" i="36"/>
  <c r="Y18" i="36"/>
  <c r="R18" i="36"/>
  <c r="O18" i="36"/>
  <c r="N18" i="36"/>
  <c r="M18" i="36"/>
  <c r="L18" i="36"/>
  <c r="K18" i="36"/>
  <c r="J18" i="36"/>
  <c r="G18" i="36"/>
  <c r="F18" i="36"/>
  <c r="AN17" i="36"/>
  <c r="AN19" i="36" s="1"/>
  <c r="AM17" i="36"/>
  <c r="AM19" i="36" s="1"/>
  <c r="AL17" i="36"/>
  <c r="AK17" i="36"/>
  <c r="AK19" i="36" s="1"/>
  <c r="AJ17" i="36"/>
  <c r="AJ19" i="36" s="1"/>
  <c r="AI17" i="36"/>
  <c r="AI19" i="36" s="1"/>
  <c r="AH17" i="36"/>
  <c r="AG17" i="36"/>
  <c r="AG19" i="36" s="1"/>
  <c r="AF17" i="36"/>
  <c r="AF19" i="36" s="1"/>
  <c r="AE17" i="36"/>
  <c r="AE19" i="36" s="1"/>
  <c r="AD17" i="36"/>
  <c r="AC17" i="36"/>
  <c r="AC19" i="36" s="1"/>
  <c r="AB17" i="36"/>
  <c r="AB19" i="36" s="1"/>
  <c r="AA17" i="36"/>
  <c r="AA19" i="36" s="1"/>
  <c r="Z17" i="36"/>
  <c r="C41" i="42" s="1"/>
  <c r="Y17" i="36"/>
  <c r="Y19" i="36" s="1"/>
  <c r="R17" i="36"/>
  <c r="Q17" i="36"/>
  <c r="Q19" i="36" s="1"/>
  <c r="P17" i="36"/>
  <c r="O17" i="36"/>
  <c r="O19" i="36" s="1"/>
  <c r="N17" i="36"/>
  <c r="N19" i="36" s="1"/>
  <c r="M17" i="36"/>
  <c r="M19" i="36" s="1"/>
  <c r="L17" i="36"/>
  <c r="L19" i="36" s="1"/>
  <c r="K17" i="36"/>
  <c r="K19" i="36" s="1"/>
  <c r="J17" i="36"/>
  <c r="I41" i="42" s="1"/>
  <c r="I17" i="36"/>
  <c r="I19" i="36" s="1"/>
  <c r="H17" i="36"/>
  <c r="G17" i="36"/>
  <c r="G41" i="42" s="1"/>
  <c r="F17" i="36"/>
  <c r="F19" i="36" s="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R18" i="11"/>
  <c r="O18" i="11"/>
  <c r="N18" i="11"/>
  <c r="M18" i="11"/>
  <c r="L18" i="11"/>
  <c r="K18" i="11"/>
  <c r="J18" i="11"/>
  <c r="G18" i="11"/>
  <c r="F18" i="11"/>
  <c r="AN17" i="11"/>
  <c r="AM17" i="11"/>
  <c r="AL17" i="11"/>
  <c r="AK17" i="11"/>
  <c r="AJ17" i="11"/>
  <c r="AJ19" i="11" s="1"/>
  <c r="AI17" i="11"/>
  <c r="AH17" i="11"/>
  <c r="AG17" i="11"/>
  <c r="AF17" i="11"/>
  <c r="AE17" i="11"/>
  <c r="AD17" i="11"/>
  <c r="AC17" i="11"/>
  <c r="AB17" i="11"/>
  <c r="AA17" i="11"/>
  <c r="D39" i="42" s="1"/>
  <c r="Z17" i="11"/>
  <c r="C39" i="42" s="1"/>
  <c r="Y17" i="11"/>
  <c r="R17" i="11"/>
  <c r="J39" i="42" s="1"/>
  <c r="Q17" i="11"/>
  <c r="Q19" i="11" s="1"/>
  <c r="P17" i="11"/>
  <c r="O17" i="11"/>
  <c r="N17" i="11"/>
  <c r="N19" i="11" s="1"/>
  <c r="S5" i="43" s="1"/>
  <c r="M17" i="11"/>
  <c r="L17" i="11"/>
  <c r="K17" i="11"/>
  <c r="J17" i="11"/>
  <c r="I17" i="11"/>
  <c r="I19" i="11" s="1"/>
  <c r="H17" i="11"/>
  <c r="G17" i="11"/>
  <c r="F17" i="11"/>
  <c r="AN17" i="38"/>
  <c r="AM17" i="38"/>
  <c r="AL17" i="38"/>
  <c r="AK17" i="38"/>
  <c r="AJ17" i="38"/>
  <c r="AI17" i="38"/>
  <c r="AH17" i="38"/>
  <c r="AG17" i="38"/>
  <c r="AF17" i="38"/>
  <c r="AE17" i="38"/>
  <c r="AD17" i="38"/>
  <c r="AC17" i="38"/>
  <c r="AB17" i="38"/>
  <c r="AA17" i="38"/>
  <c r="Z17" i="38"/>
  <c r="Y17" i="38"/>
  <c r="R17" i="38"/>
  <c r="O17" i="38"/>
  <c r="N17" i="38"/>
  <c r="M17" i="38"/>
  <c r="L17" i="38"/>
  <c r="K17" i="38"/>
  <c r="J17" i="38"/>
  <c r="G17" i="38"/>
  <c r="F17" i="38"/>
  <c r="AN16" i="38"/>
  <c r="AM16" i="38"/>
  <c r="AM18" i="38" s="1"/>
  <c r="AL16" i="38"/>
  <c r="AK16" i="38"/>
  <c r="AJ16" i="38"/>
  <c r="AI16" i="38"/>
  <c r="AH16" i="38"/>
  <c r="AG16" i="38"/>
  <c r="AF16" i="38"/>
  <c r="AE16" i="38"/>
  <c r="AD16" i="38"/>
  <c r="AC16" i="38"/>
  <c r="AB16" i="38"/>
  <c r="AA16" i="38"/>
  <c r="Z16" i="38"/>
  <c r="C24" i="42" s="1"/>
  <c r="Y16" i="38"/>
  <c r="R16" i="38"/>
  <c r="J24" i="42" s="1"/>
  <c r="Q16" i="38"/>
  <c r="Q18" i="38" s="1"/>
  <c r="P16" i="38"/>
  <c r="O16" i="38"/>
  <c r="N16" i="38"/>
  <c r="M16" i="38"/>
  <c r="L16" i="38"/>
  <c r="L18" i="38" s="1"/>
  <c r="K16" i="38"/>
  <c r="J16" i="38"/>
  <c r="I24" i="42" s="1"/>
  <c r="I16" i="38"/>
  <c r="I18" i="38" s="1"/>
  <c r="H16" i="38"/>
  <c r="G16" i="38"/>
  <c r="F16" i="38"/>
  <c r="F19" i="38"/>
  <c r="G19" i="38"/>
  <c r="J19" i="38"/>
  <c r="K19" i="38"/>
  <c r="L19" i="38"/>
  <c r="M19" i="38"/>
  <c r="N19" i="38"/>
  <c r="O19" i="38"/>
  <c r="R19" i="38"/>
  <c r="Y19" i="38"/>
  <c r="Z19" i="38"/>
  <c r="AA19" i="38"/>
  <c r="AB19" i="38"/>
  <c r="AC19" i="38"/>
  <c r="AD19" i="38"/>
  <c r="AE19" i="38"/>
  <c r="AF19" i="38"/>
  <c r="AG19" i="38"/>
  <c r="AH19" i="38"/>
  <c r="AI19" i="38"/>
  <c r="AJ19" i="38"/>
  <c r="AK19" i="38"/>
  <c r="AL19" i="38"/>
  <c r="AM19" i="38"/>
  <c r="AN19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Y20" i="38"/>
  <c r="Z20" i="38"/>
  <c r="AA20" i="38"/>
  <c r="AB20" i="38"/>
  <c r="AC20" i="38"/>
  <c r="AD20" i="38"/>
  <c r="AE20" i="38"/>
  <c r="AF20" i="38"/>
  <c r="AG20" i="38"/>
  <c r="AH20" i="38"/>
  <c r="AI20" i="38"/>
  <c r="AJ20" i="38"/>
  <c r="AK20" i="38"/>
  <c r="AL20" i="38"/>
  <c r="AM20" i="38"/>
  <c r="AN20" i="38"/>
  <c r="Y18" i="35"/>
  <c r="Z18" i="35"/>
  <c r="AN18" i="35"/>
  <c r="AM18" i="35"/>
  <c r="AL18" i="35"/>
  <c r="AK18" i="35"/>
  <c r="AJ18" i="35"/>
  <c r="AI18" i="35"/>
  <c r="AH18" i="35"/>
  <c r="AG18" i="35"/>
  <c r="AF18" i="35"/>
  <c r="AE18" i="35"/>
  <c r="AD18" i="35"/>
  <c r="AC18" i="35"/>
  <c r="AB18" i="35"/>
  <c r="AA18" i="35"/>
  <c r="R18" i="35"/>
  <c r="O18" i="35"/>
  <c r="N18" i="35"/>
  <c r="M18" i="35"/>
  <c r="L18" i="35"/>
  <c r="K18" i="35"/>
  <c r="J18" i="35"/>
  <c r="G18" i="35"/>
  <c r="F18" i="35"/>
  <c r="AN17" i="35"/>
  <c r="AN19" i="35" s="1"/>
  <c r="AM17" i="35"/>
  <c r="AL17" i="35"/>
  <c r="AK17" i="35"/>
  <c r="AJ17" i="35"/>
  <c r="AI17" i="35"/>
  <c r="AH17" i="35"/>
  <c r="AG17" i="35"/>
  <c r="AF17" i="35"/>
  <c r="AE17" i="35"/>
  <c r="AD17" i="35"/>
  <c r="AC17" i="35"/>
  <c r="AB17" i="35"/>
  <c r="AA17" i="35"/>
  <c r="Z17" i="35"/>
  <c r="Y17" i="35"/>
  <c r="R17" i="35"/>
  <c r="Q17" i="35"/>
  <c r="Q19" i="35" s="1"/>
  <c r="P17" i="35"/>
  <c r="O17" i="35"/>
  <c r="N17" i="35"/>
  <c r="N19" i="35" s="1"/>
  <c r="B14" i="43" s="1"/>
  <c r="M17" i="35"/>
  <c r="L17" i="35"/>
  <c r="K17" i="35"/>
  <c r="J17" i="35"/>
  <c r="I17" i="35"/>
  <c r="I19" i="35" s="1"/>
  <c r="H17" i="35"/>
  <c r="G17" i="35"/>
  <c r="F17" i="35"/>
  <c r="P15" i="43"/>
  <c r="N15" i="43"/>
  <c r="M15" i="43"/>
  <c r="L15" i="43"/>
  <c r="K15" i="43"/>
  <c r="J15" i="43"/>
  <c r="I15" i="43"/>
  <c r="O14" i="43"/>
  <c r="Q14" i="43" s="1"/>
  <c r="O13" i="43"/>
  <c r="R13" i="43" s="1"/>
  <c r="O12" i="43"/>
  <c r="R12" i="43" s="1"/>
  <c r="O11" i="43"/>
  <c r="O10" i="43"/>
  <c r="R10" i="43" s="1"/>
  <c r="O9" i="43"/>
  <c r="Q9" i="43" s="1"/>
  <c r="O8" i="43"/>
  <c r="R8" i="43" s="1"/>
  <c r="O7" i="43"/>
  <c r="R7" i="43" s="1"/>
  <c r="O6" i="43"/>
  <c r="Q6" i="43" s="1"/>
  <c r="O5" i="43"/>
  <c r="R5" i="43" s="1"/>
  <c r="O4" i="43"/>
  <c r="R4" i="43" s="1"/>
  <c r="O3" i="43"/>
  <c r="R3" i="43" s="1"/>
  <c r="O60" i="42"/>
  <c r="N60" i="42"/>
  <c r="G60" i="42"/>
  <c r="F60" i="42"/>
  <c r="AE18" i="40" l="1"/>
  <c r="N18" i="40"/>
  <c r="S10" i="43" s="1"/>
  <c r="Q7" i="43"/>
  <c r="AN18" i="38"/>
  <c r="AN19" i="13"/>
  <c r="Z19" i="13"/>
  <c r="L19" i="13"/>
  <c r="AN18" i="40"/>
  <c r="AK18" i="40"/>
  <c r="AG18" i="40"/>
  <c r="AC18" i="40"/>
  <c r="AC19" i="11"/>
  <c r="AB19" i="11"/>
  <c r="O19" i="11"/>
  <c r="T5" i="43" s="1"/>
  <c r="F19" i="11"/>
  <c r="AG18" i="38"/>
  <c r="AF18" i="38"/>
  <c r="AE18" i="38"/>
  <c r="AB18" i="38"/>
  <c r="N18" i="38"/>
  <c r="S4" i="43" s="1"/>
  <c r="K18" i="38"/>
  <c r="F18" i="38"/>
  <c r="Q8" i="43"/>
  <c r="AG17" i="39"/>
  <c r="AC17" i="39"/>
  <c r="Y17" i="39"/>
  <c r="O17" i="39"/>
  <c r="T13" i="43" s="1"/>
  <c r="N17" i="39"/>
  <c r="B8" i="43" s="1"/>
  <c r="M17" i="39"/>
  <c r="G17" i="39"/>
  <c r="F17" i="39"/>
  <c r="AK18" i="38"/>
  <c r="AJ18" i="38"/>
  <c r="AI18" i="38"/>
  <c r="AC18" i="38"/>
  <c r="AA18" i="38"/>
  <c r="Y18" i="38"/>
  <c r="O18" i="38"/>
  <c r="D4" i="43" s="1"/>
  <c r="M18" i="38"/>
  <c r="G18" i="38"/>
  <c r="AM19" i="35"/>
  <c r="AL19" i="35"/>
  <c r="AK19" i="35"/>
  <c r="AJ19" i="35"/>
  <c r="AI19" i="35"/>
  <c r="AH19" i="35"/>
  <c r="AG19" i="35"/>
  <c r="AF19" i="35"/>
  <c r="AE19" i="35"/>
  <c r="AD19" i="35"/>
  <c r="AC19" i="35"/>
  <c r="O19" i="35"/>
  <c r="T3" i="43" s="1"/>
  <c r="M19" i="35"/>
  <c r="L19" i="35"/>
  <c r="K19" i="35"/>
  <c r="AN19" i="11"/>
  <c r="AK19" i="11"/>
  <c r="AG19" i="11"/>
  <c r="AF19" i="11"/>
  <c r="Y19" i="11"/>
  <c r="G19" i="11"/>
  <c r="AF19" i="30"/>
  <c r="AB19" i="30"/>
  <c r="AA19" i="30"/>
  <c r="Z19" i="30"/>
  <c r="O19" i="30"/>
  <c r="T14" i="43" s="1"/>
  <c r="N19" i="30"/>
  <c r="S14" i="43" s="1"/>
  <c r="M19" i="30"/>
  <c r="AJ18" i="40"/>
  <c r="AH18" i="40"/>
  <c r="AF18" i="40"/>
  <c r="O18" i="40"/>
  <c r="T10" i="43" s="1"/>
  <c r="M18" i="40"/>
  <c r="L18" i="40"/>
  <c r="K18" i="40"/>
  <c r="AF20" i="17"/>
  <c r="AC20" i="17"/>
  <c r="AB20" i="17"/>
  <c r="O20" i="17"/>
  <c r="D7" i="43" s="1"/>
  <c r="N20" i="17"/>
  <c r="B7" i="43" s="1"/>
  <c r="F20" i="17"/>
  <c r="AL19" i="13"/>
  <c r="AJ19" i="13"/>
  <c r="AH19" i="13"/>
  <c r="AB19" i="13"/>
  <c r="N19" i="13"/>
  <c r="B5" i="43" s="1"/>
  <c r="F19" i="13"/>
  <c r="Q5" i="43"/>
  <c r="L20" i="17"/>
  <c r="L10" i="42"/>
  <c r="L11" i="42"/>
  <c r="R69" i="42"/>
  <c r="R6" i="43"/>
  <c r="Q10" i="43"/>
  <c r="R9" i="43"/>
  <c r="Q13" i="43"/>
  <c r="P19" i="41"/>
  <c r="D41" i="42"/>
  <c r="AB18" i="40"/>
  <c r="E10" i="42"/>
  <c r="AA18" i="40"/>
  <c r="D10" i="42"/>
  <c r="Z18" i="40"/>
  <c r="C10" i="42"/>
  <c r="Y18" i="40"/>
  <c r="B10" i="42"/>
  <c r="K10" i="42"/>
  <c r="B11" i="43"/>
  <c r="G18" i="40"/>
  <c r="G10" i="42"/>
  <c r="F18" i="40"/>
  <c r="F10" i="42"/>
  <c r="H10" i="42" s="1"/>
  <c r="D12" i="42"/>
  <c r="F19" i="30"/>
  <c r="D24" i="42"/>
  <c r="B24" i="42"/>
  <c r="F24" i="42"/>
  <c r="C40" i="42"/>
  <c r="K19" i="13"/>
  <c r="AB19" i="35"/>
  <c r="E11" i="42"/>
  <c r="AA19" i="35"/>
  <c r="D11" i="42"/>
  <c r="Z19" i="35"/>
  <c r="C11" i="42"/>
  <c r="Y19" i="35"/>
  <c r="B11" i="42"/>
  <c r="K11" i="42"/>
  <c r="G19" i="35"/>
  <c r="F19" i="35"/>
  <c r="R14" i="43"/>
  <c r="Q12" i="43"/>
  <c r="AC19" i="30"/>
  <c r="E12" i="42"/>
  <c r="R19" i="30"/>
  <c r="P19" i="30"/>
  <c r="H8" i="44"/>
  <c r="J19" i="30"/>
  <c r="B11" i="44"/>
  <c r="H19" i="30"/>
  <c r="D13" i="44"/>
  <c r="R17" i="39"/>
  <c r="J26" i="42"/>
  <c r="K26" i="42" s="1"/>
  <c r="P17" i="39"/>
  <c r="H12" i="44"/>
  <c r="D8" i="43"/>
  <c r="J17" i="39"/>
  <c r="H17" i="39"/>
  <c r="D7" i="44"/>
  <c r="J42" i="42"/>
  <c r="F11" i="44"/>
  <c r="I42" i="42"/>
  <c r="B13" i="44"/>
  <c r="L42" i="42"/>
  <c r="M42" i="42" s="1"/>
  <c r="D11" i="44"/>
  <c r="J13" i="42"/>
  <c r="F5" i="44"/>
  <c r="P20" i="25"/>
  <c r="H6" i="44"/>
  <c r="I13" i="42"/>
  <c r="B10" i="44"/>
  <c r="H20" i="25"/>
  <c r="D12" i="44"/>
  <c r="R18" i="40"/>
  <c r="P18" i="40"/>
  <c r="H5" i="44"/>
  <c r="J18" i="40"/>
  <c r="H18" i="40"/>
  <c r="C27" i="42"/>
  <c r="J27" i="42"/>
  <c r="K27" i="42" s="1"/>
  <c r="F6" i="44"/>
  <c r="P19" i="37"/>
  <c r="H13" i="44"/>
  <c r="D6" i="43"/>
  <c r="F6" i="43" s="1"/>
  <c r="J19" i="37"/>
  <c r="B12" i="44"/>
  <c r="H19" i="37"/>
  <c r="D10" i="44"/>
  <c r="E25" i="42"/>
  <c r="R20" i="17"/>
  <c r="P20" i="17"/>
  <c r="H7" i="44"/>
  <c r="S8" i="43"/>
  <c r="J20" i="17"/>
  <c r="B7" i="44"/>
  <c r="L25" i="42"/>
  <c r="M25" i="42" s="1"/>
  <c r="H20" i="17"/>
  <c r="D6" i="44"/>
  <c r="F25" i="42"/>
  <c r="AK19" i="13"/>
  <c r="AG19" i="13"/>
  <c r="AC19" i="13"/>
  <c r="E40" i="42"/>
  <c r="R19" i="13"/>
  <c r="P19" i="13"/>
  <c r="H4" i="44"/>
  <c r="J19" i="13"/>
  <c r="H19" i="13"/>
  <c r="D5" i="44"/>
  <c r="AL19" i="36"/>
  <c r="AH19" i="36"/>
  <c r="AD19" i="36"/>
  <c r="R19" i="36"/>
  <c r="F13" i="44"/>
  <c r="P19" i="36"/>
  <c r="H10" i="44"/>
  <c r="J19" i="36"/>
  <c r="B9" i="44"/>
  <c r="H19" i="36"/>
  <c r="D9" i="44"/>
  <c r="E39" i="42"/>
  <c r="R19" i="11"/>
  <c r="P19" i="11"/>
  <c r="H3" i="44"/>
  <c r="H19" i="11"/>
  <c r="D4" i="44"/>
  <c r="AL18" i="38"/>
  <c r="AH18" i="38"/>
  <c r="AD18" i="38"/>
  <c r="E24" i="42"/>
  <c r="R18" i="38"/>
  <c r="P18" i="38"/>
  <c r="H2" i="44"/>
  <c r="B4" i="43"/>
  <c r="J18" i="38"/>
  <c r="L24" i="42"/>
  <c r="D2" i="44"/>
  <c r="R19" i="35"/>
  <c r="P19" i="35"/>
  <c r="H9" i="44"/>
  <c r="S3" i="43"/>
  <c r="J19" i="35"/>
  <c r="H19" i="35"/>
  <c r="J19" i="11"/>
  <c r="D10" i="43"/>
  <c r="D12" i="43"/>
  <c r="D14" i="43"/>
  <c r="F14" i="43" s="1"/>
  <c r="B10" i="43"/>
  <c r="S13" i="43"/>
  <c r="S9" i="43"/>
  <c r="S7" i="43"/>
  <c r="B12" i="43"/>
  <c r="O19" i="13"/>
  <c r="Q4" i="43"/>
  <c r="O15" i="43"/>
  <c r="Q15" i="43" s="1"/>
  <c r="Q3" i="43"/>
  <c r="L12" i="42"/>
  <c r="C12" i="42"/>
  <c r="K12" i="42"/>
  <c r="K17" i="39"/>
  <c r="B26" i="42"/>
  <c r="F26" i="42"/>
  <c r="L26" i="42"/>
  <c r="M26" i="42" s="1"/>
  <c r="L17" i="39"/>
  <c r="G26" i="42"/>
  <c r="I26" i="42"/>
  <c r="H19" i="41"/>
  <c r="B27" i="42"/>
  <c r="L27" i="42"/>
  <c r="G27" i="42"/>
  <c r="H27" i="42" s="1"/>
  <c r="B25" i="42"/>
  <c r="G25" i="42"/>
  <c r="K20" i="17"/>
  <c r="I40" i="42"/>
  <c r="F40" i="42"/>
  <c r="G19" i="36"/>
  <c r="E41" i="42"/>
  <c r="J41" i="42"/>
  <c r="K41" i="42" s="1"/>
  <c r="B41" i="42"/>
  <c r="F41" i="42"/>
  <c r="H41" i="42" s="1"/>
  <c r="L41" i="42"/>
  <c r="M41" i="42" s="1"/>
  <c r="B39" i="42"/>
  <c r="F39" i="42"/>
  <c r="L39" i="42"/>
  <c r="M39" i="42" s="1"/>
  <c r="G39" i="42"/>
  <c r="U67" i="42" s="1"/>
  <c r="L19" i="11"/>
  <c r="I39" i="42"/>
  <c r="K39" i="42" s="1"/>
  <c r="H18" i="38"/>
  <c r="G24" i="42"/>
  <c r="L40" i="42"/>
  <c r="M40" i="42" s="1"/>
  <c r="I25" i="42"/>
  <c r="J25" i="42"/>
  <c r="L13" i="42"/>
  <c r="M13" i="42" s="1"/>
  <c r="Y19" i="13"/>
  <c r="G19" i="13"/>
  <c r="Z19" i="36"/>
  <c r="K19" i="11"/>
  <c r="Z18" i="38"/>
  <c r="AD19" i="30"/>
  <c r="AH19" i="30"/>
  <c r="L19" i="30"/>
  <c r="Y19" i="30"/>
  <c r="AG19" i="30"/>
  <c r="AK19" i="30"/>
  <c r="G19" i="30"/>
  <c r="AA17" i="39"/>
  <c r="AE17" i="39"/>
  <c r="AI17" i="39"/>
  <c r="AM17" i="39"/>
  <c r="Z17" i="39"/>
  <c r="AD17" i="39"/>
  <c r="AH17" i="39"/>
  <c r="AL17" i="39"/>
  <c r="L19" i="37"/>
  <c r="AA19" i="37"/>
  <c r="AE19" i="37"/>
  <c r="AI19" i="37"/>
  <c r="AM19" i="37"/>
  <c r="F19" i="37"/>
  <c r="R19" i="37"/>
  <c r="AB19" i="37"/>
  <c r="AF19" i="37"/>
  <c r="AJ19" i="37"/>
  <c r="AN19" i="37"/>
  <c r="M20" i="17"/>
  <c r="AA20" i="17"/>
  <c r="AE20" i="17"/>
  <c r="AI20" i="17"/>
  <c r="AM20" i="17"/>
  <c r="Z20" i="17"/>
  <c r="AD20" i="17"/>
  <c r="AH20" i="17"/>
  <c r="AL20" i="17"/>
  <c r="M19" i="13"/>
  <c r="AA19" i="13"/>
  <c r="AE19" i="13"/>
  <c r="AI19" i="13"/>
  <c r="AM19" i="13"/>
  <c r="M19" i="11"/>
  <c r="AA19" i="11"/>
  <c r="AE19" i="11"/>
  <c r="AI19" i="11"/>
  <c r="AM19" i="11"/>
  <c r="Z19" i="11"/>
  <c r="AD19" i="11"/>
  <c r="AH19" i="11"/>
  <c r="AL19" i="11"/>
  <c r="H42" i="42"/>
  <c r="H12" i="42"/>
  <c r="H13" i="42"/>
  <c r="P60" i="42"/>
  <c r="F4" i="43" l="1"/>
  <c r="F7" i="43"/>
  <c r="F8" i="43"/>
  <c r="T4" i="43"/>
  <c r="D11" i="43"/>
  <c r="F11" i="43" s="1"/>
  <c r="T8" i="43"/>
  <c r="M10" i="42"/>
  <c r="U65" i="42"/>
  <c r="M24" i="42"/>
  <c r="K24" i="42"/>
  <c r="H24" i="42"/>
  <c r="K25" i="42"/>
  <c r="T66" i="42"/>
  <c r="H25" i="42"/>
  <c r="H40" i="42"/>
  <c r="T67" i="42"/>
  <c r="U66" i="42"/>
  <c r="M11" i="42"/>
  <c r="H11" i="42"/>
  <c r="T65" i="42"/>
  <c r="M12" i="42"/>
  <c r="F10" i="43"/>
  <c r="K42" i="42"/>
  <c r="K13" i="42"/>
  <c r="M27" i="42"/>
  <c r="K40" i="42"/>
  <c r="F13" i="43"/>
  <c r="F14" i="44"/>
  <c r="H14" i="44"/>
  <c r="F12" i="43"/>
  <c r="D14" i="44"/>
  <c r="H39" i="42"/>
  <c r="B14" i="44"/>
  <c r="T7" i="43"/>
  <c r="D5" i="43"/>
  <c r="R15" i="43"/>
  <c r="H26" i="42"/>
  <c r="U68" i="42" l="1"/>
  <c r="T68" i="42"/>
  <c r="F5" i="43"/>
  <c r="AN19" i="40" l="1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R19" i="40"/>
  <c r="O19" i="40"/>
  <c r="N19" i="40"/>
  <c r="M19" i="40"/>
  <c r="L19" i="40"/>
  <c r="K19" i="40"/>
  <c r="J19" i="40"/>
  <c r="G19" i="40"/>
  <c r="F19" i="40"/>
  <c r="AN16" i="36"/>
  <c r="AM16" i="36"/>
  <c r="AL16" i="36"/>
  <c r="AK16" i="36"/>
  <c r="AJ16" i="36"/>
  <c r="AI16" i="36"/>
  <c r="AH16" i="36"/>
  <c r="AG16" i="36"/>
  <c r="AF16" i="36"/>
  <c r="AE16" i="36"/>
  <c r="AD16" i="36"/>
  <c r="AC16" i="36"/>
  <c r="AB16" i="36"/>
  <c r="AA16" i="36"/>
  <c r="Z16" i="36"/>
  <c r="Y16" i="36"/>
  <c r="R16" i="36"/>
  <c r="O16" i="36"/>
  <c r="N16" i="36"/>
  <c r="M16" i="36"/>
  <c r="L16" i="36"/>
  <c r="K16" i="36"/>
  <c r="J16" i="36"/>
  <c r="G16" i="36"/>
  <c r="F16" i="36"/>
  <c r="Q16" i="37"/>
  <c r="P16" i="37"/>
  <c r="I16" i="37"/>
  <c r="H16" i="37"/>
  <c r="AN21" i="25" l="1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R21" i="25"/>
  <c r="O21" i="25"/>
  <c r="N21" i="25"/>
  <c r="M21" i="25"/>
  <c r="L21" i="25"/>
  <c r="K21" i="25"/>
  <c r="J21" i="25"/>
  <c r="G21" i="25"/>
  <c r="F21" i="25"/>
  <c r="AN22" i="17" l="1"/>
  <c r="AM22" i="17"/>
  <c r="AL22" i="17"/>
  <c r="AK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R21" i="17"/>
  <c r="O21" i="17"/>
  <c r="N21" i="17"/>
  <c r="M21" i="17"/>
  <c r="L21" i="17"/>
  <c r="K21" i="17"/>
  <c r="J21" i="17"/>
  <c r="G21" i="17"/>
  <c r="F21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R20" i="13"/>
  <c r="O20" i="13"/>
  <c r="N20" i="13"/>
  <c r="M20" i="13"/>
  <c r="L20" i="13"/>
  <c r="K20" i="13"/>
  <c r="J20" i="13"/>
  <c r="G20" i="13"/>
  <c r="F20" i="13"/>
  <c r="G18" i="39" l="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R20" i="11"/>
  <c r="O20" i="11"/>
  <c r="N20" i="11"/>
  <c r="M20" i="11"/>
  <c r="L20" i="11"/>
  <c r="K20" i="11"/>
  <c r="J20" i="11"/>
  <c r="G20" i="11"/>
  <c r="F20" i="11"/>
  <c r="AN20" i="30"/>
  <c r="AM20" i="30"/>
  <c r="AL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R20" i="30"/>
  <c r="O20" i="30"/>
  <c r="N20" i="30"/>
  <c r="M20" i="30"/>
  <c r="L20" i="30"/>
  <c r="K20" i="30"/>
  <c r="J20" i="30"/>
  <c r="G20" i="30"/>
  <c r="F20" i="30"/>
  <c r="AN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R18" i="39"/>
  <c r="O18" i="39"/>
  <c r="N18" i="39"/>
  <c r="M18" i="39"/>
  <c r="L18" i="39"/>
  <c r="K18" i="39"/>
  <c r="J18" i="39"/>
  <c r="F18" i="39"/>
  <c r="AN20" i="35" l="1"/>
  <c r="AM20" i="35"/>
  <c r="AL20" i="35"/>
  <c r="AK20" i="35"/>
  <c r="AJ20" i="35"/>
  <c r="AI20" i="35"/>
  <c r="AH20" i="35"/>
  <c r="AG20" i="35"/>
  <c r="AF20" i="35"/>
  <c r="AE20" i="35"/>
  <c r="AD20" i="35"/>
  <c r="AC20" i="35"/>
  <c r="AB20" i="35"/>
  <c r="AA20" i="35"/>
  <c r="Z20" i="35"/>
  <c r="Y20" i="35"/>
  <c r="R20" i="35"/>
  <c r="O20" i="35"/>
  <c r="N20" i="35"/>
  <c r="M20" i="35"/>
  <c r="L20" i="35"/>
  <c r="K20" i="35"/>
  <c r="J20" i="35"/>
  <c r="G20" i="35"/>
  <c r="F20" i="35"/>
  <c r="AN20" i="41" l="1"/>
  <c r="AM20" i="41"/>
  <c r="AL20" i="41"/>
  <c r="AK20" i="41"/>
  <c r="AJ20" i="41"/>
  <c r="AI20" i="41"/>
  <c r="AH20" i="41"/>
  <c r="AG20" i="41"/>
  <c r="AF20" i="41"/>
  <c r="AE20" i="41"/>
  <c r="AD20" i="41"/>
  <c r="AC20" i="41"/>
  <c r="AB20" i="41"/>
  <c r="AA20" i="41"/>
  <c r="Z20" i="41"/>
  <c r="Y20" i="41"/>
  <c r="R20" i="41"/>
  <c r="Q20" i="41"/>
  <c r="P20" i="41"/>
  <c r="O20" i="41"/>
  <c r="N20" i="41"/>
  <c r="M20" i="41"/>
  <c r="L20" i="41"/>
  <c r="K20" i="41"/>
  <c r="J20" i="41"/>
  <c r="I20" i="41"/>
  <c r="H20" i="41"/>
  <c r="G20" i="41"/>
  <c r="F20" i="41"/>
  <c r="Y16" i="41"/>
  <c r="Z16" i="41"/>
  <c r="AN16" i="41"/>
  <c r="AM16" i="41"/>
  <c r="AL16" i="41"/>
  <c r="AK16" i="41"/>
  <c r="AJ16" i="41"/>
  <c r="AI16" i="41"/>
  <c r="AH16" i="41"/>
  <c r="AG16" i="41"/>
  <c r="AF16" i="41"/>
  <c r="AE16" i="41"/>
  <c r="AD16" i="41"/>
  <c r="AC16" i="41"/>
  <c r="AB16" i="41"/>
  <c r="AA16" i="41"/>
  <c r="R16" i="41"/>
  <c r="Q16" i="41"/>
  <c r="P16" i="41"/>
  <c r="O16" i="41"/>
  <c r="N16" i="41"/>
  <c r="M16" i="41"/>
  <c r="L16" i="41"/>
  <c r="K16" i="41"/>
  <c r="J16" i="41"/>
  <c r="I16" i="41"/>
  <c r="H16" i="41"/>
  <c r="G16" i="41"/>
  <c r="F16" i="41"/>
  <c r="AN20" i="36" l="1"/>
  <c r="AM20" i="36"/>
  <c r="AL20" i="36"/>
  <c r="AK20" i="36"/>
  <c r="AJ20" i="36"/>
  <c r="AI20" i="36"/>
  <c r="AH20" i="36"/>
  <c r="AG20" i="36"/>
  <c r="AF20" i="36"/>
  <c r="AE20" i="36"/>
  <c r="AD20" i="36"/>
  <c r="AC20" i="36"/>
  <c r="AB20" i="36"/>
  <c r="AA20" i="36"/>
  <c r="Z20" i="36"/>
  <c r="Y20" i="36"/>
  <c r="R20" i="36"/>
  <c r="Q20" i="36"/>
  <c r="P20" i="36"/>
  <c r="O20" i="36"/>
  <c r="N20" i="36"/>
  <c r="M20" i="36"/>
  <c r="L20" i="36"/>
  <c r="K20" i="36"/>
  <c r="J20" i="36"/>
  <c r="I20" i="36"/>
  <c r="H20" i="36"/>
  <c r="G20" i="36"/>
  <c r="F20" i="36"/>
  <c r="AN15" i="41"/>
  <c r="AN19" i="41" s="1"/>
  <c r="AM15" i="41"/>
  <c r="AM19" i="41" s="1"/>
  <c r="AL15" i="41"/>
  <c r="AL19" i="41" s="1"/>
  <c r="AK15" i="41"/>
  <c r="AK19" i="41" s="1"/>
  <c r="AJ15" i="41"/>
  <c r="AJ19" i="41" s="1"/>
  <c r="AI15" i="41"/>
  <c r="AI19" i="41" s="1"/>
  <c r="AH15" i="41"/>
  <c r="AH19" i="41" s="1"/>
  <c r="AG15" i="41"/>
  <c r="AG19" i="41" s="1"/>
  <c r="AF15" i="41"/>
  <c r="AF19" i="41" s="1"/>
  <c r="AE15" i="41"/>
  <c r="AE19" i="41" s="1"/>
  <c r="AD15" i="41"/>
  <c r="AD19" i="41" s="1"/>
  <c r="AC15" i="41"/>
  <c r="AC19" i="41" s="1"/>
  <c r="AB15" i="41"/>
  <c r="AB19" i="41" s="1"/>
  <c r="AA15" i="41"/>
  <c r="AA19" i="41" s="1"/>
  <c r="Z15" i="41"/>
  <c r="Z19" i="41" s="1"/>
  <c r="Y15" i="41"/>
  <c r="Y19" i="41" s="1"/>
  <c r="R15" i="41"/>
  <c r="R19" i="41" s="1"/>
  <c r="O15" i="41"/>
  <c r="O19" i="41" s="1"/>
  <c r="N15" i="41"/>
  <c r="N19" i="41" s="1"/>
  <c r="M15" i="41"/>
  <c r="M19" i="41" s="1"/>
  <c r="L15" i="41"/>
  <c r="L19" i="41" s="1"/>
  <c r="K15" i="41"/>
  <c r="K19" i="41" s="1"/>
  <c r="J15" i="41"/>
  <c r="J19" i="41" s="1"/>
  <c r="G15" i="41"/>
  <c r="G19" i="41" s="1"/>
  <c r="F15" i="41"/>
  <c r="F19" i="41" s="1"/>
  <c r="AN20" i="40"/>
  <c r="AM20" i="40"/>
  <c r="AL20" i="40"/>
  <c r="AK20" i="40"/>
  <c r="AJ20" i="40"/>
  <c r="AI20" i="40"/>
  <c r="AH20" i="40"/>
  <c r="AG20" i="40"/>
  <c r="AF20" i="40"/>
  <c r="AE20" i="40"/>
  <c r="AD20" i="40"/>
  <c r="AC20" i="40"/>
  <c r="AB20" i="40"/>
  <c r="AA20" i="40"/>
  <c r="Z20" i="40"/>
  <c r="Y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F20" i="40"/>
  <c r="Q15" i="40"/>
  <c r="P15" i="40"/>
  <c r="I15" i="40"/>
  <c r="H15" i="40"/>
  <c r="AN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AN15" i="38"/>
  <c r="AM15" i="38"/>
  <c r="AL15" i="38"/>
  <c r="AK15" i="38"/>
  <c r="AJ15" i="38"/>
  <c r="AI15" i="38"/>
  <c r="AH15" i="38"/>
  <c r="AG15" i="38"/>
  <c r="AF15" i="38"/>
  <c r="AE15" i="38"/>
  <c r="AD15" i="38"/>
  <c r="AC15" i="38"/>
  <c r="AB15" i="38"/>
  <c r="AA15" i="38"/>
  <c r="Z15" i="38"/>
  <c r="Y15" i="38"/>
  <c r="R15" i="38"/>
  <c r="Q15" i="38"/>
  <c r="P15" i="38"/>
  <c r="O15" i="38"/>
  <c r="N15" i="38"/>
  <c r="M15" i="38"/>
  <c r="L15" i="38"/>
  <c r="K15" i="38"/>
  <c r="J15" i="38"/>
  <c r="I15" i="38"/>
  <c r="H15" i="38"/>
  <c r="G15" i="38"/>
  <c r="F15" i="38"/>
  <c r="AN16" i="35"/>
  <c r="AM16" i="35"/>
  <c r="AL16" i="35"/>
  <c r="AK16" i="35"/>
  <c r="AJ16" i="35"/>
  <c r="AI16" i="35"/>
  <c r="AH16" i="35"/>
  <c r="AG16" i="35"/>
  <c r="AF16" i="35"/>
  <c r="AE16" i="35"/>
  <c r="AD16" i="35"/>
  <c r="AC16" i="35"/>
  <c r="AB16" i="35"/>
  <c r="AA16" i="35"/>
  <c r="Z16" i="35"/>
  <c r="Y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AN21" i="36"/>
  <c r="AM21" i="36"/>
  <c r="AL21" i="36"/>
  <c r="AK21" i="36"/>
  <c r="AJ21" i="36"/>
  <c r="AI21" i="36"/>
  <c r="AH21" i="36"/>
  <c r="AG21" i="36"/>
  <c r="AF21" i="36"/>
  <c r="AE21" i="36"/>
  <c r="AD21" i="36"/>
  <c r="AC21" i="36"/>
  <c r="AB21" i="36"/>
  <c r="AA21" i="36"/>
  <c r="Z21" i="36"/>
  <c r="Y21" i="36"/>
  <c r="R21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AN21" i="35"/>
  <c r="AM21" i="35"/>
  <c r="AL21" i="35"/>
  <c r="AK21" i="35"/>
  <c r="AJ21" i="35"/>
  <c r="AI21" i="35"/>
  <c r="AH21" i="35"/>
  <c r="AG21" i="35"/>
  <c r="AF21" i="35"/>
  <c r="AE21" i="35"/>
  <c r="AD21" i="35"/>
  <c r="AC21" i="35"/>
  <c r="AB21" i="35"/>
  <c r="AA21" i="35"/>
  <c r="Z21" i="35"/>
  <c r="Y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Q17" i="32"/>
  <c r="P17" i="32"/>
  <c r="R4" i="32"/>
  <c r="Q4" i="32"/>
  <c r="D9" i="43" l="1"/>
  <c r="T12" i="43"/>
  <c r="B9" i="43"/>
  <c r="S12" i="43"/>
  <c r="AN22" i="25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F9" i="43" l="1"/>
  <c r="R7" i="32"/>
  <c r="R8" i="32"/>
  <c r="Q8" i="32"/>
  <c r="Q20" i="32"/>
  <c r="P20" i="32"/>
  <c r="AN16" i="25"/>
  <c r="AN20" i="25" s="1"/>
  <c r="AM16" i="25"/>
  <c r="AM20" i="25" s="1"/>
  <c r="AL16" i="25"/>
  <c r="AL20" i="25" s="1"/>
  <c r="AK16" i="25"/>
  <c r="AK20" i="25" s="1"/>
  <c r="AJ16" i="25"/>
  <c r="AJ20" i="25" s="1"/>
  <c r="AI16" i="25"/>
  <c r="AI20" i="25" s="1"/>
  <c r="AH16" i="25"/>
  <c r="AH20" i="25" s="1"/>
  <c r="AG16" i="25"/>
  <c r="AG20" i="25" s="1"/>
  <c r="AF16" i="25"/>
  <c r="AF20" i="25" s="1"/>
  <c r="AE16" i="25"/>
  <c r="AE20" i="25" s="1"/>
  <c r="AD16" i="25"/>
  <c r="AD20" i="25" s="1"/>
  <c r="AC16" i="25"/>
  <c r="AC20" i="25" s="1"/>
  <c r="AB16" i="25"/>
  <c r="AB20" i="25" s="1"/>
  <c r="AA16" i="25"/>
  <c r="Z16" i="25"/>
  <c r="Y16" i="25"/>
  <c r="Y20" i="25" s="1"/>
  <c r="R16" i="25"/>
  <c r="Q16" i="25"/>
  <c r="P16" i="25"/>
  <c r="O16" i="25"/>
  <c r="N16" i="25"/>
  <c r="N20" i="25" s="1"/>
  <c r="M16" i="25"/>
  <c r="M20" i="25" s="1"/>
  <c r="L16" i="25"/>
  <c r="L20" i="25" s="1"/>
  <c r="K16" i="25"/>
  <c r="K20" i="25" s="1"/>
  <c r="J16" i="25"/>
  <c r="I16" i="25"/>
  <c r="L7" i="31" s="1"/>
  <c r="H16" i="25"/>
  <c r="K7" i="31" s="1"/>
  <c r="G16" i="25"/>
  <c r="F16" i="25"/>
  <c r="Z17" i="25"/>
  <c r="Y17" i="25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R17" i="25"/>
  <c r="O17" i="25"/>
  <c r="N17" i="25"/>
  <c r="M17" i="25"/>
  <c r="L17" i="25"/>
  <c r="K17" i="25"/>
  <c r="J17" i="25"/>
  <c r="G17" i="25"/>
  <c r="F17" i="25"/>
  <c r="O7" i="32"/>
  <c r="Q7" i="32" s="1"/>
  <c r="O16" i="32"/>
  <c r="Q16" i="32" s="1"/>
  <c r="O21" i="32"/>
  <c r="P21" i="32"/>
  <c r="O8" i="32"/>
  <c r="O20" i="32"/>
  <c r="O4" i="32"/>
  <c r="G21" i="30"/>
  <c r="Z21" i="30"/>
  <c r="G6" i="31"/>
  <c r="F6" i="31"/>
  <c r="E6" i="31"/>
  <c r="D6" i="31"/>
  <c r="O6" i="31"/>
  <c r="F5" i="32"/>
  <c r="N6" i="31"/>
  <c r="I6" i="31"/>
  <c r="H6" i="31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R11" i="16"/>
  <c r="O11" i="16"/>
  <c r="N11" i="16"/>
  <c r="M11" i="16"/>
  <c r="L11" i="16"/>
  <c r="K11" i="16"/>
  <c r="J11" i="16"/>
  <c r="G11" i="16"/>
  <c r="F11" i="16"/>
  <c r="G2" i="31"/>
  <c r="F2" i="31"/>
  <c r="E2" i="31"/>
  <c r="D2" i="31"/>
  <c r="O2" i="31"/>
  <c r="N2" i="31"/>
  <c r="L2" i="31"/>
  <c r="K2" i="31"/>
  <c r="I2" i="31"/>
  <c r="H2" i="31"/>
  <c r="G3" i="31"/>
  <c r="F3" i="31"/>
  <c r="E3" i="31"/>
  <c r="D3" i="31"/>
  <c r="O3" i="31"/>
  <c r="N3" i="31"/>
  <c r="L3" i="31"/>
  <c r="K3" i="31"/>
  <c r="I3" i="31"/>
  <c r="H3" i="31"/>
  <c r="G5" i="31"/>
  <c r="F5" i="31"/>
  <c r="D5" i="31"/>
  <c r="O5" i="31"/>
  <c r="D8" i="32"/>
  <c r="F8" i="32" s="1"/>
  <c r="N5" i="31"/>
  <c r="L5" i="31"/>
  <c r="K5" i="31"/>
  <c r="I5" i="31"/>
  <c r="H5" i="31"/>
  <c r="G4" i="31"/>
  <c r="F4" i="31"/>
  <c r="E4" i="31"/>
  <c r="D4" i="31"/>
  <c r="O4" i="31"/>
  <c r="D7" i="32"/>
  <c r="F7" i="32" s="1"/>
  <c r="N4" i="31"/>
  <c r="L4" i="31"/>
  <c r="K4" i="31"/>
  <c r="I4" i="31"/>
  <c r="H4" i="31"/>
  <c r="AN21" i="30"/>
  <c r="AM21" i="30"/>
  <c r="AL21" i="30"/>
  <c r="AK21" i="30"/>
  <c r="AJ21" i="30"/>
  <c r="AI21" i="30"/>
  <c r="AH21" i="30"/>
  <c r="AG21" i="30"/>
  <c r="AF21" i="30"/>
  <c r="AE21" i="30"/>
  <c r="AD21" i="30"/>
  <c r="AC21" i="30"/>
  <c r="AB21" i="30"/>
  <c r="AA21" i="30"/>
  <c r="Y21" i="30"/>
  <c r="R21" i="30"/>
  <c r="Q21" i="30"/>
  <c r="P21" i="30"/>
  <c r="O21" i="30"/>
  <c r="N21" i="30"/>
  <c r="M21" i="30"/>
  <c r="L21" i="30"/>
  <c r="K21" i="30"/>
  <c r="J21" i="30"/>
  <c r="I21" i="30"/>
  <c r="H21" i="30"/>
  <c r="F21" i="30"/>
  <c r="G7" i="31"/>
  <c r="D7" i="31"/>
  <c r="O9" i="32"/>
  <c r="R9" i="32" s="1"/>
  <c r="L6" i="31"/>
  <c r="K6" i="31"/>
  <c r="F3" i="32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O19" i="32"/>
  <c r="Q19" i="32" s="1"/>
  <c r="O6" i="32"/>
  <c r="Q6" i="32" s="1"/>
  <c r="R6" i="32"/>
  <c r="O17" i="32"/>
  <c r="P10" i="32"/>
  <c r="O5" i="32"/>
  <c r="R5" i="32" s="1"/>
  <c r="N10" i="32"/>
  <c r="M10" i="32"/>
  <c r="L10" i="32"/>
  <c r="K10" i="32"/>
  <c r="J10" i="32"/>
  <c r="I10" i="32"/>
  <c r="J22" i="32"/>
  <c r="O18" i="32"/>
  <c r="P18" i="32" s="1"/>
  <c r="I22" i="32"/>
  <c r="N22" i="32"/>
  <c r="M22" i="32"/>
  <c r="L22" i="32"/>
  <c r="K22" i="32"/>
  <c r="E5" i="31"/>
  <c r="F6" i="32"/>
  <c r="B9" i="32"/>
  <c r="Q21" i="32"/>
  <c r="B3" i="43" l="1"/>
  <c r="S11" i="43"/>
  <c r="S15" i="43" s="1"/>
  <c r="E7" i="31"/>
  <c r="Z20" i="25"/>
  <c r="F7" i="31"/>
  <c r="AA20" i="25"/>
  <c r="H7" i="31"/>
  <c r="H8" i="31" s="1"/>
  <c r="F20" i="25"/>
  <c r="N7" i="31"/>
  <c r="J20" i="25"/>
  <c r="O7" i="31"/>
  <c r="O8" i="31" s="1"/>
  <c r="R20" i="25"/>
  <c r="I7" i="31"/>
  <c r="I8" i="31" s="1"/>
  <c r="G20" i="25"/>
  <c r="D4" i="32"/>
  <c r="F4" i="32" s="1"/>
  <c r="O20" i="25"/>
  <c r="O10" i="32"/>
  <c r="Q10" i="32" s="1"/>
  <c r="P19" i="32"/>
  <c r="Q9" i="32"/>
  <c r="O22" i="32"/>
  <c r="Q22" i="32" s="1"/>
  <c r="J3" i="31"/>
  <c r="Q18" i="32"/>
  <c r="J6" i="31"/>
  <c r="P6" i="31"/>
  <c r="P5" i="31"/>
  <c r="J5" i="31"/>
  <c r="R10" i="32"/>
  <c r="Q5" i="32"/>
  <c r="P3" i="31"/>
  <c r="N8" i="31"/>
  <c r="P22" i="32"/>
  <c r="P16" i="32"/>
  <c r="P4" i="31"/>
  <c r="J4" i="31"/>
  <c r="P2" i="31"/>
  <c r="J2" i="31"/>
  <c r="T11" i="43" l="1"/>
  <c r="T15" i="43" s="1"/>
  <c r="D3" i="43"/>
  <c r="B15" i="43"/>
  <c r="P7" i="31"/>
  <c r="J7" i="31"/>
  <c r="D9" i="32"/>
  <c r="F3" i="43" l="1"/>
</calcChain>
</file>

<file path=xl/sharedStrings.xml><?xml version="1.0" encoding="utf-8"?>
<sst xmlns="http://schemas.openxmlformats.org/spreadsheetml/2006/main" count="3393" uniqueCount="561">
  <si>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</si>
  <si>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</si>
  <si>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</si>
  <si>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</si>
  <si>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</si>
  <si>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</si>
  <si>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</si>
  <si>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</si>
  <si>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</si>
  <si>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</si>
  <si>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</si>
  <si>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</si>
  <si>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</si>
  <si>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</si>
  <si>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</si>
  <si>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</si>
  <si>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</si>
  <si>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</si>
  <si>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</si>
  <si>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</si>
  <si>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</si>
  <si>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</si>
  <si>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</si>
  <si>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</si>
  <si>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</si>
  <si>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</si>
  <si>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</si>
  <si>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</si>
  <si>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</si>
  <si>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</si>
  <si>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</si>
  <si>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</si>
  <si>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</si>
  <si>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</si>
  <si>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France</t>
  </si>
  <si>
    <t>Scotland</t>
  </si>
  <si>
    <t>Japan</t>
  </si>
  <si>
    <t>Ireland</t>
  </si>
  <si>
    <t>Canada</t>
  </si>
  <si>
    <t>Gd</t>
  </si>
  <si>
    <t>Away</t>
  </si>
  <si>
    <t>Neutral Ground</t>
  </si>
  <si>
    <t>Home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</si>
  <si>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</si>
  <si>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</si>
  <si>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</si>
  <si>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</si>
  <si>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</si>
  <si>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</si>
  <si>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</si>
  <si>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</si>
  <si>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</si>
  <si>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</si>
  <si>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</si>
  <si>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</si>
  <si>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</si>
  <si>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</si>
  <si>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</si>
  <si>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</si>
  <si>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</si>
  <si>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</si>
  <si>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</si>
  <si>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</si>
  <si>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Points Scored</t>
  </si>
  <si>
    <t>Minutes S/handed</t>
  </si>
  <si>
    <t>Opponent</t>
  </si>
  <si>
    <t>Ave per 10 mins</t>
  </si>
  <si>
    <t>Total</t>
  </si>
  <si>
    <t>Also S/H</t>
  </si>
  <si>
    <t>15 v 14</t>
  </si>
  <si>
    <t>15 v 13</t>
  </si>
  <si>
    <t>Russia</t>
  </si>
  <si>
    <t>na</t>
  </si>
  <si>
    <t>ALL TESTS</t>
  </si>
  <si>
    <t>SIX NATIONS</t>
  </si>
  <si>
    <t>Car</t>
  </si>
  <si>
    <t>Dbl</t>
  </si>
  <si>
    <t>N Zealand</t>
  </si>
  <si>
    <t>Spain</t>
  </si>
  <si>
    <t>Akl</t>
  </si>
  <si>
    <t>Tries Scored</t>
  </si>
  <si>
    <t>BPs</t>
  </si>
  <si>
    <t xml:space="preserve">Penalty Tries: </t>
  </si>
  <si>
    <t>INTERNATIONALS</t>
  </si>
  <si>
    <t xml:space="preserve">    HT</t>
  </si>
  <si>
    <t>6N = Six Nations; INT = International</t>
  </si>
  <si>
    <t>S Africa</t>
  </si>
  <si>
    <t>Tie-breakers:</t>
  </si>
  <si>
    <t>Points Difference</t>
  </si>
  <si>
    <t>If still cannot split, placed equally</t>
  </si>
  <si>
    <t>Netherlands</t>
  </si>
  <si>
    <t>WORLD CUP QUAL</t>
  </si>
  <si>
    <t>ENGLAND IN 2022</t>
  </si>
  <si>
    <t>FRANCE IN 2022</t>
  </si>
  <si>
    <t>IRELAND IN 2022</t>
  </si>
  <si>
    <t>ITALY IN 2022</t>
  </si>
  <si>
    <t>SCOTLAND IN 2022</t>
  </si>
  <si>
    <t>WALES IN 2022</t>
  </si>
  <si>
    <t>Penalty Tries:</t>
  </si>
  <si>
    <t>Rugby Europe Championship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</si>
  <si>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</si>
  <si>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>National Rugby Centre Stadium, Amsterdam</t>
  </si>
  <si>
    <t>15 v 12</t>
  </si>
  <si>
    <t>10+ Points scored in any 10-minute Powerplay period:</t>
  </si>
  <si>
    <t>Kazakhstan</t>
  </si>
  <si>
    <t>Colombia</t>
  </si>
  <si>
    <t>The Sevens, Dubai</t>
  </si>
  <si>
    <t>2021 World Cup Qualifier</t>
  </si>
  <si>
    <t>6N = Six Nations; INT = International; WCQ = World Cup Qualifier</t>
  </si>
  <si>
    <t>WCQ</t>
  </si>
  <si>
    <t>Dub</t>
  </si>
  <si>
    <t>28-3</t>
  </si>
  <si>
    <t>Campo de Las Terrazas</t>
  </si>
  <si>
    <t>Cancelled due to suspension of Russia's World Rugby membership</t>
  </si>
  <si>
    <t>Edi</t>
  </si>
  <si>
    <t>Dub = The Sevens, Dubai; Edi = DAM Health Stadium, Edinburgh</t>
  </si>
  <si>
    <t>Amber MacLachlan (Aus)</t>
  </si>
  <si>
    <t>Ian Tempest (Eng)</t>
  </si>
  <si>
    <t>Kat Roche (USA)</t>
  </si>
  <si>
    <t>Shanda Assmus (Can)</t>
  </si>
  <si>
    <t>Gre</t>
  </si>
  <si>
    <t>Tls</t>
  </si>
  <si>
    <t>Gre = Stade des Alpes, Grenoble; Tls = Stade Ernest Wallon, Toulouse</t>
  </si>
  <si>
    <t>Dbl = RDS Arena, Dublin; Tls = Stade Ernest Wallon, Toulouse</t>
  </si>
  <si>
    <t>Dbl = RDS Arena, Dublin; Car = Cardiff Arms Park, Cardiff</t>
  </si>
  <si>
    <t>Pm</t>
  </si>
  <si>
    <t>Gre = Stade des Alpes, Grenoble; Pm = Stadio Sergio Lanfranchi, Parma</t>
  </si>
  <si>
    <t>Edi = DAM Health Stadium, Edinburgh; Pm = Stadio Sergio Lanfranchi, Parma</t>
  </si>
  <si>
    <t>Glo</t>
  </si>
  <si>
    <t>Gla</t>
  </si>
  <si>
    <t>Car = Cardiff Arms Park, Cardiff; Gla = Scotstoun, Glasgow</t>
  </si>
  <si>
    <t>Crk</t>
  </si>
  <si>
    <t>Gla = Scotstoun, Glasgow; Car = Cardiff Arms Park, Cardiff</t>
  </si>
  <si>
    <t>Lei</t>
  </si>
  <si>
    <t>Glo = Kingsholm, Gloucester; Lei = Mattioli Woods Welford Road, Leicester</t>
  </si>
  <si>
    <t>Crk = Musgrave Park, Cork; Lei = Mattioli Woods Welford Road, Leicester</t>
  </si>
  <si>
    <t>Bay</t>
  </si>
  <si>
    <t>Bel</t>
  </si>
  <si>
    <t>Pm = Stadio Sergio Lanfranchi, Parma; Bel = Kingspan Stadium, Belfast</t>
  </si>
  <si>
    <t>WC</t>
  </si>
  <si>
    <t>Wh</t>
  </si>
  <si>
    <t>Glo = Kingsholm, Gloucester; Wh = Semenoff Stadium, Whangarei</t>
  </si>
  <si>
    <t>Wh = Semenoff Stadium, Whangarei</t>
  </si>
  <si>
    <t>Wh = Semenoff Stadium, Whangarei; Akl = Waitakere Stadium, Auckland</t>
  </si>
  <si>
    <t>Auk</t>
  </si>
  <si>
    <t>Bay = Stade Jean Dauger, Bayonne; Auk = Eden Park, Auckland</t>
  </si>
  <si>
    <t>5-38</t>
  </si>
  <si>
    <t>Joy Neville (Ire)</t>
  </si>
  <si>
    <t>Matteo Liperini (Ita)</t>
  </si>
  <si>
    <t>Aurelie Groizeleau (Fra)</t>
  </si>
  <si>
    <t>Maria Beatrice Benvenui (Ita)</t>
  </si>
  <si>
    <t>38-5</t>
  </si>
  <si>
    <t>:</t>
  </si>
  <si>
    <t>DAM Health Stadium, Edinburgh</t>
  </si>
  <si>
    <t>Six Nations</t>
  </si>
  <si>
    <t>RDS Arena, Dublin</t>
  </si>
  <si>
    <t>14-5</t>
  </si>
  <si>
    <t>Kat Roche (Aus)</t>
  </si>
  <si>
    <t>Claire Hodnett (Eng)</t>
  </si>
  <si>
    <t>Hollie Davidson (Sco)</t>
  </si>
  <si>
    <t>Nikki O'Donnell (Eng)</t>
  </si>
  <si>
    <t>5-14</t>
  </si>
  <si>
    <t>Stade des Alpes, Grenoble</t>
  </si>
  <si>
    <t>UK TIME</t>
  </si>
  <si>
    <t>17-6</t>
  </si>
  <si>
    <t>Sara Cox (Eng)</t>
  </si>
  <si>
    <t>Chris Assmus (Can)</t>
  </si>
  <si>
    <t>Aimee Barrett-Theron (RSA)</t>
  </si>
  <si>
    <t>Precious Pazani (Zim)</t>
  </si>
  <si>
    <t>6-17</t>
  </si>
  <si>
    <t>Stade Ernest Wallon, Toulouse</t>
  </si>
  <si>
    <t>26-0</t>
  </si>
  <si>
    <t>Ciara Munarini (Ita)</t>
  </si>
  <si>
    <t>0-26</t>
  </si>
  <si>
    <t>7-14</t>
  </si>
  <si>
    <t>Katherine Ritchie Eng)</t>
  </si>
  <si>
    <t>14-7</t>
  </si>
  <si>
    <t>Bartlett</t>
  </si>
  <si>
    <t>Cardiff Arms Park, Cardiff</t>
  </si>
  <si>
    <t>Stadio Sergio Lanfranchi, Parma</t>
  </si>
  <si>
    <t>0-31</t>
  </si>
  <si>
    <t>Eric Gauzins (Fra)</t>
  </si>
  <si>
    <t>Doriane Domenjo (Fra)</t>
  </si>
  <si>
    <t>Chimoaga Gabriel (Ita)</t>
  </si>
  <si>
    <t>31-0</t>
  </si>
  <si>
    <t>10+ Points scored with fewer than 15 players:</t>
  </si>
  <si>
    <t>↑2</t>
  </si>
  <si>
    <t>↑1</t>
  </si>
  <si>
    <t>↓1</t>
  </si>
  <si>
    <t xml:space="preserve">After Round 1 </t>
  </si>
  <si>
    <t>Kingsholm, Gloucester</t>
  </si>
  <si>
    <t>Scotstoun, Glasgow</t>
  </si>
  <si>
    <t>Musgrave Park, Cork</t>
  </si>
  <si>
    <t>19-0</t>
  </si>
  <si>
    <t>Julianne Zussman (Can)</t>
  </si>
  <si>
    <t>Maria Latos (Ger)</t>
  </si>
  <si>
    <t>0-19</t>
  </si>
  <si>
    <t>3-28</t>
  </si>
  <si>
    <t>Ben Whitehouse (Wal)</t>
  </si>
  <si>
    <t>Maria Giovanna Pacifico (Ita)</t>
  </si>
  <si>
    <t>Penalty Tries: v Ita (10 Apr)</t>
  </si>
  <si>
    <t>10-3</t>
  </si>
  <si>
    <t>Francesca Martin (Wal)</t>
  </si>
  <si>
    <t>Giordano, Rigoni</t>
  </si>
  <si>
    <t>After Round 2</t>
  </si>
  <si>
    <t>Mattioli Woods Welford Road</t>
  </si>
  <si>
    <t>MW Welford Road, Leicester</t>
  </si>
  <si>
    <t>Maggie Cogger-Orr (Nzl)</t>
  </si>
  <si>
    <t>Olly Hodges (Ire)</t>
  </si>
  <si>
    <t>Maria Beatrice Benvenuti (Ita)</t>
  </si>
  <si>
    <t>3-10</t>
  </si>
  <si>
    <t>Lauren Jenner (Nzl)</t>
  </si>
  <si>
    <t>Katharine Ritchie (Eng)</t>
  </si>
  <si>
    <t>10-0</t>
  </si>
  <si>
    <t>Amber McLachlan (Aus)</t>
  </si>
  <si>
    <t>0-10</t>
  </si>
  <si>
    <t>Considine, Wafer, Wall</t>
  </si>
  <si>
    <t>Naoupu</t>
  </si>
  <si>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by Eng v Ita (Ap 3), by Ire v Ita (Ap 10), by Eng v Ire x 2 (Ap 24)</t>
    </r>
  </si>
  <si>
    <t>After Round 3</t>
  </si>
  <si>
    <t>0-7</t>
  </si>
  <si>
    <t>7-0</t>
  </si>
  <si>
    <t>Harries, John, Lake, Wilkins</t>
  </si>
  <si>
    <t>14 pl</t>
  </si>
  <si>
    <t>13 pl</t>
  </si>
  <si>
    <t>12 pl</t>
  </si>
  <si>
    <t>11 pl</t>
  </si>
  <si>
    <t>Stade Jean Dauger, Bayonne</t>
  </si>
  <si>
    <t>7-21</t>
  </si>
  <si>
    <t>Lee Jeffrey (Nzl)</t>
  </si>
  <si>
    <t>21-7</t>
  </si>
  <si>
    <t>Harrison</t>
  </si>
  <si>
    <t>Annery, Boulard, Filopan</t>
  </si>
  <si>
    <t>Kingspan Stadium, Belfast</t>
  </si>
  <si>
    <t>at end of tournament</t>
  </si>
  <si>
    <t>8-5</t>
  </si>
  <si>
    <t>Clara Munarini (Ita)</t>
  </si>
  <si>
    <t>5-8</t>
  </si>
  <si>
    <t>After Round 4</t>
  </si>
  <si>
    <t>Test</t>
  </si>
  <si>
    <t>AUSTRALIA IN 2022</t>
  </si>
  <si>
    <t>PACIFIC FOUR</t>
  </si>
  <si>
    <t>PAC = Pacific Four; INT = International; WC = World Cup</t>
  </si>
  <si>
    <t>FIJI IN 2022</t>
  </si>
  <si>
    <t>INT = International; WC = World Cup</t>
  </si>
  <si>
    <t>JAPAN IN 2022</t>
  </si>
  <si>
    <t>INT</t>
  </si>
  <si>
    <t>Rob</t>
  </si>
  <si>
    <t>14-14</t>
  </si>
  <si>
    <t>Jess Ling (Aus)</t>
  </si>
  <si>
    <t>n/a</t>
  </si>
  <si>
    <t>Graham Cooper (Aus)</t>
  </si>
  <si>
    <t>James Palmer (Aus)</t>
  </si>
  <si>
    <t>Penalty Tries: v Fij (1 May)</t>
  </si>
  <si>
    <t>Bb</t>
  </si>
  <si>
    <t>Suncorp Stadium,. Brisbane</t>
  </si>
  <si>
    <t>26-14</t>
  </si>
  <si>
    <t>Brett Cronan (Aus)</t>
  </si>
  <si>
    <t>Tyler Miller (Aus)</t>
  </si>
  <si>
    <t>14-26</t>
  </si>
  <si>
    <t>Rob = Bond University, Robina, Aus; Bb = Suncorp Stadium, Brisbane</t>
  </si>
  <si>
    <t>Penalty Tries: v Fij (6 May)</t>
  </si>
  <si>
    <t>Bb = Suncorp Stadium, Brisbane; Rob = Bond University, Robina, Aus</t>
  </si>
  <si>
    <t>0-0</t>
  </si>
  <si>
    <t>Finland</t>
  </si>
  <si>
    <t>Switzerland</t>
  </si>
  <si>
    <t>Rugby Europe Trophy</t>
  </si>
  <si>
    <t>Myllypuro Sports Park, Helsinki</t>
  </si>
  <si>
    <t>CANADA IN 2022</t>
  </si>
  <si>
    <t>PAC</t>
  </si>
  <si>
    <t>Pacific Four</t>
  </si>
  <si>
    <t>Bond University, Robina</t>
  </si>
  <si>
    <t>Tau</t>
  </si>
  <si>
    <t>The Domain, Tauranga</t>
  </si>
  <si>
    <t>17-5</t>
  </si>
  <si>
    <t>USA IN 2022</t>
  </si>
  <si>
    <t>Auk = Eden Park, Auckland</t>
  </si>
  <si>
    <t>5-17</t>
  </si>
  <si>
    <t>NEW ZEALAND IN 2022</t>
  </si>
  <si>
    <t>5-10</t>
  </si>
  <si>
    <t>Julianne Zussmann (Can)</t>
  </si>
  <si>
    <t>10-5</t>
  </si>
  <si>
    <t>New Zealand</t>
  </si>
  <si>
    <t>13-0</t>
  </si>
  <si>
    <t>0-13</t>
  </si>
  <si>
    <t>0-6</t>
  </si>
  <si>
    <t>6-0</t>
  </si>
  <si>
    <t>The Trusts Arena, Auckland</t>
  </si>
  <si>
    <t>Semenoff Stadium, Whangarei</t>
  </si>
  <si>
    <t>10-7</t>
  </si>
  <si>
    <t>7-10</t>
  </si>
  <si>
    <t>29-6</t>
  </si>
  <si>
    <t>6-29</t>
  </si>
  <si>
    <t>SOUTH AFRICA IN 2022</t>
  </si>
  <si>
    <t>Tau = The Domain, Tauranga; Akl = Waitakere Stadium, Auckland</t>
  </si>
  <si>
    <t xml:space="preserve">Wh = Semenoff Stadium, Whangarei; </t>
  </si>
  <si>
    <t>Samoa</t>
  </si>
  <si>
    <t>Tonga</t>
  </si>
  <si>
    <t>Massey Park, Papakura (Nzl)</t>
  </si>
  <si>
    <t>Papua New Guinea</t>
  </si>
  <si>
    <t>Oceania Championship</t>
  </si>
  <si>
    <t>OC</t>
  </si>
  <si>
    <t>PNG</t>
  </si>
  <si>
    <t>OCEANIA CHAMPS</t>
  </si>
  <si>
    <t>72-0</t>
  </si>
  <si>
    <t>Navigation Homes Stadium, Pukekohe (Nzl)</t>
  </si>
  <si>
    <t>Pke</t>
  </si>
  <si>
    <t>Pka</t>
  </si>
  <si>
    <t>Pk = Massey Park, Papakura; Pke = Navigation Homes Stadium, Pukekohe</t>
  </si>
  <si>
    <t>Avi'I Fa'alupega (Sam)</t>
  </si>
  <si>
    <t>Larissa Woolerton (Nzl)</t>
  </si>
  <si>
    <t>10-16</t>
  </si>
  <si>
    <t>South Africa</t>
  </si>
  <si>
    <t>Kamaishi Recovery Memorial Stadium, Kamaishi</t>
  </si>
  <si>
    <t>Km</t>
  </si>
  <si>
    <t>Rob = Bond University, Robina, Aus; Km = Kamaishi Recovery Memorial Stadium, Kamaishi</t>
  </si>
  <si>
    <t>5-6</t>
  </si>
  <si>
    <t>Shuhei Kubo (Jpn)</t>
  </si>
  <si>
    <t>Ano Kuwai (Jpn)</t>
  </si>
  <si>
    <t>Starlight Stadium, Langford</t>
  </si>
  <si>
    <t>Lgf</t>
  </si>
  <si>
    <t>12-12</t>
  </si>
  <si>
    <t>Crk = Musgrave Park, Cork; Car = Cardiff Arms Park, Cardiff; Lgf = Starlight Stadium, Langford</t>
  </si>
  <si>
    <t>Emirates Airline Park, Johannesburg</t>
  </si>
  <si>
    <t>Jbg</t>
  </si>
  <si>
    <t>Km = Kamaishi Recovery Memorial Stadium, Kamaishi; Jbg = Emirates Airline Park, Johannesburg</t>
  </si>
  <si>
    <t>20-0</t>
  </si>
  <si>
    <t>Kgy</t>
  </si>
  <si>
    <t>5-12</t>
  </si>
  <si>
    <t>12-5</t>
  </si>
  <si>
    <t>2nd Test</t>
  </si>
  <si>
    <t>1st Test</t>
  </si>
  <si>
    <t>Kumagaya Rugby Stadium, Kumagaya</t>
  </si>
  <si>
    <t>Zimbabwe</t>
  </si>
  <si>
    <t>Rugby Africa Cup</t>
  </si>
  <si>
    <t>City Park, Cape Town</t>
  </si>
  <si>
    <t>RAC</t>
  </si>
  <si>
    <t>Ctn</t>
  </si>
  <si>
    <t>INT = International; WC = World Cup; RAC = Rugby Africa Cup</t>
  </si>
  <si>
    <t>53-0</t>
  </si>
  <si>
    <t>Zoe Naude (RSA)</t>
  </si>
  <si>
    <t>Saudah Adiru (Uga)</t>
  </si>
  <si>
    <t>Namibia</t>
  </si>
  <si>
    <t>Eri Kamimura (Jpn)</t>
  </si>
  <si>
    <t>RUGBY AFRICA CUP</t>
  </si>
  <si>
    <t>54-3</t>
  </si>
  <si>
    <t>Pcs</t>
  </si>
  <si>
    <t>Ctn = City Park, Cape Town; Pcs = Fanie du Toit Stadiumn, Potchefstroom</t>
  </si>
  <si>
    <t>10-14</t>
  </si>
  <si>
    <t>Fanie du Toit Stadium, Potchefstroom</t>
  </si>
  <si>
    <t>Shizuoka Stadium Ecopa, Shizuoka</t>
  </si>
  <si>
    <t>Shz</t>
  </si>
  <si>
    <t>Kgy = Kumagaya Rugby Stadium, Kumagaya; Shz = Shizuoka Stadium Ecopa, Shizuoka</t>
  </si>
  <si>
    <t>15-19</t>
  </si>
  <si>
    <t>Tasuku Kawahara (Jpn)</t>
  </si>
  <si>
    <t>19-15</t>
  </si>
  <si>
    <t>Bel = Kingspan Stadium, Belfast; Shz = Shizuoka Stadium Ecopa, Shizuoka</t>
  </si>
  <si>
    <t>OC = O'Reilly Cup</t>
  </si>
  <si>
    <t>Cch</t>
  </si>
  <si>
    <t>cch = Orangetheory Stadium, Christchurch</t>
  </si>
  <si>
    <t>1st O'Reilly Cup Test</t>
  </si>
  <si>
    <t>Orangetheory Stadium, Christchurch</t>
  </si>
  <si>
    <t>Adl</t>
  </si>
  <si>
    <t xml:space="preserve">Adl = Adelaid Oval, Adelaide; Wh = Semenoff Stadium, Whangarei; </t>
  </si>
  <si>
    <t>Hal</t>
  </si>
  <si>
    <t>Lgf = Starlight Stadium, Langford; Hal = Wanderers Ground, Halifax</t>
  </si>
  <si>
    <t>Akl = Waitakere Stadium, Auckland; Hal = Wanderers Ground, Halifax</t>
  </si>
  <si>
    <t>Tok</t>
  </si>
  <si>
    <t>Tok = Prince Chichibu Memorial Stadium, Tokyo</t>
  </si>
  <si>
    <t>Exe</t>
  </si>
  <si>
    <t>Bri</t>
  </si>
  <si>
    <t>Exe = Sandy Park, Exeter; Bri = Ashton Gate, Bristol</t>
  </si>
  <si>
    <t>Edi = DAM Health Stadium, Edinburgh; Exe = Sandy Park, Exeter</t>
  </si>
  <si>
    <t>Nic</t>
  </si>
  <si>
    <t>Bie</t>
  </si>
  <si>
    <t>Nic = Stade des Arboras, Nice; Bie = Stadio del Rugby, Biella</t>
  </si>
  <si>
    <t>Bri = Ashton Gate, Bristol</t>
  </si>
  <si>
    <t>2nd O'Reilly Cup Test</t>
  </si>
  <si>
    <t>Adelaide Oval, Adelaide</t>
  </si>
  <si>
    <t>Prince Chichibu Memorial Stadium, Tokyo</t>
  </si>
  <si>
    <t>17-16</t>
  </si>
  <si>
    <t>16-17</t>
  </si>
  <si>
    <t>Wanderers Ground, Halifax</t>
  </si>
  <si>
    <t>17-3</t>
  </si>
  <si>
    <t>3-17</t>
  </si>
  <si>
    <t>Sandy Park, Exeter</t>
  </si>
  <si>
    <t>33-0</t>
  </si>
  <si>
    <t>WCS</t>
  </si>
  <si>
    <t>WCF</t>
  </si>
  <si>
    <t>0-33</t>
  </si>
  <si>
    <t>Penalty Tries: v Fij (6 May), v Eng (3 Sep)</t>
  </si>
  <si>
    <t>Stade des Arboras, Nice</t>
  </si>
  <si>
    <t>21-0</t>
  </si>
  <si>
    <t>Holly Wood (Eng)</t>
  </si>
  <si>
    <t>0-21</t>
  </si>
  <si>
    <t>Stadio del Rugby, Biella</t>
  </si>
  <si>
    <t>12-14</t>
  </si>
  <si>
    <t>Maria Giovanna Pacifico</t>
  </si>
  <si>
    <t>14-12</t>
  </si>
  <si>
    <t>Ashton Gate, Bristol</t>
  </si>
  <si>
    <t>Penalty Tries: v Wales (Sp 14)</t>
  </si>
  <si>
    <t>33-7</t>
  </si>
  <si>
    <t>7-33</t>
  </si>
  <si>
    <t>Wahine Maori</t>
  </si>
  <si>
    <t>HFC Bank Stadium, Suva</t>
  </si>
  <si>
    <t>W Maori</t>
  </si>
  <si>
    <t>W Maori = Wahine Maori</t>
  </si>
  <si>
    <t>Suv</t>
  </si>
  <si>
    <t>Auk = Eden Park, Auckland; Suv = HFC Bank Stadium, Suva</t>
  </si>
  <si>
    <t>20-7</t>
  </si>
  <si>
    <t>Tok = Prince Chichibu Memorial Stadium, Tokyo; Auk = Eden Park, Auckland</t>
  </si>
  <si>
    <t>Suv = HFC Bank Stadium, Suva; Wh = Semenoff Stadium, Whangarei</t>
  </si>
  <si>
    <t>45-7</t>
  </si>
  <si>
    <t>7-45</t>
  </si>
  <si>
    <t>POOL A</t>
  </si>
  <si>
    <t xml:space="preserve">KO </t>
  </si>
  <si>
    <t>Capacity</t>
  </si>
  <si>
    <t>JPN</t>
  </si>
  <si>
    <t>SCO</t>
  </si>
  <si>
    <t>PTS F</t>
  </si>
  <si>
    <t>PTS A</t>
  </si>
  <si>
    <t>PD</t>
  </si>
  <si>
    <t>TRS F</t>
  </si>
  <si>
    <t>TRS A</t>
  </si>
  <si>
    <t>TD</t>
  </si>
  <si>
    <t>BP</t>
  </si>
  <si>
    <t>POOL B</t>
  </si>
  <si>
    <t>NZL</t>
  </si>
  <si>
    <t>RSA</t>
  </si>
  <si>
    <t>ITA</t>
  </si>
  <si>
    <t>CAN</t>
  </si>
  <si>
    <t>POOL C</t>
  </si>
  <si>
    <t>FRA</t>
  </si>
  <si>
    <t>ENG</t>
  </si>
  <si>
    <t>AUS</t>
  </si>
  <si>
    <t>FIJ</t>
  </si>
  <si>
    <t>WAL</t>
  </si>
  <si>
    <t>Q-FINALS</t>
  </si>
  <si>
    <t>S-FINALS</t>
  </si>
  <si>
    <t>FINAL</t>
  </si>
  <si>
    <t>Total Att</t>
  </si>
  <si>
    <t>Total Cap</t>
  </si>
  <si>
    <t>% Cap</t>
  </si>
  <si>
    <t>TIE-BREAKERS IN POOL STAGE</t>
  </si>
  <si>
    <t>1. Head to Head Match</t>
  </si>
  <si>
    <t>2. Points Difference</t>
  </si>
  <si>
    <t xml:space="preserve">3. Tries Difference </t>
  </si>
  <si>
    <t>4. Points Scored</t>
  </si>
  <si>
    <t>5. Tries Scored</t>
  </si>
  <si>
    <t>Clubs ordered on unofficial “points” ratio of “2” for a Red, “1” for a Yellow</t>
  </si>
  <si>
    <r>
      <t>POWERPLAYS (</t>
    </r>
    <r>
      <rPr>
        <b/>
        <sz val="11"/>
        <color rgb="FFFF0000"/>
        <rFont val="Calibri"/>
        <family val="2"/>
        <scheme val="minor"/>
      </rPr>
      <t xml:space="preserve">periods when teams are playing against short-handed opposition </t>
    </r>
    <r>
      <rPr>
        <b/>
        <u/>
        <sz val="11"/>
        <color rgb="FFFF0000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>)</t>
    </r>
  </si>
  <si>
    <t>15 v 11</t>
  </si>
  <si>
    <t xml:space="preserve">Most points scored/conceded in a sin-bin period: </t>
  </si>
  <si>
    <t>Try Bonus Points</t>
  </si>
  <si>
    <t>Tries Conceded</t>
  </si>
  <si>
    <t>Try Bonus Conceded</t>
  </si>
  <si>
    <t>KO (UK)</t>
  </si>
  <si>
    <t>Eden Park, Auckland</t>
  </si>
  <si>
    <t>Waitakere Stadium, Auckland</t>
  </si>
  <si>
    <t>Northland Events Centre, Whangarei</t>
  </si>
  <si>
    <t>QF1</t>
  </si>
  <si>
    <t>QF2</t>
  </si>
  <si>
    <t>QF3</t>
  </si>
  <si>
    <t>QF4</t>
  </si>
  <si>
    <t>SF1</t>
  </si>
  <si>
    <t>SF2</t>
  </si>
  <si>
    <t>BRONZE FINAL</t>
  </si>
  <si>
    <t>WORLD CUP POOL</t>
  </si>
  <si>
    <t>WORLD CUP KO</t>
  </si>
  <si>
    <t>WORLD CUP TOTAL</t>
  </si>
  <si>
    <t xml:space="preserve">Most points scored/conceded with fewer than 15 players in a sin-bin period: </t>
  </si>
  <si>
    <t>14 Players</t>
  </si>
  <si>
    <t>13 Players</t>
  </si>
  <si>
    <t>12 Players</t>
  </si>
  <si>
    <t>11 Players</t>
  </si>
  <si>
    <t>17-12</t>
  </si>
  <si>
    <t>Aimee Barrett-Theron (Rsa)</t>
  </si>
  <si>
    <t>Kat Roche (Usa)</t>
  </si>
  <si>
    <t xml:space="preserve">Kat Roche (Usa) </t>
  </si>
  <si>
    <t>27-5</t>
  </si>
  <si>
    <t>24-14</t>
  </si>
  <si>
    <t>14-24</t>
  </si>
  <si>
    <t>7-5</t>
  </si>
  <si>
    <t>Tyler Miller (Can)</t>
  </si>
  <si>
    <t>5-27</t>
  </si>
  <si>
    <t>12-17</t>
  </si>
  <si>
    <t>Aimee Barrett-Theron (Nzl)</t>
  </si>
  <si>
    <t>5-15</t>
  </si>
  <si>
    <t>5-7</t>
  </si>
  <si>
    <t>15-5</t>
  </si>
  <si>
    <t>New Zealand v Australia - Rnd 1</t>
  </si>
  <si>
    <t>Fiji v England - Rnd 1</t>
  </si>
  <si>
    <t>Pool</t>
  </si>
  <si>
    <t>Tables F</t>
  </si>
  <si>
    <t>Tables A</t>
  </si>
  <si>
    <t>Totals</t>
  </si>
  <si>
    <t>12-0</t>
  </si>
  <si>
    <t>Katherine Ritchie (Eng)</t>
  </si>
  <si>
    <t>0-12</t>
  </si>
  <si>
    <t>3-5</t>
  </si>
  <si>
    <t>5-3</t>
  </si>
  <si>
    <t>Maggie Cogger-Orr (Aus)</t>
  </si>
  <si>
    <t>7-22</t>
  </si>
  <si>
    <t>22-7</t>
  </si>
  <si>
    <t>Emma Taylor</t>
  </si>
  <si>
    <t>45-0</t>
  </si>
  <si>
    <t>0-45</t>
  </si>
  <si>
    <t>0-20</t>
  </si>
  <si>
    <t>19-7</t>
  </si>
  <si>
    <t>7-19</t>
  </si>
  <si>
    <t>29-0</t>
  </si>
  <si>
    <t>0-29</t>
  </si>
  <si>
    <t>Sereima Leweniqila, Akanisi Sokoiwasa, Roela Radiniyavuni</t>
  </si>
  <si>
    <t>Komachi Imakugi 2</t>
  </si>
  <si>
    <t>Sizophila Solontsi, Nomawethu Mabenge, Catha Jacobs, Nolusindiso Booi</t>
  </si>
  <si>
    <t>Roela Radiniyavuni</t>
  </si>
  <si>
    <t>FRANCE</t>
  </si>
  <si>
    <t>ITALY</t>
  </si>
  <si>
    <t>N ZEALAND</t>
  </si>
  <si>
    <t>WALES</t>
  </si>
  <si>
    <t>ENGLAND</t>
  </si>
  <si>
    <t>AUSTRALIA</t>
  </si>
  <si>
    <t>CANADA</t>
  </si>
  <si>
    <t>Ashley Marsters, Adiana Talakai</t>
  </si>
  <si>
    <t>Penalty Tries: 1 v Italy (RWC QF)</t>
  </si>
  <si>
    <t xml:space="preserve">na </t>
  </si>
  <si>
    <t>26-3</t>
  </si>
  <si>
    <t>3-26</t>
  </si>
  <si>
    <t>19-5</t>
  </si>
  <si>
    <t>5-19</t>
  </si>
  <si>
    <t>12-8</t>
  </si>
  <si>
    <t>8-12</t>
  </si>
  <si>
    <t>Vittoria Ostuni Minuzzi, Silvia Turani, Maria Magatti</t>
  </si>
  <si>
    <t>Cara Hope, Jasmine Joyce, Carys Williams-Morris, Lleucu George</t>
  </si>
  <si>
    <t>Shannon Parry 2, Ivania Wong, Adiana Talakai, Kaitlan Leaney</t>
  </si>
  <si>
    <t>Kathryn Johnson, Kate Zackary, Alev Kelter</t>
  </si>
  <si>
    <t>12-15</t>
  </si>
  <si>
    <t>15-12</t>
  </si>
  <si>
    <t>10-17</t>
  </si>
  <si>
    <t>WCB</t>
  </si>
  <si>
    <t>17-10</t>
  </si>
  <si>
    <t>Sarah Bern, Zoe Aldcroft, Vickii Cornborough</t>
  </si>
  <si>
    <t>0-22</t>
  </si>
  <si>
    <t>22-0</t>
  </si>
  <si>
    <t>World Cup Bronze Final</t>
  </si>
  <si>
    <t>World Cup Final</t>
  </si>
  <si>
    <t>19-26</t>
  </si>
  <si>
    <t>26-19</t>
  </si>
  <si>
    <t>Charmaine McMenamin, Sarah Hirini, Tanya Kalounivale, Santo Taumata, Kennedy Simon</t>
  </si>
  <si>
    <t>Safi N'Diaye, Gabrielle Vernier</t>
  </si>
  <si>
    <t>Lydia Thompson</t>
  </si>
  <si>
    <t>World Cup Pool C</t>
  </si>
  <si>
    <t>World Cup Pool A</t>
  </si>
  <si>
    <t>World Cup Pool B</t>
  </si>
  <si>
    <t>World Cup Quarter-Final</t>
  </si>
  <si>
    <t>World Cup Semi-Final</t>
  </si>
  <si>
    <t>Played</t>
  </si>
  <si>
    <t>Won</t>
  </si>
  <si>
    <t>Drawn</t>
  </si>
  <si>
    <t>Lost</t>
  </si>
  <si>
    <t>Pts Scored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</si>
</sst>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809]dd\ mmmm\ 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b/>
      <sz val="12"/>
      <color theme="5" tint="0.7999816888943144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2">
    <xf numFmtId="0" fontId="0" fillId="0" borderId="0" xfId="0"/>
    <xf numFmtId="0" fontId="9" fillId="3" borderId="2" xfId="0" applyFont="1" applyFill="1" applyBorder="1"/>
    <xf numFmtId="0" fontId="10" fillId="3" borderId="7" xfId="0" applyFont="1" applyFill="1" applyBorder="1"/>
    <xf numFmtId="49" fontId="10" fillId="3" borderId="7" xfId="0" applyNumberFormat="1" applyFont="1" applyFill="1" applyBorder="1"/>
    <xf numFmtId="0" fontId="10" fillId="3" borderId="8" xfId="0" applyFont="1" applyFill="1" applyBorder="1"/>
    <xf numFmtId="0" fontId="10" fillId="3" borderId="9" xfId="0" applyFont="1" applyFill="1" applyBorder="1"/>
    <xf numFmtId="0" fontId="9" fillId="3" borderId="1" xfId="0" applyFont="1" applyFill="1" applyBorder="1"/>
    <xf numFmtId="0" fontId="9" fillId="3" borderId="10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0" fontId="11" fillId="0" borderId="0" xfId="0" applyFont="1"/>
    <xf numFmtId="0" fontId="9" fillId="3" borderId="11" xfId="0" applyFont="1" applyFill="1" applyBorder="1"/>
    <xf numFmtId="0" fontId="10" fillId="3" borderId="12" xfId="0" applyFont="1" applyFill="1" applyBorder="1"/>
    <xf numFmtId="0" fontId="9" fillId="6" borderId="1" xfId="0" applyFont="1" applyFill="1" applyBorder="1"/>
    <xf numFmtId="0" fontId="9" fillId="6" borderId="2" xfId="0" applyFont="1" applyFill="1" applyBorder="1"/>
    <xf numFmtId="0" fontId="9" fillId="6" borderId="11" xfId="0" applyFont="1" applyFill="1" applyBorder="1"/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/>
    <xf numFmtId="49" fontId="10" fillId="6" borderId="7" xfId="0" applyNumberFormat="1" applyFont="1" applyFill="1" applyBorder="1"/>
    <xf numFmtId="0" fontId="10" fillId="6" borderId="8" xfId="0" applyFont="1" applyFill="1" applyBorder="1"/>
    <xf numFmtId="0" fontId="10" fillId="6" borderId="12" xfId="0" applyFont="1" applyFill="1" applyBorder="1"/>
    <xf numFmtId="0" fontId="10" fillId="6" borderId="9" xfId="0" applyFont="1" applyFill="1" applyBorder="1"/>
    <xf numFmtId="0" fontId="9" fillId="9" borderId="1" xfId="0" applyFont="1" applyFill="1" applyBorder="1"/>
    <xf numFmtId="0" fontId="9" fillId="9" borderId="2" xfId="0" applyFont="1" applyFill="1" applyBorder="1"/>
    <xf numFmtId="0" fontId="9" fillId="9" borderId="11" xfId="0" applyFont="1" applyFill="1" applyBorder="1"/>
    <xf numFmtId="0" fontId="9" fillId="9" borderId="10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/>
    <xf numFmtId="49" fontId="10" fillId="9" borderId="7" xfId="0" applyNumberFormat="1" applyFont="1" applyFill="1" applyBorder="1"/>
    <xf numFmtId="0" fontId="10" fillId="9" borderId="8" xfId="0" applyFont="1" applyFill="1" applyBorder="1"/>
    <xf numFmtId="0" fontId="10" fillId="9" borderId="12" xfId="0" applyFont="1" applyFill="1" applyBorder="1"/>
    <xf numFmtId="0" fontId="10" fillId="9" borderId="9" xfId="0" applyFont="1" applyFill="1" applyBorder="1"/>
    <xf numFmtId="0" fontId="9" fillId="6" borderId="3" xfId="0" applyFont="1" applyFill="1" applyBorder="1" applyAlignment="1">
      <alignment horizontal="left" wrapText="1"/>
    </xf>
    <xf numFmtId="0" fontId="0" fillId="11" borderId="0" xfId="0" applyFill="1"/>
    <xf numFmtId="0" fontId="0" fillId="4" borderId="0" xfId="0" applyFill="1"/>
    <xf numFmtId="0" fontId="0" fillId="7" borderId="0" xfId="0" applyFill="1"/>
    <xf numFmtId="0" fontId="9" fillId="9" borderId="3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3" xfId="0" applyFont="1" applyFill="1" applyBorder="1"/>
    <xf numFmtId="0" fontId="9" fillId="6" borderId="3" xfId="0" applyFont="1" applyFill="1" applyBorder="1"/>
    <xf numFmtId="0" fontId="0" fillId="2" borderId="1" xfId="0" applyFill="1" applyBorder="1"/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9" fillId="3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14" borderId="1" xfId="0" applyFont="1" applyFill="1" applyBorder="1" applyAlignment="1">
      <alignment horizontal="right"/>
    </xf>
    <xf numFmtId="0" fontId="7" fillId="13" borderId="6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5" fillId="14" borderId="1" xfId="0" applyFont="1" applyFill="1" applyBorder="1"/>
    <xf numFmtId="0" fontId="5" fillId="12" borderId="5" xfId="0" applyFont="1" applyFill="1" applyBorder="1" applyAlignment="1">
      <alignment horizontal="right" vertical="center" wrapText="1"/>
    </xf>
    <xf numFmtId="0" fontId="7" fillId="12" borderId="5" xfId="0" applyFont="1" applyFill="1" applyBorder="1" applyAlignment="1">
      <alignment horizontal="right" vertical="center" wrapText="1"/>
    </xf>
    <xf numFmtId="0" fontId="7" fillId="12" borderId="5" xfId="0" applyFont="1" applyFill="1" applyBorder="1" applyAlignment="1">
      <alignment horizontal="left" vertical="center" wrapText="1"/>
    </xf>
    <xf numFmtId="0" fontId="5" fillId="12" borderId="5" xfId="0" applyFont="1" applyFill="1" applyBorder="1" applyAlignment="1">
      <alignment horizontal="left" vertical="center" wrapText="1"/>
    </xf>
    <xf numFmtId="0" fontId="7" fillId="13" borderId="6" xfId="0" applyFont="1" applyFill="1" applyBorder="1" applyAlignment="1">
      <alignment horizontal="right" vertical="center" wrapText="1"/>
    </xf>
    <xf numFmtId="0" fontId="7" fillId="13" borderId="1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5" fillId="0" borderId="0" xfId="0" applyFont="1"/>
    <xf numFmtId="0" fontId="6" fillId="9" borderId="3" xfId="0" applyFont="1" applyFill="1" applyBorder="1" applyAlignment="1">
      <alignment horizontal="left" wrapText="1"/>
    </xf>
    <xf numFmtId="0" fontId="6" fillId="9" borderId="1" xfId="0" applyFont="1" applyFill="1" applyBorder="1"/>
    <xf numFmtId="0" fontId="6" fillId="9" borderId="2" xfId="0" applyFont="1" applyFill="1" applyBorder="1"/>
    <xf numFmtId="0" fontId="6" fillId="9" borderId="11" xfId="0" applyFont="1" applyFill="1" applyBorder="1"/>
    <xf numFmtId="0" fontId="6" fillId="9" borderId="3" xfId="0" applyFont="1" applyFill="1" applyBorder="1"/>
    <xf numFmtId="0" fontId="6" fillId="9" borderId="10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/>
    <xf numFmtId="49" fontId="4" fillId="9" borderId="7" xfId="0" applyNumberFormat="1" applyFont="1" applyFill="1" applyBorder="1"/>
    <xf numFmtId="0" fontId="4" fillId="9" borderId="8" xfId="0" applyFont="1" applyFill="1" applyBorder="1"/>
    <xf numFmtId="0" fontId="4" fillId="9" borderId="12" xfId="0" applyFont="1" applyFill="1" applyBorder="1"/>
    <xf numFmtId="0" fontId="4" fillId="9" borderId="9" xfId="0" applyFont="1" applyFill="1" applyBorder="1"/>
    <xf numFmtId="0" fontId="5" fillId="7" borderId="7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5" fillId="0" borderId="11" xfId="0" applyFont="1" applyBorder="1"/>
    <xf numFmtId="0" fontId="5" fillId="0" borderId="4" xfId="0" applyFont="1" applyBorder="1"/>
    <xf numFmtId="0" fontId="5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5" fillId="4" borderId="1" xfId="0" applyFont="1" applyFill="1" applyBorder="1"/>
    <xf numFmtId="0" fontId="12" fillId="10" borderId="6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16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5" fontId="0" fillId="0" borderId="0" xfId="0" applyNumberFormat="1"/>
    <xf numFmtId="0" fontId="17" fillId="2" borderId="0" xfId="0" applyFont="1" applyFill="1"/>
    <xf numFmtId="0" fontId="17" fillId="5" borderId="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16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9" fillId="0" borderId="0" xfId="0" applyFont="1"/>
    <xf numFmtId="0" fontId="18" fillId="2" borderId="0" xfId="0" applyFont="1" applyFill="1"/>
    <xf numFmtId="0" fontId="18" fillId="5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8" fillId="17" borderId="4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9" fillId="6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3" fillId="0" borderId="0" xfId="0" applyNumberFormat="1" applyFont="1"/>
    <xf numFmtId="0" fontId="6" fillId="9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right"/>
    </xf>
    <xf numFmtId="0" fontId="5" fillId="12" borderId="5" xfId="0" applyFont="1" applyFill="1" applyBorder="1"/>
    <xf numFmtId="0" fontId="15" fillId="16" borderId="6" xfId="0" applyFont="1" applyFill="1" applyBorder="1" applyAlignment="1">
      <alignment vertical="center" wrapText="1"/>
    </xf>
    <xf numFmtId="0" fontId="5" fillId="11" borderId="0" xfId="0" applyFont="1" applyFill="1"/>
    <xf numFmtId="0" fontId="16" fillId="2" borderId="1" xfId="0" applyFont="1" applyFill="1" applyBorder="1"/>
    <xf numFmtId="0" fontId="16" fillId="2" borderId="1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/>
    </xf>
    <xf numFmtId="0" fontId="10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9" fillId="18" borderId="4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17" borderId="1" xfId="0" applyFont="1" applyFill="1" applyBorder="1"/>
    <xf numFmtId="0" fontId="9" fillId="17" borderId="1" xfId="0" applyFont="1" applyFill="1" applyBorder="1" applyAlignment="1">
      <alignment horizontal="center" vertical="center" wrapText="1"/>
    </xf>
    <xf numFmtId="0" fontId="18" fillId="17" borderId="1" xfId="0" applyFont="1" applyFill="1" applyBorder="1"/>
    <xf numFmtId="0" fontId="17" fillId="17" borderId="1" xfId="0" applyFont="1" applyFill="1" applyBorder="1"/>
    <xf numFmtId="0" fontId="17" fillId="17" borderId="5" xfId="0" applyFont="1" applyFill="1" applyBorder="1"/>
    <xf numFmtId="0" fontId="2" fillId="0" borderId="0" xfId="0" applyFont="1"/>
    <xf numFmtId="0" fontId="5" fillId="16" borderId="5" xfId="0" applyFont="1" applyFill="1" applyBorder="1" applyAlignment="1">
      <alignment horizontal="right" vertical="center" wrapText="1"/>
    </xf>
    <xf numFmtId="0" fontId="9" fillId="10" borderId="3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center"/>
    </xf>
    <xf numFmtId="0" fontId="9" fillId="10" borderId="2" xfId="0" applyFont="1" applyFill="1" applyBorder="1"/>
    <xf numFmtId="0" fontId="9" fillId="10" borderId="1" xfId="0" applyFont="1" applyFill="1" applyBorder="1"/>
    <xf numFmtId="0" fontId="9" fillId="10" borderId="11" xfId="0" applyFont="1" applyFill="1" applyBorder="1"/>
    <xf numFmtId="0" fontId="9" fillId="10" borderId="3" xfId="0" applyFont="1" applyFill="1" applyBorder="1"/>
    <xf numFmtId="0" fontId="9" fillId="10" borderId="10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/>
    <xf numFmtId="49" fontId="10" fillId="10" borderId="7" xfId="0" applyNumberFormat="1" applyFont="1" applyFill="1" applyBorder="1"/>
    <xf numFmtId="0" fontId="10" fillId="10" borderId="8" xfId="0" applyFont="1" applyFill="1" applyBorder="1"/>
    <xf numFmtId="0" fontId="10" fillId="10" borderId="12" xfId="0" applyFont="1" applyFill="1" applyBorder="1"/>
    <xf numFmtId="0" fontId="10" fillId="10" borderId="9" xfId="0" applyFont="1" applyFill="1" applyBorder="1"/>
    <xf numFmtId="0" fontId="9" fillId="10" borderId="1" xfId="0" applyFont="1" applyFill="1" applyBorder="1" applyAlignment="1">
      <alignment horizontal="right"/>
    </xf>
    <xf numFmtId="1" fontId="9" fillId="17" borderId="4" xfId="0" applyNumberFormat="1" applyFont="1" applyFill="1" applyBorder="1" applyAlignment="1">
      <alignment horizontal="center" vertical="center" wrapText="1"/>
    </xf>
    <xf numFmtId="2" fontId="0" fillId="0" borderId="19" xfId="0" applyNumberFormat="1" applyBorder="1"/>
    <xf numFmtId="2" fontId="0" fillId="0" borderId="18" xfId="0" applyNumberFormat="1" applyBorder="1"/>
    <xf numFmtId="0" fontId="20" fillId="16" borderId="6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wrapText="1"/>
    </xf>
    <xf numFmtId="16" fontId="9" fillId="18" borderId="5" xfId="0" applyNumberFormat="1" applyFont="1" applyFill="1" applyBorder="1" applyAlignment="1">
      <alignment horizontal="left" vertical="center" wrapText="1"/>
    </xf>
    <xf numFmtId="0" fontId="9" fillId="18" borderId="6" xfId="0" applyFont="1" applyFill="1" applyBorder="1" applyAlignment="1">
      <alignment horizontal="left" vertical="center" wrapText="1"/>
    </xf>
    <xf numFmtId="0" fontId="9" fillId="18" borderId="6" xfId="0" applyFont="1" applyFill="1" applyBorder="1" applyAlignment="1">
      <alignment vertical="center" wrapText="1"/>
    </xf>
    <xf numFmtId="0" fontId="9" fillId="18" borderId="6" xfId="0" applyFont="1" applyFill="1" applyBorder="1" applyAlignment="1">
      <alignment horizontal="center" vertical="center" wrapText="1"/>
    </xf>
    <xf numFmtId="0" fontId="10" fillId="18" borderId="1" xfId="0" applyFont="1" applyFill="1" applyBorder="1"/>
    <xf numFmtId="0" fontId="9" fillId="18" borderId="1" xfId="0" applyFont="1" applyFill="1" applyBorder="1"/>
    <xf numFmtId="0" fontId="9" fillId="18" borderId="4" xfId="0" applyFont="1" applyFill="1" applyBorder="1"/>
    <xf numFmtId="0" fontId="10" fillId="18" borderId="7" xfId="0" applyFont="1" applyFill="1" applyBorder="1"/>
    <xf numFmtId="49" fontId="22" fillId="18" borderId="7" xfId="0" applyNumberFormat="1" applyFont="1" applyFill="1" applyBorder="1" applyAlignment="1">
      <alignment horizontal="center"/>
    </xf>
    <xf numFmtId="0" fontId="10" fillId="18" borderId="8" xfId="0" applyFont="1" applyFill="1" applyBorder="1"/>
    <xf numFmtId="0" fontId="10" fillId="18" borderId="9" xfId="0" applyFont="1" applyFill="1" applyBorder="1"/>
    <xf numFmtId="49" fontId="21" fillId="18" borderId="7" xfId="0" applyNumberFormat="1" applyFont="1" applyFill="1" applyBorder="1" applyAlignment="1">
      <alignment horizontal="center"/>
    </xf>
    <xf numFmtId="0" fontId="9" fillId="18" borderId="1" xfId="0" applyFont="1" applyFill="1" applyBorder="1" applyAlignment="1">
      <alignment vertical="center" wrapText="1"/>
    </xf>
    <xf numFmtId="16" fontId="9" fillId="18" borderId="1" xfId="0" applyNumberFormat="1" applyFont="1" applyFill="1" applyBorder="1" applyAlignment="1">
      <alignment horizontal="left" vertical="center" wrapText="1"/>
    </xf>
    <xf numFmtId="0" fontId="9" fillId="18" borderId="1" xfId="0" applyFont="1" applyFill="1" applyBorder="1" applyAlignment="1">
      <alignment horizontal="center" vertical="center" wrapText="1"/>
    </xf>
    <xf numFmtId="49" fontId="21" fillId="18" borderId="1" xfId="0" applyNumberFormat="1" applyFont="1" applyFill="1" applyBorder="1" applyAlignment="1">
      <alignment horizontal="center"/>
    </xf>
    <xf numFmtId="0" fontId="9" fillId="18" borderId="13" xfId="0" applyFont="1" applyFill="1" applyBorder="1"/>
    <xf numFmtId="49" fontId="24" fillId="18" borderId="7" xfId="0" applyNumberFormat="1" applyFont="1" applyFill="1" applyBorder="1" applyAlignment="1">
      <alignment horizontal="center"/>
    </xf>
    <xf numFmtId="0" fontId="10" fillId="18" borderId="0" xfId="0" applyFont="1" applyFill="1"/>
    <xf numFmtId="16" fontId="9" fillId="5" borderId="5" xfId="0" applyNumberFormat="1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/>
    <xf numFmtId="49" fontId="21" fillId="5" borderId="7" xfId="0" applyNumberFormat="1" applyFont="1" applyFill="1" applyBorder="1" applyAlignment="1">
      <alignment horizontal="center"/>
    </xf>
    <xf numFmtId="0" fontId="10" fillId="5" borderId="8" xfId="0" applyFont="1" applyFill="1" applyBorder="1"/>
    <xf numFmtId="0" fontId="10" fillId="5" borderId="1" xfId="0" applyFont="1" applyFill="1" applyBorder="1"/>
    <xf numFmtId="0" fontId="10" fillId="5" borderId="9" xfId="0" applyFont="1" applyFill="1" applyBorder="1"/>
    <xf numFmtId="0" fontId="9" fillId="5" borderId="1" xfId="0" applyFont="1" applyFill="1" applyBorder="1"/>
    <xf numFmtId="0" fontId="9" fillId="5" borderId="4" xfId="0" applyFont="1" applyFill="1" applyBorder="1"/>
    <xf numFmtId="0" fontId="10" fillId="5" borderId="3" xfId="0" applyFont="1" applyFill="1" applyBorder="1"/>
    <xf numFmtId="0" fontId="9" fillId="5" borderId="6" xfId="0" applyFont="1" applyFill="1" applyBorder="1" applyAlignment="1">
      <alignment horizontal="left" vertical="center" wrapText="1"/>
    </xf>
    <xf numFmtId="49" fontId="22" fillId="5" borderId="7" xfId="0" applyNumberFormat="1" applyFont="1" applyFill="1" applyBorder="1" applyAlignment="1">
      <alignment horizontal="center"/>
    </xf>
    <xf numFmtId="49" fontId="24" fillId="5" borderId="7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 wrapText="1"/>
    </xf>
    <xf numFmtId="49" fontId="22" fillId="5" borderId="1" xfId="0" applyNumberFormat="1" applyFont="1" applyFill="1" applyBorder="1" applyAlignment="1">
      <alignment horizontal="center"/>
    </xf>
    <xf numFmtId="49" fontId="23" fillId="5" borderId="7" xfId="0" applyNumberFormat="1" applyFont="1" applyFill="1" applyBorder="1" applyAlignment="1">
      <alignment horizontal="center"/>
    </xf>
    <xf numFmtId="0" fontId="9" fillId="5" borderId="13" xfId="0" applyFont="1" applyFill="1" applyBorder="1"/>
    <xf numFmtId="0" fontId="9" fillId="18" borderId="16" xfId="0" applyFont="1" applyFill="1" applyBorder="1" applyAlignment="1">
      <alignment vertical="center" wrapText="1"/>
    </xf>
    <xf numFmtId="0" fontId="8" fillId="2" borderId="0" xfId="0" applyFont="1" applyFill="1"/>
    <xf numFmtId="0" fontId="9" fillId="17" borderId="6" xfId="0" applyFont="1" applyFill="1" applyBorder="1" applyAlignment="1">
      <alignment horizontal="center" vertical="center" wrapText="1"/>
    </xf>
    <xf numFmtId="0" fontId="9" fillId="17" borderId="4" xfId="0" applyFont="1" applyFill="1" applyBorder="1"/>
    <xf numFmtId="0" fontId="10" fillId="17" borderId="1" xfId="0" applyFont="1" applyFill="1" applyBorder="1"/>
    <xf numFmtId="16" fontId="9" fillId="17" borderId="5" xfId="0" applyNumberFormat="1" applyFont="1" applyFill="1" applyBorder="1" applyAlignment="1">
      <alignment horizontal="left" vertical="center" wrapText="1"/>
    </xf>
    <xf numFmtId="0" fontId="9" fillId="17" borderId="6" xfId="0" applyFont="1" applyFill="1" applyBorder="1" applyAlignment="1">
      <alignment vertical="center" wrapText="1"/>
    </xf>
    <xf numFmtId="0" fontId="10" fillId="17" borderId="7" xfId="0" applyFont="1" applyFill="1" applyBorder="1"/>
    <xf numFmtId="0" fontId="10" fillId="17" borderId="8" xfId="0" applyFont="1" applyFill="1" applyBorder="1"/>
    <xf numFmtId="0" fontId="10" fillId="17" borderId="9" xfId="0" applyFont="1" applyFill="1" applyBorder="1"/>
    <xf numFmtId="49" fontId="22" fillId="17" borderId="7" xfId="0" applyNumberFormat="1" applyFont="1" applyFill="1" applyBorder="1" applyAlignment="1">
      <alignment horizontal="center"/>
    </xf>
    <xf numFmtId="0" fontId="16" fillId="2" borderId="7" xfId="0" applyFont="1" applyFill="1" applyBorder="1"/>
    <xf numFmtId="49" fontId="16" fillId="2" borderId="7" xfId="0" applyNumberFormat="1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9" fillId="5" borderId="7" xfId="0" applyFont="1" applyFill="1" applyBorder="1"/>
    <xf numFmtId="0" fontId="9" fillId="0" borderId="0" xfId="0" applyFont="1"/>
    <xf numFmtId="0" fontId="5" fillId="8" borderId="0" xfId="0" applyFont="1" applyFill="1"/>
    <xf numFmtId="0" fontId="5" fillId="4" borderId="0" xfId="0" applyFont="1" applyFill="1"/>
    <xf numFmtId="49" fontId="21" fillId="17" borderId="7" xfId="0" applyNumberFormat="1" applyFont="1" applyFill="1" applyBorder="1" applyAlignment="1">
      <alignment horizontal="center"/>
    </xf>
    <xf numFmtId="0" fontId="26" fillId="0" borderId="0" xfId="0" applyFont="1"/>
    <xf numFmtId="0" fontId="25" fillId="2" borderId="0" xfId="0" applyFont="1" applyFill="1"/>
    <xf numFmtId="0" fontId="25" fillId="17" borderId="5" xfId="0" applyFont="1" applyFill="1" applyBorder="1"/>
    <xf numFmtId="0" fontId="25" fillId="17" borderId="4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16" fontId="25" fillId="2" borderId="0" xfId="0" applyNumberFormat="1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17" borderId="1" xfId="0" applyFont="1" applyFill="1" applyBorder="1"/>
    <xf numFmtId="0" fontId="9" fillId="18" borderId="5" xfId="0" applyFont="1" applyFill="1" applyBorder="1"/>
    <xf numFmtId="0" fontId="9" fillId="18" borderId="6" xfId="0" applyFont="1" applyFill="1" applyBorder="1"/>
    <xf numFmtId="0" fontId="25" fillId="0" borderId="0" xfId="0" applyFont="1"/>
    <xf numFmtId="16" fontId="9" fillId="17" borderId="1" xfId="0" applyNumberFormat="1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vertical="center" wrapText="1"/>
    </xf>
    <xf numFmtId="0" fontId="10" fillId="17" borderId="3" xfId="0" applyFont="1" applyFill="1" applyBorder="1"/>
    <xf numFmtId="49" fontId="22" fillId="17" borderId="1" xfId="0" applyNumberFormat="1" applyFont="1" applyFill="1" applyBorder="1" applyAlignment="1">
      <alignment horizontal="center"/>
    </xf>
    <xf numFmtId="49" fontId="21" fillId="17" borderId="1" xfId="0" applyNumberFormat="1" applyFont="1" applyFill="1" applyBorder="1" applyAlignment="1">
      <alignment horizontal="center"/>
    </xf>
    <xf numFmtId="0" fontId="1" fillId="0" borderId="0" xfId="0" applyFont="1"/>
    <xf numFmtId="49" fontId="24" fillId="17" borderId="7" xfId="0" applyNumberFormat="1" applyFont="1" applyFill="1" applyBorder="1" applyAlignment="1">
      <alignment horizontal="center"/>
    </xf>
    <xf numFmtId="0" fontId="9" fillId="5" borderId="2" xfId="0" applyFont="1" applyFill="1" applyBorder="1"/>
    <xf numFmtId="14" fontId="5" fillId="15" borderId="0" xfId="0" applyNumberFormat="1" applyFont="1" applyFill="1"/>
    <xf numFmtId="0" fontId="5" fillId="15" borderId="0" xfId="0" applyFont="1" applyFill="1"/>
    <xf numFmtId="0" fontId="5" fillId="15" borderId="0" xfId="0" applyFont="1" applyFill="1" applyAlignment="1">
      <alignment horizontal="center"/>
    </xf>
    <xf numFmtId="0" fontId="9" fillId="9" borderId="3" xfId="0" applyFont="1" applyFill="1" applyBorder="1"/>
    <xf numFmtId="0" fontId="5" fillId="15" borderId="0" xfId="0" applyFont="1" applyFill="1" applyAlignment="1">
      <alignment horizontal="left"/>
    </xf>
    <xf numFmtId="16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0" fontId="7" fillId="12" borderId="1" xfId="0" applyFont="1" applyFill="1" applyBorder="1" applyAlignment="1">
      <alignment horizontal="left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9" fillId="0" borderId="0" xfId="0" applyFont="1"/>
    <xf numFmtId="0" fontId="28" fillId="2" borderId="0" xfId="0" applyFont="1" applyFill="1"/>
    <xf numFmtId="0" fontId="28" fillId="5" borderId="4" xfId="0" applyFont="1" applyFill="1" applyBorder="1" applyAlignment="1">
      <alignment horizontal="center" vertical="center" wrapText="1"/>
    </xf>
    <xf numFmtId="0" fontId="28" fillId="18" borderId="4" xfId="0" applyFont="1" applyFill="1" applyBorder="1" applyAlignment="1">
      <alignment horizontal="center" vertical="center" wrapText="1"/>
    </xf>
    <xf numFmtId="0" fontId="28" fillId="17" borderId="6" xfId="0" applyFont="1" applyFill="1" applyBorder="1" applyAlignment="1">
      <alignment vertical="center" wrapText="1"/>
    </xf>
    <xf numFmtId="0" fontId="28" fillId="17" borderId="6" xfId="0" applyFont="1" applyFill="1" applyBorder="1" applyAlignment="1">
      <alignment horizontal="center" vertical="center" wrapText="1"/>
    </xf>
    <xf numFmtId="0" fontId="29" fillId="17" borderId="7" xfId="0" applyFont="1" applyFill="1" applyBorder="1"/>
    <xf numFmtId="0" fontId="29" fillId="17" borderId="8" xfId="0" applyFont="1" applyFill="1" applyBorder="1"/>
    <xf numFmtId="0" fontId="29" fillId="17" borderId="9" xfId="0" applyFont="1" applyFill="1" applyBorder="1"/>
    <xf numFmtId="0" fontId="28" fillId="17" borderId="1" xfId="0" applyFont="1" applyFill="1" applyBorder="1" applyAlignment="1">
      <alignment horizontal="right"/>
    </xf>
    <xf numFmtId="0" fontId="28" fillId="17" borderId="4" xfId="0" applyFont="1" applyFill="1" applyBorder="1" applyAlignment="1">
      <alignment horizontal="right"/>
    </xf>
    <xf numFmtId="0" fontId="28" fillId="17" borderId="13" xfId="0" applyFont="1" applyFill="1" applyBorder="1" applyAlignment="1">
      <alignment horizontal="right"/>
    </xf>
    <xf numFmtId="16" fontId="28" fillId="17" borderId="10" xfId="0" applyNumberFormat="1" applyFont="1" applyFill="1" applyBorder="1" applyAlignment="1">
      <alignment horizontal="left" vertical="center" wrapText="1"/>
    </xf>
    <xf numFmtId="0" fontId="28" fillId="17" borderId="2" xfId="0" applyFont="1" applyFill="1" applyBorder="1" applyAlignment="1">
      <alignment horizontal="left" vertical="center" wrapText="1"/>
    </xf>
    <xf numFmtId="49" fontId="30" fillId="17" borderId="7" xfId="0" applyNumberFormat="1" applyFont="1" applyFill="1" applyBorder="1" applyAlignment="1">
      <alignment horizontal="center"/>
    </xf>
    <xf numFmtId="0" fontId="9" fillId="17" borderId="6" xfId="0" applyFont="1" applyFill="1" applyBorder="1" applyAlignment="1">
      <alignment horizontal="left" vertical="center" wrapText="1"/>
    </xf>
    <xf numFmtId="16" fontId="9" fillId="17" borderId="2" xfId="0" applyNumberFormat="1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vertical="center" wrapText="1"/>
    </xf>
    <xf numFmtId="0" fontId="9" fillId="17" borderId="2" xfId="0" applyFont="1" applyFill="1" applyBorder="1" applyAlignment="1">
      <alignment vertical="center" wrapText="1"/>
    </xf>
    <xf numFmtId="0" fontId="9" fillId="17" borderId="7" xfId="0" applyFont="1" applyFill="1" applyBorder="1"/>
    <xf numFmtId="2" fontId="5" fillId="15" borderId="0" xfId="0" applyNumberFormat="1" applyFont="1" applyFill="1"/>
    <xf numFmtId="0" fontId="7" fillId="12" borderId="1" xfId="0" applyFont="1" applyFill="1" applyBorder="1" applyAlignment="1">
      <alignment horizontal="right" vertical="center" wrapText="1"/>
    </xf>
    <xf numFmtId="49" fontId="23" fillId="18" borderId="7" xfId="0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right" vertical="center" wrapText="1"/>
    </xf>
    <xf numFmtId="0" fontId="16" fillId="16" borderId="6" xfId="0" applyFont="1" applyFill="1" applyBorder="1" applyAlignment="1">
      <alignment vertical="center" wrapText="1"/>
    </xf>
    <xf numFmtId="0" fontId="15" fillId="16" borderId="6" xfId="0" applyFont="1" applyFill="1" applyBorder="1" applyAlignment="1">
      <alignment horizontal="right" vertical="center" wrapText="1"/>
    </xf>
    <xf numFmtId="0" fontId="14" fillId="16" borderId="6" xfId="0" applyFont="1" applyFill="1" applyBorder="1" applyAlignment="1">
      <alignment horizontal="right" vertical="center" wrapText="1"/>
    </xf>
    <xf numFmtId="0" fontId="31" fillId="3" borderId="6" xfId="0" applyFont="1" applyFill="1" applyBorder="1" applyAlignment="1">
      <alignment vertical="center" wrapText="1"/>
    </xf>
    <xf numFmtId="0" fontId="31" fillId="6" borderId="6" xfId="0" applyFont="1" applyFill="1" applyBorder="1" applyAlignment="1">
      <alignment vertical="center" wrapText="1"/>
    </xf>
    <xf numFmtId="0" fontId="31" fillId="9" borderId="6" xfId="0" applyFont="1" applyFill="1" applyBorder="1" applyAlignment="1">
      <alignment vertical="center" wrapText="1"/>
    </xf>
    <xf numFmtId="0" fontId="9" fillId="9" borderId="6" xfId="0" applyFont="1" applyFill="1" applyBorder="1" applyAlignment="1">
      <alignment vertical="center" wrapText="1"/>
    </xf>
    <xf numFmtId="49" fontId="21" fillId="5" borderId="1" xfId="0" applyNumberFormat="1" applyFont="1" applyFill="1" applyBorder="1" applyAlignment="1">
      <alignment horizontal="center"/>
    </xf>
    <xf numFmtId="0" fontId="5" fillId="12" borderId="1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left" wrapText="1"/>
    </xf>
    <xf numFmtId="0" fontId="32" fillId="7" borderId="1" xfId="0" applyFont="1" applyFill="1" applyBorder="1" applyAlignment="1">
      <alignment horizontal="center"/>
    </xf>
    <xf numFmtId="0" fontId="32" fillId="7" borderId="1" xfId="0" applyFont="1" applyFill="1" applyBorder="1"/>
    <xf numFmtId="0" fontId="32" fillId="7" borderId="10" xfId="0" applyFont="1" applyFill="1" applyBorder="1" applyAlignment="1">
      <alignment vertical="center" wrapText="1"/>
    </xf>
    <xf numFmtId="0" fontId="32" fillId="7" borderId="5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7" xfId="0" applyFont="1" applyFill="1" applyBorder="1"/>
    <xf numFmtId="49" fontId="32" fillId="7" borderId="7" xfId="0" applyNumberFormat="1" applyFont="1" applyFill="1" applyBorder="1"/>
    <xf numFmtId="0" fontId="32" fillId="7" borderId="8" xfId="0" applyFont="1" applyFill="1" applyBorder="1"/>
    <xf numFmtId="0" fontId="32" fillId="7" borderId="9" xfId="0" applyFont="1" applyFill="1" applyBorder="1"/>
    <xf numFmtId="0" fontId="32" fillId="7" borderId="1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0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/>
    <xf numFmtId="49" fontId="7" fillId="2" borderId="7" xfId="0" applyNumberFormat="1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" xfId="0" applyFont="1" applyFill="1" applyBorder="1" applyAlignment="1">
      <alignment horizontal="right"/>
    </xf>
    <xf numFmtId="49" fontId="9" fillId="18" borderId="7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49" fontId="6" fillId="2" borderId="7" xfId="0" applyNumberFormat="1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49" fontId="7" fillId="3" borderId="7" xfId="0" applyNumberFormat="1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7" fillId="3" borderId="1" xfId="0" applyFont="1" applyFill="1" applyBorder="1" applyAlignment="1">
      <alignment horizontal="right"/>
    </xf>
    <xf numFmtId="0" fontId="6" fillId="9" borderId="4" xfId="0" applyFont="1" applyFill="1" applyBorder="1" applyAlignment="1">
      <alignment horizontal="left" wrapText="1"/>
    </xf>
    <xf numFmtId="0" fontId="6" fillId="9" borderId="7" xfId="0" applyFont="1" applyFill="1" applyBorder="1"/>
    <xf numFmtId="49" fontId="6" fillId="9" borderId="7" xfId="0" applyNumberFormat="1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33" fillId="5" borderId="4" xfId="0" applyFont="1" applyFill="1" applyBorder="1" applyAlignment="1">
      <alignment horizontal="left" wrapText="1"/>
    </xf>
    <xf numFmtId="0" fontId="33" fillId="5" borderId="1" xfId="0" applyFont="1" applyFill="1" applyBorder="1" applyAlignment="1">
      <alignment horizontal="center"/>
    </xf>
    <xf numFmtId="0" fontId="33" fillId="5" borderId="1" xfId="0" applyFont="1" applyFill="1" applyBorder="1"/>
    <xf numFmtId="0" fontId="33" fillId="5" borderId="10" xfId="0" applyFont="1" applyFill="1" applyBorder="1" applyAlignment="1">
      <alignment vertical="center" wrapText="1"/>
    </xf>
    <xf numFmtId="0" fontId="33" fillId="5" borderId="5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/>
    <xf numFmtId="49" fontId="33" fillId="5" borderId="7" xfId="0" applyNumberFormat="1" applyFont="1" applyFill="1" applyBorder="1"/>
    <xf numFmtId="0" fontId="33" fillId="5" borderId="8" xfId="0" applyFont="1" applyFill="1" applyBorder="1"/>
    <xf numFmtId="0" fontId="33" fillId="5" borderId="9" xfId="0" applyFont="1" applyFill="1" applyBorder="1"/>
    <xf numFmtId="0" fontId="33" fillId="5" borderId="1" xfId="0" applyFont="1" applyFill="1" applyBorder="1" applyAlignment="1">
      <alignment horizontal="right"/>
    </xf>
    <xf numFmtId="49" fontId="10" fillId="5" borderId="7" xfId="0" applyNumberFormat="1" applyFont="1" applyFill="1" applyBorder="1" applyAlignment="1">
      <alignment horizontal="center"/>
    </xf>
    <xf numFmtId="0" fontId="34" fillId="17" borderId="1" xfId="0" applyFont="1" applyFill="1" applyBorder="1" applyAlignment="1">
      <alignment horizontal="center" vertical="center" wrapText="1"/>
    </xf>
    <xf numFmtId="0" fontId="34" fillId="0" borderId="0" xfId="0" applyFont="1"/>
    <xf numFmtId="0" fontId="34" fillId="2" borderId="0" xfId="0" applyFont="1" applyFill="1"/>
    <xf numFmtId="0" fontId="34" fillId="17" borderId="1" xfId="0" applyFont="1" applyFill="1" applyBorder="1"/>
    <xf numFmtId="0" fontId="34" fillId="5" borderId="1" xfId="0" applyFont="1" applyFill="1" applyBorder="1" applyAlignment="1">
      <alignment horizontal="center" vertical="center" wrapText="1"/>
    </xf>
    <xf numFmtId="0" fontId="34" fillId="18" borderId="1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left" wrapText="1"/>
    </xf>
    <xf numFmtId="0" fontId="9" fillId="20" borderId="1" xfId="0" applyFont="1" applyFill="1" applyBorder="1" applyAlignment="1">
      <alignment horizontal="center"/>
    </xf>
    <xf numFmtId="0" fontId="9" fillId="20" borderId="1" xfId="0" applyFont="1" applyFill="1" applyBorder="1"/>
    <xf numFmtId="0" fontId="9" fillId="20" borderId="10" xfId="0" applyFont="1" applyFill="1" applyBorder="1" applyAlignment="1">
      <alignment vertical="center" wrapText="1"/>
    </xf>
    <xf numFmtId="0" fontId="9" fillId="20" borderId="5" xfId="0" applyFont="1" applyFill="1" applyBorder="1" applyAlignment="1">
      <alignment vertical="center" wrapText="1"/>
    </xf>
    <xf numFmtId="0" fontId="9" fillId="20" borderId="1" xfId="0" applyFont="1" applyFill="1" applyBorder="1" applyAlignment="1">
      <alignment vertical="center" wrapText="1"/>
    </xf>
    <xf numFmtId="0" fontId="9" fillId="20" borderId="1" xfId="0" applyFont="1" applyFill="1" applyBorder="1" applyAlignment="1">
      <alignment horizontal="center" vertical="center" wrapText="1"/>
    </xf>
    <xf numFmtId="0" fontId="9" fillId="20" borderId="6" xfId="0" applyFont="1" applyFill="1" applyBorder="1" applyAlignment="1">
      <alignment horizontal="center" vertical="center" wrapText="1"/>
    </xf>
    <xf numFmtId="0" fontId="9" fillId="20" borderId="7" xfId="0" applyFont="1" applyFill="1" applyBorder="1"/>
    <xf numFmtId="49" fontId="9" fillId="20" borderId="7" xfId="0" applyNumberFormat="1" applyFont="1" applyFill="1" applyBorder="1"/>
    <xf numFmtId="0" fontId="9" fillId="20" borderId="8" xfId="0" applyFont="1" applyFill="1" applyBorder="1"/>
    <xf numFmtId="0" fontId="9" fillId="20" borderId="9" xfId="0" applyFont="1" applyFill="1" applyBorder="1"/>
    <xf numFmtId="0" fontId="9" fillId="20" borderId="1" xfId="0" applyFont="1" applyFill="1" applyBorder="1" applyAlignment="1">
      <alignment horizontal="right"/>
    </xf>
    <xf numFmtId="49" fontId="23" fillId="17" borderId="7" xfId="0" applyNumberFormat="1" applyFont="1" applyFill="1" applyBorder="1" applyAlignment="1">
      <alignment horizontal="center"/>
    </xf>
    <xf numFmtId="49" fontId="10" fillId="17" borderId="7" xfId="0" applyNumberFormat="1" applyFont="1" applyFill="1" applyBorder="1" applyAlignment="1">
      <alignment horizontal="center"/>
    </xf>
    <xf numFmtId="0" fontId="18" fillId="0" borderId="0" xfId="0" applyFont="1"/>
    <xf numFmtId="49" fontId="9" fillId="5" borderId="7" xfId="0" applyNumberFormat="1" applyFont="1" applyFill="1" applyBorder="1" applyAlignment="1">
      <alignment horizontal="center"/>
    </xf>
    <xf numFmtId="49" fontId="10" fillId="18" borderId="7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16" fontId="9" fillId="5" borderId="10" xfId="0" applyNumberFormat="1" applyFont="1" applyFill="1" applyBorder="1" applyAlignment="1">
      <alignment horizontal="left" vertical="center" wrapText="1"/>
    </xf>
    <xf numFmtId="0" fontId="35" fillId="17" borderId="4" xfId="0" applyFont="1" applyFill="1" applyBorder="1" applyAlignment="1">
      <alignment horizontal="center" vertical="center" wrapText="1"/>
    </xf>
    <xf numFmtId="0" fontId="35" fillId="0" borderId="0" xfId="0" applyFont="1"/>
    <xf numFmtId="0" fontId="35" fillId="2" borderId="0" xfId="0" applyFont="1" applyFill="1"/>
    <xf numFmtId="0" fontId="35" fillId="17" borderId="1" xfId="0" applyFont="1" applyFill="1" applyBorder="1"/>
    <xf numFmtId="0" fontId="35" fillId="5" borderId="4" xfId="0" applyFont="1" applyFill="1" applyBorder="1" applyAlignment="1">
      <alignment horizontal="center" vertical="center" wrapText="1"/>
    </xf>
    <xf numFmtId="0" fontId="35" fillId="18" borderId="4" xfId="0" applyFont="1" applyFill="1" applyBorder="1" applyAlignment="1">
      <alignment horizontal="center" vertical="center" wrapText="1"/>
    </xf>
    <xf numFmtId="49" fontId="22" fillId="18" borderId="1" xfId="0" applyNumberFormat="1" applyFont="1" applyFill="1" applyBorder="1" applyAlignment="1">
      <alignment horizontal="center"/>
    </xf>
    <xf numFmtId="0" fontId="9" fillId="18" borderId="0" xfId="0" applyFont="1" applyFill="1" applyAlignment="1">
      <alignment vertical="center" wrapText="1"/>
    </xf>
    <xf numFmtId="0" fontId="9" fillId="18" borderId="2" xfId="0" applyFont="1" applyFill="1" applyBorder="1" applyAlignment="1">
      <alignment vertical="center" wrapText="1"/>
    </xf>
    <xf numFmtId="16" fontId="9" fillId="18" borderId="2" xfId="0" applyNumberFormat="1" applyFont="1" applyFill="1" applyBorder="1" applyAlignment="1">
      <alignment horizontal="left" vertical="center" wrapText="1"/>
    </xf>
    <xf numFmtId="0" fontId="36" fillId="17" borderId="4" xfId="0" applyFont="1" applyFill="1" applyBorder="1" applyAlignment="1">
      <alignment horizontal="center" vertical="center" wrapText="1"/>
    </xf>
    <xf numFmtId="0" fontId="36" fillId="0" borderId="0" xfId="0" applyFont="1"/>
    <xf numFmtId="0" fontId="36" fillId="2" borderId="0" xfId="0" applyFont="1" applyFill="1"/>
    <xf numFmtId="0" fontId="36" fillId="17" borderId="1" xfId="0" applyFont="1" applyFill="1" applyBorder="1"/>
    <xf numFmtId="0" fontId="36" fillId="5" borderId="4" xfId="0" applyFont="1" applyFill="1" applyBorder="1" applyAlignment="1">
      <alignment horizontal="center" vertical="center" wrapText="1"/>
    </xf>
    <xf numFmtId="0" fontId="36" fillId="18" borderId="4" xfId="0" applyFont="1" applyFill="1" applyBorder="1" applyAlignment="1">
      <alignment horizontal="center" vertical="center" wrapText="1"/>
    </xf>
    <xf numFmtId="49" fontId="23" fillId="18" borderId="1" xfId="0" applyNumberFormat="1" applyFont="1" applyFill="1" applyBorder="1" applyAlignment="1">
      <alignment horizontal="center"/>
    </xf>
    <xf numFmtId="0" fontId="28" fillId="17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5" fillId="11" borderId="0" xfId="0" applyNumberFormat="1" applyFont="1" applyFill="1" applyAlignment="1">
      <alignment horizontal="left"/>
    </xf>
    <xf numFmtId="0" fontId="5" fillId="11" borderId="0" xfId="0" applyFont="1" applyFill="1" applyAlignment="1">
      <alignment horizontal="right"/>
    </xf>
    <xf numFmtId="20" fontId="5" fillId="11" borderId="0" xfId="0" applyNumberFormat="1" applyFont="1" applyFill="1" applyAlignment="1">
      <alignment horizontal="center"/>
    </xf>
    <xf numFmtId="1" fontId="0" fillId="11" borderId="1" xfId="0" applyNumberFormat="1" applyFill="1" applyBorder="1" applyAlignment="1">
      <alignment horizontal="left" vertical="center" wrapText="1"/>
    </xf>
    <xf numFmtId="0" fontId="0" fillId="11" borderId="4" xfId="0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1" fontId="5" fillId="21" borderId="5" xfId="0" applyNumberFormat="1" applyFont="1" applyFill="1" applyBorder="1" applyAlignment="1">
      <alignment horizontal="left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right" vertical="center" wrapText="1"/>
    </xf>
    <xf numFmtId="0" fontId="7" fillId="21" borderId="6" xfId="0" applyFont="1" applyFill="1" applyBorder="1" applyAlignment="1">
      <alignment horizontal="right" vertical="center" wrapText="1"/>
    </xf>
    <xf numFmtId="1" fontId="7" fillId="22" borderId="5" xfId="0" applyNumberFormat="1" applyFont="1" applyFill="1" applyBorder="1" applyAlignment="1">
      <alignment horizontal="left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right" vertical="center" wrapText="1"/>
    </xf>
    <xf numFmtId="0" fontId="7" fillId="22" borderId="6" xfId="0" applyFont="1" applyFill="1" applyBorder="1" applyAlignment="1">
      <alignment horizontal="right" vertical="center" wrapText="1"/>
    </xf>
    <xf numFmtId="1" fontId="7" fillId="11" borderId="5" xfId="0" applyNumberFormat="1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8" fillId="11" borderId="6" xfId="0" applyFont="1" applyFill="1" applyBorder="1" applyAlignment="1">
      <alignment horizontal="right" vertical="center" wrapText="1"/>
    </xf>
    <xf numFmtId="1" fontId="7" fillId="23" borderId="5" xfId="0" applyNumberFormat="1" applyFont="1" applyFill="1" applyBorder="1" applyAlignment="1">
      <alignment horizontal="left" vertical="center" wrapText="1"/>
    </xf>
    <xf numFmtId="0" fontId="8" fillId="23" borderId="6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right" vertical="center" wrapText="1"/>
    </xf>
    <xf numFmtId="0" fontId="7" fillId="23" borderId="6" xfId="0" applyFont="1" applyFill="1" applyBorder="1" applyAlignment="1">
      <alignment horizontal="right" vertical="center" wrapText="1"/>
    </xf>
    <xf numFmtId="0" fontId="5" fillId="24" borderId="0" xfId="0" applyFont="1" applyFill="1" applyAlignment="1">
      <alignment horizontal="left"/>
    </xf>
    <xf numFmtId="20" fontId="5" fillId="24" borderId="0" xfId="0" applyNumberFormat="1" applyFont="1" applyFill="1" applyAlignment="1">
      <alignment horizontal="center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0" fillId="24" borderId="0" xfId="0" applyFill="1"/>
    <xf numFmtId="20" fontId="5" fillId="24" borderId="0" xfId="0" applyNumberFormat="1" applyFont="1" applyFill="1" applyAlignment="1">
      <alignment horizontal="left"/>
    </xf>
    <xf numFmtId="164" fontId="5" fillId="24" borderId="0" xfId="0" applyNumberFormat="1" applyFont="1" applyFill="1" applyAlignment="1">
      <alignment horizontal="left"/>
    </xf>
    <xf numFmtId="0" fontId="0" fillId="2" borderId="0" xfId="0" applyFill="1" applyAlignment="1">
      <alignment horizontal="right"/>
    </xf>
    <xf numFmtId="1" fontId="0" fillId="24" borderId="1" xfId="0" applyNumberFormat="1" applyFill="1" applyBorder="1" applyAlignment="1">
      <alignment horizontal="left" vertical="center" wrapText="1"/>
    </xf>
    <xf numFmtId="0" fontId="0" fillId="24" borderId="4" xfId="0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1" fontId="5" fillId="22" borderId="5" xfId="0" applyNumberFormat="1" applyFont="1" applyFill="1" applyBorder="1" applyAlignment="1">
      <alignment horizontal="left" vertical="center" wrapText="1"/>
    </xf>
    <xf numFmtId="0" fontId="0" fillId="22" borderId="6" xfId="0" applyFill="1" applyBorder="1" applyAlignment="1">
      <alignment horizontal="center" vertical="center" wrapText="1"/>
    </xf>
    <xf numFmtId="0" fontId="0" fillId="22" borderId="6" xfId="0" applyFill="1" applyBorder="1" applyAlignment="1">
      <alignment horizontal="right" vertical="center" wrapText="1"/>
    </xf>
    <xf numFmtId="1" fontId="7" fillId="24" borderId="5" xfId="0" applyNumberFormat="1" applyFont="1" applyFill="1" applyBorder="1" applyAlignment="1">
      <alignment horizontal="left" vertical="center" wrapText="1"/>
    </xf>
    <xf numFmtId="0" fontId="8" fillId="24" borderId="6" xfId="0" applyFont="1" applyFill="1" applyBorder="1" applyAlignment="1">
      <alignment horizontal="center" vertical="center" wrapText="1"/>
    </xf>
    <xf numFmtId="0" fontId="8" fillId="24" borderId="6" xfId="0" applyFont="1" applyFill="1" applyBorder="1" applyAlignment="1">
      <alignment horizontal="right" vertical="center" wrapText="1"/>
    </xf>
    <xf numFmtId="0" fontId="7" fillId="24" borderId="6" xfId="0" applyFont="1" applyFill="1" applyBorder="1" applyAlignment="1">
      <alignment horizontal="right" vertical="center" wrapText="1"/>
    </xf>
    <xf numFmtId="0" fontId="0" fillId="24" borderId="6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20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5" borderId="0" xfId="0" applyFont="1" applyFill="1" applyAlignment="1">
      <alignment horizontal="left"/>
    </xf>
    <xf numFmtId="20" fontId="5" fillId="25" borderId="0" xfId="0" applyNumberFormat="1" applyFont="1" applyFill="1" applyAlignment="1">
      <alignment horizontal="left"/>
    </xf>
    <xf numFmtId="0" fontId="5" fillId="25" borderId="0" xfId="0" applyFont="1" applyFill="1"/>
    <xf numFmtId="0" fontId="0" fillId="25" borderId="0" xfId="0" applyFill="1"/>
    <xf numFmtId="164" fontId="5" fillId="25" borderId="0" xfId="0" applyNumberFormat="1" applyFont="1" applyFill="1" applyAlignment="1">
      <alignment horizontal="left"/>
    </xf>
    <xf numFmtId="0" fontId="5" fillId="25" borderId="0" xfId="0" applyFont="1" applyFill="1" applyAlignment="1">
      <alignment horizontal="right"/>
    </xf>
    <xf numFmtId="20" fontId="5" fillId="25" borderId="0" xfId="0" applyNumberFormat="1" applyFont="1" applyFill="1" applyAlignment="1">
      <alignment horizontal="center"/>
    </xf>
    <xf numFmtId="1" fontId="0" fillId="25" borderId="1" xfId="0" applyNumberFormat="1" applyFill="1" applyBorder="1" applyAlignment="1">
      <alignment horizontal="left" vertical="center" wrapText="1"/>
    </xf>
    <xf numFmtId="0" fontId="0" fillId="25" borderId="4" xfId="0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1" fontId="7" fillId="25" borderId="5" xfId="0" applyNumberFormat="1" applyFont="1" applyFill="1" applyBorder="1" applyAlignment="1">
      <alignment horizontal="left" vertical="center" wrapText="1"/>
    </xf>
    <xf numFmtId="0" fontId="8" fillId="25" borderId="6" xfId="0" applyFont="1" applyFill="1" applyBorder="1" applyAlignment="1">
      <alignment horizontal="center" vertical="center" wrapText="1"/>
    </xf>
    <xf numFmtId="0" fontId="0" fillId="25" borderId="6" xfId="0" applyFill="1" applyBorder="1" applyAlignment="1">
      <alignment horizontal="center" vertical="center" wrapText="1"/>
    </xf>
    <xf numFmtId="0" fontId="0" fillId="25" borderId="6" xfId="0" applyFill="1" applyBorder="1" applyAlignment="1">
      <alignment horizontal="right" vertical="center" wrapText="1"/>
    </xf>
    <xf numFmtId="0" fontId="7" fillId="25" borderId="6" xfId="0" applyFont="1" applyFill="1" applyBorder="1" applyAlignment="1">
      <alignment horizontal="right" vertical="center" wrapText="1"/>
    </xf>
    <xf numFmtId="0" fontId="8" fillId="25" borderId="6" xfId="0" applyFont="1" applyFill="1" applyBorder="1" applyAlignment="1">
      <alignment horizontal="right" vertical="center" wrapText="1"/>
    </xf>
    <xf numFmtId="1" fontId="7" fillId="2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0" fontId="5" fillId="22" borderId="0" xfId="0" applyFont="1" applyFill="1" applyAlignment="1">
      <alignment horizontal="left"/>
    </xf>
    <xf numFmtId="20" fontId="5" fillId="22" borderId="0" xfId="0" applyNumberFormat="1" applyFont="1" applyFill="1" applyAlignment="1">
      <alignment horizontal="left"/>
    </xf>
    <xf numFmtId="0" fontId="5" fillId="22" borderId="0" xfId="0" applyFont="1" applyFill="1"/>
    <xf numFmtId="49" fontId="5" fillId="22" borderId="0" xfId="0" applyNumberFormat="1" applyFont="1" applyFill="1" applyAlignment="1">
      <alignment horizontal="right"/>
    </xf>
    <xf numFmtId="0" fontId="0" fillId="22" borderId="0" xfId="0" applyFill="1"/>
    <xf numFmtId="164" fontId="5" fillId="22" borderId="0" xfId="0" applyNumberFormat="1" applyFont="1" applyFill="1" applyAlignment="1">
      <alignment horizontal="left"/>
    </xf>
    <xf numFmtId="0" fontId="5" fillId="22" borderId="0" xfId="0" applyFont="1" applyFill="1" applyAlignment="1">
      <alignment horizontal="right"/>
    </xf>
    <xf numFmtId="0" fontId="0" fillId="22" borderId="0" xfId="0" applyFill="1" applyAlignment="1">
      <alignment horizontal="left"/>
    </xf>
    <xf numFmtId="9" fontId="0" fillId="0" borderId="0" xfId="0" applyNumberFormat="1"/>
    <xf numFmtId="0" fontId="5" fillId="26" borderId="7" xfId="0" applyFont="1" applyFill="1" applyBorder="1" applyAlignment="1">
      <alignment horizontal="center"/>
    </xf>
    <xf numFmtId="0" fontId="0" fillId="0" borderId="13" xfId="0" applyBorder="1"/>
    <xf numFmtId="0" fontId="13" fillId="12" borderId="3" xfId="0" applyFont="1" applyFill="1" applyBorder="1" applyAlignment="1">
      <alignment horizontal="center" vertical="center" wrapText="1"/>
    </xf>
    <xf numFmtId="0" fontId="5" fillId="26" borderId="5" xfId="0" applyFont="1" applyFill="1" applyBorder="1" applyAlignment="1">
      <alignment horizontal="center"/>
    </xf>
    <xf numFmtId="0" fontId="5" fillId="26" borderId="11" xfId="0" applyFont="1" applyFill="1" applyBorder="1" applyAlignment="1">
      <alignment horizontal="center"/>
    </xf>
    <xf numFmtId="0" fontId="5" fillId="26" borderId="14" xfId="0" applyFont="1" applyFill="1" applyBorder="1" applyAlignment="1">
      <alignment horizontal="center"/>
    </xf>
    <xf numFmtId="0" fontId="5" fillId="26" borderId="15" xfId="0" applyFont="1" applyFill="1" applyBorder="1" applyAlignment="1">
      <alignment horizontal="center"/>
    </xf>
    <xf numFmtId="0" fontId="5" fillId="26" borderId="6" xfId="0" applyFont="1" applyFill="1" applyBorder="1" applyAlignment="1">
      <alignment horizontal="center"/>
    </xf>
    <xf numFmtId="0" fontId="5" fillId="26" borderId="16" xfId="0" applyFont="1" applyFill="1" applyBorder="1" applyAlignment="1">
      <alignment horizontal="center"/>
    </xf>
    <xf numFmtId="0" fontId="5" fillId="27" borderId="1" xfId="0" applyFont="1" applyFill="1" applyBorder="1" applyAlignment="1">
      <alignment vertical="center" wrapText="1"/>
    </xf>
    <xf numFmtId="0" fontId="5" fillId="27" borderId="5" xfId="0" applyFont="1" applyFill="1" applyBorder="1" applyAlignment="1">
      <alignment vertical="center" wrapText="1"/>
    </xf>
    <xf numFmtId="0" fontId="37" fillId="7" borderId="1" xfId="0" applyFont="1" applyFill="1" applyBorder="1"/>
    <xf numFmtId="1" fontId="37" fillId="7" borderId="1" xfId="0" applyNumberFormat="1" applyFont="1" applyFill="1" applyBorder="1"/>
    <xf numFmtId="2" fontId="37" fillId="7" borderId="1" xfId="0" applyNumberFormat="1" applyFont="1" applyFill="1" applyBorder="1"/>
    <xf numFmtId="1" fontId="32" fillId="7" borderId="1" xfId="0" applyNumberFormat="1" applyFont="1" applyFill="1" applyBorder="1"/>
    <xf numFmtId="0" fontId="5" fillId="3" borderId="1" xfId="0" applyFont="1" applyFill="1" applyBorder="1"/>
    <xf numFmtId="0" fontId="0" fillId="3" borderId="1" xfId="0" applyFill="1" applyBorder="1"/>
    <xf numFmtId="1" fontId="0" fillId="3" borderId="1" xfId="0" applyNumberFormat="1" applyFill="1" applyBorder="1"/>
    <xf numFmtId="2" fontId="0" fillId="3" borderId="1" xfId="0" applyNumberFormat="1" applyFill="1" applyBorder="1"/>
    <xf numFmtId="1" fontId="5" fillId="3" borderId="1" xfId="0" applyNumberFormat="1" applyFont="1" applyFill="1" applyBorder="1"/>
    <xf numFmtId="0" fontId="38" fillId="2" borderId="1" xfId="0" applyFont="1" applyFill="1" applyBorder="1"/>
    <xf numFmtId="1" fontId="38" fillId="2" borderId="1" xfId="0" applyNumberFormat="1" applyFont="1" applyFill="1" applyBorder="1"/>
    <xf numFmtId="2" fontId="38" fillId="2" borderId="1" xfId="0" applyNumberFormat="1" applyFont="1" applyFill="1" applyBorder="1"/>
    <xf numFmtId="1" fontId="16" fillId="2" borderId="1" xfId="0" applyNumberFormat="1" applyFont="1" applyFill="1" applyBorder="1"/>
    <xf numFmtId="0" fontId="5" fillId="0" borderId="1" xfId="0" applyFont="1" applyBorder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" fontId="7" fillId="2" borderId="1" xfId="0" applyNumberFormat="1" applyFont="1" applyFill="1" applyBorder="1"/>
    <xf numFmtId="0" fontId="34" fillId="9" borderId="1" xfId="0" applyFont="1" applyFill="1" applyBorder="1"/>
    <xf numFmtId="0" fontId="39" fillId="9" borderId="1" xfId="0" applyFont="1" applyFill="1" applyBorder="1"/>
    <xf numFmtId="1" fontId="39" fillId="9" borderId="1" xfId="0" applyNumberFormat="1" applyFont="1" applyFill="1" applyBorder="1"/>
    <xf numFmtId="2" fontId="39" fillId="9" borderId="1" xfId="0" applyNumberFormat="1" applyFont="1" applyFill="1" applyBorder="1"/>
    <xf numFmtId="1" fontId="34" fillId="9" borderId="1" xfId="0" applyNumberFormat="1" applyFont="1" applyFill="1" applyBorder="1"/>
    <xf numFmtId="0" fontId="5" fillId="28" borderId="1" xfId="0" applyFont="1" applyFill="1" applyBorder="1"/>
    <xf numFmtId="0" fontId="0" fillId="28" borderId="17" xfId="0" applyFill="1" applyBorder="1"/>
    <xf numFmtId="0" fontId="0" fillId="28" borderId="18" xfId="0" applyFill="1" applyBorder="1"/>
    <xf numFmtId="1" fontId="0" fillId="28" borderId="1" xfId="0" applyNumberFormat="1" applyFill="1" applyBorder="1"/>
    <xf numFmtId="2" fontId="0" fillId="28" borderId="1" xfId="0" applyNumberFormat="1" applyFill="1" applyBorder="1"/>
    <xf numFmtId="1" fontId="5" fillId="28" borderId="1" xfId="0" applyNumberFormat="1" applyFont="1" applyFill="1" applyBorder="1"/>
    <xf numFmtId="0" fontId="7" fillId="27" borderId="5" xfId="0" applyFont="1" applyFill="1" applyBorder="1" applyAlignment="1">
      <alignment vertical="center" wrapText="1"/>
    </xf>
    <xf numFmtId="0" fontId="6" fillId="0" borderId="1" xfId="0" applyFont="1" applyBorder="1"/>
    <xf numFmtId="0" fontId="4" fillId="0" borderId="1" xfId="0" applyFont="1" applyBorder="1"/>
    <xf numFmtId="1" fontId="4" fillId="0" borderId="13" xfId="0" applyNumberFormat="1" applyFont="1" applyBorder="1"/>
    <xf numFmtId="2" fontId="4" fillId="0" borderId="1" xfId="0" applyNumberFormat="1" applyFont="1" applyBorder="1"/>
    <xf numFmtId="1" fontId="6" fillId="2" borderId="1" xfId="0" applyNumberFormat="1" applyFont="1" applyFill="1" applyBorder="1"/>
    <xf numFmtId="0" fontId="40" fillId="5" borderId="1" xfId="0" applyFont="1" applyFill="1" applyBorder="1"/>
    <xf numFmtId="1" fontId="40" fillId="5" borderId="1" xfId="0" applyNumberFormat="1" applyFont="1" applyFill="1" applyBorder="1"/>
    <xf numFmtId="2" fontId="40" fillId="5" borderId="1" xfId="0" applyNumberFormat="1" applyFont="1" applyFill="1" applyBorder="1"/>
    <xf numFmtId="1" fontId="33" fillId="5" borderId="1" xfId="0" applyNumberFormat="1" applyFont="1" applyFill="1" applyBorder="1"/>
    <xf numFmtId="0" fontId="9" fillId="9" borderId="5" xfId="0" applyFont="1" applyFill="1" applyBorder="1"/>
    <xf numFmtId="0" fontId="10" fillId="9" borderId="1" xfId="0" applyFont="1" applyFill="1" applyBorder="1"/>
    <xf numFmtId="1" fontId="10" fillId="9" borderId="1" xfId="0" applyNumberFormat="1" applyFont="1" applyFill="1" applyBorder="1"/>
    <xf numFmtId="2" fontId="10" fillId="9" borderId="1" xfId="0" applyNumberFormat="1" applyFont="1" applyFill="1" applyBorder="1"/>
    <xf numFmtId="1" fontId="9" fillId="9" borderId="20" xfId="0" applyNumberFormat="1" applyFont="1" applyFill="1" applyBorder="1"/>
    <xf numFmtId="1" fontId="9" fillId="9" borderId="6" xfId="0" applyNumberFormat="1" applyFont="1" applyFill="1" applyBorder="1"/>
    <xf numFmtId="0" fontId="9" fillId="20" borderId="5" xfId="0" applyFont="1" applyFill="1" applyBorder="1"/>
    <xf numFmtId="0" fontId="10" fillId="20" borderId="1" xfId="0" applyFont="1" applyFill="1" applyBorder="1"/>
    <xf numFmtId="1" fontId="10" fillId="20" borderId="1" xfId="0" applyNumberFormat="1" applyFont="1" applyFill="1" applyBorder="1"/>
    <xf numFmtId="2" fontId="10" fillId="20" borderId="1" xfId="0" applyNumberFormat="1" applyFont="1" applyFill="1" applyBorder="1"/>
    <xf numFmtId="1" fontId="9" fillId="20" borderId="20" xfId="0" applyNumberFormat="1" applyFont="1" applyFill="1" applyBorder="1"/>
    <xf numFmtId="1" fontId="9" fillId="20" borderId="6" xfId="0" applyNumberFormat="1" applyFont="1" applyFill="1" applyBorder="1"/>
    <xf numFmtId="0" fontId="9" fillId="3" borderId="5" xfId="0" applyFont="1" applyFill="1" applyBorder="1"/>
    <xf numFmtId="0" fontId="10" fillId="3" borderId="1" xfId="0" applyFont="1" applyFill="1" applyBorder="1"/>
    <xf numFmtId="1" fontId="10" fillId="3" borderId="1" xfId="0" applyNumberFormat="1" applyFont="1" applyFill="1" applyBorder="1"/>
    <xf numFmtId="2" fontId="10" fillId="3" borderId="20" xfId="0" applyNumberFormat="1" applyFont="1" applyFill="1" applyBorder="1"/>
    <xf numFmtId="2" fontId="10" fillId="3" borderId="13" xfId="0" applyNumberFormat="1" applyFont="1" applyFill="1" applyBorder="1"/>
    <xf numFmtId="1" fontId="9" fillId="3" borderId="20" xfId="0" applyNumberFormat="1" applyFont="1" applyFill="1" applyBorder="1"/>
    <xf numFmtId="1" fontId="9" fillId="3" borderId="6" xfId="0" applyNumberFormat="1" applyFont="1" applyFill="1" applyBorder="1"/>
    <xf numFmtId="0" fontId="5" fillId="26" borderId="1" xfId="0" applyFont="1" applyFill="1" applyBorder="1"/>
    <xf numFmtId="0" fontId="5" fillId="26" borderId="11" xfId="0" applyFont="1" applyFill="1" applyBorder="1"/>
    <xf numFmtId="0" fontId="5" fillId="26" borderId="4" xfId="0" applyFont="1" applyFill="1" applyBorder="1"/>
    <xf numFmtId="0" fontId="5" fillId="26" borderId="14" xfId="0" applyFont="1" applyFill="1" applyBorder="1"/>
    <xf numFmtId="0" fontId="5" fillId="26" borderId="3" xfId="0" applyFont="1" applyFill="1" applyBorder="1"/>
    <xf numFmtId="2" fontId="5" fillId="26" borderId="11" xfId="0" applyNumberFormat="1" applyFont="1" applyFill="1" applyBorder="1"/>
    <xf numFmtId="2" fontId="5" fillId="26" borderId="4" xfId="0" applyNumberFormat="1" applyFont="1" applyFill="1" applyBorder="1"/>
    <xf numFmtId="0" fontId="5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2" fontId="4" fillId="0" borderId="13" xfId="0" applyNumberFormat="1" applyFont="1" applyBorder="1"/>
    <xf numFmtId="2" fontId="10" fillId="3" borderId="1" xfId="0" applyNumberFormat="1" applyFont="1" applyFill="1" applyBorder="1"/>
    <xf numFmtId="0" fontId="6" fillId="0" borderId="9" xfId="0" applyFont="1" applyBorder="1"/>
    <xf numFmtId="0" fontId="6" fillId="0" borderId="13" xfId="0" applyFont="1" applyBorder="1"/>
    <xf numFmtId="0" fontId="6" fillId="22" borderId="1" xfId="0" applyFont="1" applyFill="1" applyBorder="1" applyAlignment="1">
      <alignment vertical="center" wrapText="1"/>
    </xf>
    <xf numFmtId="0" fontId="6" fillId="2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29" borderId="4" xfId="0" applyFont="1" applyFill="1" applyBorder="1" applyAlignment="1">
      <alignment vertical="center" wrapText="1"/>
    </xf>
    <xf numFmtId="0" fontId="6" fillId="30" borderId="4" xfId="0" applyFont="1" applyFill="1" applyBorder="1" applyAlignment="1">
      <alignment vertical="center" wrapText="1"/>
    </xf>
    <xf numFmtId="0" fontId="8" fillId="22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29" borderId="6" xfId="0" applyFont="1" applyFill="1" applyBorder="1" applyAlignment="1">
      <alignment horizontal="left" vertical="center" wrapText="1"/>
    </xf>
    <xf numFmtId="0" fontId="8" fillId="29" borderId="6" xfId="0" applyFont="1" applyFill="1" applyBorder="1" applyAlignment="1">
      <alignment vertical="center" wrapText="1"/>
    </xf>
    <xf numFmtId="0" fontId="8" fillId="30" borderId="6" xfId="0" applyFont="1" applyFill="1" applyBorder="1" applyAlignment="1">
      <alignment vertical="center" wrapText="1"/>
    </xf>
    <xf numFmtId="0" fontId="8" fillId="22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30" borderId="6" xfId="0" applyFont="1" applyFill="1" applyBorder="1" applyAlignment="1">
      <alignment horizontal="left" vertical="center" wrapText="1"/>
    </xf>
    <xf numFmtId="14" fontId="41" fillId="0" borderId="0" xfId="0" applyNumberFormat="1" applyFont="1" applyAlignment="1">
      <alignment horizontal="left"/>
    </xf>
    <xf numFmtId="165" fontId="5" fillId="11" borderId="0" xfId="0" applyNumberFormat="1" applyFont="1" applyFill="1" applyAlignment="1">
      <alignment horizontal="left"/>
    </xf>
    <xf numFmtId="165" fontId="5" fillId="24" borderId="0" xfId="0" applyNumberFormat="1" applyFont="1" applyFill="1" applyAlignment="1">
      <alignment horizontal="left"/>
    </xf>
    <xf numFmtId="165" fontId="5" fillId="25" borderId="0" xfId="0" applyNumberFormat="1" applyFont="1" applyFill="1" applyAlignment="1">
      <alignment horizontal="left"/>
    </xf>
    <xf numFmtId="165" fontId="5" fillId="22" borderId="0" xfId="0" applyNumberFormat="1" applyFont="1" applyFill="1" applyAlignment="1">
      <alignment horizontal="left"/>
    </xf>
    <xf numFmtId="0" fontId="42" fillId="0" borderId="0" xfId="0" applyFont="1"/>
    <xf numFmtId="0" fontId="32" fillId="7" borderId="4" xfId="0" applyFont="1" applyFill="1" applyBorder="1"/>
    <xf numFmtId="0" fontId="5" fillId="3" borderId="4" xfId="0" applyFont="1" applyFill="1" applyBorder="1"/>
    <xf numFmtId="0" fontId="5" fillId="12" borderId="1" xfId="0" applyFont="1" applyFill="1" applyBorder="1" applyAlignment="1">
      <alignment horizontal="right" vertical="center" wrapText="1"/>
    </xf>
    <xf numFmtId="0" fontId="6" fillId="9" borderId="5" xfId="0" applyFont="1" applyFill="1" applyBorder="1"/>
    <xf numFmtId="0" fontId="4" fillId="9" borderId="1" xfId="0" applyFont="1" applyFill="1" applyBorder="1"/>
    <xf numFmtId="1" fontId="4" fillId="9" borderId="1" xfId="0" applyNumberFormat="1" applyFont="1" applyFill="1" applyBorder="1"/>
    <xf numFmtId="2" fontId="4" fillId="9" borderId="1" xfId="0" applyNumberFormat="1" applyFont="1" applyFill="1" applyBorder="1"/>
    <xf numFmtId="1" fontId="6" fillId="9" borderId="20" xfId="0" applyNumberFormat="1" applyFont="1" applyFill="1" applyBorder="1"/>
    <xf numFmtId="1" fontId="6" fillId="9" borderId="6" xfId="0" applyNumberFormat="1" applyFont="1" applyFill="1" applyBorder="1"/>
    <xf numFmtId="0" fontId="21" fillId="18" borderId="8" xfId="0" applyFont="1" applyFill="1" applyBorder="1"/>
    <xf numFmtId="0" fontId="21" fillId="17" borderId="9" xfId="0" applyFont="1" applyFill="1" applyBorder="1"/>
    <xf numFmtId="0" fontId="43" fillId="17" borderId="9" xfId="0" applyFont="1" applyFill="1" applyBorder="1"/>
    <xf numFmtId="0" fontId="21" fillId="5" borderId="8" xfId="0" applyFont="1" applyFill="1" applyBorder="1"/>
    <xf numFmtId="0" fontId="21" fillId="17" borderId="7" xfId="0" applyFont="1" applyFill="1" applyBorder="1"/>
    <xf numFmtId="0" fontId="24" fillId="17" borderId="6" xfId="0" applyFont="1" applyFill="1" applyBorder="1" applyAlignment="1">
      <alignment horizontal="center" vertical="center" wrapText="1"/>
    </xf>
    <xf numFmtId="0" fontId="44" fillId="17" borderId="9" xfId="0" applyFont="1" applyFill="1" applyBorder="1"/>
    <xf numFmtId="0" fontId="21" fillId="17" borderId="3" xfId="0" applyFont="1" applyFill="1" applyBorder="1"/>
    <xf numFmtId="0" fontId="43" fillId="17" borderId="3" xfId="0" applyFont="1" applyFill="1" applyBorder="1"/>
    <xf numFmtId="0" fontId="43" fillId="17" borderId="7" xfId="0" applyFont="1" applyFill="1" applyBorder="1"/>
    <xf numFmtId="0" fontId="21" fillId="17" borderId="8" xfId="0" applyFont="1" applyFill="1" applyBorder="1"/>
    <xf numFmtId="0" fontId="0" fillId="0" borderId="0" xfId="0" applyAlignment="1">
      <alignment horizontal="left"/>
    </xf>
    <xf numFmtId="20" fontId="5" fillId="22" borderId="0" xfId="0" applyNumberFormat="1" applyFont="1" applyFill="1" applyAlignment="1">
      <alignment horizontal="left"/>
    </xf>
    <xf numFmtId="0" fontId="0" fillId="22" borderId="0" xfId="0" applyFill="1"/>
    <xf numFmtId="0" fontId="5" fillId="22" borderId="0" xfId="0" applyFont="1" applyFill="1" applyAlignment="1">
      <alignment horizontal="left"/>
    </xf>
    <xf numFmtId="0" fontId="0" fillId="22" borderId="0" xfId="0" applyFill="1" applyAlignment="1">
      <alignment horizontal="left"/>
    </xf>
    <xf numFmtId="0" fontId="0" fillId="0" borderId="0" xfId="0"/>
    <xf numFmtId="20" fontId="5" fillId="25" borderId="0" xfId="0" applyNumberFormat="1" applyFont="1" applyFill="1" applyAlignment="1">
      <alignment horizontal="left"/>
    </xf>
    <xf numFmtId="0" fontId="0" fillId="25" borderId="0" xfId="0" applyFill="1"/>
    <xf numFmtId="0" fontId="5" fillId="25" borderId="0" xfId="0" applyFont="1" applyFill="1"/>
    <xf numFmtId="20" fontId="5" fillId="24" borderId="0" xfId="0" applyNumberFormat="1" applyFont="1" applyFill="1" applyAlignment="1">
      <alignment horizontal="left"/>
    </xf>
    <xf numFmtId="0" fontId="0" fillId="24" borderId="0" xfId="0" applyFill="1"/>
    <xf numFmtId="0" fontId="5" fillId="24" borderId="0" xfId="0" applyFont="1" applyFill="1"/>
    <xf numFmtId="0" fontId="5" fillId="24" borderId="0" xfId="0" applyFont="1" applyFill="1" applyAlignment="1">
      <alignment horizontal="left"/>
    </xf>
    <xf numFmtId="20" fontId="5" fillId="11" borderId="0" xfId="0" applyNumberFormat="1" applyFont="1" applyFill="1" applyAlignment="1">
      <alignment horizontal="left"/>
    </xf>
    <xf numFmtId="0" fontId="5" fillId="11" borderId="0" xfId="0" applyFont="1" applyFill="1" applyAlignment="1">
      <alignment horizontal="left"/>
    </xf>
    <xf numFmtId="0" fontId="5" fillId="2" borderId="8" xfId="0" applyFont="1" applyFill="1" applyBorder="1" applyAlignment="1">
      <alignment vertical="center" wrapText="1"/>
    </xf>
    <xf numFmtId="0" fontId="0" fillId="2" borderId="9" xfId="0" applyFill="1" applyBorder="1"/>
    <xf numFmtId="0" fontId="5" fillId="2" borderId="0" xfId="0" applyFont="1" applyFill="1" applyAlignment="1">
      <alignment vertical="center" wrapText="1"/>
    </xf>
    <xf numFmtId="0" fontId="0" fillId="2" borderId="0" xfId="0" applyFill="1"/>
    <xf numFmtId="14" fontId="0" fillId="0" borderId="0" xfId="0" applyNumberFormat="1" applyAlignment="1">
      <alignment horizontal="left"/>
    </xf>
    <xf numFmtId="0" fontId="5" fillId="26" borderId="21" xfId="0" applyFont="1" applyFill="1" applyBorder="1" applyAlignment="1">
      <alignment horizontal="center"/>
    </xf>
    <xf numFmtId="0" fontId="5" fillId="26" borderId="6" xfId="0" applyFont="1" applyFill="1" applyBorder="1" applyAlignment="1">
      <alignment horizontal="center"/>
    </xf>
    <xf numFmtId="0" fontId="5" fillId="26" borderId="2" xfId="0" applyFont="1" applyFill="1" applyBorder="1" applyAlignment="1">
      <alignment horizontal="center"/>
    </xf>
    <xf numFmtId="0" fontId="5" fillId="26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5" fillId="26" borderId="3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/>
    </xf>
    <xf numFmtId="0" fontId="5" fillId="26" borderId="5" xfId="0" applyFont="1" applyFill="1" applyBorder="1" applyAlignment="1">
      <alignment horizontal="center"/>
    </xf>
    <xf numFmtId="0" fontId="14" fillId="15" borderId="0" xfId="0" applyFont="1" applyFill="1" applyAlignment="1">
      <alignment horizontal="right" vertical="center"/>
    </xf>
    <xf numFmtId="0" fontId="14" fillId="15" borderId="0" xfId="0" applyFont="1" applyFill="1" applyAlignment="1">
      <alignment vertical="center"/>
    </xf>
    <xf numFmtId="0" fontId="5" fillId="1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15" borderId="0" xfId="0" applyFont="1" applyFill="1"/>
    <xf numFmtId="0" fontId="14" fillId="1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19" borderId="0" xfId="0" applyFont="1" applyFill="1" applyAlignment="1">
      <alignment horizontal="right" vertical="center"/>
    </xf>
    <xf numFmtId="0" fontId="0" fillId="19" borderId="0" xfId="0" applyFill="1"/>
    <xf numFmtId="0" fontId="0" fillId="15" borderId="0" xfId="0" applyFill="1"/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6" fillId="17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17" borderId="2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16" fontId="8" fillId="2" borderId="0" xfId="0" applyNumberFormat="1" applyFont="1" applyFill="1" applyAlignment="1">
      <alignment horizontal="left" vertical="center" wrapText="1"/>
    </xf>
    <xf numFmtId="0" fontId="25" fillId="17" borderId="2" xfId="0" applyFont="1" applyFill="1" applyBorder="1" applyAlignment="1">
      <alignment horizontal="left" vertical="center" wrapText="1"/>
    </xf>
    <xf numFmtId="0" fontId="25" fillId="17" borderId="3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left" vertical="center" wrapText="1"/>
    </xf>
    <xf numFmtId="0" fontId="32" fillId="7" borderId="2" xfId="0" applyFont="1" applyFill="1" applyBorder="1" applyAlignment="1">
      <alignment horizontal="center"/>
    </xf>
    <xf numFmtId="0" fontId="32" fillId="7" borderId="3" xfId="0" applyFont="1" applyFill="1" applyBorder="1" applyAlignment="1">
      <alignment horizontal="center"/>
    </xf>
    <xf numFmtId="0" fontId="32" fillId="7" borderId="4" xfId="0" applyFont="1" applyFill="1" applyBorder="1" applyAlignment="1">
      <alignment horizontal="center"/>
    </xf>
    <xf numFmtId="0" fontId="17" fillId="17" borderId="2" xfId="0" applyFont="1" applyFill="1" applyBorder="1" applyAlignment="1">
      <alignment horizontal="left" vertical="center" wrapText="1"/>
    </xf>
    <xf numFmtId="0" fontId="17" fillId="17" borderId="3" xfId="0" applyFont="1" applyFill="1" applyBorder="1" applyAlignment="1">
      <alignment horizontal="left" vertical="center" wrapText="1"/>
    </xf>
    <xf numFmtId="0" fontId="17" fillId="17" borderId="4" xfId="0" applyFont="1" applyFill="1" applyBorder="1" applyAlignment="1">
      <alignment horizontal="left" vertical="center" wrapText="1"/>
    </xf>
    <xf numFmtId="0" fontId="32" fillId="7" borderId="2" xfId="0" applyFont="1" applyFill="1" applyBorder="1" applyAlignment="1">
      <alignment horizontal="left" wrapText="1"/>
    </xf>
    <xf numFmtId="0" fontId="32" fillId="7" borderId="3" xfId="0" applyFont="1" applyFill="1" applyBorder="1" applyAlignment="1">
      <alignment horizontal="left" wrapText="1"/>
    </xf>
    <xf numFmtId="0" fontId="32" fillId="7" borderId="2" xfId="0" applyFont="1" applyFill="1" applyBorder="1" applyAlignment="1">
      <alignment horizontal="center" wrapText="1"/>
    </xf>
    <xf numFmtId="0" fontId="32" fillId="7" borderId="3" xfId="0" applyFont="1" applyFill="1" applyBorder="1" applyAlignment="1">
      <alignment horizontal="center" wrapText="1"/>
    </xf>
    <xf numFmtId="0" fontId="32" fillId="7" borderId="4" xfId="0" applyFont="1" applyFill="1" applyBorder="1" applyAlignment="1">
      <alignment horizontal="center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8" fillId="17" borderId="2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" fontId="7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wrapText="1"/>
    </xf>
    <xf numFmtId="0" fontId="6" fillId="9" borderId="3" xfId="0" applyFont="1" applyFill="1" applyBorder="1" applyAlignment="1">
      <alignment horizontal="left" wrapText="1"/>
    </xf>
    <xf numFmtId="0" fontId="6" fillId="9" borderId="2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wrapText="1"/>
    </xf>
    <xf numFmtId="0" fontId="9" fillId="6" borderId="3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left" wrapText="1"/>
    </xf>
    <xf numFmtId="0" fontId="33" fillId="5" borderId="3" xfId="0" applyFont="1" applyFill="1" applyBorder="1" applyAlignment="1">
      <alignment horizontal="left" wrapText="1"/>
    </xf>
    <xf numFmtId="0" fontId="33" fillId="5" borderId="2" xfId="0" applyFont="1" applyFill="1" applyBorder="1" applyAlignment="1">
      <alignment horizontal="center" wrapText="1"/>
    </xf>
    <xf numFmtId="0" fontId="33" fillId="5" borderId="3" xfId="0" applyFont="1" applyFill="1" applyBorder="1" applyAlignment="1">
      <alignment horizontal="center" wrapText="1"/>
    </xf>
    <xf numFmtId="0" fontId="33" fillId="5" borderId="4" xfId="0" applyFont="1" applyFill="1" applyBorder="1" applyAlignment="1">
      <alignment horizontal="center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left" wrapText="1"/>
    </xf>
    <xf numFmtId="0" fontId="9" fillId="9" borderId="3" xfId="0" applyFont="1" applyFill="1" applyBorder="1" applyAlignment="1">
      <alignment horizontal="left" wrapText="1"/>
    </xf>
    <xf numFmtId="0" fontId="9" fillId="9" borderId="2" xfId="0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28" fillId="17" borderId="2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/>
    </xf>
    <xf numFmtId="0" fontId="9" fillId="20" borderId="3" xfId="0" applyFont="1" applyFill="1" applyBorder="1" applyAlignment="1">
      <alignment horizontal="center"/>
    </xf>
    <xf numFmtId="0" fontId="9" fillId="20" borderId="4" xfId="0" applyFont="1" applyFill="1" applyBorder="1" applyAlignment="1">
      <alignment horizontal="center"/>
    </xf>
    <xf numFmtId="0" fontId="9" fillId="20" borderId="2" xfId="0" applyFont="1" applyFill="1" applyBorder="1" applyAlignment="1">
      <alignment horizontal="left" wrapText="1"/>
    </xf>
    <xf numFmtId="0" fontId="9" fillId="20" borderId="3" xfId="0" applyFont="1" applyFill="1" applyBorder="1" applyAlignment="1">
      <alignment horizontal="left" wrapText="1"/>
    </xf>
    <xf numFmtId="0" fontId="9" fillId="20" borderId="2" xfId="0" applyFont="1" applyFill="1" applyBorder="1" applyAlignment="1">
      <alignment horizontal="center" wrapText="1"/>
    </xf>
    <xf numFmtId="0" fontId="9" fillId="20" borderId="3" xfId="0" applyFont="1" applyFill="1" applyBorder="1" applyAlignment="1">
      <alignment horizontal="center" wrapText="1"/>
    </xf>
    <xf numFmtId="0" fontId="9" fillId="20" borderId="4" xfId="0" applyFont="1" applyFill="1" applyBorder="1" applyAlignment="1">
      <alignment horizont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3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35" fillId="17" borderId="2" xfId="0" applyFont="1" applyFill="1" applyBorder="1" applyAlignment="1">
      <alignment horizontal="left" vertical="center" wrapText="1"/>
    </xf>
    <xf numFmtId="0" fontId="35" fillId="17" borderId="3" xfId="0" applyFont="1" applyFill="1" applyBorder="1" applyAlignment="1">
      <alignment horizontal="left" vertical="center" wrapText="1"/>
    </xf>
    <xf numFmtId="0" fontId="35" fillId="17" borderId="4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34" fillId="17" borderId="2" xfId="0" applyFont="1" applyFill="1" applyBorder="1" applyAlignment="1">
      <alignment horizontal="left" vertical="center" wrapText="1"/>
    </xf>
    <xf numFmtId="0" fontId="34" fillId="17" borderId="3" xfId="0" applyFont="1" applyFill="1" applyBorder="1" applyAlignment="1">
      <alignment horizontal="left" vertical="center" wrapText="1"/>
    </xf>
    <xf numFmtId="0" fontId="34" fillId="17" borderId="4" xfId="0" applyFont="1" applyFill="1" applyBorder="1" applyAlignment="1">
      <alignment horizontal="left" vertical="center" wrapText="1"/>
    </xf>
    <xf numFmtId="0" fontId="5" fillId="0" borderId="0" xfId="0" applyFont="1"/>
    <xf numFmtId="0" fontId="18" fillId="17" borderId="3" xfId="0" applyFont="1" applyFill="1" applyBorder="1" applyAlignment="1">
      <alignment horizontal="left" vertical="center" wrapText="1"/>
    </xf>
    <xf numFmtId="0" fontId="18" fillId="17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A03A7C"/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"/>
  <sheetViews>
    <sheetView topLeftCell="A56" workbookViewId="0">
      <selection activeCell="I85" sqref="I85"/>
    </sheetView>
  </sheetViews>
  <sheetFormatPr defaultRowHeight="14.3" x14ac:dyDescent="0.25"/>
  <cols>
    <col min="2" max="2" width="20.75" customWidth="1"/>
    <col min="3" max="4" width="4.75" customWidth="1"/>
    <col min="5" max="5" width="20.75" customWidth="1"/>
    <col min="6" max="7" width="3" bestFit="1" customWidth="1"/>
    <col min="8" max="8" width="2" bestFit="1" customWidth="1"/>
    <col min="9" max="9" width="56.25" bestFit="1" customWidth="1"/>
    <col min="10" max="10" width="47.25" bestFit="1" customWidth="1"/>
    <col min="11" max="12" width="10.125" bestFit="1" customWidth="1"/>
  </cols>
  <sheetData>
    <row r="1" spans="1:12" x14ac:dyDescent="0.25">
      <c r="A1" s="266">
        <v>44611</v>
      </c>
      <c r="B1" s="118" t="s">
        <v>104</v>
      </c>
      <c r="C1" s="130">
        <v>10</v>
      </c>
      <c r="D1" s="134">
        <v>18</v>
      </c>
      <c r="E1" s="133" t="s">
        <v>105</v>
      </c>
      <c r="F1" s="267">
        <v>0</v>
      </c>
      <c r="G1" s="267">
        <v>8</v>
      </c>
      <c r="H1" s="134"/>
      <c r="I1" s="133" t="s">
        <v>107</v>
      </c>
      <c r="J1" t="s">
        <v>106</v>
      </c>
      <c r="K1" s="118"/>
      <c r="L1" s="118"/>
    </row>
    <row r="2" spans="1:12" x14ac:dyDescent="0.25">
      <c r="A2" s="266">
        <v>44611</v>
      </c>
      <c r="B2" s="118" t="s">
        <v>90</v>
      </c>
      <c r="C2" s="130">
        <v>0</v>
      </c>
      <c r="D2" s="134">
        <v>69</v>
      </c>
      <c r="E2" s="133" t="s">
        <v>78</v>
      </c>
      <c r="F2" s="267">
        <v>0</v>
      </c>
      <c r="G2" s="267">
        <v>19</v>
      </c>
      <c r="H2" s="134"/>
      <c r="I2" s="133" t="s">
        <v>99</v>
      </c>
      <c r="J2" t="s">
        <v>101</v>
      </c>
      <c r="K2" s="118"/>
      <c r="L2" s="118"/>
    </row>
    <row r="3" spans="1:12" x14ac:dyDescent="0.25">
      <c r="A3" s="266">
        <v>44617</v>
      </c>
      <c r="B3" s="133" t="s">
        <v>35</v>
      </c>
      <c r="C3" s="130">
        <v>59</v>
      </c>
      <c r="D3" s="134">
        <v>3</v>
      </c>
      <c r="E3" s="133" t="s">
        <v>105</v>
      </c>
      <c r="F3" s="267">
        <v>28</v>
      </c>
      <c r="G3" s="267">
        <v>3</v>
      </c>
      <c r="H3" s="134"/>
      <c r="I3" s="133" t="s">
        <v>107</v>
      </c>
      <c r="J3" t="s">
        <v>106</v>
      </c>
      <c r="K3" s="118"/>
      <c r="L3" s="118"/>
    </row>
    <row r="4" spans="1:12" x14ac:dyDescent="0.25">
      <c r="A4" s="266">
        <v>44618</v>
      </c>
      <c r="B4" s="133" t="s">
        <v>78</v>
      </c>
      <c r="C4" s="130">
        <v>27</v>
      </c>
      <c r="D4" s="134">
        <v>0</v>
      </c>
      <c r="E4" s="133" t="s">
        <v>71</v>
      </c>
      <c r="F4" s="267">
        <v>12</v>
      </c>
      <c r="G4" s="267">
        <v>0</v>
      </c>
      <c r="H4" s="134"/>
      <c r="I4" s="133" t="s">
        <v>99</v>
      </c>
      <c r="J4" t="s">
        <v>112</v>
      </c>
      <c r="K4" s="118"/>
      <c r="L4" s="118"/>
    </row>
    <row r="5" spans="1:12" x14ac:dyDescent="0.25">
      <c r="A5" s="266">
        <v>44632</v>
      </c>
      <c r="B5" s="118" t="s">
        <v>71</v>
      </c>
      <c r="C5" s="267" t="s">
        <v>13</v>
      </c>
      <c r="D5" s="268" t="s">
        <v>13</v>
      </c>
      <c r="E5" s="133" t="s">
        <v>90</v>
      </c>
      <c r="F5" s="267" t="s">
        <v>13</v>
      </c>
      <c r="G5" s="267" t="s">
        <v>13</v>
      </c>
      <c r="H5" s="134"/>
      <c r="I5" s="133" t="s">
        <v>113</v>
      </c>
      <c r="J5" t="s">
        <v>250</v>
      </c>
      <c r="K5" s="118"/>
      <c r="L5" s="118"/>
    </row>
    <row r="6" spans="1:12" x14ac:dyDescent="0.25">
      <c r="A6" s="266">
        <v>44646</v>
      </c>
      <c r="B6" s="118" t="s">
        <v>35</v>
      </c>
      <c r="C6" s="130">
        <v>5</v>
      </c>
      <c r="D6" s="134">
        <v>57</v>
      </c>
      <c r="E6" s="133" t="s">
        <v>30</v>
      </c>
      <c r="F6" s="267">
        <v>5</v>
      </c>
      <c r="G6" s="267">
        <v>38</v>
      </c>
      <c r="H6" s="134"/>
      <c r="I6" s="133" t="s">
        <v>154</v>
      </c>
      <c r="J6" t="s">
        <v>153</v>
      </c>
      <c r="K6" s="118"/>
      <c r="L6" s="118"/>
    </row>
    <row r="7" spans="1:12" x14ac:dyDescent="0.25">
      <c r="A7" s="266">
        <v>44646</v>
      </c>
      <c r="B7" s="118" t="s">
        <v>37</v>
      </c>
      <c r="C7" s="267">
        <v>19</v>
      </c>
      <c r="D7" s="268">
        <v>27</v>
      </c>
      <c r="E7" s="133" t="s">
        <v>32</v>
      </c>
      <c r="F7" s="267">
        <v>14</v>
      </c>
      <c r="G7" s="267">
        <v>5</v>
      </c>
      <c r="H7" s="134"/>
      <c r="I7" s="133" t="s">
        <v>154</v>
      </c>
      <c r="J7" t="s">
        <v>155</v>
      </c>
      <c r="K7" s="118"/>
      <c r="L7" s="118"/>
    </row>
    <row r="8" spans="1:12" x14ac:dyDescent="0.25">
      <c r="A8" s="266">
        <v>44647</v>
      </c>
      <c r="B8" s="118" t="s">
        <v>34</v>
      </c>
      <c r="C8" s="130">
        <v>39</v>
      </c>
      <c r="D8" s="134">
        <v>6</v>
      </c>
      <c r="E8" s="133" t="s">
        <v>33</v>
      </c>
      <c r="F8" s="267">
        <v>17</v>
      </c>
      <c r="G8" s="267">
        <v>6</v>
      </c>
      <c r="H8" s="134"/>
      <c r="I8" s="133" t="s">
        <v>154</v>
      </c>
      <c r="J8" t="s">
        <v>162</v>
      </c>
      <c r="K8" s="118"/>
      <c r="L8" s="118"/>
    </row>
    <row r="9" spans="1:12" x14ac:dyDescent="0.25">
      <c r="A9" s="266">
        <v>44653</v>
      </c>
      <c r="B9" s="118" t="s">
        <v>34</v>
      </c>
      <c r="C9" s="130">
        <v>40</v>
      </c>
      <c r="D9" s="134">
        <v>5</v>
      </c>
      <c r="E9" s="133" t="s">
        <v>37</v>
      </c>
      <c r="F9" s="267">
        <v>26</v>
      </c>
      <c r="G9" s="267">
        <v>0</v>
      </c>
      <c r="H9" s="134"/>
      <c r="I9" s="133" t="s">
        <v>154</v>
      </c>
      <c r="J9" t="s">
        <v>170</v>
      </c>
      <c r="K9" s="118"/>
      <c r="L9" s="118"/>
    </row>
    <row r="10" spans="1:12" x14ac:dyDescent="0.25">
      <c r="A10" s="266">
        <v>44653</v>
      </c>
      <c r="B10" s="118" t="s">
        <v>32</v>
      </c>
      <c r="C10" s="130">
        <v>24</v>
      </c>
      <c r="D10" s="134">
        <v>19</v>
      </c>
      <c r="E10" s="133" t="s">
        <v>35</v>
      </c>
      <c r="F10" s="267">
        <v>7</v>
      </c>
      <c r="G10" s="267">
        <v>14</v>
      </c>
      <c r="H10" s="134"/>
      <c r="I10" s="133" t="s">
        <v>154</v>
      </c>
      <c r="J10" t="s">
        <v>178</v>
      </c>
      <c r="K10" s="118"/>
      <c r="L10" s="118"/>
    </row>
    <row r="11" spans="1:12" x14ac:dyDescent="0.25">
      <c r="A11" s="266">
        <v>44654</v>
      </c>
      <c r="B11" s="118" t="s">
        <v>33</v>
      </c>
      <c r="C11" s="267">
        <v>0</v>
      </c>
      <c r="D11" s="268">
        <v>74</v>
      </c>
      <c r="E11" s="133" t="s">
        <v>30</v>
      </c>
      <c r="F11" s="267">
        <v>0</v>
      </c>
      <c r="G11" s="267">
        <v>31</v>
      </c>
      <c r="H11" s="134"/>
      <c r="I11" s="133" t="s">
        <v>154</v>
      </c>
      <c r="J11" t="s">
        <v>179</v>
      </c>
      <c r="K11" s="118"/>
      <c r="L11" s="118"/>
    </row>
    <row r="12" spans="1:12" x14ac:dyDescent="0.25">
      <c r="A12" s="266">
        <v>44660</v>
      </c>
      <c r="B12" s="118" t="s">
        <v>30</v>
      </c>
      <c r="C12" s="130">
        <v>58</v>
      </c>
      <c r="D12" s="134">
        <v>5</v>
      </c>
      <c r="E12" s="133" t="s">
        <v>32</v>
      </c>
      <c r="F12" s="267">
        <v>19</v>
      </c>
      <c r="G12" s="267">
        <v>0</v>
      </c>
      <c r="H12" s="134"/>
      <c r="I12" s="133" t="s">
        <v>154</v>
      </c>
      <c r="J12" t="s">
        <v>190</v>
      </c>
      <c r="K12" s="118"/>
      <c r="L12" s="118"/>
    </row>
    <row r="13" spans="1:12" x14ac:dyDescent="0.25">
      <c r="A13" s="266">
        <v>44661</v>
      </c>
      <c r="B13" s="118" t="s">
        <v>35</v>
      </c>
      <c r="C13" s="130">
        <v>8</v>
      </c>
      <c r="D13" s="134">
        <v>28</v>
      </c>
      <c r="E13" s="133" t="s">
        <v>34</v>
      </c>
      <c r="F13" s="267">
        <v>3</v>
      </c>
      <c r="G13" s="267">
        <v>28</v>
      </c>
      <c r="H13" s="134"/>
      <c r="I13" s="133" t="s">
        <v>154</v>
      </c>
      <c r="J13" t="s">
        <v>191</v>
      </c>
      <c r="K13" s="118"/>
      <c r="L13" s="118"/>
    </row>
    <row r="14" spans="1:12" x14ac:dyDescent="0.25">
      <c r="A14" s="266">
        <v>44661</v>
      </c>
      <c r="B14" s="118" t="s">
        <v>37</v>
      </c>
      <c r="C14" s="130">
        <v>29</v>
      </c>
      <c r="D14" s="134">
        <v>8</v>
      </c>
      <c r="E14" s="133" t="s">
        <v>33</v>
      </c>
      <c r="F14" s="267">
        <v>10</v>
      </c>
      <c r="G14" s="267">
        <v>3</v>
      </c>
      <c r="H14" s="134"/>
      <c r="I14" s="133" t="s">
        <v>154</v>
      </c>
      <c r="J14" t="s">
        <v>192</v>
      </c>
      <c r="K14" s="118"/>
      <c r="L14" s="118"/>
    </row>
    <row r="15" spans="1:12" x14ac:dyDescent="0.25">
      <c r="A15" s="266">
        <v>44673</v>
      </c>
      <c r="B15" s="118" t="s">
        <v>32</v>
      </c>
      <c r="C15" s="130">
        <v>5</v>
      </c>
      <c r="D15" s="134">
        <v>33</v>
      </c>
      <c r="E15" s="133" t="s">
        <v>34</v>
      </c>
      <c r="F15" s="131">
        <v>0</v>
      </c>
      <c r="G15" s="131">
        <v>26</v>
      </c>
      <c r="H15" s="133"/>
      <c r="I15" s="133" t="s">
        <v>154</v>
      </c>
      <c r="J15" t="s">
        <v>178</v>
      </c>
      <c r="K15" s="118"/>
      <c r="L15" s="118"/>
    </row>
    <row r="16" spans="1:12" x14ac:dyDescent="0.25">
      <c r="A16" s="266">
        <v>44674</v>
      </c>
      <c r="B16" s="118" t="s">
        <v>33</v>
      </c>
      <c r="C16" s="130">
        <v>20</v>
      </c>
      <c r="D16" s="134">
        <v>13</v>
      </c>
      <c r="E16" s="133" t="s">
        <v>35</v>
      </c>
      <c r="F16" s="131">
        <v>3</v>
      </c>
      <c r="G16" s="131">
        <v>10</v>
      </c>
      <c r="H16" s="134"/>
      <c r="I16" s="133" t="s">
        <v>154</v>
      </c>
      <c r="J16" t="s">
        <v>179</v>
      </c>
      <c r="K16" s="118"/>
      <c r="L16" s="118"/>
    </row>
    <row r="17" spans="1:12" x14ac:dyDescent="0.25">
      <c r="A17" s="266">
        <v>44675</v>
      </c>
      <c r="B17" s="118" t="s">
        <v>30</v>
      </c>
      <c r="C17" s="130">
        <v>69</v>
      </c>
      <c r="D17" s="134">
        <v>0</v>
      </c>
      <c r="E17" s="133" t="s">
        <v>37</v>
      </c>
      <c r="F17" s="131">
        <v>10</v>
      </c>
      <c r="G17" s="131">
        <v>0</v>
      </c>
      <c r="H17" s="134"/>
      <c r="I17" s="133" t="s">
        <v>154</v>
      </c>
      <c r="J17" t="s">
        <v>205</v>
      </c>
      <c r="K17" s="118"/>
      <c r="L17" s="118"/>
    </row>
    <row r="18" spans="1:12" x14ac:dyDescent="0.25">
      <c r="A18" s="266">
        <v>44681</v>
      </c>
      <c r="B18" s="118" t="s">
        <v>32</v>
      </c>
      <c r="C18" s="130">
        <v>8</v>
      </c>
      <c r="D18" s="134">
        <v>10</v>
      </c>
      <c r="E18" s="133" t="s">
        <v>33</v>
      </c>
      <c r="F18" s="131">
        <v>0</v>
      </c>
      <c r="G18" s="131">
        <v>7</v>
      </c>
      <c r="H18" s="134"/>
      <c r="I18" s="133" t="s">
        <v>154</v>
      </c>
      <c r="J18" t="s">
        <v>178</v>
      </c>
      <c r="K18" s="118"/>
      <c r="L18" s="118"/>
    </row>
    <row r="19" spans="1:12" x14ac:dyDescent="0.25">
      <c r="A19" s="266">
        <v>44681</v>
      </c>
      <c r="B19" s="118" t="s">
        <v>34</v>
      </c>
      <c r="C19" s="130">
        <v>12</v>
      </c>
      <c r="D19" s="134">
        <v>24</v>
      </c>
      <c r="E19" s="133" t="s">
        <v>30</v>
      </c>
      <c r="F19" s="131">
        <v>7</v>
      </c>
      <c r="G19" s="131">
        <v>21</v>
      </c>
      <c r="H19" s="134"/>
      <c r="I19" s="133" t="s">
        <v>154</v>
      </c>
      <c r="J19" t="s">
        <v>227</v>
      </c>
      <c r="K19" s="118"/>
      <c r="L19" s="118"/>
    </row>
    <row r="20" spans="1:12" x14ac:dyDescent="0.25">
      <c r="A20" s="266">
        <v>44681</v>
      </c>
      <c r="B20" s="118" t="s">
        <v>37</v>
      </c>
      <c r="C20" s="130">
        <v>15</v>
      </c>
      <c r="D20" s="134">
        <v>14</v>
      </c>
      <c r="E20" s="133" t="s">
        <v>35</v>
      </c>
      <c r="F20" s="131">
        <v>8</v>
      </c>
      <c r="G20" s="131">
        <v>5</v>
      </c>
      <c r="H20" s="134"/>
      <c r="I20" s="133" t="s">
        <v>154</v>
      </c>
      <c r="J20" t="s">
        <v>233</v>
      </c>
      <c r="K20" s="118"/>
      <c r="L20" s="118"/>
    </row>
    <row r="21" spans="1:12" x14ac:dyDescent="0.25">
      <c r="A21" s="266">
        <v>44682</v>
      </c>
      <c r="B21" s="118" t="s">
        <v>31</v>
      </c>
      <c r="C21" s="130">
        <v>14</v>
      </c>
      <c r="D21" s="134">
        <v>28</v>
      </c>
      <c r="E21" s="133" t="s">
        <v>36</v>
      </c>
      <c r="F21" s="131">
        <v>14</v>
      </c>
      <c r="G21" s="131">
        <v>14</v>
      </c>
      <c r="H21" s="134"/>
      <c r="I21" s="133" t="s">
        <v>239</v>
      </c>
      <c r="J21" t="s">
        <v>271</v>
      </c>
      <c r="K21" s="118"/>
      <c r="L21" s="118"/>
    </row>
    <row r="22" spans="1:12" x14ac:dyDescent="0.25">
      <c r="A22" s="266">
        <v>44687</v>
      </c>
      <c r="B22" s="118" t="s">
        <v>29</v>
      </c>
      <c r="C22" s="130">
        <v>36</v>
      </c>
      <c r="D22" s="134">
        <v>19</v>
      </c>
      <c r="E22" s="133" t="s">
        <v>31</v>
      </c>
      <c r="F22" s="131">
        <v>26</v>
      </c>
      <c r="G22" s="131">
        <v>14</v>
      </c>
      <c r="H22" s="134"/>
      <c r="I22" s="133" t="s">
        <v>239</v>
      </c>
      <c r="J22" t="s">
        <v>255</v>
      </c>
      <c r="K22" s="118"/>
      <c r="L22" s="118"/>
    </row>
    <row r="23" spans="1:12" x14ac:dyDescent="0.25">
      <c r="A23" s="266">
        <v>44691</v>
      </c>
      <c r="B23" s="118" t="s">
        <v>29</v>
      </c>
      <c r="C23" s="130">
        <v>10</v>
      </c>
      <c r="D23" s="134">
        <v>12</v>
      </c>
      <c r="E23" s="133" t="s">
        <v>36</v>
      </c>
      <c r="F23" s="131">
        <v>0</v>
      </c>
      <c r="G23" s="131">
        <v>0</v>
      </c>
      <c r="H23" s="134"/>
      <c r="I23" s="133" t="s">
        <v>239</v>
      </c>
      <c r="J23" t="s">
        <v>271</v>
      </c>
      <c r="K23" s="118"/>
      <c r="L23" s="118"/>
    </row>
    <row r="24" spans="1:12" x14ac:dyDescent="0.25">
      <c r="A24" s="266">
        <v>44709</v>
      </c>
      <c r="B24" s="118" t="s">
        <v>264</v>
      </c>
      <c r="C24" s="130">
        <v>80</v>
      </c>
      <c r="D24" s="134">
        <v>0</v>
      </c>
      <c r="E24" s="133" t="s">
        <v>265</v>
      </c>
      <c r="F24" s="131">
        <v>40</v>
      </c>
      <c r="G24" s="131">
        <v>0</v>
      </c>
      <c r="H24" s="134"/>
      <c r="I24" s="133" t="s">
        <v>266</v>
      </c>
      <c r="J24" t="s">
        <v>267</v>
      </c>
      <c r="K24" s="118"/>
      <c r="L24" s="118"/>
    </row>
    <row r="25" spans="1:12" x14ac:dyDescent="0.25">
      <c r="A25" s="266">
        <v>44718</v>
      </c>
      <c r="B25" s="118" t="s">
        <v>38</v>
      </c>
      <c r="C25" s="130">
        <v>36</v>
      </c>
      <c r="D25" s="134">
        <v>5</v>
      </c>
      <c r="E25" s="133" t="s">
        <v>57</v>
      </c>
      <c r="F25" s="131">
        <v>17</v>
      </c>
      <c r="G25" s="131">
        <v>5</v>
      </c>
      <c r="H25" s="133"/>
      <c r="I25" s="133" t="s">
        <v>270</v>
      </c>
      <c r="J25" t="s">
        <v>273</v>
      </c>
      <c r="K25" s="118"/>
      <c r="L25" s="118"/>
    </row>
    <row r="26" spans="1:12" x14ac:dyDescent="0.25">
      <c r="A26" s="266">
        <v>44718</v>
      </c>
      <c r="B26" s="118" t="s">
        <v>282</v>
      </c>
      <c r="C26" s="130">
        <v>23</v>
      </c>
      <c r="D26" s="134">
        <v>10</v>
      </c>
      <c r="E26" s="133" t="s">
        <v>29</v>
      </c>
      <c r="F26" s="131">
        <v>5</v>
      </c>
      <c r="G26" s="131">
        <v>10</v>
      </c>
      <c r="H26" s="134"/>
      <c r="I26" s="133" t="s">
        <v>270</v>
      </c>
      <c r="J26" t="s">
        <v>273</v>
      </c>
      <c r="K26" s="118"/>
      <c r="L26" s="118"/>
    </row>
    <row r="27" spans="1:12" x14ac:dyDescent="0.25">
      <c r="A27" s="266">
        <v>44724</v>
      </c>
      <c r="B27" s="118" t="s">
        <v>57</v>
      </c>
      <c r="C27" s="130">
        <v>16</v>
      </c>
      <c r="D27" s="134">
        <v>14</v>
      </c>
      <c r="E27" s="133" t="s">
        <v>29</v>
      </c>
      <c r="F27" s="131">
        <v>13</v>
      </c>
      <c r="G27" s="131">
        <v>0</v>
      </c>
      <c r="H27" s="134"/>
      <c r="I27" s="133" t="s">
        <v>270</v>
      </c>
      <c r="J27" t="s">
        <v>287</v>
      </c>
      <c r="K27" s="118"/>
      <c r="L27" s="118"/>
    </row>
    <row r="28" spans="1:12" x14ac:dyDescent="0.25">
      <c r="A28" s="266">
        <v>44724</v>
      </c>
      <c r="B28" s="118" t="s">
        <v>38</v>
      </c>
      <c r="C28" s="130">
        <v>0</v>
      </c>
      <c r="D28" s="134">
        <v>28</v>
      </c>
      <c r="E28" s="133" t="s">
        <v>282</v>
      </c>
      <c r="F28" s="131">
        <v>0</v>
      </c>
      <c r="G28" s="131">
        <v>6</v>
      </c>
      <c r="H28" s="134"/>
      <c r="I28" s="133" t="s">
        <v>270</v>
      </c>
      <c r="J28" t="s">
        <v>287</v>
      </c>
      <c r="K28" s="118"/>
      <c r="L28" s="118"/>
    </row>
    <row r="29" spans="1:12" x14ac:dyDescent="0.25">
      <c r="A29" s="266">
        <v>44727</v>
      </c>
      <c r="B29" s="118" t="s">
        <v>312</v>
      </c>
      <c r="C29" s="130">
        <v>108</v>
      </c>
      <c r="D29" s="134">
        <v>0</v>
      </c>
      <c r="E29" s="133" t="s">
        <v>333</v>
      </c>
      <c r="F29" s="131"/>
      <c r="G29" s="131"/>
      <c r="H29" s="134"/>
      <c r="I29" s="133" t="s">
        <v>334</v>
      </c>
      <c r="J29" t="s">
        <v>335</v>
      </c>
      <c r="K29" s="118"/>
      <c r="L29" s="118"/>
    </row>
    <row r="30" spans="1:12" x14ac:dyDescent="0.25">
      <c r="A30" s="266">
        <v>44730</v>
      </c>
      <c r="B30" s="118" t="s">
        <v>29</v>
      </c>
      <c r="C30" s="130">
        <v>10</v>
      </c>
      <c r="D30" s="134">
        <v>22</v>
      </c>
      <c r="E30" s="133" t="s">
        <v>38</v>
      </c>
      <c r="F30" s="131">
        <v>10</v>
      </c>
      <c r="G30" s="131">
        <v>7</v>
      </c>
      <c r="H30" s="134"/>
      <c r="I30" s="133" t="s">
        <v>270</v>
      </c>
      <c r="J30" t="s">
        <v>288</v>
      </c>
      <c r="K30" s="118"/>
      <c r="L30" s="118"/>
    </row>
    <row r="31" spans="1:12" x14ac:dyDescent="0.25">
      <c r="A31" s="266">
        <v>44730</v>
      </c>
      <c r="B31" s="118" t="s">
        <v>282</v>
      </c>
      <c r="C31" s="130">
        <v>50</v>
      </c>
      <c r="D31" s="134">
        <v>6</v>
      </c>
      <c r="E31" s="133" t="s">
        <v>57</v>
      </c>
      <c r="F31" s="131">
        <v>29</v>
      </c>
      <c r="G31" s="131">
        <v>6</v>
      </c>
      <c r="H31" s="134"/>
      <c r="I31" s="133" t="s">
        <v>270</v>
      </c>
      <c r="J31" t="s">
        <v>288</v>
      </c>
      <c r="K31" s="118"/>
      <c r="L31" s="118"/>
    </row>
    <row r="32" spans="1:12" x14ac:dyDescent="0.25">
      <c r="A32" s="266">
        <v>44735</v>
      </c>
      <c r="B32" s="118" t="s">
        <v>312</v>
      </c>
      <c r="C32" s="130">
        <v>128</v>
      </c>
      <c r="D32" s="134">
        <v>3</v>
      </c>
      <c r="E32" s="133" t="s">
        <v>342</v>
      </c>
      <c r="F32" s="131">
        <v>54</v>
      </c>
      <c r="G32" s="131">
        <v>3</v>
      </c>
      <c r="H32" s="134"/>
      <c r="I32" s="133" t="s">
        <v>334</v>
      </c>
      <c r="J32" t="s">
        <v>335</v>
      </c>
      <c r="K32" s="118"/>
      <c r="L32" s="118"/>
    </row>
    <row r="33" spans="1:12" x14ac:dyDescent="0.25">
      <c r="A33" s="266">
        <v>44751</v>
      </c>
      <c r="B33" s="118" t="s">
        <v>296</v>
      </c>
      <c r="C33" s="130">
        <v>25</v>
      </c>
      <c r="D33" s="134">
        <v>17</v>
      </c>
      <c r="E33" s="133" t="s">
        <v>297</v>
      </c>
      <c r="F33" s="131">
        <v>0</v>
      </c>
      <c r="G33" s="131">
        <v>0</v>
      </c>
      <c r="H33" s="134"/>
      <c r="I33" s="133" t="s">
        <v>300</v>
      </c>
      <c r="J33" t="s">
        <v>298</v>
      </c>
      <c r="K33" s="118"/>
      <c r="L33" s="118"/>
    </row>
    <row r="34" spans="1:12" x14ac:dyDescent="0.25">
      <c r="A34" s="266">
        <v>44751</v>
      </c>
      <c r="B34" s="118" t="s">
        <v>31</v>
      </c>
      <c r="C34" s="130">
        <v>152</v>
      </c>
      <c r="D34" s="134">
        <v>0</v>
      </c>
      <c r="E34" s="133" t="s">
        <v>299</v>
      </c>
      <c r="F34" s="131">
        <v>76</v>
      </c>
      <c r="G34" s="131">
        <v>0</v>
      </c>
      <c r="H34" s="134"/>
      <c r="I34" s="133" t="s">
        <v>300</v>
      </c>
      <c r="J34" t="s">
        <v>298</v>
      </c>
      <c r="K34" s="118"/>
      <c r="L34" s="118"/>
    </row>
    <row r="35" spans="1:12" x14ac:dyDescent="0.25">
      <c r="A35" s="266">
        <v>44755</v>
      </c>
      <c r="B35" s="118" t="s">
        <v>296</v>
      </c>
      <c r="C35" s="130">
        <v>91</v>
      </c>
      <c r="D35" s="134">
        <v>0</v>
      </c>
      <c r="E35" s="133" t="s">
        <v>299</v>
      </c>
      <c r="F35" s="131">
        <v>48</v>
      </c>
      <c r="G35" s="131">
        <v>0</v>
      </c>
      <c r="H35" s="134"/>
      <c r="I35" s="133" t="s">
        <v>300</v>
      </c>
      <c r="J35" t="s">
        <v>305</v>
      </c>
      <c r="K35" s="118"/>
      <c r="L35" s="118"/>
    </row>
    <row r="36" spans="1:12" x14ac:dyDescent="0.25">
      <c r="A36" s="266">
        <v>44755</v>
      </c>
      <c r="B36" s="118" t="s">
        <v>31</v>
      </c>
      <c r="C36" s="130">
        <v>34</v>
      </c>
      <c r="D36" s="134">
        <v>0</v>
      </c>
      <c r="E36" s="133" t="s">
        <v>297</v>
      </c>
      <c r="F36" s="131">
        <v>10</v>
      </c>
      <c r="G36" s="131">
        <v>0</v>
      </c>
      <c r="H36" s="134"/>
      <c r="I36" s="133" t="s">
        <v>300</v>
      </c>
      <c r="J36" t="s">
        <v>305</v>
      </c>
      <c r="K36" s="118"/>
      <c r="L36" s="118"/>
    </row>
    <row r="37" spans="1:12" x14ac:dyDescent="0.25">
      <c r="A37" s="266">
        <v>44759</v>
      </c>
      <c r="B37" s="118" t="s">
        <v>297</v>
      </c>
      <c r="C37" s="130">
        <v>108</v>
      </c>
      <c r="D37" s="134">
        <v>7</v>
      </c>
      <c r="E37" s="133" t="s">
        <v>299</v>
      </c>
      <c r="F37" s="131">
        <v>48</v>
      </c>
      <c r="G37" s="131">
        <v>7</v>
      </c>
      <c r="H37" s="133"/>
      <c r="I37" s="133" t="s">
        <v>300</v>
      </c>
      <c r="J37" t="s">
        <v>298</v>
      </c>
      <c r="K37" s="118"/>
      <c r="L37" s="118"/>
    </row>
    <row r="38" spans="1:12" x14ac:dyDescent="0.25">
      <c r="A38" s="266">
        <v>44759</v>
      </c>
      <c r="B38" s="118" t="s">
        <v>31</v>
      </c>
      <c r="C38" s="130">
        <v>31</v>
      </c>
      <c r="D38" s="134">
        <v>24</v>
      </c>
      <c r="E38" s="133" t="s">
        <v>296</v>
      </c>
      <c r="F38" s="131">
        <v>10</v>
      </c>
      <c r="G38" s="131">
        <v>16</v>
      </c>
      <c r="H38" s="134"/>
      <c r="I38" s="133" t="s">
        <v>300</v>
      </c>
      <c r="J38" t="s">
        <v>298</v>
      </c>
      <c r="K38" s="118"/>
      <c r="L38" s="118"/>
    </row>
    <row r="39" spans="1:12" x14ac:dyDescent="0.25">
      <c r="A39" s="266">
        <v>44766</v>
      </c>
      <c r="B39" s="118" t="s">
        <v>36</v>
      </c>
      <c r="C39" s="130">
        <v>15</v>
      </c>
      <c r="D39" s="134">
        <v>6</v>
      </c>
      <c r="E39" s="133" t="s">
        <v>312</v>
      </c>
      <c r="F39" s="131">
        <v>5</v>
      </c>
      <c r="G39" s="131">
        <v>6</v>
      </c>
      <c r="H39" s="134"/>
      <c r="I39" s="133" t="s">
        <v>331</v>
      </c>
      <c r="J39" t="s">
        <v>313</v>
      </c>
      <c r="K39" s="118"/>
      <c r="L39" s="118"/>
    </row>
    <row r="40" spans="1:12" x14ac:dyDescent="0.25">
      <c r="A40" s="266">
        <v>44766</v>
      </c>
      <c r="B40" s="118" t="s">
        <v>38</v>
      </c>
      <c r="C40" s="130">
        <v>34</v>
      </c>
      <c r="D40" s="134">
        <v>24</v>
      </c>
      <c r="E40" s="133" t="s">
        <v>33</v>
      </c>
      <c r="F40" s="131">
        <v>12</v>
      </c>
      <c r="G40" s="131">
        <v>12</v>
      </c>
      <c r="H40" s="134"/>
      <c r="I40" s="133" t="s">
        <v>239</v>
      </c>
      <c r="J40" t="s">
        <v>319</v>
      </c>
      <c r="K40" s="118"/>
      <c r="L40" s="118"/>
    </row>
    <row r="41" spans="1:12" x14ac:dyDescent="0.25">
      <c r="A41" s="266">
        <v>44772</v>
      </c>
      <c r="B41" s="118" t="s">
        <v>36</v>
      </c>
      <c r="C41" s="130">
        <v>10</v>
      </c>
      <c r="D41" s="134">
        <v>20</v>
      </c>
      <c r="E41" s="133" t="s">
        <v>312</v>
      </c>
      <c r="F41" s="131">
        <v>5</v>
      </c>
      <c r="G41" s="131">
        <v>12</v>
      </c>
      <c r="H41" s="134"/>
      <c r="I41" s="133" t="s">
        <v>330</v>
      </c>
      <c r="J41" t="s">
        <v>332</v>
      </c>
      <c r="K41" s="118"/>
      <c r="L41" s="118"/>
    </row>
    <row r="42" spans="1:12" x14ac:dyDescent="0.25">
      <c r="A42" s="266">
        <v>44786</v>
      </c>
      <c r="B42" s="118" t="s">
        <v>312</v>
      </c>
      <c r="C42" s="130">
        <v>44</v>
      </c>
      <c r="D42" s="134">
        <v>5</v>
      </c>
      <c r="E42" s="133" t="s">
        <v>78</v>
      </c>
      <c r="F42" s="131">
        <v>20</v>
      </c>
      <c r="G42" s="131">
        <v>0</v>
      </c>
      <c r="H42" s="134"/>
      <c r="I42" s="133" t="s">
        <v>331</v>
      </c>
      <c r="J42" t="s">
        <v>323</v>
      </c>
      <c r="K42" s="118"/>
      <c r="L42" s="118"/>
    </row>
    <row r="43" spans="1:12" x14ac:dyDescent="0.25">
      <c r="A43" s="266">
        <v>44792</v>
      </c>
      <c r="B43" s="118" t="s">
        <v>312</v>
      </c>
      <c r="C43" s="130">
        <v>37</v>
      </c>
      <c r="D43" s="134">
        <v>14</v>
      </c>
      <c r="E43" s="133" t="s">
        <v>78</v>
      </c>
      <c r="F43" s="131">
        <v>10</v>
      </c>
      <c r="G43" s="131">
        <v>14</v>
      </c>
      <c r="H43" s="134"/>
      <c r="I43" s="133" t="s">
        <v>330</v>
      </c>
      <c r="J43" t="s">
        <v>349</v>
      </c>
      <c r="K43" s="118"/>
      <c r="L43" s="118"/>
    </row>
    <row r="44" spans="1:12" x14ac:dyDescent="0.25">
      <c r="A44" s="266">
        <v>44793</v>
      </c>
      <c r="B44" s="118" t="s">
        <v>36</v>
      </c>
      <c r="C44" s="130">
        <v>22</v>
      </c>
      <c r="D44" s="134">
        <v>57</v>
      </c>
      <c r="E44" s="133" t="s">
        <v>37</v>
      </c>
      <c r="F44" s="131">
        <v>15</v>
      </c>
      <c r="G44" s="131">
        <v>19</v>
      </c>
      <c r="H44" s="134"/>
      <c r="I44" s="133" t="s">
        <v>331</v>
      </c>
      <c r="J44" t="s">
        <v>350</v>
      </c>
      <c r="K44" s="118"/>
      <c r="L44" s="118"/>
    </row>
    <row r="45" spans="1:12" x14ac:dyDescent="0.25">
      <c r="A45" s="266">
        <v>44793</v>
      </c>
      <c r="B45" s="118" t="s">
        <v>282</v>
      </c>
      <c r="C45" s="130">
        <v>52</v>
      </c>
      <c r="D45" s="134">
        <v>5</v>
      </c>
      <c r="E45" s="133" t="s">
        <v>29</v>
      </c>
      <c r="F45" s="131">
        <v>26</v>
      </c>
      <c r="G45" s="131">
        <v>0</v>
      </c>
      <c r="H45" s="134"/>
      <c r="I45" s="133" t="s">
        <v>360</v>
      </c>
      <c r="J45" t="s">
        <v>361</v>
      </c>
      <c r="K45" s="118"/>
      <c r="L45" s="118"/>
    </row>
    <row r="46" spans="1:12" x14ac:dyDescent="0.25">
      <c r="A46" s="266">
        <v>44800</v>
      </c>
      <c r="B46" s="118" t="s">
        <v>29</v>
      </c>
      <c r="C46" s="130">
        <v>14</v>
      </c>
      <c r="D46" s="134">
        <v>22</v>
      </c>
      <c r="E46" s="133" t="s">
        <v>282</v>
      </c>
      <c r="F46" s="131">
        <v>7</v>
      </c>
      <c r="G46" s="131">
        <v>10</v>
      </c>
      <c r="H46" s="134"/>
      <c r="I46" s="133" t="s">
        <v>377</v>
      </c>
      <c r="J46" t="s">
        <v>378</v>
      </c>
      <c r="K46" s="118"/>
      <c r="L46" s="118"/>
    </row>
    <row r="47" spans="1:12" x14ac:dyDescent="0.25">
      <c r="A47" s="266">
        <v>44800</v>
      </c>
      <c r="B47" s="118" t="s">
        <v>36</v>
      </c>
      <c r="C47" s="130">
        <v>29</v>
      </c>
      <c r="D47" s="134">
        <v>10</v>
      </c>
      <c r="E47" s="133" t="s">
        <v>37</v>
      </c>
      <c r="F47" s="131">
        <v>12</v>
      </c>
      <c r="G47" s="131">
        <v>5</v>
      </c>
      <c r="H47" s="134"/>
      <c r="I47" s="133" t="s">
        <v>330</v>
      </c>
      <c r="J47" t="s">
        <v>379</v>
      </c>
      <c r="K47" s="118"/>
      <c r="L47" s="118"/>
    </row>
    <row r="48" spans="1:12" x14ac:dyDescent="0.25">
      <c r="A48" s="266">
        <v>44800</v>
      </c>
      <c r="B48" s="118" t="s">
        <v>35</v>
      </c>
      <c r="C48" s="130">
        <v>17</v>
      </c>
      <c r="D48" s="134">
        <v>21</v>
      </c>
      <c r="E48" s="133" t="s">
        <v>57</v>
      </c>
      <c r="F48" s="131">
        <v>17</v>
      </c>
      <c r="G48" s="131">
        <v>16</v>
      </c>
      <c r="H48" s="134"/>
      <c r="I48" s="133" t="s">
        <v>239</v>
      </c>
      <c r="J48" t="s">
        <v>153</v>
      </c>
      <c r="K48" s="118"/>
      <c r="L48" s="118"/>
    </row>
    <row r="49" spans="1:12" x14ac:dyDescent="0.25">
      <c r="A49" s="266">
        <v>44800</v>
      </c>
      <c r="B49" s="118" t="s">
        <v>38</v>
      </c>
      <c r="C49" s="130">
        <v>31</v>
      </c>
      <c r="D49" s="134">
        <v>3</v>
      </c>
      <c r="E49" s="133" t="s">
        <v>32</v>
      </c>
      <c r="F49" s="131">
        <v>17</v>
      </c>
      <c r="G49" s="131">
        <v>3</v>
      </c>
      <c r="H49" s="134"/>
      <c r="I49" s="133" t="s">
        <v>239</v>
      </c>
      <c r="J49" t="s">
        <v>382</v>
      </c>
      <c r="K49" s="118"/>
      <c r="L49" s="118"/>
    </row>
    <row r="50" spans="1:12" x14ac:dyDescent="0.25">
      <c r="A50" s="266">
        <v>44807</v>
      </c>
      <c r="B50" s="118" t="s">
        <v>30</v>
      </c>
      <c r="C50" s="130">
        <v>52</v>
      </c>
      <c r="D50" s="134">
        <v>14</v>
      </c>
      <c r="E50" s="133" t="s">
        <v>57</v>
      </c>
      <c r="F50" s="131">
        <v>33</v>
      </c>
      <c r="G50" s="131">
        <v>0</v>
      </c>
      <c r="H50" s="134"/>
      <c r="I50" s="133" t="s">
        <v>239</v>
      </c>
      <c r="J50" t="s">
        <v>385</v>
      </c>
      <c r="K50" s="118"/>
      <c r="L50" s="118"/>
    </row>
    <row r="51" spans="1:12" x14ac:dyDescent="0.25">
      <c r="A51" s="266">
        <v>44807</v>
      </c>
      <c r="B51" s="118" t="s">
        <v>34</v>
      </c>
      <c r="C51" s="130">
        <v>21</v>
      </c>
      <c r="D51" s="134">
        <v>0</v>
      </c>
      <c r="E51" s="133" t="s">
        <v>33</v>
      </c>
      <c r="F51" s="131">
        <v>21</v>
      </c>
      <c r="G51" s="131">
        <v>0</v>
      </c>
      <c r="H51" s="134"/>
      <c r="I51" s="133" t="s">
        <v>239</v>
      </c>
      <c r="J51" t="s">
        <v>391</v>
      </c>
      <c r="K51" s="118"/>
      <c r="L51" s="118"/>
    </row>
    <row r="52" spans="1:12" x14ac:dyDescent="0.25">
      <c r="A52" s="266">
        <v>44813</v>
      </c>
      <c r="B52" s="118" t="s">
        <v>33</v>
      </c>
      <c r="C52" s="130">
        <v>26</v>
      </c>
      <c r="D52" s="134">
        <v>19</v>
      </c>
      <c r="E52" s="133" t="s">
        <v>34</v>
      </c>
      <c r="F52" s="131">
        <v>12</v>
      </c>
      <c r="G52" s="131">
        <v>14</v>
      </c>
      <c r="H52" s="134"/>
      <c r="I52" s="133" t="s">
        <v>239</v>
      </c>
      <c r="J52" t="s">
        <v>395</v>
      </c>
      <c r="K52" s="118"/>
      <c r="L52" s="118"/>
    </row>
    <row r="53" spans="1:12" x14ac:dyDescent="0.25">
      <c r="A53" s="266">
        <v>44818</v>
      </c>
      <c r="B53" s="118" t="s">
        <v>30</v>
      </c>
      <c r="C53" s="130">
        <v>73</v>
      </c>
      <c r="D53" s="134">
        <v>7</v>
      </c>
      <c r="E53" s="133" t="s">
        <v>32</v>
      </c>
      <c r="F53" s="131">
        <v>33</v>
      </c>
      <c r="G53" s="131">
        <v>7</v>
      </c>
      <c r="H53" s="134"/>
      <c r="I53" s="133" t="s">
        <v>239</v>
      </c>
      <c r="J53" t="s">
        <v>399</v>
      </c>
      <c r="K53" s="118"/>
      <c r="L53" s="118"/>
    </row>
    <row r="54" spans="1:12" x14ac:dyDescent="0.25">
      <c r="A54" s="266">
        <v>44820</v>
      </c>
      <c r="B54" s="118" t="s">
        <v>31</v>
      </c>
      <c r="C54" s="130">
        <v>32</v>
      </c>
      <c r="D54" s="134">
        <v>10</v>
      </c>
      <c r="E54" s="133" t="s">
        <v>403</v>
      </c>
      <c r="F54" s="131">
        <v>20</v>
      </c>
      <c r="G54" s="131">
        <v>7</v>
      </c>
      <c r="H54" s="134"/>
      <c r="I54" s="133" t="s">
        <v>239</v>
      </c>
      <c r="J54" t="s">
        <v>404</v>
      </c>
      <c r="K54" s="118"/>
      <c r="L54" s="118"/>
    </row>
    <row r="55" spans="1:12" x14ac:dyDescent="0.25">
      <c r="A55" s="266">
        <v>44827</v>
      </c>
      <c r="B55" s="118" t="s">
        <v>31</v>
      </c>
      <c r="C55" s="130">
        <v>7</v>
      </c>
      <c r="D55" s="134">
        <v>24</v>
      </c>
      <c r="E55" s="133" t="s">
        <v>38</v>
      </c>
      <c r="F55" s="131">
        <v>0</v>
      </c>
      <c r="G55" s="131">
        <v>0</v>
      </c>
      <c r="H55" s="134"/>
      <c r="I55" s="133" t="s">
        <v>239</v>
      </c>
      <c r="J55" t="s">
        <v>404</v>
      </c>
      <c r="K55" s="118"/>
      <c r="L55" s="118"/>
    </row>
    <row r="56" spans="1:12" x14ac:dyDescent="0.25">
      <c r="A56" s="266">
        <v>45207</v>
      </c>
      <c r="B56" s="118" t="s">
        <v>312</v>
      </c>
      <c r="C56" s="130">
        <v>5</v>
      </c>
      <c r="D56" s="134">
        <v>40</v>
      </c>
      <c r="E56" s="133" t="s">
        <v>34</v>
      </c>
      <c r="F56" s="131">
        <v>0</v>
      </c>
      <c r="G56" s="131">
        <v>19</v>
      </c>
      <c r="H56" s="134"/>
      <c r="I56" s="133" t="s">
        <v>551</v>
      </c>
      <c r="J56" t="s">
        <v>457</v>
      </c>
      <c r="K56" s="118"/>
      <c r="L56" s="118"/>
    </row>
    <row r="57" spans="1:12" x14ac:dyDescent="0.25">
      <c r="A57" s="266">
        <v>45207</v>
      </c>
      <c r="B57" s="118" t="s">
        <v>31</v>
      </c>
      <c r="C57" s="130">
        <v>19</v>
      </c>
      <c r="D57" s="134">
        <v>84</v>
      </c>
      <c r="E57" s="133" t="s">
        <v>30</v>
      </c>
      <c r="F57" s="131">
        <v>14</v>
      </c>
      <c r="G57" s="131">
        <v>24</v>
      </c>
      <c r="H57" s="134"/>
      <c r="I57" s="133" t="s">
        <v>551</v>
      </c>
      <c r="J57" t="s">
        <v>457</v>
      </c>
      <c r="K57" s="118"/>
      <c r="L57" s="118"/>
    </row>
    <row r="58" spans="1:12" x14ac:dyDescent="0.25">
      <c r="A58" s="266">
        <v>45207</v>
      </c>
      <c r="B58" s="118" t="s">
        <v>29</v>
      </c>
      <c r="C58" s="130">
        <v>17</v>
      </c>
      <c r="D58" s="134">
        <v>41</v>
      </c>
      <c r="E58" s="133" t="s">
        <v>282</v>
      </c>
      <c r="F58" s="131">
        <v>17</v>
      </c>
      <c r="G58" s="131">
        <v>12</v>
      </c>
      <c r="H58" s="134"/>
      <c r="I58" s="133" t="s">
        <v>552</v>
      </c>
      <c r="J58" t="s">
        <v>457</v>
      </c>
      <c r="K58" s="118"/>
      <c r="L58" s="118"/>
    </row>
    <row r="59" spans="1:12" x14ac:dyDescent="0.25">
      <c r="A59" s="266">
        <v>45208</v>
      </c>
      <c r="B59" s="118" t="s">
        <v>57</v>
      </c>
      <c r="C59" s="130">
        <v>10</v>
      </c>
      <c r="D59" s="134">
        <v>22</v>
      </c>
      <c r="E59" s="133" t="s">
        <v>33</v>
      </c>
      <c r="F59" s="131">
        <v>5</v>
      </c>
      <c r="G59" s="131">
        <v>7</v>
      </c>
      <c r="H59" s="134"/>
      <c r="I59" s="133" t="s">
        <v>553</v>
      </c>
      <c r="J59" t="s">
        <v>288</v>
      </c>
      <c r="K59" s="118"/>
      <c r="L59" s="118"/>
    </row>
    <row r="60" spans="1:12" x14ac:dyDescent="0.25">
      <c r="A60" s="266">
        <v>45208</v>
      </c>
      <c r="B60" s="118" t="s">
        <v>36</v>
      </c>
      <c r="C60" s="130">
        <v>5</v>
      </c>
      <c r="D60" s="134">
        <v>41</v>
      </c>
      <c r="E60" s="133" t="s">
        <v>38</v>
      </c>
      <c r="F60" s="131">
        <v>5</v>
      </c>
      <c r="G60" s="131">
        <v>27</v>
      </c>
      <c r="H60" s="134"/>
      <c r="I60" s="133" t="s">
        <v>553</v>
      </c>
      <c r="J60" t="s">
        <v>288</v>
      </c>
      <c r="K60" s="118"/>
      <c r="L60" s="118"/>
    </row>
    <row r="61" spans="1:12" x14ac:dyDescent="0.25">
      <c r="A61" s="266">
        <v>45208</v>
      </c>
      <c r="B61" s="118" t="s">
        <v>32</v>
      </c>
      <c r="C61" s="130">
        <v>18</v>
      </c>
      <c r="D61" s="134">
        <v>15</v>
      </c>
      <c r="E61" s="133" t="s">
        <v>35</v>
      </c>
      <c r="F61" s="131">
        <v>15</v>
      </c>
      <c r="G61" s="131">
        <v>5</v>
      </c>
      <c r="H61" s="134"/>
      <c r="I61" s="133" t="s">
        <v>552</v>
      </c>
      <c r="J61" t="s">
        <v>288</v>
      </c>
      <c r="K61" s="118"/>
      <c r="L61" s="118"/>
    </row>
    <row r="62" spans="1:12" x14ac:dyDescent="0.25">
      <c r="A62" s="266">
        <v>45214</v>
      </c>
      <c r="B62" s="118" t="s">
        <v>35</v>
      </c>
      <c r="C62" s="130">
        <v>12</v>
      </c>
      <c r="D62" s="134">
        <v>14</v>
      </c>
      <c r="E62" s="133" t="s">
        <v>29</v>
      </c>
      <c r="F62" s="131">
        <v>12</v>
      </c>
      <c r="G62" s="131">
        <v>0</v>
      </c>
      <c r="H62" s="134"/>
      <c r="I62" s="133" t="s">
        <v>552</v>
      </c>
      <c r="J62" t="s">
        <v>288</v>
      </c>
      <c r="K62" s="118"/>
      <c r="L62" s="118"/>
    </row>
    <row r="63" spans="1:12" x14ac:dyDescent="0.25">
      <c r="A63" s="266">
        <v>45214</v>
      </c>
      <c r="B63" s="118" t="s">
        <v>57</v>
      </c>
      <c r="C63" s="130">
        <v>30</v>
      </c>
      <c r="D63" s="134">
        <v>17</v>
      </c>
      <c r="E63" s="133" t="s">
        <v>36</v>
      </c>
      <c r="F63" s="131">
        <v>3</v>
      </c>
      <c r="G63" s="131">
        <v>5</v>
      </c>
      <c r="H63" s="134"/>
      <c r="I63" s="133" t="s">
        <v>553</v>
      </c>
      <c r="J63" t="s">
        <v>288</v>
      </c>
      <c r="K63" s="118"/>
      <c r="L63" s="118"/>
    </row>
    <row r="64" spans="1:12" x14ac:dyDescent="0.25">
      <c r="A64" s="266">
        <v>45214</v>
      </c>
      <c r="B64" s="118" t="s">
        <v>34</v>
      </c>
      <c r="C64" s="130">
        <v>7</v>
      </c>
      <c r="D64" s="134">
        <v>13</v>
      </c>
      <c r="E64" s="133" t="s">
        <v>30</v>
      </c>
      <c r="F64" s="131">
        <v>0</v>
      </c>
      <c r="G64" s="131">
        <v>10</v>
      </c>
      <c r="H64" s="134"/>
      <c r="I64" s="133" t="s">
        <v>551</v>
      </c>
      <c r="J64" t="s">
        <v>288</v>
      </c>
      <c r="K64" s="118"/>
      <c r="L64" s="118"/>
    </row>
    <row r="65" spans="1:12" x14ac:dyDescent="0.25">
      <c r="A65" s="266">
        <v>45215</v>
      </c>
      <c r="B65" s="118" t="s">
        <v>33</v>
      </c>
      <c r="C65" s="130">
        <v>12</v>
      </c>
      <c r="D65" s="134">
        <v>22</v>
      </c>
      <c r="E65" s="133" t="s">
        <v>38</v>
      </c>
      <c r="F65" s="131">
        <v>5</v>
      </c>
      <c r="G65" s="131">
        <v>12</v>
      </c>
      <c r="H65" s="134"/>
      <c r="I65" s="133" t="s">
        <v>553</v>
      </c>
      <c r="J65" t="s">
        <v>458</v>
      </c>
      <c r="K65" s="118"/>
      <c r="L65" s="118"/>
    </row>
    <row r="66" spans="1:12" x14ac:dyDescent="0.25">
      <c r="A66" s="266">
        <v>45215</v>
      </c>
      <c r="B66" s="118" t="s">
        <v>32</v>
      </c>
      <c r="C66" s="130">
        <v>12</v>
      </c>
      <c r="D66" s="134">
        <v>56</v>
      </c>
      <c r="E66" s="133" t="s">
        <v>282</v>
      </c>
      <c r="F66" s="131">
        <v>7</v>
      </c>
      <c r="G66" s="131">
        <v>22</v>
      </c>
      <c r="H66" s="134"/>
      <c r="I66" s="133" t="s">
        <v>552</v>
      </c>
      <c r="J66" t="s">
        <v>458</v>
      </c>
      <c r="K66" s="118"/>
      <c r="L66" s="118"/>
    </row>
    <row r="67" spans="1:12" x14ac:dyDescent="0.25">
      <c r="A67" s="266">
        <v>45215</v>
      </c>
      <c r="B67" s="118" t="s">
        <v>31</v>
      </c>
      <c r="C67" s="130">
        <v>21</v>
      </c>
      <c r="D67" s="134">
        <v>17</v>
      </c>
      <c r="E67" s="133" t="s">
        <v>312</v>
      </c>
      <c r="F67" s="131">
        <v>14</v>
      </c>
      <c r="G67" s="131">
        <v>7</v>
      </c>
      <c r="H67" s="134"/>
      <c r="I67" s="133" t="s">
        <v>551</v>
      </c>
      <c r="J67" t="s">
        <v>458</v>
      </c>
      <c r="K67" s="118"/>
      <c r="L67" s="118"/>
    </row>
    <row r="68" spans="1:12" x14ac:dyDescent="0.25">
      <c r="A68" s="266">
        <v>45221</v>
      </c>
      <c r="B68" s="118" t="s">
        <v>29</v>
      </c>
      <c r="C68" s="130">
        <v>13</v>
      </c>
      <c r="D68" s="134">
        <v>7</v>
      </c>
      <c r="E68" s="133" t="s">
        <v>32</v>
      </c>
      <c r="F68" s="131">
        <v>10</v>
      </c>
      <c r="G68" s="131">
        <v>7</v>
      </c>
      <c r="H68" s="134"/>
      <c r="I68" s="133" t="s">
        <v>552</v>
      </c>
      <c r="J68" t="s">
        <v>288</v>
      </c>
      <c r="K68" s="118"/>
      <c r="L68" s="118"/>
    </row>
    <row r="69" spans="1:12" x14ac:dyDescent="0.25">
      <c r="A69" s="266">
        <v>45221</v>
      </c>
      <c r="B69" s="118" t="s">
        <v>282</v>
      </c>
      <c r="C69" s="130">
        <v>57</v>
      </c>
      <c r="D69" s="134">
        <v>0</v>
      </c>
      <c r="E69" s="133" t="s">
        <v>35</v>
      </c>
      <c r="F69" s="131">
        <v>45</v>
      </c>
      <c r="G69" s="131">
        <v>0</v>
      </c>
      <c r="H69" s="134"/>
      <c r="I69" s="133" t="s">
        <v>552</v>
      </c>
      <c r="J69" t="s">
        <v>288</v>
      </c>
      <c r="K69" s="118"/>
      <c r="L69" s="118"/>
    </row>
    <row r="70" spans="1:12" x14ac:dyDescent="0.25">
      <c r="A70" s="266">
        <v>45221</v>
      </c>
      <c r="B70" s="118" t="s">
        <v>34</v>
      </c>
      <c r="C70" s="130">
        <v>44</v>
      </c>
      <c r="D70" s="134">
        <v>0</v>
      </c>
      <c r="E70" s="133" t="s">
        <v>31</v>
      </c>
      <c r="F70" s="131">
        <v>20</v>
      </c>
      <c r="G70" s="131">
        <v>0</v>
      </c>
      <c r="H70" s="134"/>
      <c r="I70" s="133" t="s">
        <v>551</v>
      </c>
      <c r="J70" t="s">
        <v>288</v>
      </c>
      <c r="K70" s="118"/>
      <c r="L70" s="118"/>
    </row>
    <row r="71" spans="1:12" x14ac:dyDescent="0.25">
      <c r="A71" s="266">
        <v>45222</v>
      </c>
      <c r="B71" s="118" t="s">
        <v>36</v>
      </c>
      <c r="C71" s="130">
        <v>8</v>
      </c>
      <c r="D71" s="134">
        <v>21</v>
      </c>
      <c r="E71" s="133" t="s">
        <v>33</v>
      </c>
      <c r="F71" s="131">
        <v>5</v>
      </c>
      <c r="G71" s="131">
        <v>8</v>
      </c>
      <c r="H71" s="134"/>
      <c r="I71" s="133" t="s">
        <v>553</v>
      </c>
      <c r="J71" t="s">
        <v>458</v>
      </c>
      <c r="K71" s="118"/>
      <c r="L71" s="118"/>
    </row>
    <row r="72" spans="1:12" x14ac:dyDescent="0.25">
      <c r="A72" s="266">
        <v>45222</v>
      </c>
      <c r="B72" s="118" t="s">
        <v>38</v>
      </c>
      <c r="C72" s="130">
        <v>29</v>
      </c>
      <c r="D72" s="134">
        <v>14</v>
      </c>
      <c r="E72" s="133" t="s">
        <v>57</v>
      </c>
      <c r="F72" s="131">
        <v>19</v>
      </c>
      <c r="G72" s="131">
        <v>7</v>
      </c>
      <c r="H72" s="134"/>
      <c r="I72" s="133" t="s">
        <v>553</v>
      </c>
      <c r="J72" t="s">
        <v>458</v>
      </c>
      <c r="K72" s="118"/>
      <c r="L72" s="118"/>
    </row>
    <row r="73" spans="1:12" x14ac:dyDescent="0.25">
      <c r="A73" s="266">
        <v>45222</v>
      </c>
      <c r="B73" s="118" t="s">
        <v>30</v>
      </c>
      <c r="C73" s="130">
        <v>75</v>
      </c>
      <c r="D73" s="134">
        <v>0</v>
      </c>
      <c r="E73" s="133" t="s">
        <v>312</v>
      </c>
      <c r="F73" s="131">
        <v>29</v>
      </c>
      <c r="G73" s="131">
        <v>0</v>
      </c>
      <c r="H73" s="134"/>
      <c r="I73" s="133" t="s">
        <v>551</v>
      </c>
      <c r="J73" t="s">
        <v>458</v>
      </c>
      <c r="K73" s="118"/>
      <c r="L73" s="118"/>
    </row>
    <row r="74" spans="1:12" x14ac:dyDescent="0.25">
      <c r="A74" s="266">
        <v>45228</v>
      </c>
      <c r="B74" s="118" t="s">
        <v>34</v>
      </c>
      <c r="C74" s="130">
        <v>39</v>
      </c>
      <c r="D74" s="134">
        <v>3</v>
      </c>
      <c r="E74" s="133" t="s">
        <v>33</v>
      </c>
      <c r="F74" s="131">
        <v>10</v>
      </c>
      <c r="G74" s="131">
        <v>3</v>
      </c>
      <c r="H74" s="134"/>
      <c r="I74" s="133" t="s">
        <v>554</v>
      </c>
      <c r="J74" t="s">
        <v>288</v>
      </c>
      <c r="K74" s="118"/>
      <c r="L74" s="118"/>
    </row>
    <row r="75" spans="1:12" x14ac:dyDescent="0.25">
      <c r="A75" s="266">
        <v>45228</v>
      </c>
      <c r="B75" s="118" t="s">
        <v>282</v>
      </c>
      <c r="C75" s="130">
        <v>55</v>
      </c>
      <c r="D75" s="134">
        <v>3</v>
      </c>
      <c r="E75" s="133" t="s">
        <v>32</v>
      </c>
      <c r="F75" s="131">
        <v>26</v>
      </c>
      <c r="G75" s="131">
        <v>3</v>
      </c>
      <c r="H75" s="134"/>
      <c r="I75" s="133" t="s">
        <v>554</v>
      </c>
      <c r="J75" t="s">
        <v>288</v>
      </c>
      <c r="K75" s="118"/>
      <c r="L75" s="118"/>
    </row>
    <row r="76" spans="1:12" x14ac:dyDescent="0.25">
      <c r="A76" s="266">
        <v>45229</v>
      </c>
      <c r="B76" s="118" t="s">
        <v>30</v>
      </c>
      <c r="C76" s="130">
        <v>41</v>
      </c>
      <c r="D76" s="134">
        <v>5</v>
      </c>
      <c r="E76" s="133" t="s">
        <v>29</v>
      </c>
      <c r="F76" s="131">
        <v>19</v>
      </c>
      <c r="G76" s="131">
        <v>5</v>
      </c>
      <c r="H76" s="134"/>
      <c r="I76" s="133" t="s">
        <v>554</v>
      </c>
      <c r="J76" t="s">
        <v>458</v>
      </c>
      <c r="K76" s="118"/>
      <c r="L76" s="118"/>
    </row>
    <row r="77" spans="1:12" x14ac:dyDescent="0.25">
      <c r="A77" s="266">
        <v>45229</v>
      </c>
      <c r="B77" s="118" t="s">
        <v>38</v>
      </c>
      <c r="C77" s="130">
        <v>32</v>
      </c>
      <c r="D77" s="134">
        <v>11</v>
      </c>
      <c r="E77" s="133" t="s">
        <v>57</v>
      </c>
      <c r="F77" s="131">
        <v>12</v>
      </c>
      <c r="G77" s="131">
        <v>8</v>
      </c>
      <c r="H77" s="134"/>
      <c r="I77" s="133" t="s">
        <v>554</v>
      </c>
      <c r="J77" t="s">
        <v>458</v>
      </c>
      <c r="K77" s="118"/>
      <c r="L77" s="118"/>
    </row>
    <row r="78" spans="1:12" x14ac:dyDescent="0.25">
      <c r="A78" s="266">
        <v>45235</v>
      </c>
      <c r="B78" s="118" t="s">
        <v>38</v>
      </c>
      <c r="C78" s="130">
        <v>19</v>
      </c>
      <c r="D78" s="134">
        <v>26</v>
      </c>
      <c r="E78" s="133" t="s">
        <v>30</v>
      </c>
      <c r="F78" s="131">
        <v>12</v>
      </c>
      <c r="G78" s="131">
        <v>15</v>
      </c>
      <c r="H78" s="134"/>
      <c r="I78" s="133" t="s">
        <v>555</v>
      </c>
      <c r="J78" t="s">
        <v>457</v>
      </c>
      <c r="K78" s="118"/>
      <c r="L78" s="118"/>
    </row>
    <row r="79" spans="1:12" x14ac:dyDescent="0.25">
      <c r="A79" s="266">
        <v>45235</v>
      </c>
      <c r="B79" s="118" t="s">
        <v>282</v>
      </c>
      <c r="C79" s="130">
        <v>25</v>
      </c>
      <c r="D79" s="134">
        <v>24</v>
      </c>
      <c r="E79" s="133"/>
      <c r="F79" s="131">
        <v>10</v>
      </c>
      <c r="G79" s="131">
        <v>17</v>
      </c>
      <c r="H79" s="134"/>
      <c r="I79" s="133" t="s">
        <v>555</v>
      </c>
      <c r="J79" t="s">
        <v>457</v>
      </c>
      <c r="K79" s="118"/>
      <c r="L79" s="118"/>
    </row>
    <row r="80" spans="1:12" x14ac:dyDescent="0.25">
      <c r="A80" s="266">
        <v>45242</v>
      </c>
      <c r="B80" t="s">
        <v>38</v>
      </c>
      <c r="C80" s="130">
        <v>0</v>
      </c>
      <c r="D80" s="134">
        <v>36</v>
      </c>
      <c r="E80" s="133" t="s">
        <v>34</v>
      </c>
      <c r="F80">
        <v>0</v>
      </c>
      <c r="G80">
        <v>22</v>
      </c>
      <c r="H80" s="134"/>
      <c r="I80" s="133" t="s">
        <v>544</v>
      </c>
      <c r="J80" t="s">
        <v>457</v>
      </c>
      <c r="K80" s="118"/>
      <c r="L80" s="118"/>
    </row>
    <row r="81" spans="1:12" x14ac:dyDescent="0.25">
      <c r="A81" s="266">
        <v>45242</v>
      </c>
      <c r="B81" t="s">
        <v>282</v>
      </c>
      <c r="C81" s="130">
        <v>34</v>
      </c>
      <c r="D81" s="134">
        <v>31</v>
      </c>
      <c r="E81" s="133" t="s">
        <v>30</v>
      </c>
      <c r="F81">
        <v>19</v>
      </c>
      <c r="G81">
        <v>26</v>
      </c>
      <c r="H81" s="134"/>
      <c r="I81" s="133" t="s">
        <v>545</v>
      </c>
      <c r="J81" t="s">
        <v>457</v>
      </c>
      <c r="K81" s="118"/>
      <c r="L81" s="118"/>
    </row>
    <row r="82" spans="1:12" x14ac:dyDescent="0.25">
      <c r="C82" s="130"/>
      <c r="D82" s="134"/>
      <c r="E82" s="133"/>
      <c r="H82" s="134"/>
      <c r="I82" s="133"/>
      <c r="K82" s="118"/>
      <c r="L82" s="118"/>
    </row>
    <row r="83" spans="1:12" x14ac:dyDescent="0.25">
      <c r="B83" s="160" t="s">
        <v>28</v>
      </c>
      <c r="C83" s="130"/>
      <c r="D83" s="134"/>
      <c r="E83" s="133"/>
      <c r="F83" s="632" t="s">
        <v>84</v>
      </c>
      <c r="G83" s="632"/>
      <c r="H83" s="632"/>
      <c r="I83" s="133"/>
      <c r="K83" s="118"/>
      <c r="L83" s="118"/>
    </row>
    <row r="84" spans="1:12" x14ac:dyDescent="0.25">
      <c r="C84" s="130"/>
      <c r="D84" s="134"/>
      <c r="E84" s="133"/>
      <c r="H84" s="134"/>
      <c r="I84" s="133"/>
      <c r="K84" s="118"/>
      <c r="L84" s="118"/>
    </row>
    <row r="85" spans="1:12" x14ac:dyDescent="0.25">
      <c r="C85" s="130"/>
      <c r="D85" s="134"/>
      <c r="E85" s="133"/>
      <c r="H85" s="134"/>
      <c r="I85" s="133"/>
      <c r="K85" s="118"/>
      <c r="L85" s="118"/>
    </row>
    <row r="86" spans="1:12" x14ac:dyDescent="0.25">
      <c r="C86" s="130"/>
      <c r="D86" s="134"/>
      <c r="E86" s="133"/>
      <c r="H86" s="134"/>
      <c r="I86" s="133"/>
      <c r="K86" s="118"/>
      <c r="L86" s="118"/>
    </row>
    <row r="87" spans="1:12" x14ac:dyDescent="0.25">
      <c r="C87" s="130"/>
      <c r="D87" s="134"/>
      <c r="E87" s="133"/>
      <c r="H87" s="134"/>
      <c r="I87" s="133"/>
      <c r="K87" s="118"/>
      <c r="L87" s="118"/>
    </row>
    <row r="88" spans="1:12" x14ac:dyDescent="0.25">
      <c r="C88" s="130"/>
      <c r="D88" s="134"/>
      <c r="E88" s="133"/>
      <c r="H88" s="134"/>
      <c r="I88" s="133"/>
      <c r="K88" s="118"/>
      <c r="L88" s="118"/>
    </row>
    <row r="89" spans="1:12" x14ac:dyDescent="0.25">
      <c r="C89" s="130"/>
      <c r="D89" s="134"/>
      <c r="E89" s="133"/>
      <c r="H89" s="134"/>
      <c r="I89" s="133"/>
      <c r="K89" s="118"/>
      <c r="L89" s="118"/>
    </row>
    <row r="90" spans="1:12" x14ac:dyDescent="0.25">
      <c r="C90" s="130"/>
      <c r="D90" s="134"/>
      <c r="E90" s="133"/>
      <c r="H90" s="134"/>
      <c r="I90" s="133"/>
      <c r="K90" s="118"/>
      <c r="L90" s="118"/>
    </row>
    <row r="91" spans="1:12" x14ac:dyDescent="0.25">
      <c r="C91" s="130"/>
      <c r="D91" s="134"/>
      <c r="E91" s="133"/>
      <c r="H91" s="134"/>
      <c r="I91" s="133"/>
      <c r="K91" s="118"/>
      <c r="L91" s="118"/>
    </row>
    <row r="92" spans="1:12" x14ac:dyDescent="0.25">
      <c r="C92" s="130"/>
      <c r="D92" s="134"/>
      <c r="E92" s="133"/>
      <c r="H92" s="134"/>
      <c r="I92" s="133"/>
      <c r="K92" s="118"/>
      <c r="L92" s="118"/>
    </row>
    <row r="93" spans="1:12" x14ac:dyDescent="0.25">
      <c r="C93" s="130"/>
      <c r="D93" s="134"/>
      <c r="E93" s="133"/>
      <c r="H93" s="134"/>
      <c r="I93" s="133"/>
      <c r="K93" s="118"/>
      <c r="L93" s="118"/>
    </row>
    <row r="94" spans="1:12" x14ac:dyDescent="0.25">
      <c r="C94" s="130"/>
      <c r="D94" s="134"/>
      <c r="E94" s="133"/>
      <c r="H94" s="134"/>
      <c r="I94" s="133"/>
      <c r="K94" s="118"/>
      <c r="L94" s="118"/>
    </row>
    <row r="95" spans="1:12" x14ac:dyDescent="0.25">
      <c r="C95" s="130"/>
      <c r="D95" s="134"/>
      <c r="E95" s="133"/>
      <c r="H95" s="134"/>
      <c r="I95" s="133"/>
      <c r="K95" s="118"/>
      <c r="L95" s="118"/>
    </row>
    <row r="96" spans="1:12" x14ac:dyDescent="0.25">
      <c r="C96" s="130"/>
      <c r="D96" s="134"/>
      <c r="E96" s="133"/>
      <c r="H96" s="134"/>
      <c r="I96" s="133"/>
      <c r="K96" s="118"/>
      <c r="L96" s="118"/>
    </row>
    <row r="97" spans="3:12" x14ac:dyDescent="0.25">
      <c r="C97" s="130"/>
      <c r="D97" s="134"/>
      <c r="E97" s="133"/>
      <c r="H97" s="134"/>
      <c r="I97" s="133"/>
      <c r="K97" s="118"/>
      <c r="L97" s="118"/>
    </row>
    <row r="98" spans="3:12" x14ac:dyDescent="0.25">
      <c r="C98" s="130"/>
      <c r="D98" s="134"/>
      <c r="E98" s="133"/>
      <c r="H98" s="134"/>
      <c r="I98" s="133"/>
      <c r="K98" s="118"/>
      <c r="L98" s="118"/>
    </row>
    <row r="99" spans="3:12" x14ac:dyDescent="0.25">
      <c r="C99" s="130"/>
      <c r="D99" s="134"/>
      <c r="E99" s="133"/>
      <c r="H99" s="134"/>
      <c r="I99" s="133"/>
      <c r="K99" s="118"/>
      <c r="L99" s="118"/>
    </row>
    <row r="100" spans="3:12" x14ac:dyDescent="0.25">
      <c r="C100" s="130"/>
      <c r="D100" s="134"/>
      <c r="E100" s="133"/>
      <c r="H100" s="134"/>
      <c r="I100" s="133"/>
      <c r="K100" s="118"/>
      <c r="L100" s="118"/>
    </row>
    <row r="101" spans="3:12" x14ac:dyDescent="0.25">
      <c r="C101" s="130"/>
      <c r="D101" s="134"/>
      <c r="E101" s="133"/>
      <c r="H101" s="134"/>
      <c r="I101" s="133"/>
      <c r="K101" s="118"/>
      <c r="L101" s="118"/>
    </row>
    <row r="102" spans="3:12" x14ac:dyDescent="0.25">
      <c r="C102" s="130"/>
      <c r="D102" s="134"/>
      <c r="E102" s="133"/>
      <c r="H102" s="134"/>
      <c r="I102" s="133"/>
      <c r="K102" s="118"/>
      <c r="L102" s="118"/>
    </row>
    <row r="103" spans="3:12" x14ac:dyDescent="0.25">
      <c r="C103" s="130"/>
      <c r="D103" s="134"/>
      <c r="E103" s="133"/>
      <c r="H103" s="134"/>
      <c r="I103" s="133"/>
      <c r="K103" s="118"/>
      <c r="L103" s="118"/>
    </row>
    <row r="104" spans="3:12" x14ac:dyDescent="0.25">
      <c r="C104" s="130"/>
      <c r="D104" s="134"/>
      <c r="E104" s="133"/>
      <c r="H104" s="134"/>
      <c r="I104" s="133"/>
      <c r="K104" s="118"/>
      <c r="L104" s="118"/>
    </row>
    <row r="105" spans="3:12" x14ac:dyDescent="0.25">
      <c r="C105" s="130"/>
      <c r="D105" s="134"/>
      <c r="E105" s="133"/>
      <c r="H105" s="134"/>
      <c r="I105" s="133"/>
      <c r="K105" s="118"/>
      <c r="L105" s="118"/>
    </row>
    <row r="106" spans="3:12" x14ac:dyDescent="0.25">
      <c r="C106" s="130"/>
      <c r="D106" s="134"/>
      <c r="E106" s="133"/>
      <c r="H106" s="134"/>
      <c r="I106" s="133"/>
      <c r="K106" s="118"/>
      <c r="L106" s="118"/>
    </row>
    <row r="107" spans="3:12" x14ac:dyDescent="0.25">
      <c r="C107" s="130"/>
      <c r="D107" s="134"/>
      <c r="E107" s="133"/>
      <c r="H107" s="134"/>
      <c r="I107" s="133"/>
      <c r="K107" s="118"/>
      <c r="L107" s="118"/>
    </row>
    <row r="108" spans="3:12" x14ac:dyDescent="0.25">
      <c r="C108" s="130"/>
      <c r="D108" s="134"/>
      <c r="E108" s="133"/>
      <c r="H108" s="134"/>
      <c r="I108" s="133"/>
      <c r="K108" s="118"/>
      <c r="L108" s="118"/>
    </row>
    <row r="109" spans="3:12" x14ac:dyDescent="0.25">
      <c r="C109" s="130"/>
      <c r="D109" s="134"/>
      <c r="E109" s="133"/>
      <c r="H109" s="134"/>
      <c r="I109" s="133"/>
      <c r="K109" s="118"/>
      <c r="L109" s="118"/>
    </row>
    <row r="110" spans="3:12" x14ac:dyDescent="0.25">
      <c r="C110" s="130"/>
      <c r="D110" s="134"/>
      <c r="E110" s="133"/>
      <c r="H110" s="134"/>
      <c r="I110" s="133"/>
      <c r="K110" s="118"/>
      <c r="L110" s="118"/>
    </row>
    <row r="111" spans="3:12" x14ac:dyDescent="0.25">
      <c r="C111" s="130"/>
      <c r="D111" s="134"/>
      <c r="E111" s="133"/>
      <c r="H111" s="134"/>
      <c r="I111" s="133"/>
      <c r="K111" s="118"/>
      <c r="L111" s="118"/>
    </row>
    <row r="112" spans="3:12" x14ac:dyDescent="0.25">
      <c r="C112" s="130"/>
      <c r="D112" s="134"/>
      <c r="E112" s="133"/>
      <c r="H112" s="134"/>
      <c r="I112" s="133"/>
      <c r="K112" s="118"/>
      <c r="L112" s="118"/>
    </row>
    <row r="113" spans="3:13" x14ac:dyDescent="0.25">
      <c r="C113" s="130"/>
      <c r="D113" s="134"/>
      <c r="E113" s="133"/>
      <c r="H113" s="134"/>
      <c r="I113" s="133"/>
      <c r="K113" s="118"/>
      <c r="L113" s="118"/>
    </row>
    <row r="114" spans="3:13" x14ac:dyDescent="0.25">
      <c r="C114" s="130"/>
      <c r="D114" s="134"/>
      <c r="E114" s="133"/>
      <c r="H114" s="134"/>
      <c r="I114" s="133"/>
      <c r="K114" s="118"/>
      <c r="L114" s="118"/>
    </row>
    <row r="115" spans="3:13" x14ac:dyDescent="0.25">
      <c r="C115" s="130"/>
      <c r="D115" s="134"/>
      <c r="E115" s="133"/>
      <c r="H115" s="134"/>
      <c r="I115" s="133"/>
      <c r="K115" s="118"/>
      <c r="L115" s="118"/>
    </row>
    <row r="116" spans="3:13" x14ac:dyDescent="0.25">
      <c r="C116" s="130"/>
      <c r="D116" s="134"/>
      <c r="E116" s="133"/>
      <c r="H116" s="134"/>
      <c r="I116" s="133"/>
      <c r="K116" s="118"/>
      <c r="L116" s="118"/>
    </row>
    <row r="117" spans="3:13" x14ac:dyDescent="0.25">
      <c r="C117" s="130"/>
      <c r="D117" s="134"/>
      <c r="E117" s="133"/>
      <c r="H117" s="134"/>
      <c r="I117" s="133"/>
      <c r="K117" s="118"/>
      <c r="L117" s="118"/>
    </row>
    <row r="118" spans="3:13" x14ac:dyDescent="0.25">
      <c r="C118" s="130"/>
      <c r="D118" s="134"/>
      <c r="E118" s="133"/>
      <c r="H118" s="134"/>
      <c r="I118" s="133"/>
      <c r="K118" s="118"/>
      <c r="L118" s="118"/>
    </row>
    <row r="119" spans="3:13" x14ac:dyDescent="0.25">
      <c r="C119" s="130"/>
      <c r="D119" s="134"/>
      <c r="E119" s="133"/>
      <c r="H119" s="134"/>
      <c r="I119" s="133"/>
      <c r="K119" s="118"/>
      <c r="L119" s="118"/>
    </row>
    <row r="120" spans="3:13" x14ac:dyDescent="0.25">
      <c r="C120" s="130"/>
      <c r="D120" s="134"/>
      <c r="E120" s="133"/>
      <c r="H120" s="134"/>
      <c r="I120" s="133"/>
      <c r="K120" s="118"/>
      <c r="L120" s="118"/>
    </row>
    <row r="121" spans="3:13" x14ac:dyDescent="0.25">
      <c r="C121" s="130"/>
      <c r="D121" s="134"/>
      <c r="E121" s="133"/>
      <c r="H121" s="134"/>
      <c r="I121" s="133"/>
      <c r="K121" s="118"/>
      <c r="L121" s="118"/>
    </row>
    <row r="122" spans="3:13" x14ac:dyDescent="0.25">
      <c r="C122" s="130"/>
      <c r="D122" s="134"/>
      <c r="E122" s="133"/>
      <c r="H122" s="134"/>
      <c r="I122" s="133"/>
      <c r="K122" s="118"/>
      <c r="L122" s="118"/>
    </row>
    <row r="123" spans="3:13" x14ac:dyDescent="0.25">
      <c r="C123" s="130"/>
      <c r="D123" s="134"/>
      <c r="E123" s="133"/>
      <c r="H123" s="134"/>
      <c r="I123" s="133"/>
      <c r="K123" s="118"/>
      <c r="L123" s="118"/>
    </row>
    <row r="124" spans="3:13" x14ac:dyDescent="0.25">
      <c r="C124" s="130"/>
      <c r="D124" s="134"/>
      <c r="E124" s="133"/>
      <c r="H124" s="134"/>
      <c r="I124" s="133"/>
      <c r="K124" s="118"/>
      <c r="L124" s="118"/>
      <c r="M124" s="118"/>
    </row>
    <row r="125" spans="3:13" x14ac:dyDescent="0.25">
      <c r="C125" s="130"/>
      <c r="D125" s="134"/>
      <c r="E125" s="133"/>
      <c r="H125" s="134"/>
      <c r="I125" s="133"/>
      <c r="K125" s="118"/>
      <c r="L125" s="118"/>
      <c r="M125" s="118"/>
    </row>
    <row r="126" spans="3:13" x14ac:dyDescent="0.25">
      <c r="C126" s="130"/>
      <c r="D126" s="134"/>
      <c r="E126" s="133"/>
      <c r="H126" s="134"/>
      <c r="I126" s="133"/>
      <c r="K126" s="118"/>
      <c r="L126" s="118"/>
    </row>
    <row r="127" spans="3:13" x14ac:dyDescent="0.25">
      <c r="C127" s="130"/>
      <c r="D127" s="134"/>
      <c r="E127" s="133"/>
      <c r="H127" s="134"/>
      <c r="I127" s="133"/>
      <c r="K127" s="118"/>
      <c r="L127" s="118"/>
    </row>
    <row r="128" spans="3:13" x14ac:dyDescent="0.25">
      <c r="C128" s="130"/>
      <c r="D128" s="134"/>
      <c r="E128" s="133"/>
      <c r="H128" s="134"/>
      <c r="I128" s="133"/>
      <c r="K128" s="118"/>
      <c r="L128" s="118"/>
    </row>
    <row r="129" spans="3:12" x14ac:dyDescent="0.25">
      <c r="C129" s="130"/>
      <c r="D129" s="134"/>
      <c r="E129" s="133"/>
      <c r="H129" s="134"/>
      <c r="I129" s="133"/>
      <c r="K129" s="118"/>
      <c r="L129" s="118"/>
    </row>
    <row r="130" spans="3:12" x14ac:dyDescent="0.25">
      <c r="C130" s="130"/>
      <c r="D130" s="134"/>
      <c r="E130" s="133"/>
      <c r="H130" s="134"/>
      <c r="I130" s="133"/>
      <c r="K130" s="118"/>
      <c r="L130" s="118"/>
    </row>
    <row r="131" spans="3:12" x14ac:dyDescent="0.25">
      <c r="C131" s="130"/>
      <c r="D131" s="134"/>
      <c r="E131" s="133"/>
      <c r="H131" s="134"/>
      <c r="I131" s="133"/>
      <c r="K131" s="118"/>
      <c r="L131" s="118"/>
    </row>
    <row r="132" spans="3:12" x14ac:dyDescent="0.25">
      <c r="C132" s="130"/>
      <c r="D132" s="134"/>
      <c r="E132" s="133"/>
      <c r="H132" s="134"/>
      <c r="I132" s="133"/>
      <c r="K132" s="118"/>
      <c r="L132" s="118"/>
    </row>
    <row r="133" spans="3:12" x14ac:dyDescent="0.25">
      <c r="C133" s="130"/>
      <c r="D133" s="134"/>
      <c r="E133" s="133"/>
      <c r="H133" s="134"/>
      <c r="I133" s="133"/>
      <c r="K133" s="118"/>
      <c r="L133" s="118"/>
    </row>
    <row r="134" spans="3:12" x14ac:dyDescent="0.25">
      <c r="C134" s="130"/>
      <c r="D134" s="134"/>
      <c r="E134" s="133"/>
      <c r="H134" s="134"/>
      <c r="I134" s="133"/>
      <c r="K134" s="118"/>
      <c r="L134" s="118"/>
    </row>
    <row r="135" spans="3:12" x14ac:dyDescent="0.25">
      <c r="C135" s="130"/>
      <c r="D135" s="134"/>
      <c r="E135" s="133"/>
      <c r="H135" s="134"/>
      <c r="I135" s="133"/>
      <c r="K135" s="118"/>
      <c r="L135" s="118"/>
    </row>
    <row r="136" spans="3:12" x14ac:dyDescent="0.25">
      <c r="C136" s="130"/>
      <c r="D136" s="134"/>
      <c r="E136" s="133"/>
      <c r="H136" s="134"/>
      <c r="I136" s="133"/>
      <c r="K136" s="118"/>
      <c r="L136" s="118"/>
    </row>
    <row r="137" spans="3:12" x14ac:dyDescent="0.25">
      <c r="C137" s="130"/>
      <c r="D137" s="134"/>
      <c r="E137" s="133"/>
      <c r="H137" s="134"/>
      <c r="I137" s="133"/>
      <c r="K137" s="118"/>
      <c r="L137" s="118"/>
    </row>
    <row r="138" spans="3:12" x14ac:dyDescent="0.25">
      <c r="C138" s="130"/>
      <c r="D138" s="134"/>
      <c r="E138" s="133"/>
      <c r="H138" s="134"/>
      <c r="I138" s="133"/>
      <c r="K138" s="118"/>
      <c r="L138" s="118"/>
    </row>
    <row r="139" spans="3:12" x14ac:dyDescent="0.25">
      <c r="C139" s="130"/>
      <c r="D139" s="134"/>
      <c r="E139" s="133"/>
      <c r="H139" s="134"/>
      <c r="I139" s="133"/>
      <c r="K139" s="118"/>
      <c r="L139" s="118"/>
    </row>
    <row r="140" spans="3:12" x14ac:dyDescent="0.25">
      <c r="C140" s="130"/>
      <c r="D140" s="134"/>
      <c r="E140" s="133"/>
      <c r="H140" s="134"/>
      <c r="I140" s="133"/>
      <c r="K140" s="118"/>
      <c r="L140" s="118"/>
    </row>
    <row r="141" spans="3:12" x14ac:dyDescent="0.25">
      <c r="C141" s="130"/>
      <c r="D141" s="134"/>
      <c r="E141" s="133"/>
      <c r="H141" s="134"/>
      <c r="I141" s="133"/>
      <c r="K141" s="118"/>
      <c r="L141" s="118"/>
    </row>
    <row r="142" spans="3:12" x14ac:dyDescent="0.25">
      <c r="C142" s="130"/>
      <c r="D142" s="134"/>
      <c r="E142" s="133"/>
      <c r="H142" s="134"/>
      <c r="I142" s="133"/>
      <c r="K142" s="118"/>
      <c r="L142" s="118"/>
    </row>
    <row r="143" spans="3:12" x14ac:dyDescent="0.25">
      <c r="C143" s="130"/>
      <c r="D143" s="134"/>
      <c r="E143" s="133"/>
      <c r="H143" s="134"/>
      <c r="I143" s="133"/>
      <c r="K143" s="118"/>
      <c r="L143" s="118"/>
    </row>
    <row r="144" spans="3:12" x14ac:dyDescent="0.25">
      <c r="C144" s="130"/>
      <c r="D144" s="134"/>
      <c r="E144" s="133"/>
      <c r="H144" s="134"/>
      <c r="I144" s="133"/>
      <c r="K144" s="118"/>
      <c r="L144" s="118"/>
    </row>
    <row r="145" spans="3:12" x14ac:dyDescent="0.25">
      <c r="C145" s="130"/>
      <c r="D145" s="134"/>
      <c r="E145" s="133"/>
      <c r="H145" s="134"/>
      <c r="I145" s="133"/>
      <c r="K145" s="118"/>
      <c r="L145" s="118"/>
    </row>
    <row r="146" spans="3:12" x14ac:dyDescent="0.25">
      <c r="C146" s="130"/>
      <c r="D146" s="134"/>
      <c r="E146" s="133"/>
      <c r="H146" s="134"/>
      <c r="I146" s="133"/>
      <c r="K146" s="118"/>
      <c r="L146" s="118"/>
    </row>
    <row r="147" spans="3:12" x14ac:dyDescent="0.25">
      <c r="C147" s="130"/>
      <c r="D147" s="134"/>
      <c r="E147" s="133"/>
      <c r="H147" s="134"/>
      <c r="I147" s="133"/>
      <c r="K147" s="118"/>
      <c r="L147" s="118"/>
    </row>
    <row r="148" spans="3:12" x14ac:dyDescent="0.25">
      <c r="C148" s="130"/>
      <c r="D148" s="134"/>
      <c r="E148" s="133"/>
      <c r="H148" s="134"/>
      <c r="I148" s="133"/>
      <c r="K148" s="118"/>
      <c r="L148" s="118"/>
    </row>
    <row r="149" spans="3:12" x14ac:dyDescent="0.25">
      <c r="C149" s="130"/>
      <c r="D149" s="134"/>
      <c r="E149" s="133"/>
      <c r="H149" s="134"/>
      <c r="I149" s="133"/>
      <c r="K149" s="118"/>
      <c r="L149" s="118"/>
    </row>
    <row r="150" spans="3:12" x14ac:dyDescent="0.25">
      <c r="C150" s="130"/>
      <c r="D150" s="134"/>
      <c r="E150" s="133"/>
      <c r="H150" s="134"/>
      <c r="I150" s="133"/>
      <c r="K150" s="118"/>
      <c r="L150" s="118"/>
    </row>
    <row r="151" spans="3:12" x14ac:dyDescent="0.25">
      <c r="C151" s="130"/>
      <c r="D151" s="134"/>
      <c r="E151" s="133"/>
      <c r="H151" s="134"/>
      <c r="I151" s="133"/>
      <c r="K151" s="118"/>
      <c r="L151" s="118"/>
    </row>
    <row r="152" spans="3:12" x14ac:dyDescent="0.25">
      <c r="C152" s="130"/>
      <c r="D152" s="134"/>
      <c r="E152" s="133"/>
      <c r="H152" s="134"/>
      <c r="I152" s="133"/>
      <c r="K152" s="118"/>
      <c r="L152" s="118"/>
    </row>
    <row r="153" spans="3:12" x14ac:dyDescent="0.25">
      <c r="C153" s="130"/>
      <c r="D153" s="134"/>
      <c r="E153" s="133"/>
      <c r="H153" s="134"/>
      <c r="I153" s="133"/>
      <c r="K153" s="118"/>
      <c r="L153" s="118"/>
    </row>
    <row r="154" spans="3:12" x14ac:dyDescent="0.25">
      <c r="C154" s="130"/>
      <c r="D154" s="134"/>
      <c r="E154" s="133"/>
      <c r="H154" s="134"/>
      <c r="I154" s="133"/>
      <c r="K154" s="118"/>
      <c r="L154" s="118"/>
    </row>
    <row r="155" spans="3:12" x14ac:dyDescent="0.25">
      <c r="C155" s="130"/>
      <c r="D155" s="134"/>
      <c r="E155" s="133"/>
      <c r="H155" s="134"/>
      <c r="I155" s="133"/>
      <c r="K155" s="118"/>
      <c r="L155" s="118"/>
    </row>
    <row r="156" spans="3:12" x14ac:dyDescent="0.25">
      <c r="C156" s="130"/>
      <c r="D156" s="134"/>
      <c r="E156" s="133"/>
      <c r="H156" s="134"/>
      <c r="I156" s="133"/>
      <c r="K156" s="118"/>
      <c r="L156" s="118"/>
    </row>
    <row r="157" spans="3:12" x14ac:dyDescent="0.25">
      <c r="C157" s="130"/>
      <c r="D157" s="134"/>
      <c r="E157" s="133"/>
      <c r="H157" s="134"/>
      <c r="I157" s="133"/>
      <c r="K157" s="118"/>
      <c r="L157" s="118"/>
    </row>
    <row r="158" spans="3:12" x14ac:dyDescent="0.25">
      <c r="C158" s="130"/>
      <c r="D158" s="134"/>
      <c r="E158" s="133"/>
      <c r="H158" s="134"/>
      <c r="I158" s="133"/>
      <c r="K158" s="118"/>
      <c r="L158" s="118"/>
    </row>
    <row r="159" spans="3:12" x14ac:dyDescent="0.25">
      <c r="C159" s="130"/>
      <c r="D159" s="134"/>
      <c r="E159" s="133"/>
      <c r="H159" s="134"/>
      <c r="I159" s="133"/>
      <c r="K159" s="118"/>
      <c r="L159" s="118"/>
    </row>
    <row r="160" spans="3:12" x14ac:dyDescent="0.25">
      <c r="C160" s="130"/>
      <c r="D160" s="134"/>
      <c r="E160" s="133"/>
      <c r="H160" s="134"/>
      <c r="I160" s="133"/>
      <c r="K160" s="118"/>
      <c r="L160" s="118"/>
    </row>
    <row r="161" spans="3:12" x14ac:dyDescent="0.25">
      <c r="C161" s="130"/>
      <c r="D161" s="134"/>
      <c r="E161" s="133"/>
      <c r="H161" s="134"/>
      <c r="I161" s="133"/>
      <c r="K161" s="118"/>
      <c r="L161" s="118"/>
    </row>
    <row r="162" spans="3:12" x14ac:dyDescent="0.25">
      <c r="C162" s="130"/>
      <c r="D162" s="134"/>
      <c r="E162" s="133"/>
      <c r="H162" s="134"/>
      <c r="I162" s="133"/>
      <c r="K162" s="118"/>
      <c r="L162" s="118"/>
    </row>
    <row r="163" spans="3:12" x14ac:dyDescent="0.25">
      <c r="C163" s="130"/>
      <c r="D163" s="134"/>
      <c r="E163" s="133"/>
      <c r="H163" s="134"/>
      <c r="I163" s="133"/>
      <c r="K163" s="118"/>
      <c r="L163" s="118"/>
    </row>
    <row r="164" spans="3:12" x14ac:dyDescent="0.25">
      <c r="C164" s="130"/>
      <c r="D164" s="134"/>
      <c r="E164" s="133"/>
      <c r="H164" s="134"/>
      <c r="I164" s="133"/>
      <c r="K164" s="118"/>
      <c r="L164" s="118"/>
    </row>
    <row r="165" spans="3:12" x14ac:dyDescent="0.25">
      <c r="C165" s="130"/>
      <c r="D165" s="134"/>
      <c r="E165" s="133"/>
      <c r="H165" s="134"/>
      <c r="I165" s="133"/>
      <c r="K165" s="118"/>
      <c r="L165" s="118"/>
    </row>
    <row r="166" spans="3:12" x14ac:dyDescent="0.25">
      <c r="C166" s="130"/>
      <c r="D166" s="134"/>
      <c r="E166" s="133"/>
      <c r="H166" s="134"/>
      <c r="I166" s="133"/>
      <c r="K166" s="118"/>
      <c r="L166" s="118"/>
    </row>
    <row r="167" spans="3:12" x14ac:dyDescent="0.25">
      <c r="C167" s="130"/>
      <c r="D167" s="134"/>
      <c r="E167" s="133"/>
      <c r="H167" s="134"/>
      <c r="I167" s="133"/>
      <c r="K167" s="118"/>
      <c r="L167" s="118"/>
    </row>
    <row r="168" spans="3:12" x14ac:dyDescent="0.25">
      <c r="C168" s="130"/>
      <c r="D168" s="134"/>
      <c r="E168" s="133"/>
      <c r="H168" s="134"/>
      <c r="I168" s="133"/>
      <c r="K168" s="118"/>
      <c r="L168" s="118"/>
    </row>
    <row r="169" spans="3:12" x14ac:dyDescent="0.25">
      <c r="C169" s="130"/>
      <c r="D169" s="134"/>
      <c r="E169" s="133"/>
      <c r="H169" s="134"/>
      <c r="I169" s="133"/>
      <c r="K169" s="118"/>
      <c r="L169" s="118"/>
    </row>
    <row r="170" spans="3:12" x14ac:dyDescent="0.25">
      <c r="C170" s="130"/>
      <c r="D170" s="134"/>
      <c r="E170" s="133"/>
      <c r="H170" s="134"/>
      <c r="I170" s="133"/>
      <c r="K170" s="118"/>
      <c r="L170" s="118"/>
    </row>
    <row r="171" spans="3:12" x14ac:dyDescent="0.25">
      <c r="C171" s="130"/>
      <c r="D171" s="134"/>
      <c r="E171" s="133"/>
      <c r="H171" s="134"/>
      <c r="I171" s="133"/>
      <c r="K171" s="118"/>
      <c r="L171" s="118"/>
    </row>
    <row r="172" spans="3:12" x14ac:dyDescent="0.25">
      <c r="C172" s="130"/>
      <c r="D172" s="134"/>
      <c r="E172" s="133"/>
      <c r="H172" s="134"/>
      <c r="I172" s="133"/>
      <c r="K172" s="118"/>
      <c r="L172" s="118"/>
    </row>
    <row r="173" spans="3:12" x14ac:dyDescent="0.25">
      <c r="C173" s="130"/>
      <c r="D173" s="134"/>
      <c r="E173" s="133"/>
      <c r="H173" s="134"/>
      <c r="I173" s="133"/>
      <c r="K173" s="118"/>
      <c r="L173" s="118"/>
    </row>
    <row r="174" spans="3:12" x14ac:dyDescent="0.25">
      <c r="C174" s="130"/>
      <c r="D174" s="134"/>
      <c r="E174" s="133"/>
      <c r="H174" s="134"/>
      <c r="I174" s="133"/>
      <c r="K174" s="118"/>
      <c r="L174" s="118"/>
    </row>
    <row r="175" spans="3:12" x14ac:dyDescent="0.25">
      <c r="C175" s="130"/>
      <c r="D175" s="134"/>
      <c r="E175" s="133"/>
      <c r="H175" s="134"/>
      <c r="I175" s="133"/>
      <c r="K175" s="118"/>
      <c r="L175" s="118"/>
    </row>
    <row r="176" spans="3:12" x14ac:dyDescent="0.25">
      <c r="C176" s="130"/>
      <c r="D176" s="134"/>
      <c r="E176" s="133"/>
      <c r="H176" s="134"/>
      <c r="I176" s="133"/>
      <c r="K176" s="118"/>
      <c r="L176" s="118"/>
    </row>
    <row r="177" spans="3:13" x14ac:dyDescent="0.25">
      <c r="C177" s="130"/>
      <c r="D177" s="134"/>
      <c r="E177" s="133"/>
      <c r="H177" s="134"/>
      <c r="I177" s="133"/>
      <c r="K177" s="118"/>
      <c r="L177" s="118"/>
    </row>
    <row r="178" spans="3:13" x14ac:dyDescent="0.25">
      <c r="C178" s="130"/>
      <c r="D178" s="134"/>
      <c r="E178" s="133"/>
      <c r="H178" s="134"/>
      <c r="I178" s="133"/>
      <c r="K178" s="118"/>
      <c r="L178" s="118"/>
    </row>
    <row r="179" spans="3:13" x14ac:dyDescent="0.25">
      <c r="C179" s="130"/>
      <c r="D179" s="134"/>
      <c r="E179" s="133"/>
      <c r="H179" s="134"/>
      <c r="I179" s="133"/>
      <c r="K179" s="118"/>
      <c r="L179" s="118"/>
    </row>
    <row r="180" spans="3:13" x14ac:dyDescent="0.25">
      <c r="C180" s="130"/>
      <c r="D180" s="134"/>
      <c r="E180" s="133"/>
      <c r="H180" s="134"/>
      <c r="I180" s="133"/>
      <c r="K180" s="118"/>
      <c r="L180" s="118"/>
    </row>
    <row r="181" spans="3:13" x14ac:dyDescent="0.25">
      <c r="C181" s="130"/>
      <c r="D181" s="134"/>
      <c r="E181" s="133"/>
      <c r="H181" s="134"/>
      <c r="I181" s="133"/>
      <c r="K181" s="118"/>
      <c r="L181" s="118"/>
    </row>
    <row r="182" spans="3:13" x14ac:dyDescent="0.25">
      <c r="C182" s="130"/>
      <c r="D182" s="134"/>
      <c r="E182" s="133"/>
      <c r="H182" s="134"/>
      <c r="I182" s="133"/>
      <c r="K182" s="118"/>
      <c r="L182" s="118"/>
    </row>
    <row r="183" spans="3:13" x14ac:dyDescent="0.25">
      <c r="C183" s="130"/>
      <c r="D183" s="134"/>
      <c r="E183" s="133"/>
      <c r="H183" s="134"/>
      <c r="I183" s="133"/>
      <c r="K183" s="118"/>
      <c r="L183" s="118"/>
    </row>
    <row r="184" spans="3:13" x14ac:dyDescent="0.25">
      <c r="C184" s="130"/>
      <c r="D184" s="134"/>
      <c r="E184" s="133"/>
      <c r="H184" s="134"/>
      <c r="I184" s="133"/>
      <c r="K184" s="118"/>
      <c r="L184" s="118"/>
    </row>
    <row r="185" spans="3:13" x14ac:dyDescent="0.25">
      <c r="C185" s="130"/>
      <c r="D185" s="134"/>
      <c r="E185" s="133"/>
      <c r="H185" s="134"/>
      <c r="I185" s="133"/>
      <c r="K185" s="118"/>
      <c r="L185" s="118"/>
      <c r="M185" s="118"/>
    </row>
    <row r="186" spans="3:13" x14ac:dyDescent="0.25">
      <c r="C186" s="130"/>
      <c r="D186" s="134"/>
      <c r="E186" s="133"/>
      <c r="H186" s="134"/>
      <c r="I186" s="133"/>
      <c r="K186" s="118"/>
      <c r="L186" s="118"/>
      <c r="M186" s="118"/>
    </row>
    <row r="187" spans="3:13" x14ac:dyDescent="0.25">
      <c r="C187" s="130"/>
      <c r="D187" s="134"/>
      <c r="E187" s="133"/>
      <c r="H187" s="134"/>
      <c r="I187" s="133"/>
      <c r="K187" s="118"/>
      <c r="L187" s="118"/>
      <c r="M187" s="118"/>
    </row>
    <row r="188" spans="3:13" x14ac:dyDescent="0.25">
      <c r="C188" s="130"/>
      <c r="D188" s="134"/>
      <c r="E188" s="133"/>
      <c r="H188" s="134"/>
      <c r="I188" s="133"/>
      <c r="K188" s="118"/>
      <c r="L188" s="118"/>
      <c r="M188" s="118"/>
    </row>
    <row r="189" spans="3:13" x14ac:dyDescent="0.25">
      <c r="C189" s="130"/>
      <c r="D189" s="134"/>
      <c r="E189" s="133"/>
      <c r="H189" s="134"/>
      <c r="I189" s="133"/>
      <c r="K189" s="118"/>
      <c r="L189" s="118"/>
      <c r="M189" s="118"/>
    </row>
    <row r="190" spans="3:13" x14ac:dyDescent="0.25">
      <c r="C190" s="130"/>
      <c r="D190" s="134"/>
      <c r="E190" s="133"/>
      <c r="H190" s="134"/>
      <c r="I190" s="133"/>
      <c r="K190" s="118"/>
      <c r="L190" s="118"/>
      <c r="M190" s="118"/>
    </row>
    <row r="191" spans="3:13" x14ac:dyDescent="0.25">
      <c r="C191" s="130"/>
      <c r="D191" s="134"/>
      <c r="E191" s="133"/>
      <c r="H191" s="134"/>
      <c r="I191" s="133"/>
      <c r="K191" s="118"/>
      <c r="L191" s="118"/>
      <c r="M191" s="118"/>
    </row>
    <row r="192" spans="3:13" x14ac:dyDescent="0.25">
      <c r="C192" s="130"/>
      <c r="D192" s="134"/>
      <c r="E192" s="133"/>
      <c r="H192" s="134"/>
      <c r="I192" s="133"/>
      <c r="K192" s="118"/>
      <c r="L192" s="118"/>
      <c r="M192" s="118"/>
    </row>
    <row r="193" spans="3:13" x14ac:dyDescent="0.25">
      <c r="C193" s="130"/>
      <c r="D193" s="134"/>
      <c r="E193" s="133"/>
      <c r="H193" s="134"/>
      <c r="I193" s="133"/>
      <c r="K193" s="118"/>
      <c r="L193" s="118"/>
      <c r="M193" s="118"/>
    </row>
    <row r="194" spans="3:13" x14ac:dyDescent="0.25">
      <c r="C194" s="130"/>
      <c r="D194" s="134"/>
      <c r="E194" s="133"/>
      <c r="H194" s="134"/>
      <c r="I194" s="133"/>
      <c r="K194" s="118"/>
      <c r="L194" s="118"/>
      <c r="M194" s="118"/>
    </row>
    <row r="195" spans="3:13" x14ac:dyDescent="0.25">
      <c r="C195" s="130"/>
      <c r="D195" s="134"/>
      <c r="E195" s="133"/>
      <c r="H195" s="134"/>
      <c r="I195" s="133"/>
      <c r="K195" s="118"/>
      <c r="L195" s="118"/>
      <c r="M195" s="118"/>
    </row>
    <row r="196" spans="3:13" x14ac:dyDescent="0.25">
      <c r="C196" s="130"/>
      <c r="D196" s="134"/>
      <c r="E196" s="133"/>
      <c r="H196" s="134"/>
      <c r="I196" s="133"/>
      <c r="K196" s="118"/>
      <c r="L196" s="118"/>
      <c r="M196" s="118"/>
    </row>
    <row r="197" spans="3:13" x14ac:dyDescent="0.25">
      <c r="C197" s="130"/>
      <c r="D197" s="134"/>
      <c r="E197" s="133"/>
      <c r="H197" s="134"/>
      <c r="I197" s="133"/>
      <c r="K197" s="118"/>
      <c r="L197" s="118"/>
      <c r="M197" s="118"/>
    </row>
    <row r="198" spans="3:13" x14ac:dyDescent="0.25">
      <c r="C198" s="130"/>
      <c r="D198" s="134"/>
      <c r="E198" s="133"/>
      <c r="H198" s="134"/>
      <c r="I198" s="133"/>
      <c r="L198" s="118"/>
      <c r="M198" s="118"/>
    </row>
    <row r="199" spans="3:13" x14ac:dyDescent="0.25">
      <c r="C199" s="130"/>
      <c r="D199" s="134"/>
      <c r="E199" s="133"/>
      <c r="H199" s="134"/>
      <c r="I199" s="133"/>
      <c r="L199" s="118"/>
      <c r="M199" s="118"/>
    </row>
    <row r="200" spans="3:13" x14ac:dyDescent="0.25">
      <c r="C200" s="130"/>
      <c r="D200" s="134"/>
      <c r="E200" s="133"/>
      <c r="H200" s="134"/>
      <c r="I200" s="133"/>
      <c r="L200" s="118"/>
      <c r="M200" s="118"/>
    </row>
    <row r="201" spans="3:13" x14ac:dyDescent="0.25">
      <c r="C201" s="130"/>
      <c r="D201" s="134"/>
      <c r="E201" s="133"/>
      <c r="H201" s="134"/>
      <c r="I201" s="133"/>
      <c r="L201" s="118"/>
      <c r="M201" s="118"/>
    </row>
    <row r="202" spans="3:13" x14ac:dyDescent="0.25">
      <c r="C202" s="130"/>
      <c r="D202" s="134"/>
      <c r="E202" s="133"/>
      <c r="H202" s="134"/>
      <c r="I202" s="133"/>
      <c r="L202" s="118"/>
      <c r="M202" s="118"/>
    </row>
    <row r="203" spans="3:13" x14ac:dyDescent="0.25">
      <c r="C203" s="130"/>
      <c r="D203" s="134"/>
      <c r="E203" s="133"/>
      <c r="H203" s="134"/>
      <c r="I203" s="133"/>
      <c r="L203" s="118"/>
      <c r="M203" s="118"/>
    </row>
    <row r="204" spans="3:13" x14ac:dyDescent="0.25">
      <c r="C204" s="130"/>
      <c r="D204" s="134"/>
      <c r="E204" s="133"/>
      <c r="H204" s="134"/>
      <c r="I204" s="133"/>
      <c r="L204" s="118"/>
      <c r="M204" s="118"/>
    </row>
    <row r="205" spans="3:13" x14ac:dyDescent="0.25">
      <c r="C205" s="130"/>
      <c r="D205" s="134"/>
      <c r="E205" s="133"/>
      <c r="H205" s="134"/>
      <c r="I205" s="133"/>
      <c r="L205" s="118"/>
      <c r="M205" s="118"/>
    </row>
    <row r="206" spans="3:13" x14ac:dyDescent="0.25">
      <c r="C206" s="130"/>
      <c r="D206" s="134"/>
      <c r="E206" s="133"/>
      <c r="H206" s="134"/>
      <c r="I206" s="133"/>
      <c r="L206" s="118"/>
      <c r="M206" s="118"/>
    </row>
    <row r="207" spans="3:13" x14ac:dyDescent="0.25">
      <c r="C207" s="130"/>
      <c r="D207" s="134"/>
      <c r="E207" s="133"/>
      <c r="H207" s="134"/>
      <c r="I207" s="133"/>
      <c r="L207" s="118"/>
      <c r="M207" s="118"/>
    </row>
    <row r="208" spans="3:13" x14ac:dyDescent="0.25">
      <c r="C208" s="130"/>
      <c r="D208" s="134"/>
      <c r="E208" s="133"/>
      <c r="H208" s="134"/>
      <c r="I208" s="133"/>
      <c r="L208" s="118"/>
    </row>
    <row r="209" spans="3:12" x14ac:dyDescent="0.25">
      <c r="C209" s="130"/>
      <c r="D209" s="134"/>
      <c r="E209" s="133"/>
      <c r="H209" s="134"/>
      <c r="I209" s="133"/>
      <c r="L209" s="118"/>
    </row>
    <row r="210" spans="3:12" x14ac:dyDescent="0.25">
      <c r="C210" s="130"/>
      <c r="D210" s="134"/>
      <c r="E210" s="133"/>
      <c r="H210" s="134"/>
      <c r="I210" s="133"/>
      <c r="L210" s="118"/>
    </row>
    <row r="211" spans="3:12" x14ac:dyDescent="0.25">
      <c r="C211" s="130"/>
      <c r="D211" s="134"/>
      <c r="E211" s="133"/>
      <c r="H211" s="134"/>
      <c r="I211" s="133"/>
      <c r="L211" s="118"/>
    </row>
    <row r="212" spans="3:12" x14ac:dyDescent="0.25">
      <c r="C212" s="130"/>
      <c r="D212" s="134"/>
      <c r="E212" s="133"/>
      <c r="H212" s="134"/>
      <c r="I212" s="133"/>
      <c r="L212" s="118"/>
    </row>
    <row r="213" spans="3:12" x14ac:dyDescent="0.25">
      <c r="C213" s="130"/>
      <c r="D213" s="134"/>
      <c r="E213" s="133"/>
      <c r="H213" s="134"/>
      <c r="I213" s="133"/>
      <c r="L213" s="118"/>
    </row>
    <row r="214" spans="3:12" x14ac:dyDescent="0.25">
      <c r="C214" s="130"/>
      <c r="D214" s="134"/>
      <c r="E214" s="133"/>
      <c r="H214" s="134"/>
      <c r="I214" s="133"/>
      <c r="L214" s="118"/>
    </row>
    <row r="215" spans="3:12" x14ac:dyDescent="0.25">
      <c r="C215" s="130"/>
      <c r="D215" s="134"/>
      <c r="E215" s="133"/>
      <c r="H215" s="134"/>
      <c r="I215" s="133"/>
      <c r="L215" s="118"/>
    </row>
    <row r="216" spans="3:12" x14ac:dyDescent="0.25">
      <c r="C216" s="130"/>
      <c r="D216" s="134"/>
      <c r="E216" s="133"/>
      <c r="H216" s="134"/>
      <c r="I216" s="133"/>
      <c r="L216" s="118"/>
    </row>
    <row r="217" spans="3:12" x14ac:dyDescent="0.25">
      <c r="C217" s="130"/>
      <c r="D217" s="134"/>
      <c r="E217" s="133"/>
      <c r="H217" s="134"/>
      <c r="I217" s="133"/>
      <c r="L217" s="118"/>
    </row>
    <row r="218" spans="3:12" x14ac:dyDescent="0.25">
      <c r="C218" s="130"/>
      <c r="D218" s="134"/>
      <c r="E218" s="133"/>
      <c r="H218" s="134"/>
      <c r="I218" s="133"/>
      <c r="L218" s="118"/>
    </row>
    <row r="219" spans="3:12" x14ac:dyDescent="0.25">
      <c r="C219" s="130"/>
      <c r="D219" s="134"/>
      <c r="E219" s="133"/>
      <c r="H219" s="134"/>
      <c r="I219" s="133"/>
      <c r="L219" s="118"/>
    </row>
    <row r="220" spans="3:12" x14ac:dyDescent="0.25">
      <c r="C220" s="130"/>
      <c r="D220" s="134"/>
      <c r="E220" s="133"/>
      <c r="H220" s="134"/>
      <c r="I220" s="133"/>
    </row>
    <row r="221" spans="3:12" x14ac:dyDescent="0.25">
      <c r="C221" s="130"/>
      <c r="D221" s="134"/>
      <c r="E221" s="133"/>
      <c r="H221" s="134"/>
      <c r="I221" s="133"/>
    </row>
    <row r="222" spans="3:12" x14ac:dyDescent="0.25">
      <c r="C222" s="130"/>
      <c r="D222" s="134"/>
      <c r="E222" s="133"/>
      <c r="H222" s="134"/>
      <c r="I222" s="133"/>
    </row>
    <row r="223" spans="3:12" x14ac:dyDescent="0.25">
      <c r="C223" s="130"/>
      <c r="D223" s="134"/>
      <c r="E223" s="133"/>
      <c r="H223" s="134"/>
      <c r="I223" s="133"/>
    </row>
    <row r="224" spans="3:12" x14ac:dyDescent="0.25">
      <c r="C224" s="130"/>
      <c r="D224" s="134"/>
      <c r="E224" s="133"/>
      <c r="H224" s="134"/>
      <c r="I224" s="133"/>
    </row>
    <row r="225" spans="3:9" x14ac:dyDescent="0.25">
      <c r="C225" s="130"/>
      <c r="D225" s="134"/>
      <c r="E225" s="133"/>
      <c r="H225" s="134"/>
      <c r="I225" s="133"/>
    </row>
  </sheetData>
  <mergeCells count="1">
    <mergeCell ref="F83:H8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32"/>
  <sheetViews>
    <sheetView zoomScaleNormal="100" workbookViewId="0">
      <pane ySplit="2" topLeftCell="A3" activePane="bottomLeft" state="frozen"/>
      <selection pane="bottomLeft" activeCell="J19" sqref="J19"/>
    </sheetView>
  </sheetViews>
  <sheetFormatPr defaultRowHeight="14.3" x14ac:dyDescent="0.25"/>
  <cols>
    <col min="1" max="1" width="7.5" style="76" customWidth="1"/>
    <col min="2" max="2" width="5.5" style="76" customWidth="1"/>
    <col min="3" max="3" width="11.5" style="76" customWidth="1"/>
    <col min="4" max="4" width="4.125" style="76" bestFit="1" customWidth="1"/>
    <col min="5" max="18" width="3.75" style="76" customWidth="1"/>
    <col min="19" max="20" width="6.25" style="76" customWidth="1"/>
    <col min="21" max="21" width="26.5" style="76" customWidth="1"/>
    <col min="22" max="22" width="26.25" style="76" customWidth="1"/>
    <col min="23" max="23" width="27.5" style="76" bestFit="1" customWidth="1"/>
    <col min="24" max="24" width="30.5" style="76" customWidth="1"/>
    <col min="25" max="40" width="3.75" style="76" customWidth="1"/>
  </cols>
  <sheetData>
    <row r="1" spans="1:40" ht="14.95" customHeight="1" thickBot="1" x14ac:dyDescent="0.3">
      <c r="A1" s="723" t="s">
        <v>92</v>
      </c>
      <c r="B1" s="724"/>
      <c r="C1" s="724"/>
      <c r="D1" s="183"/>
      <c r="E1" s="714" t="s">
        <v>24</v>
      </c>
      <c r="F1" s="715"/>
      <c r="G1" s="716"/>
      <c r="H1" s="714" t="s">
        <v>81</v>
      </c>
      <c r="I1" s="716"/>
      <c r="J1" s="720" t="s">
        <v>6</v>
      </c>
      <c r="K1" s="721"/>
      <c r="L1" s="721"/>
      <c r="M1" s="722"/>
      <c r="N1" s="720" t="s">
        <v>7</v>
      </c>
      <c r="O1" s="722"/>
      <c r="P1" s="720" t="s">
        <v>25</v>
      </c>
      <c r="Q1" s="721"/>
      <c r="R1" s="722"/>
      <c r="S1" s="146" t="s">
        <v>8</v>
      </c>
      <c r="T1" s="146" t="s">
        <v>9</v>
      </c>
      <c r="U1" s="141" t="s">
        <v>10</v>
      </c>
      <c r="V1" s="141" t="s">
        <v>11</v>
      </c>
      <c r="W1" s="141" t="s">
        <v>26</v>
      </c>
      <c r="X1" s="141" t="s">
        <v>27</v>
      </c>
      <c r="Y1" s="717" t="s">
        <v>20</v>
      </c>
      <c r="Z1" s="718"/>
      <c r="AA1" s="718"/>
      <c r="AB1" s="719"/>
      <c r="AC1" s="717" t="s">
        <v>58</v>
      </c>
      <c r="AD1" s="718"/>
      <c r="AE1" s="718"/>
      <c r="AF1" s="719"/>
      <c r="AG1" s="717" t="s">
        <v>59</v>
      </c>
      <c r="AH1" s="718"/>
      <c r="AI1" s="718"/>
      <c r="AJ1" s="719"/>
      <c r="AK1" s="717" t="s">
        <v>60</v>
      </c>
      <c r="AL1" s="718"/>
      <c r="AM1" s="718"/>
      <c r="AN1" s="719"/>
    </row>
    <row r="2" spans="1:40" ht="14.95" customHeight="1" thickBot="1" x14ac:dyDescent="0.3">
      <c r="A2" s="142" t="s">
        <v>19</v>
      </c>
      <c r="B2" s="111" t="s">
        <v>18</v>
      </c>
      <c r="C2" s="115" t="s">
        <v>17</v>
      </c>
      <c r="D2" s="115" t="s">
        <v>39</v>
      </c>
      <c r="E2" s="143" t="s">
        <v>16</v>
      </c>
      <c r="F2" s="143" t="s">
        <v>4</v>
      </c>
      <c r="G2" s="143" t="s">
        <v>5</v>
      </c>
      <c r="H2" s="144" t="s">
        <v>12</v>
      </c>
      <c r="I2" s="144" t="s">
        <v>3</v>
      </c>
      <c r="J2" s="144" t="s">
        <v>12</v>
      </c>
      <c r="K2" s="144" t="s">
        <v>13</v>
      </c>
      <c r="L2" s="144" t="s">
        <v>2</v>
      </c>
      <c r="M2" s="144" t="s">
        <v>14</v>
      </c>
      <c r="N2" s="144" t="s">
        <v>15</v>
      </c>
      <c r="O2" s="144" t="s">
        <v>16</v>
      </c>
      <c r="P2" s="144" t="s">
        <v>21</v>
      </c>
      <c r="Q2" s="144" t="s">
        <v>22</v>
      </c>
      <c r="R2" s="144" t="s">
        <v>12</v>
      </c>
      <c r="S2" s="232"/>
      <c r="T2" s="233"/>
      <c r="U2" s="234"/>
      <c r="V2" s="232"/>
      <c r="W2" s="141"/>
      <c r="X2" s="235"/>
      <c r="Y2" s="145" t="s">
        <v>0</v>
      </c>
      <c r="Z2" s="145" t="s">
        <v>1</v>
      </c>
      <c r="AA2" s="145" t="s">
        <v>2</v>
      </c>
      <c r="AB2" s="145" t="s">
        <v>3</v>
      </c>
      <c r="AC2" s="145" t="s">
        <v>0</v>
      </c>
      <c r="AD2" s="145" t="s">
        <v>1</v>
      </c>
      <c r="AE2" s="145" t="s">
        <v>2</v>
      </c>
      <c r="AF2" s="145" t="s">
        <v>3</v>
      </c>
      <c r="AG2" s="145" t="s">
        <v>0</v>
      </c>
      <c r="AH2" s="145" t="s">
        <v>1</v>
      </c>
      <c r="AI2" s="145" t="s">
        <v>2</v>
      </c>
      <c r="AJ2" s="145" t="s">
        <v>3</v>
      </c>
      <c r="AK2" s="145" t="s">
        <v>0</v>
      </c>
      <c r="AL2" s="145" t="s">
        <v>1</v>
      </c>
      <c r="AM2" s="145" t="s">
        <v>2</v>
      </c>
      <c r="AN2" s="145" t="s">
        <v>3</v>
      </c>
    </row>
    <row r="3" spans="1:40" ht="14.95" customHeight="1" thickBot="1" x14ac:dyDescent="0.35">
      <c r="A3" s="184">
        <v>44646</v>
      </c>
      <c r="B3" s="186" t="s">
        <v>43</v>
      </c>
      <c r="C3" s="186" t="s">
        <v>35</v>
      </c>
      <c r="D3" s="186" t="s">
        <v>114</v>
      </c>
      <c r="E3" s="187" t="s">
        <v>1</v>
      </c>
      <c r="F3" s="187">
        <v>57</v>
      </c>
      <c r="G3" s="187">
        <v>5</v>
      </c>
      <c r="H3" s="187">
        <v>1</v>
      </c>
      <c r="I3" s="187">
        <v>0</v>
      </c>
      <c r="J3" s="187">
        <v>9</v>
      </c>
      <c r="K3" s="187">
        <v>6</v>
      </c>
      <c r="L3" s="187">
        <v>0</v>
      </c>
      <c r="M3" s="187">
        <v>0</v>
      </c>
      <c r="N3" s="187">
        <v>0</v>
      </c>
      <c r="O3" s="187">
        <v>0</v>
      </c>
      <c r="P3" s="187">
        <v>0</v>
      </c>
      <c r="Q3" s="187">
        <v>0</v>
      </c>
      <c r="R3" s="187">
        <v>1</v>
      </c>
      <c r="S3" s="191"/>
      <c r="T3" s="192" t="s">
        <v>151</v>
      </c>
      <c r="U3" s="193" t="s">
        <v>147</v>
      </c>
      <c r="V3" s="191" t="s">
        <v>148</v>
      </c>
      <c r="W3" s="188" t="s">
        <v>149</v>
      </c>
      <c r="X3" s="194" t="s">
        <v>209</v>
      </c>
      <c r="Y3" s="189">
        <v>1</v>
      </c>
      <c r="Z3" s="189">
        <v>1</v>
      </c>
      <c r="AA3" s="189">
        <v>0</v>
      </c>
      <c r="AB3" s="190">
        <v>0</v>
      </c>
      <c r="AC3" s="189">
        <v>0</v>
      </c>
      <c r="AD3" s="189">
        <v>0</v>
      </c>
      <c r="AE3" s="189">
        <v>0</v>
      </c>
      <c r="AF3" s="190">
        <v>0</v>
      </c>
      <c r="AG3" s="189">
        <v>1</v>
      </c>
      <c r="AH3" s="189">
        <v>1</v>
      </c>
      <c r="AI3" s="189">
        <v>0</v>
      </c>
      <c r="AJ3" s="190">
        <v>0</v>
      </c>
      <c r="AK3" s="189">
        <v>0</v>
      </c>
      <c r="AL3" s="189">
        <v>0</v>
      </c>
      <c r="AM3" s="189">
        <v>0</v>
      </c>
      <c r="AN3" s="190">
        <v>0</v>
      </c>
    </row>
    <row r="4" spans="1:40" ht="14.95" customHeight="1" thickBot="1" x14ac:dyDescent="0.35">
      <c r="A4" s="184">
        <v>44653</v>
      </c>
      <c r="B4" s="186" t="s">
        <v>43</v>
      </c>
      <c r="C4" s="186" t="s">
        <v>33</v>
      </c>
      <c r="D4" s="186" t="s">
        <v>125</v>
      </c>
      <c r="E4" s="187" t="s">
        <v>1</v>
      </c>
      <c r="F4" s="187">
        <v>74</v>
      </c>
      <c r="G4" s="187">
        <v>0</v>
      </c>
      <c r="H4" s="187">
        <v>1</v>
      </c>
      <c r="I4" s="187">
        <v>0</v>
      </c>
      <c r="J4" s="187">
        <v>12</v>
      </c>
      <c r="K4" s="187">
        <v>7</v>
      </c>
      <c r="L4" s="187">
        <v>0</v>
      </c>
      <c r="M4" s="187">
        <v>0</v>
      </c>
      <c r="N4" s="187">
        <v>0</v>
      </c>
      <c r="O4" s="187">
        <v>0</v>
      </c>
      <c r="P4" s="187">
        <v>0</v>
      </c>
      <c r="Q4" s="187">
        <v>0</v>
      </c>
      <c r="R4" s="187">
        <v>0</v>
      </c>
      <c r="S4" s="191"/>
      <c r="T4" s="192" t="s">
        <v>184</v>
      </c>
      <c r="U4" s="193" t="s">
        <v>159</v>
      </c>
      <c r="V4" s="191" t="s">
        <v>181</v>
      </c>
      <c r="W4" s="188" t="s">
        <v>182</v>
      </c>
      <c r="X4" s="194" t="s">
        <v>183</v>
      </c>
      <c r="Y4" s="189">
        <v>1</v>
      </c>
      <c r="Z4" s="189">
        <v>1</v>
      </c>
      <c r="AA4" s="189">
        <v>0</v>
      </c>
      <c r="AB4" s="190">
        <v>0</v>
      </c>
      <c r="AC4" s="189">
        <v>0</v>
      </c>
      <c r="AD4" s="189">
        <v>0</v>
      </c>
      <c r="AE4" s="189">
        <v>0</v>
      </c>
      <c r="AF4" s="190">
        <v>0</v>
      </c>
      <c r="AG4" s="189">
        <v>1</v>
      </c>
      <c r="AH4" s="189">
        <v>1</v>
      </c>
      <c r="AI4" s="189">
        <v>0</v>
      </c>
      <c r="AJ4" s="190">
        <v>0</v>
      </c>
      <c r="AK4" s="189">
        <v>0</v>
      </c>
      <c r="AL4" s="189">
        <v>0</v>
      </c>
      <c r="AM4" s="189">
        <v>0</v>
      </c>
      <c r="AN4" s="190">
        <v>0</v>
      </c>
    </row>
    <row r="5" spans="1:40" ht="14.95" customHeight="1" thickBot="1" x14ac:dyDescent="0.35">
      <c r="A5" s="203">
        <v>44660</v>
      </c>
      <c r="B5" s="204" t="s">
        <v>43</v>
      </c>
      <c r="C5" s="204" t="s">
        <v>32</v>
      </c>
      <c r="D5" s="204" t="s">
        <v>128</v>
      </c>
      <c r="E5" s="205" t="s">
        <v>1</v>
      </c>
      <c r="F5" s="205">
        <v>58</v>
      </c>
      <c r="G5" s="205">
        <v>5</v>
      </c>
      <c r="H5" s="205">
        <v>1</v>
      </c>
      <c r="I5" s="205">
        <v>0</v>
      </c>
      <c r="J5" s="205">
        <v>10</v>
      </c>
      <c r="K5" s="205">
        <v>4</v>
      </c>
      <c r="L5" s="205">
        <v>0</v>
      </c>
      <c r="M5" s="205">
        <v>0</v>
      </c>
      <c r="N5" s="205">
        <v>0</v>
      </c>
      <c r="O5" s="205">
        <v>0</v>
      </c>
      <c r="P5" s="205">
        <v>0</v>
      </c>
      <c r="Q5" s="205">
        <v>0</v>
      </c>
      <c r="R5" s="205">
        <v>1</v>
      </c>
      <c r="S5" s="206">
        <v>14689</v>
      </c>
      <c r="T5" s="215" t="s">
        <v>193</v>
      </c>
      <c r="U5" s="208" t="s">
        <v>194</v>
      </c>
      <c r="V5" s="206" t="s">
        <v>148</v>
      </c>
      <c r="W5" s="208" t="s">
        <v>159</v>
      </c>
      <c r="X5" s="209" t="s">
        <v>195</v>
      </c>
      <c r="Y5" s="211">
        <v>1</v>
      </c>
      <c r="Z5" s="211">
        <v>1</v>
      </c>
      <c r="AA5" s="211">
        <v>0</v>
      </c>
      <c r="AB5" s="212">
        <v>0</v>
      </c>
      <c r="AC5" s="211">
        <v>1</v>
      </c>
      <c r="AD5" s="211">
        <v>1</v>
      </c>
      <c r="AE5" s="211">
        <v>0</v>
      </c>
      <c r="AF5" s="212">
        <v>0</v>
      </c>
      <c r="AG5" s="211">
        <v>0</v>
      </c>
      <c r="AH5" s="211">
        <v>0</v>
      </c>
      <c r="AI5" s="211">
        <v>0</v>
      </c>
      <c r="AJ5" s="212">
        <v>0</v>
      </c>
      <c r="AK5" s="211">
        <v>0</v>
      </c>
      <c r="AL5" s="211">
        <v>0</v>
      </c>
      <c r="AM5" s="211">
        <v>0</v>
      </c>
      <c r="AN5" s="212">
        <v>0</v>
      </c>
    </row>
    <row r="6" spans="1:40" ht="14.95" customHeight="1" thickBot="1" x14ac:dyDescent="0.35">
      <c r="A6" s="203">
        <v>44675</v>
      </c>
      <c r="B6" s="204" t="s">
        <v>43</v>
      </c>
      <c r="C6" s="204" t="s">
        <v>37</v>
      </c>
      <c r="D6" s="204" t="s">
        <v>133</v>
      </c>
      <c r="E6" s="205" t="s">
        <v>1</v>
      </c>
      <c r="F6" s="205">
        <v>69</v>
      </c>
      <c r="G6" s="205">
        <v>0</v>
      </c>
      <c r="H6" s="205">
        <v>1</v>
      </c>
      <c r="I6" s="205">
        <v>0</v>
      </c>
      <c r="J6" s="205">
        <v>11</v>
      </c>
      <c r="K6" s="205">
        <v>7</v>
      </c>
      <c r="L6" s="205">
        <v>0</v>
      </c>
      <c r="M6" s="205">
        <v>0</v>
      </c>
      <c r="N6" s="205">
        <v>0</v>
      </c>
      <c r="O6" s="205">
        <v>0</v>
      </c>
      <c r="P6" s="205">
        <v>0</v>
      </c>
      <c r="Q6" s="205">
        <v>0</v>
      </c>
      <c r="R6" s="205">
        <v>0</v>
      </c>
      <c r="S6" s="206">
        <v>15863</v>
      </c>
      <c r="T6" s="215" t="s">
        <v>213</v>
      </c>
      <c r="U6" s="208" t="s">
        <v>214</v>
      </c>
      <c r="V6" s="206" t="s">
        <v>158</v>
      </c>
      <c r="W6" s="209" t="s">
        <v>149</v>
      </c>
      <c r="X6" s="210" t="s">
        <v>182</v>
      </c>
      <c r="Y6" s="211">
        <v>1</v>
      </c>
      <c r="Z6" s="211">
        <v>1</v>
      </c>
      <c r="AA6" s="211">
        <v>0</v>
      </c>
      <c r="AB6" s="212">
        <v>0</v>
      </c>
      <c r="AC6" s="211">
        <v>1</v>
      </c>
      <c r="AD6" s="211">
        <v>1</v>
      </c>
      <c r="AE6" s="211">
        <v>0</v>
      </c>
      <c r="AF6" s="212">
        <v>0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</row>
    <row r="7" spans="1:40" ht="14.95" customHeight="1" thickBot="1" x14ac:dyDescent="0.35">
      <c r="A7" s="184">
        <v>44681</v>
      </c>
      <c r="B7" s="186" t="s">
        <v>43</v>
      </c>
      <c r="C7" s="186" t="s">
        <v>34</v>
      </c>
      <c r="D7" s="186" t="s">
        <v>136</v>
      </c>
      <c r="E7" s="187" t="s">
        <v>1</v>
      </c>
      <c r="F7" s="187">
        <v>24</v>
      </c>
      <c r="G7" s="187">
        <v>12</v>
      </c>
      <c r="H7" s="187">
        <v>0</v>
      </c>
      <c r="I7" s="187">
        <v>0</v>
      </c>
      <c r="J7" s="187">
        <v>3</v>
      </c>
      <c r="K7" s="187">
        <v>3</v>
      </c>
      <c r="L7" s="187">
        <v>0</v>
      </c>
      <c r="M7" s="187">
        <v>1</v>
      </c>
      <c r="N7" s="187">
        <v>1</v>
      </c>
      <c r="O7" s="187">
        <v>0</v>
      </c>
      <c r="P7" s="187">
        <v>0</v>
      </c>
      <c r="Q7" s="187">
        <v>0</v>
      </c>
      <c r="R7" s="187">
        <v>2</v>
      </c>
      <c r="S7" s="191"/>
      <c r="T7" s="192" t="s">
        <v>230</v>
      </c>
      <c r="U7" s="193" t="s">
        <v>159</v>
      </c>
      <c r="V7" s="191" t="s">
        <v>229</v>
      </c>
      <c r="W7" s="188" t="s">
        <v>147</v>
      </c>
      <c r="X7" s="194" t="s">
        <v>199</v>
      </c>
      <c r="Y7" s="189">
        <v>1</v>
      </c>
      <c r="Z7" s="189">
        <v>1</v>
      </c>
      <c r="AA7" s="189">
        <v>0</v>
      </c>
      <c r="AB7" s="190">
        <v>0</v>
      </c>
      <c r="AC7" s="189">
        <v>0</v>
      </c>
      <c r="AD7" s="189">
        <v>0</v>
      </c>
      <c r="AE7" s="189">
        <v>0</v>
      </c>
      <c r="AF7" s="190">
        <v>0</v>
      </c>
      <c r="AG7" s="189">
        <v>1</v>
      </c>
      <c r="AH7" s="189">
        <v>1</v>
      </c>
      <c r="AI7" s="189">
        <v>0</v>
      </c>
      <c r="AJ7" s="190">
        <v>0</v>
      </c>
      <c r="AK7" s="189">
        <v>0</v>
      </c>
      <c r="AL7" s="189">
        <v>0</v>
      </c>
      <c r="AM7" s="189">
        <v>0</v>
      </c>
      <c r="AN7" s="190">
        <v>0</v>
      </c>
    </row>
    <row r="8" spans="1:40" ht="14.95" customHeight="1" thickBot="1" x14ac:dyDescent="0.35">
      <c r="A8" s="203">
        <v>44807</v>
      </c>
      <c r="B8" s="204" t="s">
        <v>246</v>
      </c>
      <c r="C8" s="204" t="s">
        <v>57</v>
      </c>
      <c r="D8" s="204" t="s">
        <v>369</v>
      </c>
      <c r="E8" s="205" t="s">
        <v>1</v>
      </c>
      <c r="F8" s="205">
        <v>52</v>
      </c>
      <c r="G8" s="205">
        <v>14</v>
      </c>
      <c r="H8" s="205" t="s">
        <v>72</v>
      </c>
      <c r="I8" s="205" t="s">
        <v>72</v>
      </c>
      <c r="J8" s="205">
        <v>8</v>
      </c>
      <c r="K8" s="205">
        <v>6</v>
      </c>
      <c r="L8" s="205">
        <v>0</v>
      </c>
      <c r="M8" s="205">
        <v>0</v>
      </c>
      <c r="N8" s="205">
        <v>2</v>
      </c>
      <c r="O8" s="205">
        <v>0</v>
      </c>
      <c r="P8" s="205" t="s">
        <v>72</v>
      </c>
      <c r="Q8" s="205" t="s">
        <v>72</v>
      </c>
      <c r="R8" s="205">
        <v>2</v>
      </c>
      <c r="S8" s="206">
        <v>10000</v>
      </c>
      <c r="T8" s="215" t="s">
        <v>386</v>
      </c>
      <c r="U8" s="208" t="s">
        <v>149</v>
      </c>
      <c r="V8" s="206" t="s">
        <v>198</v>
      </c>
      <c r="W8" s="206" t="s">
        <v>182</v>
      </c>
      <c r="X8" s="210" t="s">
        <v>150</v>
      </c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customHeight="1" thickBot="1" x14ac:dyDescent="0.35">
      <c r="A9" s="203">
        <v>44818</v>
      </c>
      <c r="B9" s="204" t="s">
        <v>246</v>
      </c>
      <c r="C9" s="204" t="s">
        <v>32</v>
      </c>
      <c r="D9" s="204" t="s">
        <v>370</v>
      </c>
      <c r="E9" s="205" t="s">
        <v>1</v>
      </c>
      <c r="F9" s="205">
        <v>73</v>
      </c>
      <c r="G9" s="205">
        <v>7</v>
      </c>
      <c r="H9" s="205" t="s">
        <v>72</v>
      </c>
      <c r="I9" s="205" t="s">
        <v>72</v>
      </c>
      <c r="J9" s="205">
        <v>11</v>
      </c>
      <c r="K9" s="205">
        <v>8</v>
      </c>
      <c r="L9" s="205">
        <v>0</v>
      </c>
      <c r="M9" s="205">
        <v>0</v>
      </c>
      <c r="N9" s="205">
        <v>0</v>
      </c>
      <c r="O9" s="205">
        <v>0</v>
      </c>
      <c r="P9" s="205" t="s">
        <v>72</v>
      </c>
      <c r="Q9" s="205" t="s">
        <v>72</v>
      </c>
      <c r="R9" s="205">
        <v>1</v>
      </c>
      <c r="S9" s="206">
        <v>11691</v>
      </c>
      <c r="T9" s="215" t="s">
        <v>401</v>
      </c>
      <c r="U9" s="208" t="s">
        <v>149</v>
      </c>
      <c r="V9" s="206" t="s">
        <v>208</v>
      </c>
      <c r="W9" s="206" t="s">
        <v>147</v>
      </c>
      <c r="X9" s="210" t="s">
        <v>182</v>
      </c>
      <c r="Y9" s="211">
        <v>1</v>
      </c>
      <c r="Z9" s="211">
        <v>1</v>
      </c>
      <c r="AA9" s="211">
        <v>0</v>
      </c>
      <c r="AB9" s="212">
        <v>0</v>
      </c>
      <c r="AC9" s="211">
        <v>1</v>
      </c>
      <c r="AD9" s="211">
        <v>1</v>
      </c>
      <c r="AE9" s="211">
        <v>0</v>
      </c>
      <c r="AF9" s="212">
        <v>0</v>
      </c>
      <c r="AG9" s="211">
        <v>0</v>
      </c>
      <c r="AH9" s="211">
        <v>0</v>
      </c>
      <c r="AI9" s="211">
        <v>0</v>
      </c>
      <c r="AJ9" s="212">
        <v>0</v>
      </c>
      <c r="AK9" s="211">
        <v>0</v>
      </c>
      <c r="AL9" s="211">
        <v>0</v>
      </c>
      <c r="AM9" s="211">
        <v>0</v>
      </c>
      <c r="AN9" s="212">
        <v>0</v>
      </c>
    </row>
    <row r="10" spans="1:40" ht="14.95" customHeight="1" thickBot="1" x14ac:dyDescent="0.35">
      <c r="A10" s="226">
        <v>44842</v>
      </c>
      <c r="B10" s="227" t="s">
        <v>139</v>
      </c>
      <c r="C10" s="227" t="s">
        <v>31</v>
      </c>
      <c r="D10" s="227" t="s">
        <v>144</v>
      </c>
      <c r="E10" s="223" t="s">
        <v>1</v>
      </c>
      <c r="F10" s="223">
        <v>84</v>
      </c>
      <c r="G10" s="223">
        <v>19</v>
      </c>
      <c r="H10" s="223">
        <v>1</v>
      </c>
      <c r="I10" s="223">
        <v>0</v>
      </c>
      <c r="J10" s="223">
        <v>14</v>
      </c>
      <c r="K10" s="223">
        <v>7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3</v>
      </c>
      <c r="S10" s="228"/>
      <c r="T10" s="231" t="s">
        <v>480</v>
      </c>
      <c r="U10" s="229" t="s">
        <v>149</v>
      </c>
      <c r="V10" s="228" t="s">
        <v>166</v>
      </c>
      <c r="W10" s="228" t="s">
        <v>211</v>
      </c>
      <c r="X10" s="230" t="s">
        <v>209</v>
      </c>
      <c r="Y10" s="155">
        <v>1</v>
      </c>
      <c r="Z10" s="155">
        <v>1</v>
      </c>
      <c r="AA10" s="155">
        <v>0</v>
      </c>
      <c r="AB10" s="224">
        <v>0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1</v>
      </c>
      <c r="AM10" s="155">
        <v>0</v>
      </c>
      <c r="AN10" s="224">
        <v>0</v>
      </c>
    </row>
    <row r="11" spans="1:40" ht="14.95" customHeight="1" thickBot="1" x14ac:dyDescent="0.35">
      <c r="A11" s="226">
        <v>44849</v>
      </c>
      <c r="B11" s="227" t="s">
        <v>139</v>
      </c>
      <c r="C11" s="227" t="s">
        <v>34</v>
      </c>
      <c r="D11" s="227" t="s">
        <v>140</v>
      </c>
      <c r="E11" s="223" t="s">
        <v>1</v>
      </c>
      <c r="F11" s="223">
        <v>13</v>
      </c>
      <c r="G11" s="223">
        <v>7</v>
      </c>
      <c r="H11" s="223">
        <v>0</v>
      </c>
      <c r="I11" s="223">
        <v>0</v>
      </c>
      <c r="J11" s="223">
        <v>1</v>
      </c>
      <c r="K11" s="223">
        <v>1</v>
      </c>
      <c r="L11" s="223">
        <v>0</v>
      </c>
      <c r="M11" s="223">
        <v>2</v>
      </c>
      <c r="N11" s="223">
        <v>0</v>
      </c>
      <c r="O11" s="223">
        <v>0</v>
      </c>
      <c r="P11" s="223">
        <v>0</v>
      </c>
      <c r="Q11" s="223">
        <v>1</v>
      </c>
      <c r="R11" s="223">
        <v>1</v>
      </c>
      <c r="S11" s="228"/>
      <c r="T11" s="231" t="s">
        <v>213</v>
      </c>
      <c r="U11" s="229" t="s">
        <v>147</v>
      </c>
      <c r="V11" s="228" t="s">
        <v>198</v>
      </c>
      <c r="W11" s="228" t="s">
        <v>476</v>
      </c>
      <c r="X11" s="230" t="s">
        <v>477</v>
      </c>
      <c r="Y11" s="155">
        <v>1</v>
      </c>
      <c r="Z11" s="155">
        <v>1</v>
      </c>
      <c r="AA11" s="155">
        <v>0</v>
      </c>
      <c r="AB11" s="224">
        <v>0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1</v>
      </c>
      <c r="AM11" s="155">
        <v>0</v>
      </c>
      <c r="AN11" s="224">
        <v>0</v>
      </c>
    </row>
    <row r="12" spans="1:40" ht="14.95" customHeight="1" thickBot="1" x14ac:dyDescent="0.35">
      <c r="A12" s="226">
        <v>44857</v>
      </c>
      <c r="B12" s="227" t="s">
        <v>139</v>
      </c>
      <c r="C12" s="227" t="s">
        <v>86</v>
      </c>
      <c r="D12" s="227" t="s">
        <v>79</v>
      </c>
      <c r="E12" s="223" t="s">
        <v>1</v>
      </c>
      <c r="F12" s="223">
        <v>75</v>
      </c>
      <c r="G12" s="223">
        <v>0</v>
      </c>
      <c r="H12" s="223">
        <v>1</v>
      </c>
      <c r="I12" s="223">
        <v>0</v>
      </c>
      <c r="J12" s="223">
        <v>13</v>
      </c>
      <c r="K12" s="223">
        <v>5</v>
      </c>
      <c r="L12" s="223">
        <v>0</v>
      </c>
      <c r="M12" s="223">
        <v>0</v>
      </c>
      <c r="N12" s="223">
        <v>1</v>
      </c>
      <c r="O12" s="223">
        <v>0</v>
      </c>
      <c r="P12" s="223">
        <v>0</v>
      </c>
      <c r="Q12" s="223">
        <v>0</v>
      </c>
      <c r="R12" s="223">
        <v>0</v>
      </c>
      <c r="S12" s="290"/>
      <c r="T12" s="231" t="s">
        <v>510</v>
      </c>
      <c r="U12" s="229" t="s">
        <v>211</v>
      </c>
      <c r="V12" s="228" t="s">
        <v>229</v>
      </c>
      <c r="W12" s="228" t="s">
        <v>159</v>
      </c>
      <c r="X12" s="255" t="s">
        <v>258</v>
      </c>
      <c r="Y12" s="155">
        <v>1</v>
      </c>
      <c r="Z12" s="155">
        <v>1</v>
      </c>
      <c r="AA12" s="155">
        <v>0</v>
      </c>
      <c r="AB12" s="224">
        <v>0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1</v>
      </c>
      <c r="AM12" s="155">
        <v>0</v>
      </c>
      <c r="AN12" s="224">
        <v>0</v>
      </c>
    </row>
    <row r="13" spans="1:40" ht="14.95" customHeight="1" thickBot="1" x14ac:dyDescent="0.35">
      <c r="A13" s="226">
        <v>44864</v>
      </c>
      <c r="B13" s="227" t="s">
        <v>109</v>
      </c>
      <c r="C13" s="227" t="s">
        <v>29</v>
      </c>
      <c r="D13" s="227" t="s">
        <v>79</v>
      </c>
      <c r="E13" s="223" t="s">
        <v>1</v>
      </c>
      <c r="F13" s="223">
        <v>41</v>
      </c>
      <c r="G13" s="223">
        <v>5</v>
      </c>
      <c r="H13" s="223" t="s">
        <v>525</v>
      </c>
      <c r="I13" s="223" t="s">
        <v>72</v>
      </c>
      <c r="J13" s="223">
        <v>7</v>
      </c>
      <c r="K13" s="223">
        <v>3</v>
      </c>
      <c r="L13" s="223">
        <v>0</v>
      </c>
      <c r="M13" s="223">
        <v>0</v>
      </c>
      <c r="N13" s="223">
        <v>1</v>
      </c>
      <c r="O13" s="223">
        <v>0</v>
      </c>
      <c r="P13" s="223" t="s">
        <v>72</v>
      </c>
      <c r="Q13" s="223" t="s">
        <v>72</v>
      </c>
      <c r="R13" s="223">
        <v>1</v>
      </c>
      <c r="S13" s="290"/>
      <c r="T13" s="231" t="s">
        <v>528</v>
      </c>
      <c r="U13" s="229" t="s">
        <v>207</v>
      </c>
      <c r="V13" s="228" t="s">
        <v>198</v>
      </c>
      <c r="W13" s="229" t="s">
        <v>211</v>
      </c>
      <c r="X13" s="228" t="s">
        <v>477</v>
      </c>
      <c r="Y13" s="155">
        <v>1</v>
      </c>
      <c r="Z13" s="155">
        <v>1</v>
      </c>
      <c r="AA13" s="155">
        <v>0</v>
      </c>
      <c r="AB13" s="224">
        <v>0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1</v>
      </c>
      <c r="AM13" s="155">
        <v>0</v>
      </c>
      <c r="AN13" s="224">
        <v>0</v>
      </c>
    </row>
    <row r="14" spans="1:40" ht="14.95" customHeight="1" thickBot="1" x14ac:dyDescent="0.35">
      <c r="A14" s="226">
        <v>44870</v>
      </c>
      <c r="B14" s="227" t="s">
        <v>387</v>
      </c>
      <c r="C14" s="227" t="s">
        <v>38</v>
      </c>
      <c r="D14" s="227" t="s">
        <v>144</v>
      </c>
      <c r="E14" s="223" t="s">
        <v>1</v>
      </c>
      <c r="F14" s="223">
        <v>26</v>
      </c>
      <c r="G14" s="223">
        <v>19</v>
      </c>
      <c r="H14" s="223" t="s">
        <v>72</v>
      </c>
      <c r="I14" s="223" t="s">
        <v>72</v>
      </c>
      <c r="J14" s="223">
        <v>3</v>
      </c>
      <c r="K14" s="223">
        <v>1</v>
      </c>
      <c r="L14" s="223">
        <v>0</v>
      </c>
      <c r="M14" s="223">
        <v>3</v>
      </c>
      <c r="N14" s="223">
        <v>1</v>
      </c>
      <c r="O14" s="223">
        <v>0</v>
      </c>
      <c r="P14" s="223" t="s">
        <v>72</v>
      </c>
      <c r="Q14" s="223" t="s">
        <v>72</v>
      </c>
      <c r="R14" s="223">
        <v>3</v>
      </c>
      <c r="S14" s="290"/>
      <c r="T14" s="231" t="s">
        <v>537</v>
      </c>
      <c r="U14" s="229" t="s">
        <v>476</v>
      </c>
      <c r="V14" s="228" t="s">
        <v>198</v>
      </c>
      <c r="W14" s="225" t="s">
        <v>149</v>
      </c>
      <c r="X14" s="230" t="s">
        <v>207</v>
      </c>
      <c r="Y14" s="155">
        <v>1</v>
      </c>
      <c r="Z14" s="155">
        <v>1</v>
      </c>
      <c r="AA14" s="155">
        <v>0</v>
      </c>
      <c r="AB14" s="224">
        <v>0</v>
      </c>
      <c r="AC14" s="155">
        <v>0</v>
      </c>
      <c r="AD14" s="155">
        <v>0</v>
      </c>
      <c r="AE14" s="155">
        <v>0</v>
      </c>
      <c r="AF14" s="224">
        <v>0</v>
      </c>
      <c r="AG14" s="155">
        <v>0</v>
      </c>
      <c r="AH14" s="155">
        <v>0</v>
      </c>
      <c r="AI14" s="155">
        <v>0</v>
      </c>
      <c r="AJ14" s="224">
        <v>0</v>
      </c>
      <c r="AK14" s="155">
        <v>1</v>
      </c>
      <c r="AL14" s="155">
        <v>1</v>
      </c>
      <c r="AM14" s="155">
        <v>0</v>
      </c>
      <c r="AN14" s="224">
        <v>0</v>
      </c>
    </row>
    <row r="15" spans="1:40" ht="14.95" customHeight="1" thickBot="1" x14ac:dyDescent="0.35">
      <c r="A15" s="226">
        <v>44877</v>
      </c>
      <c r="B15" s="227" t="s">
        <v>388</v>
      </c>
      <c r="C15" s="227" t="s">
        <v>77</v>
      </c>
      <c r="D15" s="227" t="s">
        <v>144</v>
      </c>
      <c r="E15" s="223" t="s">
        <v>3</v>
      </c>
      <c r="F15" s="223">
        <v>31</v>
      </c>
      <c r="G15" s="223">
        <v>34</v>
      </c>
      <c r="H15" s="223" t="s">
        <v>72</v>
      </c>
      <c r="I15" s="223" t="s">
        <v>72</v>
      </c>
      <c r="J15" s="223">
        <v>5</v>
      </c>
      <c r="K15" s="223">
        <v>3</v>
      </c>
      <c r="L15" s="223">
        <v>0</v>
      </c>
      <c r="M15" s="223">
        <v>0</v>
      </c>
      <c r="N15" s="223">
        <v>0</v>
      </c>
      <c r="O15" s="223">
        <v>1</v>
      </c>
      <c r="P15" s="223" t="s">
        <v>72</v>
      </c>
      <c r="Q15" s="223" t="s">
        <v>72</v>
      </c>
      <c r="R15" s="223">
        <v>6</v>
      </c>
      <c r="S15" s="290"/>
      <c r="T15" s="396" t="s">
        <v>547</v>
      </c>
      <c r="U15" s="229" t="s">
        <v>159</v>
      </c>
      <c r="V15" s="228" t="s">
        <v>198</v>
      </c>
      <c r="W15" s="225" t="s">
        <v>167</v>
      </c>
      <c r="X15" s="230" t="s">
        <v>149</v>
      </c>
      <c r="Y15" s="155">
        <v>1</v>
      </c>
      <c r="Z15" s="155">
        <v>0</v>
      </c>
      <c r="AA15" s="155">
        <v>0</v>
      </c>
      <c r="AB15" s="224">
        <v>1</v>
      </c>
      <c r="AC15" s="155">
        <v>0</v>
      </c>
      <c r="AD15" s="155">
        <v>0</v>
      </c>
      <c r="AE15" s="155">
        <v>0</v>
      </c>
      <c r="AF15" s="224">
        <v>0</v>
      </c>
      <c r="AG15" s="155">
        <v>1</v>
      </c>
      <c r="AH15" s="155">
        <v>0</v>
      </c>
      <c r="AI15" s="155">
        <v>0</v>
      </c>
      <c r="AJ15" s="224">
        <v>1</v>
      </c>
      <c r="AK15" s="155">
        <v>0</v>
      </c>
      <c r="AL15" s="155">
        <v>0</v>
      </c>
      <c r="AM15" s="155">
        <v>0</v>
      </c>
      <c r="AN15" s="224">
        <v>0</v>
      </c>
    </row>
    <row r="16" spans="1:40" ht="14.95" thickBot="1" x14ac:dyDescent="0.3">
      <c r="A16" s="123"/>
      <c r="B16" s="124"/>
      <c r="C16" s="692" t="s">
        <v>74</v>
      </c>
      <c r="D16" s="693"/>
      <c r="E16" s="694"/>
      <c r="F16" s="122">
        <f>SUM(F3:F7)</f>
        <v>282</v>
      </c>
      <c r="G16" s="122">
        <f t="shared" ref="G16:R16" si="0">SUM(G3:G7)</f>
        <v>22</v>
      </c>
      <c r="H16" s="122">
        <f t="shared" si="0"/>
        <v>4</v>
      </c>
      <c r="I16" s="122">
        <f t="shared" si="0"/>
        <v>0</v>
      </c>
      <c r="J16" s="122">
        <f t="shared" si="0"/>
        <v>45</v>
      </c>
      <c r="K16" s="122">
        <f t="shared" si="0"/>
        <v>27</v>
      </c>
      <c r="L16" s="122">
        <f t="shared" si="0"/>
        <v>0</v>
      </c>
      <c r="M16" s="122">
        <f t="shared" si="0"/>
        <v>1</v>
      </c>
      <c r="N16" s="122">
        <f t="shared" si="0"/>
        <v>1</v>
      </c>
      <c r="O16" s="122">
        <f t="shared" si="0"/>
        <v>0</v>
      </c>
      <c r="P16" s="122">
        <f t="shared" si="0"/>
        <v>0</v>
      </c>
      <c r="Q16" s="122">
        <f t="shared" si="0"/>
        <v>0</v>
      </c>
      <c r="R16" s="122">
        <f t="shared" si="0"/>
        <v>4</v>
      </c>
      <c r="W16" s="119"/>
      <c r="X16" s="158" t="s">
        <v>74</v>
      </c>
      <c r="Y16" s="122">
        <f t="shared" ref="Y16:AN16" si="1">SUM(Y3:Y7)</f>
        <v>5</v>
      </c>
      <c r="Z16" s="122">
        <f t="shared" si="1"/>
        <v>5</v>
      </c>
      <c r="AA16" s="122">
        <f t="shared" si="1"/>
        <v>0</v>
      </c>
      <c r="AB16" s="122">
        <f t="shared" si="1"/>
        <v>0</v>
      </c>
      <c r="AC16" s="120">
        <f t="shared" si="1"/>
        <v>2</v>
      </c>
      <c r="AD16" s="120">
        <f t="shared" si="1"/>
        <v>2</v>
      </c>
      <c r="AE16" s="120">
        <f t="shared" si="1"/>
        <v>0</v>
      </c>
      <c r="AF16" s="120">
        <f t="shared" si="1"/>
        <v>0</v>
      </c>
      <c r="AG16" s="121">
        <f t="shared" si="1"/>
        <v>3</v>
      </c>
      <c r="AH16" s="121">
        <f t="shared" si="1"/>
        <v>3</v>
      </c>
      <c r="AI16" s="121">
        <f t="shared" si="1"/>
        <v>0</v>
      </c>
      <c r="AJ16" s="121">
        <f t="shared" si="1"/>
        <v>0</v>
      </c>
      <c r="AK16" s="122">
        <f t="shared" si="1"/>
        <v>0</v>
      </c>
      <c r="AL16" s="122">
        <f t="shared" si="1"/>
        <v>0</v>
      </c>
      <c r="AM16" s="122">
        <f t="shared" si="1"/>
        <v>0</v>
      </c>
      <c r="AN16" s="122">
        <f t="shared" si="1"/>
        <v>0</v>
      </c>
    </row>
    <row r="17" spans="1:40" ht="14.95" customHeight="1" thickBot="1" x14ac:dyDescent="0.3">
      <c r="A17" s="123"/>
      <c r="B17" s="124"/>
      <c r="C17" s="679" t="s">
        <v>467</v>
      </c>
      <c r="D17" s="680"/>
      <c r="E17" s="681"/>
      <c r="F17" s="414">
        <f>SUM(F10:F12)</f>
        <v>172</v>
      </c>
      <c r="G17" s="414">
        <f t="shared" ref="G17:R17" si="2">SUM(G10:G12)</f>
        <v>26</v>
      </c>
      <c r="H17" s="414">
        <f t="shared" si="2"/>
        <v>2</v>
      </c>
      <c r="I17" s="414">
        <f t="shared" si="2"/>
        <v>0</v>
      </c>
      <c r="J17" s="414">
        <f t="shared" si="2"/>
        <v>28</v>
      </c>
      <c r="K17" s="414">
        <f t="shared" si="2"/>
        <v>13</v>
      </c>
      <c r="L17" s="414">
        <f t="shared" si="2"/>
        <v>0</v>
      </c>
      <c r="M17" s="414">
        <f t="shared" si="2"/>
        <v>2</v>
      </c>
      <c r="N17" s="414">
        <f t="shared" si="2"/>
        <v>1</v>
      </c>
      <c r="O17" s="414">
        <f t="shared" si="2"/>
        <v>0</v>
      </c>
      <c r="P17" s="414">
        <f t="shared" si="2"/>
        <v>0</v>
      </c>
      <c r="Q17" s="414">
        <f t="shared" si="2"/>
        <v>1</v>
      </c>
      <c r="R17" s="414">
        <f t="shared" si="2"/>
        <v>4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3">SUM(Y10:Y12)</f>
        <v>3</v>
      </c>
      <c r="Z17" s="414">
        <f t="shared" si="3"/>
        <v>3</v>
      </c>
      <c r="AA17" s="414">
        <f t="shared" si="3"/>
        <v>0</v>
      </c>
      <c r="AB17" s="414">
        <f t="shared" si="3"/>
        <v>0</v>
      </c>
      <c r="AC17" s="418">
        <f t="shared" si="3"/>
        <v>0</v>
      </c>
      <c r="AD17" s="418">
        <f t="shared" si="3"/>
        <v>0</v>
      </c>
      <c r="AE17" s="418">
        <f t="shared" si="3"/>
        <v>0</v>
      </c>
      <c r="AF17" s="418">
        <f t="shared" si="3"/>
        <v>0</v>
      </c>
      <c r="AG17" s="419">
        <f t="shared" si="3"/>
        <v>0</v>
      </c>
      <c r="AH17" s="419">
        <f t="shared" si="3"/>
        <v>0</v>
      </c>
      <c r="AI17" s="419">
        <f t="shared" si="3"/>
        <v>0</v>
      </c>
      <c r="AJ17" s="419">
        <f t="shared" si="3"/>
        <v>0</v>
      </c>
      <c r="AK17" s="414">
        <f t="shared" si="3"/>
        <v>3</v>
      </c>
      <c r="AL17" s="414">
        <f t="shared" si="3"/>
        <v>3</v>
      </c>
      <c r="AM17" s="414">
        <f t="shared" si="3"/>
        <v>0</v>
      </c>
      <c r="AN17" s="414">
        <f t="shared" si="3"/>
        <v>0</v>
      </c>
    </row>
    <row r="18" spans="1:40" ht="15.8" customHeight="1" thickBot="1" x14ac:dyDescent="0.3">
      <c r="A18" s="123"/>
      <c r="B18" s="124"/>
      <c r="C18" s="679" t="s">
        <v>468</v>
      </c>
      <c r="D18" s="680"/>
      <c r="E18" s="681"/>
      <c r="F18" s="414">
        <f>SUM(F13:F15)</f>
        <v>98</v>
      </c>
      <c r="G18" s="414">
        <f>SUM(G13:G15)</f>
        <v>58</v>
      </c>
      <c r="H18" s="414">
        <v>0</v>
      </c>
      <c r="I18" s="414">
        <v>0</v>
      </c>
      <c r="J18" s="414">
        <f t="shared" ref="J18:O18" si="4">SUM(J13:J15)</f>
        <v>15</v>
      </c>
      <c r="K18" s="414">
        <f t="shared" si="4"/>
        <v>7</v>
      </c>
      <c r="L18" s="414">
        <f t="shared" si="4"/>
        <v>0</v>
      </c>
      <c r="M18" s="414">
        <f t="shared" si="4"/>
        <v>3</v>
      </c>
      <c r="N18" s="414">
        <f t="shared" si="4"/>
        <v>2</v>
      </c>
      <c r="O18" s="414">
        <f t="shared" si="4"/>
        <v>1</v>
      </c>
      <c r="P18" s="414">
        <v>0</v>
      </c>
      <c r="Q18" s="414">
        <v>0</v>
      </c>
      <c r="R18" s="414">
        <f>SUM(R13:R15)</f>
        <v>10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5">SUM(Y13:Y15)</f>
        <v>3</v>
      </c>
      <c r="Z18" s="414">
        <f t="shared" si="5"/>
        <v>2</v>
      </c>
      <c r="AA18" s="414">
        <f t="shared" si="5"/>
        <v>0</v>
      </c>
      <c r="AB18" s="414">
        <f t="shared" si="5"/>
        <v>1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1</v>
      </c>
      <c r="AH18" s="419">
        <f t="shared" si="5"/>
        <v>0</v>
      </c>
      <c r="AI18" s="419">
        <f t="shared" si="5"/>
        <v>0</v>
      </c>
      <c r="AJ18" s="419">
        <f t="shared" si="5"/>
        <v>1</v>
      </c>
      <c r="AK18" s="414">
        <f t="shared" si="5"/>
        <v>2</v>
      </c>
      <c r="AL18" s="414">
        <f t="shared" si="5"/>
        <v>2</v>
      </c>
      <c r="AM18" s="414">
        <f t="shared" si="5"/>
        <v>0</v>
      </c>
      <c r="AN18" s="414">
        <f t="shared" si="5"/>
        <v>0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270</v>
      </c>
      <c r="G19" s="414">
        <f t="shared" ref="G19:R19" si="6">SUM(G17+G18)</f>
        <v>84</v>
      </c>
      <c r="H19" s="414">
        <f t="shared" si="6"/>
        <v>2</v>
      </c>
      <c r="I19" s="414">
        <f t="shared" si="6"/>
        <v>0</v>
      </c>
      <c r="J19" s="414">
        <f t="shared" si="6"/>
        <v>43</v>
      </c>
      <c r="K19" s="414">
        <f t="shared" si="6"/>
        <v>20</v>
      </c>
      <c r="L19" s="414">
        <f t="shared" si="6"/>
        <v>0</v>
      </c>
      <c r="M19" s="414">
        <f t="shared" si="6"/>
        <v>5</v>
      </c>
      <c r="N19" s="414">
        <f t="shared" si="6"/>
        <v>3</v>
      </c>
      <c r="O19" s="414">
        <f t="shared" si="6"/>
        <v>1</v>
      </c>
      <c r="P19" s="414">
        <f t="shared" si="6"/>
        <v>0</v>
      </c>
      <c r="Q19" s="414">
        <f t="shared" si="6"/>
        <v>1</v>
      </c>
      <c r="R19" s="414">
        <f t="shared" si="6"/>
        <v>14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7">SUM(Y17+Y18)</f>
        <v>6</v>
      </c>
      <c r="Z19" s="414">
        <f t="shared" si="7"/>
        <v>5</v>
      </c>
      <c r="AA19" s="414">
        <f t="shared" si="7"/>
        <v>0</v>
      </c>
      <c r="AB19" s="414">
        <f t="shared" si="7"/>
        <v>1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1</v>
      </c>
      <c r="AH19" s="419">
        <f t="shared" si="7"/>
        <v>0</v>
      </c>
      <c r="AI19" s="419">
        <f t="shared" si="7"/>
        <v>0</v>
      </c>
      <c r="AJ19" s="419">
        <f t="shared" si="7"/>
        <v>1</v>
      </c>
      <c r="AK19" s="414">
        <f t="shared" si="7"/>
        <v>5</v>
      </c>
      <c r="AL19" s="414">
        <f t="shared" si="7"/>
        <v>5</v>
      </c>
      <c r="AM19" s="414">
        <f t="shared" si="7"/>
        <v>0</v>
      </c>
      <c r="AN19" s="414">
        <f t="shared" si="7"/>
        <v>0</v>
      </c>
    </row>
    <row r="20" spans="1:40" ht="14.95" thickBot="1" x14ac:dyDescent="0.3">
      <c r="A20" s="123"/>
      <c r="B20" s="124"/>
      <c r="C20" s="686" t="s">
        <v>83</v>
      </c>
      <c r="D20" s="687"/>
      <c r="E20" s="688"/>
      <c r="F20" s="244">
        <f>SUM(F8:F9)</f>
        <v>125</v>
      </c>
      <c r="G20" s="244">
        <f>SUM(G8:G9)</f>
        <v>21</v>
      </c>
      <c r="H20" s="244" t="s">
        <v>72</v>
      </c>
      <c r="I20" s="244" t="s">
        <v>72</v>
      </c>
      <c r="J20" s="244">
        <f t="shared" ref="J20:O20" si="8">SUM(J8:J9)</f>
        <v>19</v>
      </c>
      <c r="K20" s="244">
        <f t="shared" si="8"/>
        <v>14</v>
      </c>
      <c r="L20" s="244">
        <f t="shared" si="8"/>
        <v>0</v>
      </c>
      <c r="M20" s="244">
        <f t="shared" si="8"/>
        <v>0</v>
      </c>
      <c r="N20" s="244">
        <f t="shared" si="8"/>
        <v>2</v>
      </c>
      <c r="O20" s="244">
        <f t="shared" si="8"/>
        <v>0</v>
      </c>
      <c r="P20" s="244" t="s">
        <v>72</v>
      </c>
      <c r="Q20" s="244" t="s">
        <v>72</v>
      </c>
      <c r="R20" s="244">
        <f>SUM(R8:R9)</f>
        <v>3</v>
      </c>
      <c r="S20" s="252"/>
      <c r="T20" s="252"/>
      <c r="U20" s="252"/>
      <c r="V20" s="252"/>
      <c r="W20" s="242"/>
      <c r="X20" s="249" t="s">
        <v>83</v>
      </c>
      <c r="Y20" s="244">
        <f t="shared" ref="Y20:AN20" si="9">SUM(Y8:Y9)</f>
        <v>2</v>
      </c>
      <c r="Z20" s="244">
        <f t="shared" si="9"/>
        <v>2</v>
      </c>
      <c r="AA20" s="244">
        <f t="shared" si="9"/>
        <v>0</v>
      </c>
      <c r="AB20" s="244">
        <f t="shared" si="9"/>
        <v>0</v>
      </c>
      <c r="AC20" s="245">
        <f t="shared" si="9"/>
        <v>2</v>
      </c>
      <c r="AD20" s="245">
        <f t="shared" si="9"/>
        <v>2</v>
      </c>
      <c r="AE20" s="245">
        <f t="shared" si="9"/>
        <v>0</v>
      </c>
      <c r="AF20" s="245">
        <f t="shared" si="9"/>
        <v>0</v>
      </c>
      <c r="AG20" s="246">
        <f t="shared" si="9"/>
        <v>0</v>
      </c>
      <c r="AH20" s="246">
        <f t="shared" si="9"/>
        <v>0</v>
      </c>
      <c r="AI20" s="246">
        <f t="shared" si="9"/>
        <v>0</v>
      </c>
      <c r="AJ20" s="246">
        <f t="shared" si="9"/>
        <v>0</v>
      </c>
      <c r="AK20" s="244">
        <f t="shared" si="9"/>
        <v>0</v>
      </c>
      <c r="AL20" s="244">
        <f t="shared" si="9"/>
        <v>0</v>
      </c>
      <c r="AM20" s="244">
        <f t="shared" si="9"/>
        <v>0</v>
      </c>
      <c r="AN20" s="244">
        <f t="shared" si="9"/>
        <v>0</v>
      </c>
    </row>
    <row r="21" spans="1:40" ht="14.95" thickBot="1" x14ac:dyDescent="0.3">
      <c r="A21" s="123"/>
      <c r="B21" s="124"/>
      <c r="C21" s="682" t="s">
        <v>73</v>
      </c>
      <c r="D21" s="683"/>
      <c r="E21" s="684"/>
      <c r="F21" s="150">
        <f t="shared" ref="F21:R21" si="10">SUM(F3:F15)</f>
        <v>677</v>
      </c>
      <c r="G21" s="150">
        <f t="shared" si="10"/>
        <v>127</v>
      </c>
      <c r="H21" s="150">
        <f t="shared" si="10"/>
        <v>6</v>
      </c>
      <c r="I21" s="150">
        <f t="shared" si="10"/>
        <v>0</v>
      </c>
      <c r="J21" s="150">
        <f t="shared" si="10"/>
        <v>107</v>
      </c>
      <c r="K21" s="150">
        <f t="shared" si="10"/>
        <v>61</v>
      </c>
      <c r="L21" s="150">
        <f t="shared" si="10"/>
        <v>0</v>
      </c>
      <c r="M21" s="150">
        <f t="shared" si="10"/>
        <v>6</v>
      </c>
      <c r="N21" s="150">
        <f t="shared" si="10"/>
        <v>6</v>
      </c>
      <c r="O21" s="150">
        <f t="shared" si="10"/>
        <v>1</v>
      </c>
      <c r="P21" s="150">
        <f t="shared" si="10"/>
        <v>0</v>
      </c>
      <c r="Q21" s="150">
        <f t="shared" si="10"/>
        <v>1</v>
      </c>
      <c r="R21" s="150">
        <f t="shared" si="10"/>
        <v>21</v>
      </c>
      <c r="S21" s="237"/>
      <c r="T21" s="237"/>
      <c r="U21" s="237"/>
      <c r="V21" s="237"/>
      <c r="W21" s="12"/>
      <c r="X21" s="155" t="s">
        <v>73</v>
      </c>
      <c r="Y21" s="150">
        <f t="shared" ref="Y21:AN21" si="11">SUM(Y3:Y15)</f>
        <v>13</v>
      </c>
      <c r="Z21" s="150">
        <f t="shared" si="11"/>
        <v>12</v>
      </c>
      <c r="AA21" s="150">
        <f t="shared" si="11"/>
        <v>0</v>
      </c>
      <c r="AB21" s="150">
        <f t="shared" si="11"/>
        <v>1</v>
      </c>
      <c r="AC21" s="148">
        <f t="shared" si="11"/>
        <v>4</v>
      </c>
      <c r="AD21" s="148">
        <f t="shared" si="11"/>
        <v>4</v>
      </c>
      <c r="AE21" s="148">
        <f t="shared" si="11"/>
        <v>0</v>
      </c>
      <c r="AF21" s="148">
        <f t="shared" si="11"/>
        <v>0</v>
      </c>
      <c r="AG21" s="149">
        <f t="shared" si="11"/>
        <v>4</v>
      </c>
      <c r="AH21" s="149">
        <f t="shared" si="11"/>
        <v>3</v>
      </c>
      <c r="AI21" s="149">
        <f t="shared" si="11"/>
        <v>0</v>
      </c>
      <c r="AJ21" s="149">
        <f t="shared" si="11"/>
        <v>1</v>
      </c>
      <c r="AK21" s="150">
        <f t="shared" si="11"/>
        <v>5</v>
      </c>
      <c r="AL21" s="150">
        <f t="shared" si="11"/>
        <v>5</v>
      </c>
      <c r="AM21" s="150">
        <f t="shared" si="11"/>
        <v>0</v>
      </c>
      <c r="AN21" s="150">
        <f t="shared" si="11"/>
        <v>0</v>
      </c>
    </row>
    <row r="22" spans="1:40" x14ac:dyDescent="0.25">
      <c r="A22" s="685" t="s">
        <v>85</v>
      </c>
      <c r="B22" s="637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</row>
    <row r="23" spans="1:40" x14ac:dyDescent="0.25">
      <c r="A23" s="258" t="s">
        <v>127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x14ac:dyDescent="0.25">
      <c r="A24" t="s">
        <v>134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5">
      <c r="A25" t="s">
        <v>145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25">
      <c r="A26" t="s">
        <v>143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x14ac:dyDescent="0.25">
      <c r="A27" t="s">
        <v>371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x14ac:dyDescent="0.25">
      <c r="A28" t="s">
        <v>400</v>
      </c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5">
      <c r="A29" s="238"/>
      <c r="B29" s="76" t="s">
        <v>42</v>
      </c>
    </row>
    <row r="30" spans="1:40" x14ac:dyDescent="0.25">
      <c r="A30" s="140"/>
      <c r="B30" s="76" t="s">
        <v>40</v>
      </c>
    </row>
    <row r="31" spans="1:40" x14ac:dyDescent="0.25">
      <c r="A31" s="239"/>
      <c r="B31" s="76" t="s">
        <v>41</v>
      </c>
    </row>
    <row r="32" spans="1:40" x14ac:dyDescent="0.25">
      <c r="A32" s="258" t="s">
        <v>28</v>
      </c>
    </row>
  </sheetData>
  <mergeCells count="17">
    <mergeCell ref="A22:AN22"/>
    <mergeCell ref="Y1:AB1"/>
    <mergeCell ref="AC1:AF1"/>
    <mergeCell ref="AG1:AJ1"/>
    <mergeCell ref="AK1:AN1"/>
    <mergeCell ref="C16:E16"/>
    <mergeCell ref="P1:R1"/>
    <mergeCell ref="C20:E20"/>
    <mergeCell ref="C21:E21"/>
    <mergeCell ref="J1:M1"/>
    <mergeCell ref="N1:O1"/>
    <mergeCell ref="A1:C1"/>
    <mergeCell ref="E1:G1"/>
    <mergeCell ref="H1:I1"/>
    <mergeCell ref="C17:E17"/>
    <mergeCell ref="C18:E18"/>
    <mergeCell ref="C19:E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70E3-2EB6-4729-8DEA-491A8AA8D143}">
  <dimension ref="A1:AN33"/>
  <sheetViews>
    <sheetView zoomScaleNormal="100" workbookViewId="0">
      <selection activeCell="B14" sqref="B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2.125" bestFit="1" customWidth="1"/>
    <col min="22" max="22" width="17.5" bestFit="1" customWidth="1"/>
    <col min="23" max="23" width="20.125" bestFit="1" customWidth="1"/>
    <col min="24" max="24" width="20.75" customWidth="1"/>
    <col min="25" max="40" width="3.75" customWidth="1"/>
  </cols>
  <sheetData>
    <row r="1" spans="1:40" ht="14.95" customHeight="1" thickBot="1" x14ac:dyDescent="0.3">
      <c r="A1" s="732" t="s">
        <v>243</v>
      </c>
      <c r="B1" s="733"/>
      <c r="C1" s="733"/>
      <c r="D1" s="318"/>
      <c r="E1" s="734" t="s">
        <v>24</v>
      </c>
      <c r="F1" s="735"/>
      <c r="G1" s="736"/>
      <c r="H1" s="734" t="s">
        <v>81</v>
      </c>
      <c r="I1" s="736"/>
      <c r="J1" s="737" t="s">
        <v>6</v>
      </c>
      <c r="K1" s="738"/>
      <c r="L1" s="738"/>
      <c r="M1" s="739"/>
      <c r="N1" s="737" t="s">
        <v>7</v>
      </c>
      <c r="O1" s="739"/>
      <c r="P1" s="737" t="s">
        <v>25</v>
      </c>
      <c r="Q1" s="738"/>
      <c r="R1" s="739"/>
      <c r="S1" s="319" t="s">
        <v>8</v>
      </c>
      <c r="T1" s="319" t="s">
        <v>9</v>
      </c>
      <c r="U1" s="320" t="s">
        <v>10</v>
      </c>
      <c r="V1" s="320" t="s">
        <v>11</v>
      </c>
      <c r="W1" s="320" t="s">
        <v>26</v>
      </c>
      <c r="X1" s="320" t="s">
        <v>27</v>
      </c>
      <c r="Y1" s="729" t="s">
        <v>20</v>
      </c>
      <c r="Z1" s="730"/>
      <c r="AA1" s="730"/>
      <c r="AB1" s="731"/>
      <c r="AC1" s="729" t="s">
        <v>58</v>
      </c>
      <c r="AD1" s="730"/>
      <c r="AE1" s="730"/>
      <c r="AF1" s="731"/>
      <c r="AG1" s="729" t="s">
        <v>59</v>
      </c>
      <c r="AH1" s="730"/>
      <c r="AI1" s="730"/>
      <c r="AJ1" s="731"/>
      <c r="AK1" s="729" t="s">
        <v>60</v>
      </c>
      <c r="AL1" s="730"/>
      <c r="AM1" s="730"/>
      <c r="AN1" s="731"/>
    </row>
    <row r="2" spans="1:40" ht="14.95" customHeight="1" thickBot="1" x14ac:dyDescent="0.3">
      <c r="A2" s="321" t="s">
        <v>19</v>
      </c>
      <c r="B2" s="322" t="s">
        <v>18</v>
      </c>
      <c r="C2" s="323" t="s">
        <v>17</v>
      </c>
      <c r="D2" s="323" t="s">
        <v>39</v>
      </c>
      <c r="E2" s="324" t="s">
        <v>16</v>
      </c>
      <c r="F2" s="324" t="s">
        <v>4</v>
      </c>
      <c r="G2" s="324" t="s">
        <v>5</v>
      </c>
      <c r="H2" s="325" t="s">
        <v>12</v>
      </c>
      <c r="I2" s="325" t="s">
        <v>3</v>
      </c>
      <c r="J2" s="325" t="s">
        <v>12</v>
      </c>
      <c r="K2" s="325" t="s">
        <v>13</v>
      </c>
      <c r="L2" s="325" t="s">
        <v>2</v>
      </c>
      <c r="M2" s="325" t="s">
        <v>14</v>
      </c>
      <c r="N2" s="325" t="s">
        <v>15</v>
      </c>
      <c r="O2" s="325" t="s">
        <v>16</v>
      </c>
      <c r="P2" s="325" t="s">
        <v>21</v>
      </c>
      <c r="Q2" s="325" t="s">
        <v>22</v>
      </c>
      <c r="R2" s="325" t="s">
        <v>12</v>
      </c>
      <c r="S2" s="326"/>
      <c r="T2" s="327"/>
      <c r="U2" s="328"/>
      <c r="V2" s="326"/>
      <c r="W2" s="320"/>
      <c r="X2" s="329"/>
      <c r="Y2" s="330" t="s">
        <v>0</v>
      </c>
      <c r="Z2" s="330" t="s">
        <v>1</v>
      </c>
      <c r="AA2" s="330" t="s">
        <v>2</v>
      </c>
      <c r="AB2" s="330" t="s">
        <v>3</v>
      </c>
      <c r="AC2" s="330" t="s">
        <v>0</v>
      </c>
      <c r="AD2" s="330" t="s">
        <v>1</v>
      </c>
      <c r="AE2" s="330" t="s">
        <v>2</v>
      </c>
      <c r="AF2" s="330" t="s">
        <v>3</v>
      </c>
      <c r="AG2" s="330" t="s">
        <v>0</v>
      </c>
      <c r="AH2" s="330" t="s">
        <v>1</v>
      </c>
      <c r="AI2" s="330" t="s">
        <v>2</v>
      </c>
      <c r="AJ2" s="330" t="s">
        <v>3</v>
      </c>
      <c r="AK2" s="330" t="s">
        <v>0</v>
      </c>
      <c r="AL2" s="330" t="s">
        <v>1</v>
      </c>
      <c r="AM2" s="330" t="s">
        <v>2</v>
      </c>
      <c r="AN2" s="330" t="s">
        <v>3</v>
      </c>
    </row>
    <row r="3" spans="1:40" ht="29.25" thickBot="1" x14ac:dyDescent="0.3">
      <c r="A3" s="226">
        <v>44682</v>
      </c>
      <c r="B3" s="227" t="s">
        <v>246</v>
      </c>
      <c r="C3" s="227" t="s">
        <v>36</v>
      </c>
      <c r="D3" s="227" t="s">
        <v>247</v>
      </c>
      <c r="E3" s="223" t="s">
        <v>3</v>
      </c>
      <c r="F3" s="223">
        <v>14</v>
      </c>
      <c r="G3" s="223">
        <v>28</v>
      </c>
      <c r="H3" s="223" t="s">
        <v>72</v>
      </c>
      <c r="I3" s="223" t="s">
        <v>72</v>
      </c>
      <c r="J3" s="223">
        <v>2</v>
      </c>
      <c r="K3" s="223">
        <v>2</v>
      </c>
      <c r="L3" s="223">
        <v>0</v>
      </c>
      <c r="M3" s="223">
        <v>0</v>
      </c>
      <c r="N3" s="223">
        <v>2</v>
      </c>
      <c r="O3" s="223">
        <v>0</v>
      </c>
      <c r="P3" s="223" t="s">
        <v>72</v>
      </c>
      <c r="Q3" s="223" t="s">
        <v>72</v>
      </c>
      <c r="R3" s="223">
        <v>3</v>
      </c>
      <c r="S3" s="228"/>
      <c r="T3" s="397" t="s">
        <v>248</v>
      </c>
      <c r="U3" s="229" t="s">
        <v>249</v>
      </c>
      <c r="V3" s="228" t="s">
        <v>250</v>
      </c>
      <c r="W3" s="225" t="s">
        <v>251</v>
      </c>
      <c r="X3" s="230" t="s">
        <v>252</v>
      </c>
      <c r="Y3" s="155">
        <v>1</v>
      </c>
      <c r="Z3" s="155">
        <v>0</v>
      </c>
      <c r="AA3" s="155">
        <v>0</v>
      </c>
      <c r="AB3" s="224">
        <v>1</v>
      </c>
      <c r="AC3" s="155">
        <v>0</v>
      </c>
      <c r="AD3" s="155">
        <v>0</v>
      </c>
      <c r="AE3" s="155">
        <v>0</v>
      </c>
      <c r="AF3" s="224">
        <v>0</v>
      </c>
      <c r="AG3" s="155">
        <v>0</v>
      </c>
      <c r="AH3" s="155">
        <v>0</v>
      </c>
      <c r="AI3" s="155">
        <v>0</v>
      </c>
      <c r="AJ3" s="224">
        <v>0</v>
      </c>
      <c r="AK3" s="155">
        <v>1</v>
      </c>
      <c r="AL3" s="155">
        <v>0</v>
      </c>
      <c r="AM3" s="155">
        <v>0</v>
      </c>
      <c r="AN3" s="224">
        <v>1</v>
      </c>
    </row>
    <row r="4" spans="1:40" ht="14.95" thickBot="1" x14ac:dyDescent="0.3">
      <c r="A4" s="184">
        <v>44687</v>
      </c>
      <c r="B4" s="186" t="s">
        <v>246</v>
      </c>
      <c r="C4" s="186" t="s">
        <v>29</v>
      </c>
      <c r="D4" s="186" t="s">
        <v>254</v>
      </c>
      <c r="E4" s="187" t="s">
        <v>3</v>
      </c>
      <c r="F4" s="187">
        <v>19</v>
      </c>
      <c r="G4" s="187">
        <v>36</v>
      </c>
      <c r="H4" s="187" t="s">
        <v>72</v>
      </c>
      <c r="I4" s="187" t="s">
        <v>72</v>
      </c>
      <c r="J4" s="187">
        <v>3</v>
      </c>
      <c r="K4" s="187">
        <v>2</v>
      </c>
      <c r="L4" s="187">
        <v>0</v>
      </c>
      <c r="M4" s="187">
        <v>0</v>
      </c>
      <c r="N4" s="187">
        <v>1</v>
      </c>
      <c r="O4" s="187">
        <v>0</v>
      </c>
      <c r="P4" s="187" t="s">
        <v>72</v>
      </c>
      <c r="Q4" s="187" t="s">
        <v>72</v>
      </c>
      <c r="R4" s="187">
        <v>6</v>
      </c>
      <c r="S4" s="191"/>
      <c r="T4" s="195" t="s">
        <v>259</v>
      </c>
      <c r="U4" s="193" t="s">
        <v>214</v>
      </c>
      <c r="V4" s="191" t="s">
        <v>257</v>
      </c>
      <c r="W4" s="188" t="s">
        <v>258</v>
      </c>
      <c r="X4" s="194" t="s">
        <v>249</v>
      </c>
      <c r="Y4" s="189">
        <v>1</v>
      </c>
      <c r="Z4" s="189">
        <v>0</v>
      </c>
      <c r="AA4" s="189">
        <v>0</v>
      </c>
      <c r="AB4" s="190">
        <v>1</v>
      </c>
      <c r="AC4" s="189">
        <v>0</v>
      </c>
      <c r="AD4" s="189">
        <v>0</v>
      </c>
      <c r="AE4" s="189">
        <v>0</v>
      </c>
      <c r="AF4" s="190">
        <v>0</v>
      </c>
      <c r="AG4" s="189">
        <v>1</v>
      </c>
      <c r="AH4" s="189">
        <v>0</v>
      </c>
      <c r="AI4" s="189">
        <v>0</v>
      </c>
      <c r="AJ4" s="190">
        <v>1</v>
      </c>
      <c r="AK4" s="189">
        <v>0</v>
      </c>
      <c r="AL4" s="189">
        <v>0</v>
      </c>
      <c r="AM4" s="189">
        <v>0</v>
      </c>
      <c r="AN4" s="190">
        <v>0</v>
      </c>
    </row>
    <row r="5" spans="1:40" ht="17" thickBot="1" x14ac:dyDescent="0.35">
      <c r="A5" s="226">
        <v>44751</v>
      </c>
      <c r="B5" s="227" t="s">
        <v>301</v>
      </c>
      <c r="C5" s="227" t="s">
        <v>302</v>
      </c>
      <c r="D5" s="227" t="s">
        <v>307</v>
      </c>
      <c r="E5" s="223" t="s">
        <v>1</v>
      </c>
      <c r="F5" s="223">
        <v>152</v>
      </c>
      <c r="G5" s="223">
        <v>0</v>
      </c>
      <c r="H5" s="223">
        <v>1</v>
      </c>
      <c r="I5" s="223">
        <v>0</v>
      </c>
      <c r="J5" s="223">
        <v>24</v>
      </c>
      <c r="K5" s="223">
        <v>16</v>
      </c>
      <c r="L5" s="223">
        <v>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8"/>
      <c r="T5" s="231" t="s">
        <v>304</v>
      </c>
      <c r="U5" s="229" t="s">
        <v>309</v>
      </c>
      <c r="V5" s="228"/>
      <c r="W5" s="229"/>
      <c r="X5" s="225"/>
      <c r="Y5" s="155">
        <v>1</v>
      </c>
      <c r="Z5" s="155">
        <v>1</v>
      </c>
      <c r="AA5" s="155">
        <v>0</v>
      </c>
      <c r="AB5" s="224">
        <v>0</v>
      </c>
      <c r="AC5" s="155">
        <v>0</v>
      </c>
      <c r="AD5" s="155">
        <v>0</v>
      </c>
      <c r="AE5" s="155">
        <v>0</v>
      </c>
      <c r="AF5" s="224">
        <v>0</v>
      </c>
      <c r="AG5" s="155">
        <v>0</v>
      </c>
      <c r="AH5" s="155">
        <v>0</v>
      </c>
      <c r="AI5" s="155">
        <v>0</v>
      </c>
      <c r="AJ5" s="224">
        <v>0</v>
      </c>
      <c r="AK5" s="155">
        <v>1</v>
      </c>
      <c r="AL5" s="155">
        <v>1</v>
      </c>
      <c r="AM5" s="155">
        <v>0</v>
      </c>
      <c r="AN5" s="224">
        <v>0</v>
      </c>
    </row>
    <row r="6" spans="1:40" ht="14.95" customHeight="1" thickBot="1" x14ac:dyDescent="0.35">
      <c r="A6" s="226">
        <v>44755</v>
      </c>
      <c r="B6" s="227" t="s">
        <v>301</v>
      </c>
      <c r="C6" s="227" t="s">
        <v>297</v>
      </c>
      <c r="D6" s="227" t="s">
        <v>306</v>
      </c>
      <c r="E6" s="223" t="s">
        <v>1</v>
      </c>
      <c r="F6" s="223">
        <v>34</v>
      </c>
      <c r="G6" s="223">
        <v>0</v>
      </c>
      <c r="H6" s="223">
        <v>1</v>
      </c>
      <c r="I6" s="223">
        <v>0</v>
      </c>
      <c r="J6" s="223">
        <v>6</v>
      </c>
      <c r="K6" s="223">
        <v>2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3">
        <v>0</v>
      </c>
      <c r="R6" s="223">
        <v>0</v>
      </c>
      <c r="S6" s="228"/>
      <c r="T6" s="231" t="s">
        <v>213</v>
      </c>
      <c r="U6" s="229" t="s">
        <v>310</v>
      </c>
      <c r="V6" s="228"/>
      <c r="W6" s="225"/>
      <c r="X6" s="230"/>
      <c r="Y6" s="155">
        <v>1</v>
      </c>
      <c r="Z6" s="155">
        <v>1</v>
      </c>
      <c r="AA6" s="155">
        <v>0</v>
      </c>
      <c r="AB6" s="224">
        <v>0</v>
      </c>
      <c r="AC6" s="155">
        <v>0</v>
      </c>
      <c r="AD6" s="155">
        <v>0</v>
      </c>
      <c r="AE6" s="155">
        <v>0</v>
      </c>
      <c r="AF6" s="224">
        <v>0</v>
      </c>
      <c r="AG6" s="155">
        <v>0</v>
      </c>
      <c r="AH6" s="155">
        <v>0</v>
      </c>
      <c r="AI6" s="155">
        <v>0</v>
      </c>
      <c r="AJ6" s="224">
        <v>0</v>
      </c>
      <c r="AK6" s="155">
        <v>1</v>
      </c>
      <c r="AL6" s="155">
        <v>1</v>
      </c>
      <c r="AM6" s="155">
        <v>0</v>
      </c>
      <c r="AN6" s="224">
        <v>0</v>
      </c>
    </row>
    <row r="7" spans="1:40" ht="14.95" thickBot="1" x14ac:dyDescent="0.3">
      <c r="A7" s="226">
        <v>44759</v>
      </c>
      <c r="B7" s="227" t="s">
        <v>301</v>
      </c>
      <c r="C7" s="227" t="s">
        <v>296</v>
      </c>
      <c r="D7" s="227" t="s">
        <v>307</v>
      </c>
      <c r="E7" s="223" t="s">
        <v>1</v>
      </c>
      <c r="F7" s="223">
        <v>31</v>
      </c>
      <c r="G7" s="223">
        <v>24</v>
      </c>
      <c r="H7" s="223">
        <v>1</v>
      </c>
      <c r="I7" s="223">
        <v>0</v>
      </c>
      <c r="J7" s="223">
        <v>5</v>
      </c>
      <c r="K7" s="223">
        <v>3</v>
      </c>
      <c r="L7" s="223">
        <v>0</v>
      </c>
      <c r="M7" s="223">
        <v>0</v>
      </c>
      <c r="N7" s="223">
        <v>2</v>
      </c>
      <c r="O7" s="223">
        <v>0</v>
      </c>
      <c r="P7" s="223">
        <v>0</v>
      </c>
      <c r="Q7" s="223">
        <v>1</v>
      </c>
      <c r="R7" s="223">
        <v>2</v>
      </c>
      <c r="S7" s="228"/>
      <c r="T7" s="259" t="s">
        <v>311</v>
      </c>
      <c r="U7" s="229" t="s">
        <v>310</v>
      </c>
      <c r="V7" s="228"/>
      <c r="W7" s="225"/>
      <c r="X7" s="230"/>
      <c r="Y7" s="155">
        <v>1</v>
      </c>
      <c r="Z7" s="155">
        <v>1</v>
      </c>
      <c r="AA7" s="155">
        <v>0</v>
      </c>
      <c r="AB7" s="224">
        <v>0</v>
      </c>
      <c r="AC7" s="155">
        <v>0</v>
      </c>
      <c r="AD7" s="155">
        <v>0</v>
      </c>
      <c r="AE7" s="155">
        <v>0</v>
      </c>
      <c r="AF7" s="224">
        <v>0</v>
      </c>
      <c r="AG7" s="155">
        <v>0</v>
      </c>
      <c r="AH7" s="155">
        <v>0</v>
      </c>
      <c r="AI7" s="155">
        <v>0</v>
      </c>
      <c r="AJ7" s="224">
        <v>0</v>
      </c>
      <c r="AK7" s="155">
        <v>1</v>
      </c>
      <c r="AL7" s="155">
        <v>1</v>
      </c>
      <c r="AM7" s="155">
        <v>0</v>
      </c>
      <c r="AN7" s="224">
        <v>0</v>
      </c>
    </row>
    <row r="8" spans="1:40" ht="17" thickBot="1" x14ac:dyDescent="0.35">
      <c r="A8" s="203">
        <v>44820</v>
      </c>
      <c r="B8" s="204" t="s">
        <v>246</v>
      </c>
      <c r="C8" s="204" t="s">
        <v>405</v>
      </c>
      <c r="D8" s="204" t="s">
        <v>407</v>
      </c>
      <c r="E8" s="205" t="s">
        <v>1</v>
      </c>
      <c r="F8" s="205">
        <v>32</v>
      </c>
      <c r="G8" s="205">
        <v>10</v>
      </c>
      <c r="H8" s="205" t="s">
        <v>72</v>
      </c>
      <c r="I8" s="205" t="s">
        <v>72</v>
      </c>
      <c r="J8" s="205">
        <v>6</v>
      </c>
      <c r="K8" s="205">
        <v>1</v>
      </c>
      <c r="L8" s="205">
        <v>0</v>
      </c>
      <c r="M8" s="205">
        <v>0</v>
      </c>
      <c r="N8" s="205">
        <v>0</v>
      </c>
      <c r="O8" s="205">
        <v>0</v>
      </c>
      <c r="P8" s="205" t="s">
        <v>72</v>
      </c>
      <c r="Q8" s="205" t="s">
        <v>72</v>
      </c>
      <c r="R8" s="205">
        <v>2</v>
      </c>
      <c r="S8" s="206"/>
      <c r="T8" s="215" t="s">
        <v>409</v>
      </c>
      <c r="U8" s="208"/>
      <c r="V8" s="206"/>
      <c r="W8" s="206"/>
      <c r="X8" s="210"/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thickBot="1" x14ac:dyDescent="0.3">
      <c r="A9" s="203">
        <v>44827</v>
      </c>
      <c r="B9" s="204" t="s">
        <v>246</v>
      </c>
      <c r="C9" s="204" t="s">
        <v>38</v>
      </c>
      <c r="D9" s="204" t="s">
        <v>407</v>
      </c>
      <c r="E9" s="205" t="s">
        <v>3</v>
      </c>
      <c r="F9" s="205">
        <v>7</v>
      </c>
      <c r="G9" s="205">
        <v>24</v>
      </c>
      <c r="H9" s="205" t="s">
        <v>72</v>
      </c>
      <c r="I9" s="205" t="s">
        <v>72</v>
      </c>
      <c r="J9" s="205">
        <v>1</v>
      </c>
      <c r="K9" s="205">
        <v>1</v>
      </c>
      <c r="L9" s="205">
        <v>0</v>
      </c>
      <c r="M9" s="205">
        <v>0</v>
      </c>
      <c r="N9" s="205">
        <v>0</v>
      </c>
      <c r="O9" s="205">
        <v>0</v>
      </c>
      <c r="P9" s="205" t="s">
        <v>72</v>
      </c>
      <c r="Q9" s="205" t="s">
        <v>72</v>
      </c>
      <c r="R9" s="205">
        <v>4</v>
      </c>
      <c r="S9" s="206"/>
      <c r="T9" s="376" t="s">
        <v>263</v>
      </c>
      <c r="U9" s="208"/>
      <c r="V9" s="206"/>
      <c r="W9" s="206"/>
      <c r="X9" s="210"/>
      <c r="Y9" s="211">
        <v>1</v>
      </c>
      <c r="Z9" s="211">
        <v>0</v>
      </c>
      <c r="AA9" s="211">
        <v>0</v>
      </c>
      <c r="AB9" s="212">
        <v>1</v>
      </c>
      <c r="AC9" s="211">
        <v>1</v>
      </c>
      <c r="AD9" s="211">
        <v>0</v>
      </c>
      <c r="AE9" s="211">
        <v>0</v>
      </c>
      <c r="AF9" s="212">
        <v>1</v>
      </c>
      <c r="AG9" s="211">
        <v>0</v>
      </c>
      <c r="AH9" s="211">
        <v>0</v>
      </c>
      <c r="AI9" s="211">
        <v>0</v>
      </c>
      <c r="AJ9" s="212">
        <v>0</v>
      </c>
      <c r="AK9" s="211">
        <v>0</v>
      </c>
      <c r="AL9" s="211">
        <v>0</v>
      </c>
      <c r="AM9" s="211">
        <v>0</v>
      </c>
      <c r="AN9" s="212">
        <v>0</v>
      </c>
    </row>
    <row r="10" spans="1:40" ht="14.95" customHeight="1" thickBot="1" x14ac:dyDescent="0.3">
      <c r="A10" s="226">
        <v>44842</v>
      </c>
      <c r="B10" s="227" t="s">
        <v>139</v>
      </c>
      <c r="C10" s="227" t="s">
        <v>30</v>
      </c>
      <c r="D10" s="227" t="s">
        <v>144</v>
      </c>
      <c r="E10" s="223" t="s">
        <v>3</v>
      </c>
      <c r="F10" s="223">
        <v>19</v>
      </c>
      <c r="G10" s="223">
        <v>84</v>
      </c>
      <c r="H10" s="223">
        <v>0</v>
      </c>
      <c r="I10" s="223">
        <v>0</v>
      </c>
      <c r="J10" s="223">
        <v>3</v>
      </c>
      <c r="K10" s="223">
        <v>2</v>
      </c>
      <c r="L10" s="223">
        <v>0</v>
      </c>
      <c r="M10" s="223">
        <v>0</v>
      </c>
      <c r="N10" s="223">
        <v>1</v>
      </c>
      <c r="O10" s="223">
        <v>0</v>
      </c>
      <c r="P10" s="223">
        <v>1</v>
      </c>
      <c r="Q10" s="223">
        <v>0</v>
      </c>
      <c r="R10" s="223">
        <v>14</v>
      </c>
      <c r="S10" s="228"/>
      <c r="T10" s="240" t="s">
        <v>481</v>
      </c>
      <c r="U10" s="229" t="s">
        <v>149</v>
      </c>
      <c r="V10" s="228" t="s">
        <v>166</v>
      </c>
      <c r="W10" s="228" t="s">
        <v>211</v>
      </c>
      <c r="X10" s="623" t="s">
        <v>209</v>
      </c>
      <c r="Y10" s="155">
        <v>1</v>
      </c>
      <c r="Z10" s="155">
        <v>0</v>
      </c>
      <c r="AA10" s="155">
        <v>0</v>
      </c>
      <c r="AB10" s="224">
        <v>1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0</v>
      </c>
      <c r="AM10" s="155">
        <v>0</v>
      </c>
      <c r="AN10" s="224">
        <v>1</v>
      </c>
    </row>
    <row r="11" spans="1:40" ht="17" thickBot="1" x14ac:dyDescent="0.35">
      <c r="A11" s="226">
        <v>44850</v>
      </c>
      <c r="B11" s="227" t="s">
        <v>139</v>
      </c>
      <c r="C11" s="227" t="s">
        <v>86</v>
      </c>
      <c r="D11" s="227" t="s">
        <v>79</v>
      </c>
      <c r="E11" s="223" t="s">
        <v>1</v>
      </c>
      <c r="F11" s="223">
        <v>21</v>
      </c>
      <c r="G11" s="223">
        <v>17</v>
      </c>
      <c r="H11" s="223">
        <v>0</v>
      </c>
      <c r="I11" s="223">
        <v>0</v>
      </c>
      <c r="J11" s="223">
        <v>3</v>
      </c>
      <c r="K11" s="223">
        <v>3</v>
      </c>
      <c r="L11" s="223">
        <v>0</v>
      </c>
      <c r="M11" s="223">
        <v>0</v>
      </c>
      <c r="N11" s="223">
        <v>1</v>
      </c>
      <c r="O11" s="223">
        <v>0</v>
      </c>
      <c r="P11" s="223">
        <v>0</v>
      </c>
      <c r="Q11" s="223">
        <v>1</v>
      </c>
      <c r="R11" s="223">
        <v>2</v>
      </c>
      <c r="S11" s="228"/>
      <c r="T11" s="231" t="s">
        <v>176</v>
      </c>
      <c r="U11" s="229" t="s">
        <v>236</v>
      </c>
      <c r="V11" s="228" t="s">
        <v>117</v>
      </c>
      <c r="W11" s="228" t="s">
        <v>149</v>
      </c>
      <c r="X11" s="230" t="s">
        <v>182</v>
      </c>
      <c r="Y11" s="155">
        <v>1</v>
      </c>
      <c r="Z11" s="155">
        <v>1</v>
      </c>
      <c r="AA11" s="155">
        <v>0</v>
      </c>
      <c r="AB11" s="224">
        <v>0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1</v>
      </c>
      <c r="AM11" s="155">
        <v>0</v>
      </c>
      <c r="AN11" s="224">
        <v>0</v>
      </c>
    </row>
    <row r="12" spans="1:40" ht="14.95" thickBot="1" x14ac:dyDescent="0.3">
      <c r="A12" s="226">
        <v>44856</v>
      </c>
      <c r="B12" s="227" t="s">
        <v>139</v>
      </c>
      <c r="C12" s="227" t="s">
        <v>34</v>
      </c>
      <c r="D12" s="227" t="s">
        <v>140</v>
      </c>
      <c r="E12" s="223" t="s">
        <v>3</v>
      </c>
      <c r="F12" s="223">
        <v>0</v>
      </c>
      <c r="G12" s="223">
        <v>44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223">
        <v>0</v>
      </c>
      <c r="N12" s="223">
        <v>2</v>
      </c>
      <c r="O12" s="223">
        <v>0</v>
      </c>
      <c r="P12" s="223">
        <v>1</v>
      </c>
      <c r="Q12" s="223">
        <v>0</v>
      </c>
      <c r="R12" s="223">
        <v>7</v>
      </c>
      <c r="S12" s="290"/>
      <c r="T12" s="240" t="s">
        <v>507</v>
      </c>
      <c r="U12" s="229" t="s">
        <v>214</v>
      </c>
      <c r="V12" s="625" t="s">
        <v>198</v>
      </c>
      <c r="W12" s="228" t="s">
        <v>194</v>
      </c>
      <c r="X12" s="629" t="s">
        <v>209</v>
      </c>
      <c r="Y12" s="155">
        <v>1</v>
      </c>
      <c r="Z12" s="155">
        <v>0</v>
      </c>
      <c r="AA12" s="155">
        <v>0</v>
      </c>
      <c r="AB12" s="224">
        <v>1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0</v>
      </c>
      <c r="AM12" s="155">
        <v>0</v>
      </c>
      <c r="AN12" s="224">
        <v>1</v>
      </c>
    </row>
    <row r="13" spans="1:40" ht="17" thickBot="1" x14ac:dyDescent="0.35">
      <c r="A13" s="226"/>
      <c r="B13" s="227"/>
      <c r="C13" s="227"/>
      <c r="D13" s="227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90"/>
      <c r="T13" s="231"/>
      <c r="U13" s="229"/>
      <c r="V13" s="228"/>
      <c r="W13" s="229"/>
      <c r="X13" s="228"/>
      <c r="Y13" s="155"/>
      <c r="Z13" s="155"/>
      <c r="AA13" s="155"/>
      <c r="AB13" s="224"/>
      <c r="AC13" s="155"/>
      <c r="AD13" s="155"/>
      <c r="AE13" s="155"/>
      <c r="AF13" s="224"/>
      <c r="AG13" s="155"/>
      <c r="AH13" s="155"/>
      <c r="AI13" s="155"/>
      <c r="AJ13" s="224"/>
      <c r="AK13" s="155"/>
      <c r="AL13" s="155"/>
      <c r="AM13" s="155"/>
      <c r="AN13" s="224"/>
    </row>
    <row r="14" spans="1:40" ht="17" thickBot="1" x14ac:dyDescent="0.35">
      <c r="A14" s="226"/>
      <c r="B14" s="227"/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7" thickBot="1" x14ac:dyDescent="0.35">
      <c r="A15" s="226"/>
      <c r="B15" s="227"/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0" ht="14.95" thickBot="1" x14ac:dyDescent="0.3">
      <c r="A16" s="123"/>
      <c r="B16" s="124"/>
      <c r="C16" s="686" t="s">
        <v>83</v>
      </c>
      <c r="D16" s="687"/>
      <c r="E16" s="688"/>
      <c r="F16" s="244">
        <f>SUM(F3+F4+F8+F9)</f>
        <v>72</v>
      </c>
      <c r="G16" s="244">
        <f>SUM(G3+G4+G8+G9)</f>
        <v>98</v>
      </c>
      <c r="H16" s="244" t="s">
        <v>72</v>
      </c>
      <c r="I16" s="244" t="s">
        <v>72</v>
      </c>
      <c r="J16" s="244">
        <f t="shared" ref="J16:O16" si="0">SUM(J3+J4+J8+J9)</f>
        <v>12</v>
      </c>
      <c r="K16" s="244">
        <f t="shared" si="0"/>
        <v>6</v>
      </c>
      <c r="L16" s="244">
        <f t="shared" si="0"/>
        <v>0</v>
      </c>
      <c r="M16" s="244">
        <f t="shared" si="0"/>
        <v>0</v>
      </c>
      <c r="N16" s="244">
        <f t="shared" si="0"/>
        <v>3</v>
      </c>
      <c r="O16" s="244">
        <f t="shared" si="0"/>
        <v>0</v>
      </c>
      <c r="P16" s="244" t="s">
        <v>72</v>
      </c>
      <c r="Q16" s="244" t="s">
        <v>72</v>
      </c>
      <c r="R16" s="244">
        <f>SUM(R3+R4+R8+R9)</f>
        <v>15</v>
      </c>
      <c r="S16" s="252"/>
      <c r="T16" s="252"/>
      <c r="U16" s="252"/>
      <c r="V16" s="252"/>
      <c r="W16" s="242"/>
      <c r="X16" s="249" t="s">
        <v>83</v>
      </c>
      <c r="Y16" s="244">
        <f t="shared" ref="Y16:AN16" si="1">SUM(Y3+Y4+Y8+Y9)</f>
        <v>4</v>
      </c>
      <c r="Z16" s="244">
        <f t="shared" si="1"/>
        <v>1</v>
      </c>
      <c r="AA16" s="244">
        <f t="shared" si="1"/>
        <v>0</v>
      </c>
      <c r="AB16" s="244">
        <f t="shared" si="1"/>
        <v>3</v>
      </c>
      <c r="AC16" s="245">
        <f t="shared" si="1"/>
        <v>2</v>
      </c>
      <c r="AD16" s="245">
        <f t="shared" si="1"/>
        <v>1</v>
      </c>
      <c r="AE16" s="245">
        <f t="shared" si="1"/>
        <v>0</v>
      </c>
      <c r="AF16" s="245">
        <f t="shared" si="1"/>
        <v>1</v>
      </c>
      <c r="AG16" s="246">
        <f t="shared" si="1"/>
        <v>1</v>
      </c>
      <c r="AH16" s="246">
        <f t="shared" si="1"/>
        <v>0</v>
      </c>
      <c r="AI16" s="246">
        <f t="shared" si="1"/>
        <v>0</v>
      </c>
      <c r="AJ16" s="246">
        <f t="shared" si="1"/>
        <v>1</v>
      </c>
      <c r="AK16" s="244">
        <f t="shared" si="1"/>
        <v>1</v>
      </c>
      <c r="AL16" s="244">
        <f t="shared" si="1"/>
        <v>0</v>
      </c>
      <c r="AM16" s="244">
        <f t="shared" si="1"/>
        <v>0</v>
      </c>
      <c r="AN16" s="244">
        <f t="shared" si="1"/>
        <v>1</v>
      </c>
    </row>
    <row r="17" spans="1:40" ht="14.95" thickBot="1" x14ac:dyDescent="0.3">
      <c r="A17" s="123"/>
      <c r="B17" s="124"/>
      <c r="C17" s="679" t="s">
        <v>467</v>
      </c>
      <c r="D17" s="680"/>
      <c r="E17" s="681"/>
      <c r="F17" s="414">
        <f>SUM(F10:F12)</f>
        <v>40</v>
      </c>
      <c r="G17" s="414">
        <f t="shared" ref="G17:R17" si="2">SUM(G10:G12)</f>
        <v>145</v>
      </c>
      <c r="H17" s="414">
        <f t="shared" si="2"/>
        <v>0</v>
      </c>
      <c r="I17" s="414">
        <f t="shared" si="2"/>
        <v>0</v>
      </c>
      <c r="J17" s="414">
        <f t="shared" si="2"/>
        <v>6</v>
      </c>
      <c r="K17" s="414">
        <f t="shared" si="2"/>
        <v>5</v>
      </c>
      <c r="L17" s="414">
        <f t="shared" si="2"/>
        <v>0</v>
      </c>
      <c r="M17" s="414">
        <f t="shared" si="2"/>
        <v>0</v>
      </c>
      <c r="N17" s="414">
        <f t="shared" si="2"/>
        <v>4</v>
      </c>
      <c r="O17" s="414">
        <f t="shared" si="2"/>
        <v>0</v>
      </c>
      <c r="P17" s="414">
        <f t="shared" si="2"/>
        <v>2</v>
      </c>
      <c r="Q17" s="414">
        <f t="shared" si="2"/>
        <v>1</v>
      </c>
      <c r="R17" s="414">
        <f t="shared" si="2"/>
        <v>23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3">SUM(Y10:Y12)</f>
        <v>3</v>
      </c>
      <c r="Z17" s="414">
        <f t="shared" si="3"/>
        <v>1</v>
      </c>
      <c r="AA17" s="414">
        <f t="shared" si="3"/>
        <v>0</v>
      </c>
      <c r="AB17" s="414">
        <f t="shared" si="3"/>
        <v>2</v>
      </c>
      <c r="AC17" s="418">
        <f t="shared" si="3"/>
        <v>0</v>
      </c>
      <c r="AD17" s="418">
        <f t="shared" si="3"/>
        <v>0</v>
      </c>
      <c r="AE17" s="418">
        <f t="shared" si="3"/>
        <v>0</v>
      </c>
      <c r="AF17" s="418">
        <f t="shared" si="3"/>
        <v>0</v>
      </c>
      <c r="AG17" s="419">
        <f t="shared" si="3"/>
        <v>0</v>
      </c>
      <c r="AH17" s="419">
        <f t="shared" si="3"/>
        <v>0</v>
      </c>
      <c r="AI17" s="419">
        <f t="shared" si="3"/>
        <v>0</v>
      </c>
      <c r="AJ17" s="419">
        <f t="shared" si="3"/>
        <v>0</v>
      </c>
      <c r="AK17" s="414">
        <f t="shared" si="3"/>
        <v>3</v>
      </c>
      <c r="AL17" s="414">
        <f t="shared" si="3"/>
        <v>1</v>
      </c>
      <c r="AM17" s="414">
        <f t="shared" si="3"/>
        <v>0</v>
      </c>
      <c r="AN17" s="414">
        <f t="shared" si="3"/>
        <v>2</v>
      </c>
    </row>
    <row r="18" spans="1:40" ht="14.95" thickBot="1" x14ac:dyDescent="0.3">
      <c r="A18" s="123"/>
      <c r="B18" s="124"/>
      <c r="C18" s="679" t="s">
        <v>468</v>
      </c>
      <c r="D18" s="680"/>
      <c r="E18" s="681"/>
      <c r="F18" s="414">
        <f>SUM(F13:F15)</f>
        <v>0</v>
      </c>
      <c r="G18" s="414">
        <f>SUM(G13:G15)</f>
        <v>0</v>
      </c>
      <c r="H18" s="414">
        <v>0</v>
      </c>
      <c r="I18" s="414">
        <v>0</v>
      </c>
      <c r="J18" s="414">
        <f t="shared" ref="J18:O18" si="4">SUM(J13:J15)</f>
        <v>0</v>
      </c>
      <c r="K18" s="414">
        <f t="shared" si="4"/>
        <v>0</v>
      </c>
      <c r="L18" s="414">
        <f t="shared" si="4"/>
        <v>0</v>
      </c>
      <c r="M18" s="414">
        <f t="shared" si="4"/>
        <v>0</v>
      </c>
      <c r="N18" s="414">
        <f t="shared" si="4"/>
        <v>0</v>
      </c>
      <c r="O18" s="414">
        <f t="shared" si="4"/>
        <v>0</v>
      </c>
      <c r="P18" s="414">
        <v>0</v>
      </c>
      <c r="Q18" s="414">
        <v>0</v>
      </c>
      <c r="R18" s="414">
        <f>SUM(R13:R15)</f>
        <v>0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5">SUM(Y13:Y15)</f>
        <v>0</v>
      </c>
      <c r="Z18" s="414">
        <f t="shared" si="5"/>
        <v>0</v>
      </c>
      <c r="AA18" s="414">
        <f t="shared" si="5"/>
        <v>0</v>
      </c>
      <c r="AB18" s="414">
        <f t="shared" si="5"/>
        <v>0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0</v>
      </c>
      <c r="AH18" s="419">
        <f t="shared" si="5"/>
        <v>0</v>
      </c>
      <c r="AI18" s="419">
        <f t="shared" si="5"/>
        <v>0</v>
      </c>
      <c r="AJ18" s="419">
        <f t="shared" si="5"/>
        <v>0</v>
      </c>
      <c r="AK18" s="414">
        <f t="shared" si="5"/>
        <v>0</v>
      </c>
      <c r="AL18" s="414">
        <f t="shared" si="5"/>
        <v>0</v>
      </c>
      <c r="AM18" s="414">
        <f t="shared" si="5"/>
        <v>0</v>
      </c>
      <c r="AN18" s="414">
        <f t="shared" si="5"/>
        <v>0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40</v>
      </c>
      <c r="G19" s="414">
        <f t="shared" ref="G19:R19" si="6">SUM(G17+G18)</f>
        <v>145</v>
      </c>
      <c r="H19" s="414">
        <f t="shared" si="6"/>
        <v>0</v>
      </c>
      <c r="I19" s="414">
        <f t="shared" si="6"/>
        <v>0</v>
      </c>
      <c r="J19" s="414">
        <f t="shared" si="6"/>
        <v>6</v>
      </c>
      <c r="K19" s="414">
        <f t="shared" si="6"/>
        <v>5</v>
      </c>
      <c r="L19" s="414">
        <f t="shared" si="6"/>
        <v>0</v>
      </c>
      <c r="M19" s="414">
        <f t="shared" si="6"/>
        <v>0</v>
      </c>
      <c r="N19" s="414">
        <f t="shared" si="6"/>
        <v>4</v>
      </c>
      <c r="O19" s="414">
        <f t="shared" si="6"/>
        <v>0</v>
      </c>
      <c r="P19" s="414">
        <f t="shared" si="6"/>
        <v>2</v>
      </c>
      <c r="Q19" s="414">
        <f t="shared" si="6"/>
        <v>1</v>
      </c>
      <c r="R19" s="414">
        <f t="shared" si="6"/>
        <v>23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7">SUM(Y17+Y18)</f>
        <v>3</v>
      </c>
      <c r="Z19" s="414">
        <f t="shared" si="7"/>
        <v>1</v>
      </c>
      <c r="AA19" s="414">
        <f t="shared" si="7"/>
        <v>0</v>
      </c>
      <c r="AB19" s="414">
        <f t="shared" si="7"/>
        <v>2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0</v>
      </c>
      <c r="AH19" s="419">
        <f t="shared" si="7"/>
        <v>0</v>
      </c>
      <c r="AI19" s="419">
        <f t="shared" si="7"/>
        <v>0</v>
      </c>
      <c r="AJ19" s="419">
        <f t="shared" si="7"/>
        <v>0</v>
      </c>
      <c r="AK19" s="414">
        <f t="shared" si="7"/>
        <v>3</v>
      </c>
      <c r="AL19" s="414">
        <f t="shared" si="7"/>
        <v>1</v>
      </c>
      <c r="AM19" s="414">
        <f t="shared" si="7"/>
        <v>0</v>
      </c>
      <c r="AN19" s="414">
        <f t="shared" si="7"/>
        <v>2</v>
      </c>
    </row>
    <row r="20" spans="1:40" ht="14.95" thickBot="1" x14ac:dyDescent="0.3">
      <c r="A20" s="123"/>
      <c r="B20" s="124"/>
      <c r="C20" s="725" t="s">
        <v>303</v>
      </c>
      <c r="D20" s="726"/>
      <c r="E20" s="727"/>
      <c r="F20" s="129">
        <f t="shared" ref="F20:R20" si="8">SUM(F5:F7)</f>
        <v>217</v>
      </c>
      <c r="G20" s="129">
        <f t="shared" si="8"/>
        <v>24</v>
      </c>
      <c r="H20" s="129">
        <f t="shared" si="8"/>
        <v>3</v>
      </c>
      <c r="I20" s="129">
        <f t="shared" si="8"/>
        <v>0</v>
      </c>
      <c r="J20" s="129">
        <f t="shared" si="8"/>
        <v>35</v>
      </c>
      <c r="K20" s="129">
        <f t="shared" si="8"/>
        <v>21</v>
      </c>
      <c r="L20" s="129">
        <f t="shared" si="8"/>
        <v>0</v>
      </c>
      <c r="M20" s="129">
        <f t="shared" si="8"/>
        <v>0</v>
      </c>
      <c r="N20" s="129">
        <f t="shared" si="8"/>
        <v>2</v>
      </c>
      <c r="O20" s="129">
        <f t="shared" si="8"/>
        <v>0</v>
      </c>
      <c r="P20" s="129">
        <f t="shared" si="8"/>
        <v>0</v>
      </c>
      <c r="Q20" s="129">
        <f t="shared" si="8"/>
        <v>1</v>
      </c>
      <c r="R20" s="129">
        <f t="shared" si="8"/>
        <v>2</v>
      </c>
      <c r="S20" s="398"/>
      <c r="T20" s="398"/>
      <c r="U20" s="398"/>
      <c r="V20" s="398"/>
      <c r="W20" s="126"/>
      <c r="X20" s="157" t="s">
        <v>303</v>
      </c>
      <c r="Y20" s="129">
        <f t="shared" ref="Y20:AN20" si="9">SUM(Y5:Y7)</f>
        <v>3</v>
      </c>
      <c r="Z20" s="129">
        <f t="shared" si="9"/>
        <v>3</v>
      </c>
      <c r="AA20" s="129">
        <f t="shared" si="9"/>
        <v>0</v>
      </c>
      <c r="AB20" s="129">
        <f t="shared" si="9"/>
        <v>0</v>
      </c>
      <c r="AC20" s="127">
        <f t="shared" si="9"/>
        <v>0</v>
      </c>
      <c r="AD20" s="127">
        <f t="shared" si="9"/>
        <v>0</v>
      </c>
      <c r="AE20" s="127">
        <f t="shared" si="9"/>
        <v>0</v>
      </c>
      <c r="AF20" s="127">
        <f t="shared" si="9"/>
        <v>0</v>
      </c>
      <c r="AG20" s="128">
        <f t="shared" si="9"/>
        <v>0</v>
      </c>
      <c r="AH20" s="128">
        <f t="shared" si="9"/>
        <v>0</v>
      </c>
      <c r="AI20" s="128">
        <f t="shared" si="9"/>
        <v>0</v>
      </c>
      <c r="AJ20" s="128">
        <f t="shared" si="9"/>
        <v>0</v>
      </c>
      <c r="AK20" s="129">
        <f t="shared" si="9"/>
        <v>3</v>
      </c>
      <c r="AL20" s="129">
        <f t="shared" si="9"/>
        <v>3</v>
      </c>
      <c r="AM20" s="129">
        <f t="shared" si="9"/>
        <v>0</v>
      </c>
      <c r="AN20" s="129">
        <f t="shared" si="9"/>
        <v>0</v>
      </c>
    </row>
    <row r="21" spans="1:40" ht="14.95" thickBot="1" x14ac:dyDescent="0.3">
      <c r="A21" s="123"/>
      <c r="B21" s="124"/>
      <c r="C21" s="682" t="s">
        <v>73</v>
      </c>
      <c r="D21" s="683"/>
      <c r="E21" s="684"/>
      <c r="F21" s="150">
        <f t="shared" ref="F21:R21" si="10">SUM(F3:F15)</f>
        <v>329</v>
      </c>
      <c r="G21" s="150">
        <f t="shared" si="10"/>
        <v>267</v>
      </c>
      <c r="H21" s="150">
        <f t="shared" si="10"/>
        <v>3</v>
      </c>
      <c r="I21" s="150">
        <f t="shared" si="10"/>
        <v>0</v>
      </c>
      <c r="J21" s="150">
        <f t="shared" si="10"/>
        <v>53</v>
      </c>
      <c r="K21" s="150">
        <f t="shared" si="10"/>
        <v>32</v>
      </c>
      <c r="L21" s="150">
        <f t="shared" si="10"/>
        <v>0</v>
      </c>
      <c r="M21" s="150">
        <f t="shared" si="10"/>
        <v>0</v>
      </c>
      <c r="N21" s="150">
        <f t="shared" si="10"/>
        <v>9</v>
      </c>
      <c r="O21" s="150">
        <f t="shared" si="10"/>
        <v>0</v>
      </c>
      <c r="P21" s="150">
        <f t="shared" si="10"/>
        <v>2</v>
      </c>
      <c r="Q21" s="150">
        <f t="shared" si="10"/>
        <v>2</v>
      </c>
      <c r="R21" s="150">
        <f t="shared" si="10"/>
        <v>40</v>
      </c>
      <c r="S21" s="237"/>
      <c r="T21" s="237"/>
      <c r="U21" s="237"/>
      <c r="V21" s="237"/>
      <c r="W21" s="12"/>
      <c r="X21" s="155" t="s">
        <v>73</v>
      </c>
      <c r="Y21" s="150">
        <f t="shared" ref="Y21:AN21" si="11">SUM(Y3:Y15)</f>
        <v>10</v>
      </c>
      <c r="Z21" s="150">
        <f t="shared" si="11"/>
        <v>5</v>
      </c>
      <c r="AA21" s="150">
        <f t="shared" si="11"/>
        <v>0</v>
      </c>
      <c r="AB21" s="150">
        <f t="shared" si="11"/>
        <v>5</v>
      </c>
      <c r="AC21" s="148">
        <f t="shared" si="11"/>
        <v>2</v>
      </c>
      <c r="AD21" s="148">
        <f t="shared" si="11"/>
        <v>1</v>
      </c>
      <c r="AE21" s="148">
        <f t="shared" si="11"/>
        <v>0</v>
      </c>
      <c r="AF21" s="148">
        <f t="shared" si="11"/>
        <v>1</v>
      </c>
      <c r="AG21" s="149">
        <f t="shared" si="11"/>
        <v>1</v>
      </c>
      <c r="AH21" s="149">
        <f t="shared" si="11"/>
        <v>0</v>
      </c>
      <c r="AI21" s="149">
        <f t="shared" si="11"/>
        <v>0</v>
      </c>
      <c r="AJ21" s="149">
        <f t="shared" si="11"/>
        <v>1</v>
      </c>
      <c r="AK21" s="150">
        <f t="shared" si="11"/>
        <v>7</v>
      </c>
      <c r="AL21" s="150">
        <f t="shared" si="11"/>
        <v>4</v>
      </c>
      <c r="AM21" s="150">
        <f t="shared" si="11"/>
        <v>0</v>
      </c>
      <c r="AN21" s="150">
        <f t="shared" si="11"/>
        <v>3</v>
      </c>
    </row>
    <row r="22" spans="1:40" x14ac:dyDescent="0.25">
      <c r="A22" s="728" t="s">
        <v>55</v>
      </c>
      <c r="B22" s="637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</row>
    <row r="23" spans="1:40" x14ac:dyDescent="0.25">
      <c r="A23" s="685" t="s">
        <v>244</v>
      </c>
      <c r="B23" s="637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  <c r="AB23" s="637"/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7"/>
    </row>
    <row r="24" spans="1:40" x14ac:dyDescent="0.25">
      <c r="A24" s="258" t="s">
        <v>260</v>
      </c>
    </row>
    <row r="25" spans="1:40" x14ac:dyDescent="0.25">
      <c r="A25" t="s">
        <v>308</v>
      </c>
    </row>
    <row r="26" spans="1:40" x14ac:dyDescent="0.25">
      <c r="A26" t="s">
        <v>408</v>
      </c>
    </row>
    <row r="27" spans="1:40" x14ac:dyDescent="0.25">
      <c r="A27" t="s">
        <v>143</v>
      </c>
    </row>
    <row r="28" spans="1:40" x14ac:dyDescent="0.25">
      <c r="A28" t="s">
        <v>406</v>
      </c>
    </row>
    <row r="29" spans="1:40" x14ac:dyDescent="0.25">
      <c r="A29" t="s">
        <v>82</v>
      </c>
    </row>
    <row r="30" spans="1:40" x14ac:dyDescent="0.25">
      <c r="A30" s="238"/>
      <c r="B30" s="76" t="s">
        <v>42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x14ac:dyDescent="0.25">
      <c r="A31" s="140"/>
      <c r="B31" s="76" t="s">
        <v>40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x14ac:dyDescent="0.25">
      <c r="A32" s="239"/>
      <c r="B32" s="76" t="s">
        <v>41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</row>
    <row r="33" spans="1:40" x14ac:dyDescent="0.25">
      <c r="A33" s="258" t="s">
        <v>28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</row>
  </sheetData>
  <mergeCells count="18">
    <mergeCell ref="Y1:AB1"/>
    <mergeCell ref="AC1:AF1"/>
    <mergeCell ref="AG1:AJ1"/>
    <mergeCell ref="AK1:AN1"/>
    <mergeCell ref="C16:E16"/>
    <mergeCell ref="A1:C1"/>
    <mergeCell ref="E1:G1"/>
    <mergeCell ref="H1:I1"/>
    <mergeCell ref="J1:M1"/>
    <mergeCell ref="N1:O1"/>
    <mergeCell ref="P1:R1"/>
    <mergeCell ref="C17:E17"/>
    <mergeCell ref="C18:E18"/>
    <mergeCell ref="C19:E19"/>
    <mergeCell ref="C21:E21"/>
    <mergeCell ref="A23:AN23"/>
    <mergeCell ref="C20:E20"/>
    <mergeCell ref="A22:AN2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32"/>
  <sheetViews>
    <sheetView zoomScaleNormal="100" workbookViewId="0">
      <pane ySplit="2" topLeftCell="A3" activePane="bottomLeft" state="frozen"/>
      <selection pane="bottomLeft" activeCell="S5" sqref="S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6.25" bestFit="1" customWidth="1"/>
    <col min="22" max="22" width="21.875" bestFit="1" customWidth="1"/>
    <col min="23" max="23" width="26.25" bestFit="1" customWidth="1"/>
    <col min="24" max="24" width="30.5" customWidth="1"/>
    <col min="25" max="40" width="3.75" customWidth="1"/>
  </cols>
  <sheetData>
    <row r="1" spans="1:40" ht="14.95" customHeight="1" thickBot="1" x14ac:dyDescent="0.3">
      <c r="A1" s="746" t="s">
        <v>93</v>
      </c>
      <c r="B1" s="747"/>
      <c r="C1" s="747"/>
      <c r="D1" s="77"/>
      <c r="E1" s="748" t="s">
        <v>24</v>
      </c>
      <c r="F1" s="749"/>
      <c r="G1" s="750"/>
      <c r="H1" s="748" t="s">
        <v>23</v>
      </c>
      <c r="I1" s="750"/>
      <c r="J1" s="743" t="s">
        <v>6</v>
      </c>
      <c r="K1" s="745"/>
      <c r="L1" s="745"/>
      <c r="M1" s="744"/>
      <c r="N1" s="743" t="s">
        <v>7</v>
      </c>
      <c r="O1" s="744"/>
      <c r="P1" s="743" t="s">
        <v>25</v>
      </c>
      <c r="Q1" s="745"/>
      <c r="R1" s="744"/>
      <c r="S1" s="151" t="s">
        <v>8</v>
      </c>
      <c r="T1" s="151" t="s">
        <v>9</v>
      </c>
      <c r="U1" s="79" t="s">
        <v>10</v>
      </c>
      <c r="V1" s="78" t="s">
        <v>11</v>
      </c>
      <c r="W1" s="80" t="s">
        <v>26</v>
      </c>
      <c r="X1" s="81" t="s">
        <v>27</v>
      </c>
      <c r="Y1" s="740" t="s">
        <v>20</v>
      </c>
      <c r="Z1" s="741"/>
      <c r="AA1" s="741"/>
      <c r="AB1" s="742"/>
      <c r="AC1" s="740" t="s">
        <v>58</v>
      </c>
      <c r="AD1" s="741"/>
      <c r="AE1" s="741"/>
      <c r="AF1" s="742"/>
      <c r="AG1" s="740" t="s">
        <v>59</v>
      </c>
      <c r="AH1" s="741"/>
      <c r="AI1" s="741"/>
      <c r="AJ1" s="742"/>
      <c r="AK1" s="740" t="s">
        <v>60</v>
      </c>
      <c r="AL1" s="741"/>
      <c r="AM1" s="741"/>
      <c r="AN1" s="742"/>
    </row>
    <row r="2" spans="1:40" ht="14.95" customHeight="1" thickBot="1" x14ac:dyDescent="0.3">
      <c r="A2" s="82" t="s">
        <v>19</v>
      </c>
      <c r="B2" s="83" t="s">
        <v>18</v>
      </c>
      <c r="C2" s="84" t="s">
        <v>17</v>
      </c>
      <c r="D2" s="84" t="s">
        <v>39</v>
      </c>
      <c r="E2" s="85" t="s">
        <v>16</v>
      </c>
      <c r="F2" s="85" t="s">
        <v>4</v>
      </c>
      <c r="G2" s="85" t="s">
        <v>5</v>
      </c>
      <c r="H2" s="86" t="s">
        <v>12</v>
      </c>
      <c r="I2" s="86" t="s">
        <v>3</v>
      </c>
      <c r="J2" s="86" t="s">
        <v>12</v>
      </c>
      <c r="K2" s="86" t="s">
        <v>13</v>
      </c>
      <c r="L2" s="86" t="s">
        <v>2</v>
      </c>
      <c r="M2" s="86" t="s">
        <v>14</v>
      </c>
      <c r="N2" s="86" t="s">
        <v>15</v>
      </c>
      <c r="O2" s="86" t="s">
        <v>16</v>
      </c>
      <c r="P2" s="86" t="s">
        <v>21</v>
      </c>
      <c r="Q2" s="86" t="s">
        <v>22</v>
      </c>
      <c r="R2" s="86" t="s">
        <v>12</v>
      </c>
      <c r="S2" s="87"/>
      <c r="T2" s="88"/>
      <c r="U2" s="89"/>
      <c r="V2" s="87"/>
      <c r="W2" s="90"/>
      <c r="X2" s="91"/>
      <c r="Y2" s="135" t="s">
        <v>0</v>
      </c>
      <c r="Z2" s="135" t="s">
        <v>1</v>
      </c>
      <c r="AA2" s="135" t="s">
        <v>2</v>
      </c>
      <c r="AB2" s="135" t="s">
        <v>3</v>
      </c>
      <c r="AC2" s="135" t="s">
        <v>0</v>
      </c>
      <c r="AD2" s="135" t="s">
        <v>1</v>
      </c>
      <c r="AE2" s="135" t="s">
        <v>2</v>
      </c>
      <c r="AF2" s="135" t="s">
        <v>3</v>
      </c>
      <c r="AG2" s="135" t="s">
        <v>0</v>
      </c>
      <c r="AH2" s="135" t="s">
        <v>1</v>
      </c>
      <c r="AI2" s="135" t="s">
        <v>2</v>
      </c>
      <c r="AJ2" s="135" t="s">
        <v>3</v>
      </c>
      <c r="AK2" s="135" t="s">
        <v>0</v>
      </c>
      <c r="AL2" s="135" t="s">
        <v>1</v>
      </c>
      <c r="AM2" s="135" t="s">
        <v>2</v>
      </c>
      <c r="AN2" s="135" t="s">
        <v>3</v>
      </c>
    </row>
    <row r="3" spans="1:40" ht="14.95" customHeight="1" thickBot="1" x14ac:dyDescent="0.35">
      <c r="A3" s="203">
        <v>44647</v>
      </c>
      <c r="B3" s="204" t="s">
        <v>43</v>
      </c>
      <c r="C3" s="204" t="s">
        <v>33</v>
      </c>
      <c r="D3" s="204" t="s">
        <v>120</v>
      </c>
      <c r="E3" s="205" t="s">
        <v>1</v>
      </c>
      <c r="F3" s="205">
        <v>39</v>
      </c>
      <c r="G3" s="205">
        <v>6</v>
      </c>
      <c r="H3" s="205">
        <v>1</v>
      </c>
      <c r="I3" s="205">
        <v>0</v>
      </c>
      <c r="J3" s="205">
        <v>5</v>
      </c>
      <c r="K3" s="205">
        <v>4</v>
      </c>
      <c r="L3" s="205">
        <v>0</v>
      </c>
      <c r="M3" s="205">
        <v>2</v>
      </c>
      <c r="N3" s="205">
        <v>0</v>
      </c>
      <c r="O3" s="205">
        <v>0</v>
      </c>
      <c r="P3" s="205">
        <v>0</v>
      </c>
      <c r="Q3" s="205">
        <v>0</v>
      </c>
      <c r="R3" s="205">
        <v>0</v>
      </c>
      <c r="S3" s="206"/>
      <c r="T3" s="215" t="s">
        <v>164</v>
      </c>
      <c r="U3" s="208" t="s">
        <v>165</v>
      </c>
      <c r="V3" s="206" t="s">
        <v>166</v>
      </c>
      <c r="W3" s="209" t="s">
        <v>167</v>
      </c>
      <c r="X3" s="210" t="s">
        <v>168</v>
      </c>
      <c r="Y3" s="211">
        <v>1</v>
      </c>
      <c r="Z3" s="211">
        <v>1</v>
      </c>
      <c r="AA3" s="211">
        <v>0</v>
      </c>
      <c r="AB3" s="212">
        <v>0</v>
      </c>
      <c r="AC3" s="211">
        <v>1</v>
      </c>
      <c r="AD3" s="211">
        <v>1</v>
      </c>
      <c r="AE3" s="211">
        <v>0</v>
      </c>
      <c r="AF3" s="212">
        <v>0</v>
      </c>
      <c r="AG3" s="211">
        <v>0</v>
      </c>
      <c r="AH3" s="211">
        <v>0</v>
      </c>
      <c r="AI3" s="211">
        <v>0</v>
      </c>
      <c r="AJ3" s="212">
        <v>0</v>
      </c>
      <c r="AK3" s="211">
        <v>0</v>
      </c>
      <c r="AL3" s="211">
        <v>0</v>
      </c>
      <c r="AM3" s="211">
        <v>0</v>
      </c>
      <c r="AN3" s="212">
        <v>0</v>
      </c>
    </row>
    <row r="4" spans="1:40" ht="14.95" customHeight="1" thickBot="1" x14ac:dyDescent="0.35">
      <c r="A4" s="203">
        <v>44653</v>
      </c>
      <c r="B4" s="204" t="s">
        <v>43</v>
      </c>
      <c r="C4" s="204" t="s">
        <v>37</v>
      </c>
      <c r="D4" s="204" t="s">
        <v>121</v>
      </c>
      <c r="E4" s="205" t="s">
        <v>1</v>
      </c>
      <c r="F4" s="205">
        <v>40</v>
      </c>
      <c r="G4" s="205">
        <v>5</v>
      </c>
      <c r="H4" s="205">
        <v>1</v>
      </c>
      <c r="I4" s="205">
        <v>0</v>
      </c>
      <c r="J4" s="205">
        <v>6</v>
      </c>
      <c r="K4" s="205">
        <v>2</v>
      </c>
      <c r="L4" s="205">
        <v>0</v>
      </c>
      <c r="M4" s="205">
        <v>2</v>
      </c>
      <c r="N4" s="205">
        <v>1</v>
      </c>
      <c r="O4" s="205">
        <v>0</v>
      </c>
      <c r="P4" s="205">
        <v>0</v>
      </c>
      <c r="Q4" s="205">
        <v>0</v>
      </c>
      <c r="R4" s="205">
        <v>1</v>
      </c>
      <c r="S4" s="206"/>
      <c r="T4" s="215" t="s">
        <v>171</v>
      </c>
      <c r="U4" s="209" t="s">
        <v>167</v>
      </c>
      <c r="V4" s="206" t="s">
        <v>117</v>
      </c>
      <c r="W4" s="209" t="s">
        <v>172</v>
      </c>
      <c r="X4" s="210" t="s">
        <v>168</v>
      </c>
      <c r="Y4" s="211">
        <v>1</v>
      </c>
      <c r="Z4" s="211">
        <v>1</v>
      </c>
      <c r="AA4" s="211">
        <v>0</v>
      </c>
      <c r="AB4" s="212">
        <v>0</v>
      </c>
      <c r="AC4" s="211">
        <v>1</v>
      </c>
      <c r="AD4" s="211">
        <v>1</v>
      </c>
      <c r="AE4" s="211">
        <v>0</v>
      </c>
      <c r="AF4" s="212">
        <v>0</v>
      </c>
      <c r="AG4" s="211">
        <v>0</v>
      </c>
      <c r="AH4" s="211">
        <v>0</v>
      </c>
      <c r="AI4" s="211">
        <v>0</v>
      </c>
      <c r="AJ4" s="212">
        <v>0</v>
      </c>
      <c r="AK4" s="211">
        <v>0</v>
      </c>
      <c r="AL4" s="211">
        <v>0</v>
      </c>
      <c r="AM4" s="211">
        <v>0</v>
      </c>
      <c r="AN4" s="212">
        <v>0</v>
      </c>
    </row>
    <row r="5" spans="1:40" ht="14.95" customHeight="1" thickBot="1" x14ac:dyDescent="0.35">
      <c r="A5" s="184">
        <v>44661</v>
      </c>
      <c r="B5" s="186" t="s">
        <v>43</v>
      </c>
      <c r="C5" s="186" t="s">
        <v>35</v>
      </c>
      <c r="D5" s="186" t="s">
        <v>129</v>
      </c>
      <c r="E5" s="187" t="s">
        <v>1</v>
      </c>
      <c r="F5" s="187">
        <v>28</v>
      </c>
      <c r="G5" s="187">
        <v>8</v>
      </c>
      <c r="H5" s="187">
        <v>1</v>
      </c>
      <c r="I5" s="187">
        <v>0</v>
      </c>
      <c r="J5" s="187">
        <v>4</v>
      </c>
      <c r="K5" s="187">
        <v>4</v>
      </c>
      <c r="L5" s="187">
        <v>0</v>
      </c>
      <c r="M5" s="187">
        <v>0</v>
      </c>
      <c r="N5" s="187">
        <v>1</v>
      </c>
      <c r="O5" s="187">
        <v>0</v>
      </c>
      <c r="P5" s="187">
        <v>0</v>
      </c>
      <c r="Q5" s="187">
        <v>0</v>
      </c>
      <c r="R5" s="187">
        <v>1</v>
      </c>
      <c r="S5" s="191"/>
      <c r="T5" s="192" t="s">
        <v>111</v>
      </c>
      <c r="U5" s="193" t="s">
        <v>172</v>
      </c>
      <c r="V5" s="191" t="s">
        <v>198</v>
      </c>
      <c r="W5" s="188" t="s">
        <v>160</v>
      </c>
      <c r="X5" s="194" t="s">
        <v>199</v>
      </c>
      <c r="Y5" s="189">
        <v>1</v>
      </c>
      <c r="Z5" s="189">
        <v>1</v>
      </c>
      <c r="AA5" s="189">
        <v>0</v>
      </c>
      <c r="AB5" s="190">
        <v>0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1</v>
      </c>
      <c r="AI5" s="189">
        <v>0</v>
      </c>
      <c r="AJ5" s="190">
        <v>0</v>
      </c>
      <c r="AK5" s="189">
        <v>0</v>
      </c>
      <c r="AL5" s="189">
        <v>0</v>
      </c>
      <c r="AM5" s="189">
        <v>0</v>
      </c>
      <c r="AN5" s="190">
        <v>0</v>
      </c>
    </row>
    <row r="6" spans="1:40" ht="14.95" customHeight="1" thickBot="1" x14ac:dyDescent="0.35">
      <c r="A6" s="184">
        <v>44673</v>
      </c>
      <c r="B6" s="186" t="s">
        <v>43</v>
      </c>
      <c r="C6" s="186" t="s">
        <v>32</v>
      </c>
      <c r="D6" s="186" t="s">
        <v>75</v>
      </c>
      <c r="E6" s="187" t="s">
        <v>1</v>
      </c>
      <c r="F6" s="187">
        <v>33</v>
      </c>
      <c r="G6" s="187">
        <v>5</v>
      </c>
      <c r="H6" s="187">
        <v>1</v>
      </c>
      <c r="I6" s="187">
        <v>0</v>
      </c>
      <c r="J6" s="187">
        <v>5</v>
      </c>
      <c r="K6" s="187">
        <v>4</v>
      </c>
      <c r="L6" s="187">
        <v>0</v>
      </c>
      <c r="M6" s="187">
        <v>0</v>
      </c>
      <c r="N6" s="187">
        <v>0</v>
      </c>
      <c r="O6" s="187">
        <v>0</v>
      </c>
      <c r="P6" s="187">
        <v>0</v>
      </c>
      <c r="Q6" s="187">
        <v>0</v>
      </c>
      <c r="R6" s="187">
        <v>1</v>
      </c>
      <c r="S6" s="191"/>
      <c r="T6" s="192" t="s">
        <v>171</v>
      </c>
      <c r="U6" s="193" t="s">
        <v>207</v>
      </c>
      <c r="V6" s="191" t="s">
        <v>208</v>
      </c>
      <c r="W6" s="188" t="s">
        <v>147</v>
      </c>
      <c r="X6" s="194" t="s">
        <v>209</v>
      </c>
      <c r="Y6" s="189">
        <v>1</v>
      </c>
      <c r="Z6" s="189">
        <v>1</v>
      </c>
      <c r="AA6" s="189">
        <v>0</v>
      </c>
      <c r="AB6" s="190">
        <v>0</v>
      </c>
      <c r="AC6" s="189">
        <v>0</v>
      </c>
      <c r="AD6" s="189">
        <v>0</v>
      </c>
      <c r="AE6" s="189">
        <v>0</v>
      </c>
      <c r="AF6" s="190">
        <v>0</v>
      </c>
      <c r="AG6" s="189">
        <v>1</v>
      </c>
      <c r="AH6" s="189">
        <v>1</v>
      </c>
      <c r="AI6" s="189">
        <v>0</v>
      </c>
      <c r="AJ6" s="190">
        <v>0</v>
      </c>
      <c r="AK6" s="189">
        <v>0</v>
      </c>
      <c r="AL6" s="189">
        <v>0</v>
      </c>
      <c r="AM6" s="189">
        <v>0</v>
      </c>
      <c r="AN6" s="190">
        <v>0</v>
      </c>
    </row>
    <row r="7" spans="1:40" ht="14.95" customHeight="1" thickBot="1" x14ac:dyDescent="0.3">
      <c r="A7" s="203">
        <v>44681</v>
      </c>
      <c r="B7" s="204" t="s">
        <v>43</v>
      </c>
      <c r="C7" s="204" t="s">
        <v>30</v>
      </c>
      <c r="D7" s="204" t="s">
        <v>136</v>
      </c>
      <c r="E7" s="205" t="s">
        <v>3</v>
      </c>
      <c r="F7" s="205">
        <v>12</v>
      </c>
      <c r="G7" s="205">
        <v>24</v>
      </c>
      <c r="H7" s="205">
        <v>0</v>
      </c>
      <c r="I7" s="205">
        <v>0</v>
      </c>
      <c r="J7" s="205">
        <v>2</v>
      </c>
      <c r="K7" s="205">
        <v>1</v>
      </c>
      <c r="L7" s="205">
        <v>0</v>
      </c>
      <c r="M7" s="205">
        <v>0</v>
      </c>
      <c r="N7" s="205">
        <v>1</v>
      </c>
      <c r="O7" s="205">
        <v>0</v>
      </c>
      <c r="P7" s="205">
        <v>0</v>
      </c>
      <c r="Q7" s="205">
        <v>0</v>
      </c>
      <c r="R7" s="205">
        <v>3</v>
      </c>
      <c r="S7" s="209"/>
      <c r="T7" s="303" t="s">
        <v>228</v>
      </c>
      <c r="U7" s="209" t="s">
        <v>159</v>
      </c>
      <c r="V7" s="209" t="s">
        <v>229</v>
      </c>
      <c r="W7" s="209" t="s">
        <v>147</v>
      </c>
      <c r="X7" s="210" t="s">
        <v>199</v>
      </c>
      <c r="Y7" s="211">
        <v>1</v>
      </c>
      <c r="Z7" s="211">
        <v>0</v>
      </c>
      <c r="AA7" s="211">
        <v>0</v>
      </c>
      <c r="AB7" s="212">
        <v>1</v>
      </c>
      <c r="AC7" s="211">
        <v>1</v>
      </c>
      <c r="AD7" s="211">
        <v>0</v>
      </c>
      <c r="AE7" s="211">
        <v>0</v>
      </c>
      <c r="AF7" s="212">
        <v>1</v>
      </c>
      <c r="AG7" s="211">
        <v>0</v>
      </c>
      <c r="AH7" s="211">
        <v>0</v>
      </c>
      <c r="AI7" s="211">
        <v>0</v>
      </c>
      <c r="AJ7" s="212">
        <v>0</v>
      </c>
      <c r="AK7" s="211">
        <v>0</v>
      </c>
      <c r="AL7" s="211">
        <v>0</v>
      </c>
      <c r="AM7" s="211">
        <v>0</v>
      </c>
      <c r="AN7" s="212">
        <v>0</v>
      </c>
    </row>
    <row r="8" spans="1:40" ht="14.95" customHeight="1" thickBot="1" x14ac:dyDescent="0.35">
      <c r="A8" s="203">
        <v>44807</v>
      </c>
      <c r="B8" s="204" t="s">
        <v>246</v>
      </c>
      <c r="C8" s="204" t="s">
        <v>33</v>
      </c>
      <c r="D8" s="204" t="s">
        <v>373</v>
      </c>
      <c r="E8" s="205" t="s">
        <v>1</v>
      </c>
      <c r="F8" s="205">
        <v>21</v>
      </c>
      <c r="G8" s="205">
        <v>0</v>
      </c>
      <c r="H8" s="205" t="s">
        <v>72</v>
      </c>
      <c r="I8" s="205" t="s">
        <v>72</v>
      </c>
      <c r="J8" s="205">
        <v>3</v>
      </c>
      <c r="K8" s="205">
        <v>3</v>
      </c>
      <c r="L8" s="205">
        <v>0</v>
      </c>
      <c r="M8" s="205">
        <v>0</v>
      </c>
      <c r="N8" s="205">
        <v>0</v>
      </c>
      <c r="O8" s="205">
        <v>0</v>
      </c>
      <c r="P8" s="205" t="s">
        <v>72</v>
      </c>
      <c r="Q8" s="205" t="s">
        <v>72</v>
      </c>
      <c r="R8" s="205">
        <v>0</v>
      </c>
      <c r="S8" s="209"/>
      <c r="T8" s="218" t="s">
        <v>392</v>
      </c>
      <c r="U8" s="209" t="s">
        <v>165</v>
      </c>
      <c r="V8" s="209" t="s">
        <v>117</v>
      </c>
      <c r="W8" s="209" t="s">
        <v>160</v>
      </c>
      <c r="X8" s="210" t="s">
        <v>393</v>
      </c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customHeight="1" thickBot="1" x14ac:dyDescent="0.35">
      <c r="A9" s="184">
        <v>44813</v>
      </c>
      <c r="B9" s="186" t="s">
        <v>246</v>
      </c>
      <c r="C9" s="186" t="s">
        <v>33</v>
      </c>
      <c r="D9" s="186" t="s">
        <v>374</v>
      </c>
      <c r="E9" s="187" t="s">
        <v>3</v>
      </c>
      <c r="F9" s="187">
        <v>19</v>
      </c>
      <c r="G9" s="187">
        <v>26</v>
      </c>
      <c r="H9" s="187" t="s">
        <v>72</v>
      </c>
      <c r="I9" s="187" t="s">
        <v>72</v>
      </c>
      <c r="J9" s="187">
        <v>3</v>
      </c>
      <c r="K9" s="187">
        <v>2</v>
      </c>
      <c r="L9" s="187">
        <v>0</v>
      </c>
      <c r="M9" s="187">
        <v>0</v>
      </c>
      <c r="N9" s="187">
        <v>1</v>
      </c>
      <c r="O9" s="187">
        <v>0</v>
      </c>
      <c r="P9" s="187" t="s">
        <v>72</v>
      </c>
      <c r="Q9" s="187" t="s">
        <v>72</v>
      </c>
      <c r="R9" s="187">
        <v>3</v>
      </c>
      <c r="S9" s="188"/>
      <c r="T9" s="420" t="s">
        <v>398</v>
      </c>
      <c r="U9" s="188" t="s">
        <v>147</v>
      </c>
      <c r="V9" s="188" t="s">
        <v>117</v>
      </c>
      <c r="W9" s="188" t="s">
        <v>397</v>
      </c>
      <c r="X9" s="194" t="s">
        <v>182</v>
      </c>
      <c r="Y9" s="189">
        <v>1</v>
      </c>
      <c r="Z9" s="189">
        <v>0</v>
      </c>
      <c r="AA9" s="189">
        <v>0</v>
      </c>
      <c r="AB9" s="190">
        <v>1</v>
      </c>
      <c r="AC9" s="189">
        <v>0</v>
      </c>
      <c r="AD9" s="189">
        <v>0</v>
      </c>
      <c r="AE9" s="189">
        <v>0</v>
      </c>
      <c r="AF9" s="190">
        <v>0</v>
      </c>
      <c r="AG9" s="189">
        <v>1</v>
      </c>
      <c r="AH9" s="189">
        <v>0</v>
      </c>
      <c r="AI9" s="189">
        <v>0</v>
      </c>
      <c r="AJ9" s="190">
        <v>1</v>
      </c>
      <c r="AK9" s="189">
        <v>0</v>
      </c>
      <c r="AL9" s="189">
        <v>0</v>
      </c>
      <c r="AM9" s="189">
        <v>0</v>
      </c>
      <c r="AN9" s="190">
        <v>0</v>
      </c>
    </row>
    <row r="10" spans="1:40" ht="14.95" customHeight="1" thickBot="1" x14ac:dyDescent="0.35">
      <c r="A10" s="253">
        <v>44842</v>
      </c>
      <c r="B10" s="254" t="s">
        <v>139</v>
      </c>
      <c r="C10" s="254" t="s">
        <v>86</v>
      </c>
      <c r="D10" s="254" t="s">
        <v>144</v>
      </c>
      <c r="E10" s="156" t="s">
        <v>1</v>
      </c>
      <c r="F10" s="223">
        <v>40</v>
      </c>
      <c r="G10" s="223">
        <v>5</v>
      </c>
      <c r="H10" s="223">
        <v>1</v>
      </c>
      <c r="I10" s="223">
        <v>0</v>
      </c>
      <c r="J10" s="223">
        <v>6</v>
      </c>
      <c r="K10" s="223">
        <v>5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1</v>
      </c>
      <c r="S10" s="225"/>
      <c r="T10" s="256" t="s">
        <v>193</v>
      </c>
      <c r="U10" s="225" t="s">
        <v>207</v>
      </c>
      <c r="V10" s="225" t="s">
        <v>198</v>
      </c>
      <c r="W10" s="225" t="s">
        <v>214</v>
      </c>
      <c r="X10" s="225" t="s">
        <v>477</v>
      </c>
      <c r="Y10" s="155">
        <v>1</v>
      </c>
      <c r="Z10" s="155">
        <v>1</v>
      </c>
      <c r="AA10" s="155">
        <v>0</v>
      </c>
      <c r="AB10" s="224">
        <v>0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1</v>
      </c>
      <c r="AM10" s="155">
        <v>0</v>
      </c>
      <c r="AN10" s="224">
        <v>0</v>
      </c>
    </row>
    <row r="11" spans="1:40" ht="14.95" customHeight="1" thickBot="1" x14ac:dyDescent="0.3">
      <c r="A11" s="253">
        <v>44849</v>
      </c>
      <c r="B11" s="254" t="s">
        <v>139</v>
      </c>
      <c r="C11" s="254" t="s">
        <v>30</v>
      </c>
      <c r="D11" s="254" t="s">
        <v>140</v>
      </c>
      <c r="E11" s="156" t="s">
        <v>3</v>
      </c>
      <c r="F11" s="223">
        <v>7</v>
      </c>
      <c r="G11" s="223">
        <v>13</v>
      </c>
      <c r="H11" s="223">
        <v>0</v>
      </c>
      <c r="I11" s="223">
        <v>1</v>
      </c>
      <c r="J11" s="223">
        <v>1</v>
      </c>
      <c r="K11" s="223">
        <v>1</v>
      </c>
      <c r="L11" s="223"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v>0</v>
      </c>
      <c r="R11" s="223">
        <v>1</v>
      </c>
      <c r="S11" s="225"/>
      <c r="T11" s="257" t="s">
        <v>215</v>
      </c>
      <c r="U11" s="225" t="s">
        <v>147</v>
      </c>
      <c r="V11" s="225" t="s">
        <v>198</v>
      </c>
      <c r="W11" s="225" t="s">
        <v>167</v>
      </c>
      <c r="X11" s="225" t="s">
        <v>477</v>
      </c>
      <c r="Y11" s="155">
        <v>1</v>
      </c>
      <c r="Z11" s="155">
        <v>0</v>
      </c>
      <c r="AA11" s="155">
        <v>0</v>
      </c>
      <c r="AB11" s="224">
        <v>1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0</v>
      </c>
      <c r="AM11" s="155">
        <v>0</v>
      </c>
      <c r="AN11" s="224">
        <v>1</v>
      </c>
    </row>
    <row r="12" spans="1:40" ht="14.95" customHeight="1" thickBot="1" x14ac:dyDescent="0.35">
      <c r="A12" s="253">
        <v>44856</v>
      </c>
      <c r="B12" s="254" t="s">
        <v>139</v>
      </c>
      <c r="C12" s="289" t="s">
        <v>31</v>
      </c>
      <c r="D12" s="254" t="s">
        <v>140</v>
      </c>
      <c r="E12" s="150" t="s">
        <v>1</v>
      </c>
      <c r="F12" s="223">
        <v>44</v>
      </c>
      <c r="G12" s="223">
        <v>0</v>
      </c>
      <c r="H12" s="223">
        <v>1</v>
      </c>
      <c r="I12" s="223">
        <v>0</v>
      </c>
      <c r="J12" s="223">
        <v>7</v>
      </c>
      <c r="K12" s="223">
        <v>3</v>
      </c>
      <c r="L12" s="223">
        <v>0</v>
      </c>
      <c r="M12" s="223">
        <v>1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5"/>
      <c r="T12" s="256" t="s">
        <v>326</v>
      </c>
      <c r="U12" s="225" t="s">
        <v>214</v>
      </c>
      <c r="V12" s="225" t="s">
        <v>198</v>
      </c>
      <c r="W12" s="225" t="s">
        <v>194</v>
      </c>
      <c r="X12" s="225" t="s">
        <v>209</v>
      </c>
      <c r="Y12" s="155">
        <v>1</v>
      </c>
      <c r="Z12" s="155">
        <v>1</v>
      </c>
      <c r="AA12" s="155">
        <v>0</v>
      </c>
      <c r="AB12" s="224">
        <v>0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1</v>
      </c>
      <c r="AM12" s="155">
        <v>0</v>
      </c>
      <c r="AN12" s="224">
        <v>0</v>
      </c>
    </row>
    <row r="13" spans="1:40" ht="14.95" customHeight="1" thickBot="1" x14ac:dyDescent="0.35">
      <c r="A13" s="226">
        <v>44863</v>
      </c>
      <c r="B13" s="227" t="s">
        <v>109</v>
      </c>
      <c r="C13" s="227" t="s">
        <v>33</v>
      </c>
      <c r="D13" s="227" t="s">
        <v>140</v>
      </c>
      <c r="E13" s="223" t="s">
        <v>1</v>
      </c>
      <c r="F13" s="223">
        <v>39</v>
      </c>
      <c r="G13" s="223">
        <v>3</v>
      </c>
      <c r="H13" s="223" t="s">
        <v>72</v>
      </c>
      <c r="I13" s="223" t="s">
        <v>72</v>
      </c>
      <c r="J13" s="223">
        <v>5</v>
      </c>
      <c r="K13" s="223">
        <v>3</v>
      </c>
      <c r="L13" s="223">
        <v>0</v>
      </c>
      <c r="M13" s="223">
        <v>2</v>
      </c>
      <c r="N13" s="223">
        <v>0</v>
      </c>
      <c r="O13" s="223">
        <v>0</v>
      </c>
      <c r="P13" s="223" t="s">
        <v>72</v>
      </c>
      <c r="Q13" s="223" t="s">
        <v>72</v>
      </c>
      <c r="R13" s="223">
        <v>0</v>
      </c>
      <c r="S13" s="290"/>
      <c r="T13" s="231" t="s">
        <v>201</v>
      </c>
      <c r="U13" s="229" t="s">
        <v>159</v>
      </c>
      <c r="V13" s="228" t="s">
        <v>198</v>
      </c>
      <c r="W13" s="229" t="s">
        <v>214</v>
      </c>
      <c r="X13" s="228" t="s">
        <v>258</v>
      </c>
      <c r="Y13" s="155">
        <v>1</v>
      </c>
      <c r="Z13" s="155">
        <v>1</v>
      </c>
      <c r="AA13" s="155">
        <v>0</v>
      </c>
      <c r="AB13" s="224">
        <v>0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1</v>
      </c>
      <c r="AM13" s="155">
        <v>0</v>
      </c>
      <c r="AN13" s="224">
        <v>0</v>
      </c>
    </row>
    <row r="14" spans="1:40" ht="14.95" customHeight="1" thickBot="1" x14ac:dyDescent="0.35">
      <c r="A14" s="226">
        <v>44870</v>
      </c>
      <c r="B14" s="227" t="s">
        <v>387</v>
      </c>
      <c r="C14" s="227" t="s">
        <v>77</v>
      </c>
      <c r="D14" s="227" t="s">
        <v>144</v>
      </c>
      <c r="E14" s="223" t="s">
        <v>3</v>
      </c>
      <c r="F14" s="223">
        <v>24</v>
      </c>
      <c r="G14" s="223">
        <v>25</v>
      </c>
      <c r="H14" s="223" t="s">
        <v>72</v>
      </c>
      <c r="I14" s="223" t="s">
        <v>72</v>
      </c>
      <c r="J14" s="223">
        <v>3</v>
      </c>
      <c r="K14" s="223">
        <v>3</v>
      </c>
      <c r="L14" s="223">
        <v>0</v>
      </c>
      <c r="M14" s="223">
        <v>1</v>
      </c>
      <c r="N14" s="223">
        <v>1</v>
      </c>
      <c r="O14" s="223">
        <v>0</v>
      </c>
      <c r="P14" s="223" t="s">
        <v>72</v>
      </c>
      <c r="Q14" s="223" t="s">
        <v>72</v>
      </c>
      <c r="R14" s="223">
        <v>3</v>
      </c>
      <c r="S14" s="290"/>
      <c r="T14" s="396" t="s">
        <v>540</v>
      </c>
      <c r="U14" s="229" t="s">
        <v>147</v>
      </c>
      <c r="V14" s="228" t="s">
        <v>117</v>
      </c>
      <c r="W14" s="225" t="s">
        <v>165</v>
      </c>
      <c r="X14" s="230" t="s">
        <v>214</v>
      </c>
      <c r="Y14" s="155">
        <v>1</v>
      </c>
      <c r="Z14" s="155">
        <v>0</v>
      </c>
      <c r="AA14" s="155">
        <v>0</v>
      </c>
      <c r="AB14" s="224">
        <v>1</v>
      </c>
      <c r="AC14" s="155">
        <v>0</v>
      </c>
      <c r="AD14" s="155">
        <v>0</v>
      </c>
      <c r="AE14" s="155">
        <v>0</v>
      </c>
      <c r="AF14" s="224">
        <v>0</v>
      </c>
      <c r="AG14" s="155">
        <v>0</v>
      </c>
      <c r="AH14" s="155">
        <v>0</v>
      </c>
      <c r="AI14" s="155">
        <v>0</v>
      </c>
      <c r="AJ14" s="224">
        <v>0</v>
      </c>
      <c r="AK14" s="155">
        <v>1</v>
      </c>
      <c r="AL14" s="155">
        <v>0</v>
      </c>
      <c r="AM14" s="155">
        <v>0</v>
      </c>
      <c r="AN14" s="224">
        <v>1</v>
      </c>
    </row>
    <row r="15" spans="1:40" ht="17" thickBot="1" x14ac:dyDescent="0.35">
      <c r="A15" s="226">
        <v>44877</v>
      </c>
      <c r="B15" s="227" t="s">
        <v>539</v>
      </c>
      <c r="C15" s="227" t="s">
        <v>38</v>
      </c>
      <c r="D15" s="227" t="s">
        <v>144</v>
      </c>
      <c r="E15" s="223" t="s">
        <v>1</v>
      </c>
      <c r="F15" s="223">
        <v>36</v>
      </c>
      <c r="G15" s="223">
        <v>0</v>
      </c>
      <c r="H15" s="223" t="s">
        <v>72</v>
      </c>
      <c r="I15" s="223" t="s">
        <v>72</v>
      </c>
      <c r="J15" s="223">
        <v>5</v>
      </c>
      <c r="K15" s="223">
        <v>4</v>
      </c>
      <c r="L15" s="223">
        <v>0</v>
      </c>
      <c r="M15" s="223">
        <v>1</v>
      </c>
      <c r="N15" s="223">
        <v>1</v>
      </c>
      <c r="O15" s="223">
        <v>0</v>
      </c>
      <c r="P15" s="223" t="s">
        <v>72</v>
      </c>
      <c r="Q15" s="223" t="s">
        <v>72</v>
      </c>
      <c r="R15" s="223">
        <v>0</v>
      </c>
      <c r="S15" s="290"/>
      <c r="T15" s="231" t="s">
        <v>543</v>
      </c>
      <c r="U15" s="229" t="s">
        <v>165</v>
      </c>
      <c r="V15" s="228" t="s">
        <v>117</v>
      </c>
      <c r="W15" s="225" t="s">
        <v>147</v>
      </c>
      <c r="X15" s="230" t="s">
        <v>211</v>
      </c>
      <c r="Y15" s="155">
        <v>1</v>
      </c>
      <c r="Z15" s="155">
        <v>1</v>
      </c>
      <c r="AA15" s="155">
        <v>0</v>
      </c>
      <c r="AB15" s="224">
        <v>0</v>
      </c>
      <c r="AC15" s="155">
        <v>0</v>
      </c>
      <c r="AD15" s="155">
        <v>0</v>
      </c>
      <c r="AE15" s="155">
        <v>0</v>
      </c>
      <c r="AF15" s="224">
        <v>0</v>
      </c>
      <c r="AG15" s="155">
        <v>0</v>
      </c>
      <c r="AH15" s="155">
        <v>0</v>
      </c>
      <c r="AI15" s="155">
        <v>0</v>
      </c>
      <c r="AJ15" s="224">
        <v>0</v>
      </c>
      <c r="AK15" s="155">
        <v>1</v>
      </c>
      <c r="AL15" s="155">
        <v>1</v>
      </c>
      <c r="AM15" s="155">
        <v>0</v>
      </c>
      <c r="AN15" s="224">
        <v>0</v>
      </c>
    </row>
    <row r="16" spans="1:40" ht="14.95" thickBot="1" x14ac:dyDescent="0.3">
      <c r="A16" s="123"/>
      <c r="B16" s="124"/>
      <c r="C16" s="692" t="s">
        <v>74</v>
      </c>
      <c r="D16" s="693"/>
      <c r="E16" s="694"/>
      <c r="F16" s="122">
        <f>SUM(F3:F7)</f>
        <v>152</v>
      </c>
      <c r="G16" s="122">
        <f t="shared" ref="G16:R16" si="0">SUM(G3:G7)</f>
        <v>48</v>
      </c>
      <c r="H16" s="122">
        <f t="shared" si="0"/>
        <v>4</v>
      </c>
      <c r="I16" s="122">
        <f t="shared" si="0"/>
        <v>0</v>
      </c>
      <c r="J16" s="122">
        <f t="shared" si="0"/>
        <v>22</v>
      </c>
      <c r="K16" s="122">
        <f t="shared" si="0"/>
        <v>15</v>
      </c>
      <c r="L16" s="122">
        <f t="shared" si="0"/>
        <v>0</v>
      </c>
      <c r="M16" s="122">
        <f t="shared" si="0"/>
        <v>4</v>
      </c>
      <c r="N16" s="122">
        <f t="shared" si="0"/>
        <v>3</v>
      </c>
      <c r="O16" s="122">
        <f t="shared" si="0"/>
        <v>0</v>
      </c>
      <c r="P16" s="122">
        <f t="shared" si="0"/>
        <v>0</v>
      </c>
      <c r="Q16" s="122">
        <f t="shared" si="0"/>
        <v>0</v>
      </c>
      <c r="R16" s="122">
        <f t="shared" si="0"/>
        <v>6</v>
      </c>
      <c r="W16" s="119"/>
      <c r="X16" s="158" t="s">
        <v>74</v>
      </c>
      <c r="Y16" s="122">
        <f t="shared" ref="Y16:AN16" si="1">SUM(Y3:Y7)</f>
        <v>5</v>
      </c>
      <c r="Z16" s="122">
        <f t="shared" si="1"/>
        <v>4</v>
      </c>
      <c r="AA16" s="122">
        <f t="shared" si="1"/>
        <v>0</v>
      </c>
      <c r="AB16" s="122">
        <f t="shared" si="1"/>
        <v>1</v>
      </c>
      <c r="AC16" s="120">
        <f t="shared" si="1"/>
        <v>3</v>
      </c>
      <c r="AD16" s="120">
        <f t="shared" si="1"/>
        <v>2</v>
      </c>
      <c r="AE16" s="120">
        <f t="shared" si="1"/>
        <v>0</v>
      </c>
      <c r="AF16" s="120">
        <f t="shared" si="1"/>
        <v>1</v>
      </c>
      <c r="AG16" s="121">
        <f t="shared" si="1"/>
        <v>2</v>
      </c>
      <c r="AH16" s="121">
        <f t="shared" si="1"/>
        <v>2</v>
      </c>
      <c r="AI16" s="121">
        <f t="shared" si="1"/>
        <v>0</v>
      </c>
      <c r="AJ16" s="121">
        <f t="shared" si="1"/>
        <v>0</v>
      </c>
      <c r="AK16" s="122">
        <f t="shared" si="1"/>
        <v>0</v>
      </c>
      <c r="AL16" s="122">
        <f t="shared" si="1"/>
        <v>0</v>
      </c>
      <c r="AM16" s="122">
        <f t="shared" si="1"/>
        <v>0</v>
      </c>
      <c r="AN16" s="122">
        <f t="shared" si="1"/>
        <v>0</v>
      </c>
    </row>
    <row r="17" spans="1:40" ht="14.95" customHeight="1" thickBot="1" x14ac:dyDescent="0.3">
      <c r="A17" s="123"/>
      <c r="B17" s="124"/>
      <c r="C17" s="679" t="s">
        <v>467</v>
      </c>
      <c r="D17" s="680"/>
      <c r="E17" s="681"/>
      <c r="F17" s="414">
        <f>SUM(F10:F12)</f>
        <v>91</v>
      </c>
      <c r="G17" s="414">
        <f t="shared" ref="G17:R17" si="2">SUM(G10:G12)</f>
        <v>18</v>
      </c>
      <c r="H17" s="414">
        <f t="shared" si="2"/>
        <v>2</v>
      </c>
      <c r="I17" s="414">
        <f t="shared" si="2"/>
        <v>1</v>
      </c>
      <c r="J17" s="414">
        <f t="shared" si="2"/>
        <v>14</v>
      </c>
      <c r="K17" s="414">
        <f t="shared" si="2"/>
        <v>9</v>
      </c>
      <c r="L17" s="414">
        <f t="shared" si="2"/>
        <v>0</v>
      </c>
      <c r="M17" s="414">
        <f t="shared" si="2"/>
        <v>1</v>
      </c>
      <c r="N17" s="414">
        <f t="shared" si="2"/>
        <v>0</v>
      </c>
      <c r="O17" s="414">
        <f t="shared" si="2"/>
        <v>0</v>
      </c>
      <c r="P17" s="414">
        <f t="shared" si="2"/>
        <v>0</v>
      </c>
      <c r="Q17" s="414">
        <f t="shared" si="2"/>
        <v>0</v>
      </c>
      <c r="R17" s="414">
        <f t="shared" si="2"/>
        <v>2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3">SUM(Y10:Y12)</f>
        <v>3</v>
      </c>
      <c r="Z17" s="414">
        <f t="shared" si="3"/>
        <v>2</v>
      </c>
      <c r="AA17" s="414">
        <f t="shared" si="3"/>
        <v>0</v>
      </c>
      <c r="AB17" s="414">
        <f t="shared" si="3"/>
        <v>1</v>
      </c>
      <c r="AC17" s="418">
        <f t="shared" si="3"/>
        <v>0</v>
      </c>
      <c r="AD17" s="418">
        <f t="shared" si="3"/>
        <v>0</v>
      </c>
      <c r="AE17" s="418">
        <f t="shared" si="3"/>
        <v>0</v>
      </c>
      <c r="AF17" s="418">
        <f t="shared" si="3"/>
        <v>0</v>
      </c>
      <c r="AG17" s="419">
        <f t="shared" si="3"/>
        <v>0</v>
      </c>
      <c r="AH17" s="419">
        <f t="shared" si="3"/>
        <v>0</v>
      </c>
      <c r="AI17" s="419">
        <f t="shared" si="3"/>
        <v>0</v>
      </c>
      <c r="AJ17" s="419">
        <f t="shared" si="3"/>
        <v>0</v>
      </c>
      <c r="AK17" s="414">
        <f t="shared" si="3"/>
        <v>3</v>
      </c>
      <c r="AL17" s="414">
        <f t="shared" si="3"/>
        <v>2</v>
      </c>
      <c r="AM17" s="414">
        <f t="shared" si="3"/>
        <v>0</v>
      </c>
      <c r="AN17" s="414">
        <f t="shared" si="3"/>
        <v>1</v>
      </c>
    </row>
    <row r="18" spans="1:40" ht="14.95" thickBot="1" x14ac:dyDescent="0.3">
      <c r="A18" s="123"/>
      <c r="B18" s="124"/>
      <c r="C18" s="679" t="s">
        <v>468</v>
      </c>
      <c r="D18" s="680"/>
      <c r="E18" s="681"/>
      <c r="F18" s="414">
        <f>SUM(F13:F15)</f>
        <v>99</v>
      </c>
      <c r="G18" s="414">
        <f>SUM(G13:G15)</f>
        <v>28</v>
      </c>
      <c r="H18" s="414">
        <v>0</v>
      </c>
      <c r="I18" s="414">
        <v>0</v>
      </c>
      <c r="J18" s="414">
        <f t="shared" ref="J18:O18" si="4">SUM(J13:J15)</f>
        <v>13</v>
      </c>
      <c r="K18" s="414">
        <f t="shared" si="4"/>
        <v>10</v>
      </c>
      <c r="L18" s="414">
        <f t="shared" si="4"/>
        <v>0</v>
      </c>
      <c r="M18" s="414">
        <f t="shared" si="4"/>
        <v>4</v>
      </c>
      <c r="N18" s="414">
        <f t="shared" si="4"/>
        <v>2</v>
      </c>
      <c r="O18" s="414">
        <f t="shared" si="4"/>
        <v>0</v>
      </c>
      <c r="P18" s="414">
        <v>0</v>
      </c>
      <c r="Q18" s="414">
        <v>0</v>
      </c>
      <c r="R18" s="414">
        <f>SUM(R13:R15)</f>
        <v>3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5">SUM(Y13:Y15)</f>
        <v>3</v>
      </c>
      <c r="Z18" s="414">
        <f t="shared" si="5"/>
        <v>2</v>
      </c>
      <c r="AA18" s="414">
        <f t="shared" si="5"/>
        <v>0</v>
      </c>
      <c r="AB18" s="414">
        <f t="shared" si="5"/>
        <v>1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0</v>
      </c>
      <c r="AH18" s="419">
        <f t="shared" si="5"/>
        <v>0</v>
      </c>
      <c r="AI18" s="419">
        <f t="shared" si="5"/>
        <v>0</v>
      </c>
      <c r="AJ18" s="419">
        <f t="shared" si="5"/>
        <v>0</v>
      </c>
      <c r="AK18" s="414">
        <f t="shared" si="5"/>
        <v>3</v>
      </c>
      <c r="AL18" s="414">
        <f t="shared" si="5"/>
        <v>2</v>
      </c>
      <c r="AM18" s="414">
        <f t="shared" si="5"/>
        <v>0</v>
      </c>
      <c r="AN18" s="414">
        <f t="shared" si="5"/>
        <v>1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190</v>
      </c>
      <c r="G19" s="414">
        <f t="shared" ref="G19:R19" si="6">SUM(G17+G18)</f>
        <v>46</v>
      </c>
      <c r="H19" s="414">
        <f t="shared" si="6"/>
        <v>2</v>
      </c>
      <c r="I19" s="414">
        <f t="shared" si="6"/>
        <v>1</v>
      </c>
      <c r="J19" s="414">
        <f t="shared" si="6"/>
        <v>27</v>
      </c>
      <c r="K19" s="414">
        <f t="shared" si="6"/>
        <v>19</v>
      </c>
      <c r="L19" s="414">
        <f t="shared" si="6"/>
        <v>0</v>
      </c>
      <c r="M19" s="414">
        <f t="shared" si="6"/>
        <v>5</v>
      </c>
      <c r="N19" s="414">
        <f t="shared" si="6"/>
        <v>2</v>
      </c>
      <c r="O19" s="414">
        <f t="shared" si="6"/>
        <v>0</v>
      </c>
      <c r="P19" s="414">
        <f t="shared" si="6"/>
        <v>0</v>
      </c>
      <c r="Q19" s="414">
        <f t="shared" si="6"/>
        <v>0</v>
      </c>
      <c r="R19" s="414">
        <f t="shared" si="6"/>
        <v>5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7">SUM(Y17+Y18)</f>
        <v>6</v>
      </c>
      <c r="Z19" s="414">
        <f t="shared" si="7"/>
        <v>4</v>
      </c>
      <c r="AA19" s="414">
        <f t="shared" si="7"/>
        <v>0</v>
      </c>
      <c r="AB19" s="414">
        <f t="shared" si="7"/>
        <v>2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0</v>
      </c>
      <c r="AH19" s="419">
        <f t="shared" si="7"/>
        <v>0</v>
      </c>
      <c r="AI19" s="419">
        <f t="shared" si="7"/>
        <v>0</v>
      </c>
      <c r="AJ19" s="419">
        <f t="shared" si="7"/>
        <v>0</v>
      </c>
      <c r="AK19" s="414">
        <f t="shared" si="7"/>
        <v>6</v>
      </c>
      <c r="AL19" s="414">
        <f t="shared" si="7"/>
        <v>4</v>
      </c>
      <c r="AM19" s="414">
        <f t="shared" si="7"/>
        <v>0</v>
      </c>
      <c r="AN19" s="414">
        <f t="shared" si="7"/>
        <v>2</v>
      </c>
    </row>
    <row r="20" spans="1:40" ht="14.95" thickBot="1" x14ac:dyDescent="0.3">
      <c r="A20" s="123"/>
      <c r="B20" s="124"/>
      <c r="C20" s="686" t="s">
        <v>83</v>
      </c>
      <c r="D20" s="687"/>
      <c r="E20" s="688"/>
      <c r="F20" s="244">
        <f>SUM(F8:F9)</f>
        <v>40</v>
      </c>
      <c r="G20" s="244">
        <f>SUM(G8:G9)</f>
        <v>26</v>
      </c>
      <c r="H20" s="244" t="s">
        <v>72</v>
      </c>
      <c r="I20" s="244" t="s">
        <v>72</v>
      </c>
      <c r="J20" s="244">
        <f t="shared" ref="J20:O20" si="8">SUM(J8:J9)</f>
        <v>6</v>
      </c>
      <c r="K20" s="244">
        <f t="shared" si="8"/>
        <v>5</v>
      </c>
      <c r="L20" s="244">
        <f t="shared" si="8"/>
        <v>0</v>
      </c>
      <c r="M20" s="244">
        <f t="shared" si="8"/>
        <v>0</v>
      </c>
      <c r="N20" s="244">
        <f t="shared" si="8"/>
        <v>1</v>
      </c>
      <c r="O20" s="244">
        <f t="shared" si="8"/>
        <v>0</v>
      </c>
      <c r="P20" s="244" t="s">
        <v>72</v>
      </c>
      <c r="Q20" s="244" t="s">
        <v>72</v>
      </c>
      <c r="R20" s="244">
        <f>SUM(R8:R9)</f>
        <v>3</v>
      </c>
      <c r="S20" s="241"/>
      <c r="T20" s="241"/>
      <c r="U20" s="241"/>
      <c r="V20" s="241"/>
      <c r="W20" s="242"/>
      <c r="X20" s="249" t="s">
        <v>83</v>
      </c>
      <c r="Y20" s="244">
        <f t="shared" ref="Y20:AN20" si="9">SUM(Y8:Y9)</f>
        <v>2</v>
      </c>
      <c r="Z20" s="244">
        <f t="shared" si="9"/>
        <v>1</v>
      </c>
      <c r="AA20" s="244">
        <f t="shared" si="9"/>
        <v>0</v>
      </c>
      <c r="AB20" s="244">
        <f t="shared" si="9"/>
        <v>1</v>
      </c>
      <c r="AC20" s="245">
        <f t="shared" si="9"/>
        <v>1</v>
      </c>
      <c r="AD20" s="245">
        <f t="shared" si="9"/>
        <v>1</v>
      </c>
      <c r="AE20" s="245">
        <f t="shared" si="9"/>
        <v>0</v>
      </c>
      <c r="AF20" s="245">
        <f t="shared" si="9"/>
        <v>0</v>
      </c>
      <c r="AG20" s="246">
        <f t="shared" si="9"/>
        <v>1</v>
      </c>
      <c r="AH20" s="246">
        <f t="shared" si="9"/>
        <v>0</v>
      </c>
      <c r="AI20" s="246">
        <f t="shared" si="9"/>
        <v>0</v>
      </c>
      <c r="AJ20" s="246">
        <f t="shared" si="9"/>
        <v>1</v>
      </c>
      <c r="AK20" s="244">
        <f t="shared" si="9"/>
        <v>0</v>
      </c>
      <c r="AL20" s="244">
        <f t="shared" si="9"/>
        <v>0</v>
      </c>
      <c r="AM20" s="244">
        <f t="shared" si="9"/>
        <v>0</v>
      </c>
      <c r="AN20" s="244">
        <f t="shared" si="9"/>
        <v>0</v>
      </c>
    </row>
    <row r="21" spans="1:40" ht="14.95" thickBot="1" x14ac:dyDescent="0.3">
      <c r="A21" s="123"/>
      <c r="B21" s="124"/>
      <c r="C21" s="682" t="s">
        <v>73</v>
      </c>
      <c r="D21" s="683"/>
      <c r="E21" s="684"/>
      <c r="F21" s="150">
        <f t="shared" ref="F21:R21" si="10">SUM(F3:F15)</f>
        <v>382</v>
      </c>
      <c r="G21" s="150">
        <f t="shared" si="10"/>
        <v>120</v>
      </c>
      <c r="H21" s="179">
        <f t="shared" si="10"/>
        <v>6</v>
      </c>
      <c r="I21" s="150">
        <f t="shared" si="10"/>
        <v>1</v>
      </c>
      <c r="J21" s="150">
        <f t="shared" si="10"/>
        <v>55</v>
      </c>
      <c r="K21" s="150">
        <f t="shared" si="10"/>
        <v>39</v>
      </c>
      <c r="L21" s="150">
        <f t="shared" si="10"/>
        <v>0</v>
      </c>
      <c r="M21" s="150">
        <f t="shared" si="10"/>
        <v>9</v>
      </c>
      <c r="N21" s="150">
        <f t="shared" si="10"/>
        <v>6</v>
      </c>
      <c r="O21" s="150">
        <f t="shared" si="10"/>
        <v>0</v>
      </c>
      <c r="P21" s="150">
        <f t="shared" si="10"/>
        <v>0</v>
      </c>
      <c r="Q21" s="150">
        <f t="shared" si="10"/>
        <v>0</v>
      </c>
      <c r="R21" s="150">
        <f t="shared" si="10"/>
        <v>14</v>
      </c>
      <c r="S21" s="147"/>
      <c r="T21" s="147"/>
      <c r="U21" s="147"/>
      <c r="V21" s="147"/>
      <c r="W21" s="12"/>
      <c r="X21" s="155" t="s">
        <v>73</v>
      </c>
      <c r="Y21" s="150">
        <f t="shared" ref="Y21:AN21" si="11">SUM(Y3:Y15)</f>
        <v>13</v>
      </c>
      <c r="Z21" s="150">
        <f t="shared" si="11"/>
        <v>9</v>
      </c>
      <c r="AA21" s="150">
        <f t="shared" si="11"/>
        <v>0</v>
      </c>
      <c r="AB21" s="150">
        <f t="shared" si="11"/>
        <v>4</v>
      </c>
      <c r="AC21" s="148">
        <f t="shared" si="11"/>
        <v>4</v>
      </c>
      <c r="AD21" s="148">
        <f t="shared" si="11"/>
        <v>3</v>
      </c>
      <c r="AE21" s="148">
        <f t="shared" si="11"/>
        <v>0</v>
      </c>
      <c r="AF21" s="148">
        <f t="shared" si="11"/>
        <v>1</v>
      </c>
      <c r="AG21" s="149">
        <f t="shared" si="11"/>
        <v>3</v>
      </c>
      <c r="AH21" s="149">
        <f t="shared" si="11"/>
        <v>2</v>
      </c>
      <c r="AI21" s="149">
        <f t="shared" si="11"/>
        <v>0</v>
      </c>
      <c r="AJ21" s="149">
        <f t="shared" si="11"/>
        <v>1</v>
      </c>
      <c r="AK21" s="150">
        <f t="shared" si="11"/>
        <v>6</v>
      </c>
      <c r="AL21" s="150">
        <f t="shared" si="11"/>
        <v>4</v>
      </c>
      <c r="AM21" s="150">
        <f t="shared" si="11"/>
        <v>0</v>
      </c>
      <c r="AN21" s="150">
        <f t="shared" si="11"/>
        <v>2</v>
      </c>
    </row>
    <row r="22" spans="1:40" x14ac:dyDescent="0.25">
      <c r="A22" s="685" t="s">
        <v>85</v>
      </c>
      <c r="B22" s="637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</row>
    <row r="23" spans="1:40" x14ac:dyDescent="0.25">
      <c r="A23" t="s">
        <v>122</v>
      </c>
      <c r="F23" s="13"/>
      <c r="G23" s="13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40" x14ac:dyDescent="0.25">
      <c r="A24" t="s">
        <v>132</v>
      </c>
      <c r="F24" s="13"/>
      <c r="G24" s="13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40" x14ac:dyDescent="0.25">
      <c r="A25" t="s">
        <v>145</v>
      </c>
      <c r="F25" s="13"/>
      <c r="G25" s="13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40" x14ac:dyDescent="0.25">
      <c r="A26" t="s">
        <v>142</v>
      </c>
      <c r="F26" s="13"/>
      <c r="G26" s="13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40" x14ac:dyDescent="0.25">
      <c r="A27" t="s">
        <v>375</v>
      </c>
      <c r="F27" s="13"/>
      <c r="G27" s="13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40" x14ac:dyDescent="0.25">
      <c r="A28" s="685" t="s">
        <v>524</v>
      </c>
      <c r="B28" s="637"/>
      <c r="C28" s="637"/>
      <c r="D28" s="637"/>
      <c r="E28" s="637"/>
      <c r="F28" s="637"/>
      <c r="G28" s="637"/>
      <c r="H28" s="637"/>
      <c r="I28" s="637"/>
      <c r="J28" s="637"/>
      <c r="K28" s="637"/>
      <c r="L28" s="637"/>
      <c r="M28" s="637"/>
      <c r="N28" s="637"/>
      <c r="O28" s="637"/>
      <c r="P28" s="637"/>
      <c r="Q28" s="637"/>
      <c r="R28" s="637"/>
      <c r="S28" s="637"/>
      <c r="T28" s="637"/>
      <c r="U28" s="637"/>
      <c r="V28" s="637"/>
      <c r="W28" s="637"/>
      <c r="X28" s="637"/>
      <c r="Y28" s="637"/>
      <c r="Z28" s="637"/>
      <c r="AA28" s="637"/>
      <c r="AB28" s="637"/>
      <c r="AC28" s="637"/>
      <c r="AD28" s="637"/>
      <c r="AE28" s="637"/>
      <c r="AF28" s="637"/>
      <c r="AG28" s="637"/>
      <c r="AH28" s="637"/>
      <c r="AI28" s="637"/>
      <c r="AJ28" s="637"/>
      <c r="AK28" s="637"/>
      <c r="AL28" s="637"/>
      <c r="AM28" s="637"/>
      <c r="AN28" s="637"/>
    </row>
    <row r="29" spans="1:40" x14ac:dyDescent="0.25">
      <c r="A29" s="46"/>
      <c r="B29" t="s">
        <v>42</v>
      </c>
    </row>
    <row r="30" spans="1:40" x14ac:dyDescent="0.25">
      <c r="A30" s="44"/>
      <c r="B30" t="s">
        <v>40</v>
      </c>
    </row>
    <row r="31" spans="1:40" x14ac:dyDescent="0.25">
      <c r="A31" s="45"/>
      <c r="B31" t="s">
        <v>41</v>
      </c>
    </row>
    <row r="32" spans="1:40" x14ac:dyDescent="0.25">
      <c r="A32" s="14" t="s">
        <v>28</v>
      </c>
    </row>
  </sheetData>
  <mergeCells count="18">
    <mergeCell ref="C17:E17"/>
    <mergeCell ref="Y1:AB1"/>
    <mergeCell ref="AC1:AF1"/>
    <mergeCell ref="AG1:AJ1"/>
    <mergeCell ref="AK1:AN1"/>
    <mergeCell ref="N1:O1"/>
    <mergeCell ref="P1:R1"/>
    <mergeCell ref="A1:C1"/>
    <mergeCell ref="E1:G1"/>
    <mergeCell ref="H1:I1"/>
    <mergeCell ref="J1:M1"/>
    <mergeCell ref="C16:E16"/>
    <mergeCell ref="C18:E18"/>
    <mergeCell ref="C19:E19"/>
    <mergeCell ref="A28:AN28"/>
    <mergeCell ref="C20:E20"/>
    <mergeCell ref="C21:E21"/>
    <mergeCell ref="A22:AN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2"/>
  <sheetViews>
    <sheetView workbookViewId="0">
      <pane ySplit="2" topLeftCell="A3" activePane="bottomLeft" state="frozen"/>
      <selection pane="bottomLeft" activeCell="U29" sqref="U2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3" width="3.75" customWidth="1"/>
    <col min="14" max="14" width="4.125" customWidth="1"/>
    <col min="15" max="18" width="3.75" customWidth="1"/>
    <col min="19" max="20" width="6.25" customWidth="1"/>
    <col min="21" max="21" width="30.5" customWidth="1"/>
    <col min="22" max="22" width="22.25" customWidth="1"/>
    <col min="23" max="23" width="21.75" customWidth="1"/>
    <col min="24" max="24" width="30.5" customWidth="1"/>
    <col min="25" max="40" width="3.75" customWidth="1"/>
  </cols>
  <sheetData>
    <row r="1" spans="1:40" ht="14.95" customHeight="1" thickBot="1" x14ac:dyDescent="0.3">
      <c r="A1" s="755" t="s">
        <v>94</v>
      </c>
      <c r="B1" s="756"/>
      <c r="C1" s="756"/>
      <c r="D1" s="43"/>
      <c r="E1" s="757" t="s">
        <v>24</v>
      </c>
      <c r="F1" s="758"/>
      <c r="G1" s="759"/>
      <c r="H1" s="757" t="s">
        <v>23</v>
      </c>
      <c r="I1" s="759"/>
      <c r="J1" s="752" t="s">
        <v>6</v>
      </c>
      <c r="K1" s="753"/>
      <c r="L1" s="753"/>
      <c r="M1" s="754"/>
      <c r="N1" s="752" t="s">
        <v>7</v>
      </c>
      <c r="O1" s="754"/>
      <c r="P1" s="752" t="s">
        <v>25</v>
      </c>
      <c r="Q1" s="753"/>
      <c r="R1" s="754"/>
      <c r="S1" s="152" t="s">
        <v>8</v>
      </c>
      <c r="T1" s="152" t="s">
        <v>9</v>
      </c>
      <c r="U1" s="18" t="s">
        <v>10</v>
      </c>
      <c r="V1" s="17" t="s">
        <v>11</v>
      </c>
      <c r="W1" s="19" t="s">
        <v>26</v>
      </c>
      <c r="X1" s="50" t="s">
        <v>27</v>
      </c>
      <c r="Y1" s="751" t="s">
        <v>20</v>
      </c>
      <c r="Z1" s="741"/>
      <c r="AA1" s="741"/>
      <c r="AB1" s="742"/>
      <c r="AC1" s="751" t="s">
        <v>58</v>
      </c>
      <c r="AD1" s="741"/>
      <c r="AE1" s="741"/>
      <c r="AF1" s="742"/>
      <c r="AG1" s="751" t="s">
        <v>59</v>
      </c>
      <c r="AH1" s="741"/>
      <c r="AI1" s="741"/>
      <c r="AJ1" s="742"/>
      <c r="AK1" s="751" t="s">
        <v>60</v>
      </c>
      <c r="AL1" s="741"/>
      <c r="AM1" s="741"/>
      <c r="AN1" s="742"/>
    </row>
    <row r="2" spans="1:40" ht="14.95" customHeight="1" thickBot="1" x14ac:dyDescent="0.3">
      <c r="A2" s="20" t="s">
        <v>19</v>
      </c>
      <c r="B2" s="21" t="s">
        <v>18</v>
      </c>
      <c r="C2" s="22" t="s">
        <v>17</v>
      </c>
      <c r="D2" s="22" t="s">
        <v>39</v>
      </c>
      <c r="E2" s="23" t="s">
        <v>16</v>
      </c>
      <c r="F2" s="23" t="s">
        <v>4</v>
      </c>
      <c r="G2" s="23" t="s">
        <v>5</v>
      </c>
      <c r="H2" s="24" t="s">
        <v>12</v>
      </c>
      <c r="I2" s="24" t="s">
        <v>3</v>
      </c>
      <c r="J2" s="24" t="s">
        <v>12</v>
      </c>
      <c r="K2" s="24" t="s">
        <v>13</v>
      </c>
      <c r="L2" s="24" t="s">
        <v>2</v>
      </c>
      <c r="M2" s="24" t="s">
        <v>14</v>
      </c>
      <c r="N2" s="24" t="s">
        <v>15</v>
      </c>
      <c r="O2" s="24" t="s">
        <v>16</v>
      </c>
      <c r="P2" s="24" t="s">
        <v>21</v>
      </c>
      <c r="Q2" s="24" t="s">
        <v>22</v>
      </c>
      <c r="R2" s="24" t="s">
        <v>12</v>
      </c>
      <c r="S2" s="25"/>
      <c r="T2" s="26"/>
      <c r="U2" s="27"/>
      <c r="V2" s="25"/>
      <c r="W2" s="28"/>
      <c r="X2" s="29"/>
      <c r="Y2" s="132" t="s">
        <v>0</v>
      </c>
      <c r="Z2" s="132" t="s">
        <v>1</v>
      </c>
      <c r="AA2" s="132" t="s">
        <v>2</v>
      </c>
      <c r="AB2" s="132" t="s">
        <v>3</v>
      </c>
      <c r="AC2" s="132" t="s">
        <v>0</v>
      </c>
      <c r="AD2" s="132" t="s">
        <v>1</v>
      </c>
      <c r="AE2" s="132" t="s">
        <v>2</v>
      </c>
      <c r="AF2" s="132" t="s">
        <v>3</v>
      </c>
      <c r="AG2" s="132" t="s">
        <v>0</v>
      </c>
      <c r="AH2" s="132" t="s">
        <v>1</v>
      </c>
      <c r="AI2" s="132" t="s">
        <v>2</v>
      </c>
      <c r="AJ2" s="132" t="s">
        <v>3</v>
      </c>
      <c r="AK2" s="132" t="s">
        <v>0</v>
      </c>
      <c r="AL2" s="132" t="s">
        <v>1</v>
      </c>
      <c r="AM2" s="132" t="s">
        <v>2</v>
      </c>
      <c r="AN2" s="132" t="s">
        <v>3</v>
      </c>
    </row>
    <row r="3" spans="1:40" ht="14.95" customHeight="1" thickBot="1" x14ac:dyDescent="0.35">
      <c r="A3" s="203">
        <v>44646</v>
      </c>
      <c r="B3" s="217" t="s">
        <v>43</v>
      </c>
      <c r="C3" s="204" t="s">
        <v>32</v>
      </c>
      <c r="D3" s="204" t="s">
        <v>76</v>
      </c>
      <c r="E3" s="205" t="s">
        <v>3</v>
      </c>
      <c r="F3" s="205">
        <v>19</v>
      </c>
      <c r="G3" s="205">
        <v>27</v>
      </c>
      <c r="H3" s="205">
        <v>0</v>
      </c>
      <c r="I3" s="205">
        <v>0</v>
      </c>
      <c r="J3" s="205">
        <v>3</v>
      </c>
      <c r="K3" s="205">
        <v>2</v>
      </c>
      <c r="L3" s="205">
        <v>0</v>
      </c>
      <c r="M3" s="205">
        <v>0</v>
      </c>
      <c r="N3" s="205">
        <v>1</v>
      </c>
      <c r="O3" s="205">
        <v>0</v>
      </c>
      <c r="P3" s="205">
        <v>1</v>
      </c>
      <c r="Q3" s="205">
        <v>0</v>
      </c>
      <c r="R3" s="205">
        <v>5</v>
      </c>
      <c r="S3" s="206"/>
      <c r="T3" s="219" t="s">
        <v>156</v>
      </c>
      <c r="U3" s="208" t="s">
        <v>157</v>
      </c>
      <c r="V3" s="206" t="s">
        <v>158</v>
      </c>
      <c r="W3" s="209" t="s">
        <v>159</v>
      </c>
      <c r="X3" s="210" t="s">
        <v>160</v>
      </c>
      <c r="Y3" s="211">
        <v>1</v>
      </c>
      <c r="Z3" s="211">
        <v>0</v>
      </c>
      <c r="AA3" s="211">
        <v>0</v>
      </c>
      <c r="AB3" s="212">
        <v>1</v>
      </c>
      <c r="AC3" s="211">
        <v>1</v>
      </c>
      <c r="AD3" s="211">
        <v>0</v>
      </c>
      <c r="AE3" s="211">
        <v>0</v>
      </c>
      <c r="AF3" s="212">
        <v>1</v>
      </c>
      <c r="AG3" s="211">
        <v>0</v>
      </c>
      <c r="AH3" s="211">
        <v>0</v>
      </c>
      <c r="AI3" s="211">
        <v>0</v>
      </c>
      <c r="AJ3" s="212">
        <v>0</v>
      </c>
      <c r="AK3" s="211">
        <v>0</v>
      </c>
      <c r="AL3" s="211">
        <v>0</v>
      </c>
      <c r="AM3" s="211">
        <v>0</v>
      </c>
      <c r="AN3" s="212">
        <v>0</v>
      </c>
    </row>
    <row r="4" spans="1:40" ht="14.95" customHeight="1" thickBot="1" x14ac:dyDescent="0.3">
      <c r="A4" s="184">
        <v>44653</v>
      </c>
      <c r="B4" s="186" t="s">
        <v>43</v>
      </c>
      <c r="C4" s="186" t="s">
        <v>34</v>
      </c>
      <c r="D4" s="186" t="s">
        <v>121</v>
      </c>
      <c r="E4" s="187" t="s">
        <v>3</v>
      </c>
      <c r="F4" s="187">
        <v>5</v>
      </c>
      <c r="G4" s="187">
        <v>40</v>
      </c>
      <c r="H4" s="187">
        <v>0</v>
      </c>
      <c r="I4" s="187">
        <v>0</v>
      </c>
      <c r="J4" s="187">
        <v>1</v>
      </c>
      <c r="K4" s="187">
        <v>0</v>
      </c>
      <c r="L4" s="187">
        <v>0</v>
      </c>
      <c r="M4" s="187">
        <v>0</v>
      </c>
      <c r="N4" s="187">
        <v>0</v>
      </c>
      <c r="O4" s="187">
        <v>0</v>
      </c>
      <c r="P4" s="187">
        <v>1</v>
      </c>
      <c r="Q4" s="187">
        <v>0</v>
      </c>
      <c r="R4" s="187">
        <v>6</v>
      </c>
      <c r="S4" s="191"/>
      <c r="T4" s="195" t="s">
        <v>173</v>
      </c>
      <c r="U4" s="193" t="s">
        <v>167</v>
      </c>
      <c r="V4" s="191" t="s">
        <v>117</v>
      </c>
      <c r="W4" s="188" t="s">
        <v>172</v>
      </c>
      <c r="X4" s="194" t="s">
        <v>168</v>
      </c>
      <c r="Y4" s="189">
        <v>1</v>
      </c>
      <c r="Z4" s="189">
        <v>0</v>
      </c>
      <c r="AA4" s="189">
        <v>0</v>
      </c>
      <c r="AB4" s="190">
        <v>1</v>
      </c>
      <c r="AC4" s="189">
        <v>0</v>
      </c>
      <c r="AD4" s="189">
        <v>0</v>
      </c>
      <c r="AE4" s="189">
        <v>0</v>
      </c>
      <c r="AF4" s="190">
        <v>0</v>
      </c>
      <c r="AG4" s="189">
        <v>1</v>
      </c>
      <c r="AH4" s="189">
        <v>0</v>
      </c>
      <c r="AI4" s="189">
        <v>0</v>
      </c>
      <c r="AJ4" s="190">
        <v>1</v>
      </c>
      <c r="AK4" s="189">
        <v>0</v>
      </c>
      <c r="AL4" s="189">
        <v>0</v>
      </c>
      <c r="AM4" s="189">
        <v>0</v>
      </c>
      <c r="AN4" s="190">
        <v>0</v>
      </c>
    </row>
    <row r="5" spans="1:40" ht="14.95" customHeight="1" thickBot="1" x14ac:dyDescent="0.35">
      <c r="A5" s="203">
        <v>44661</v>
      </c>
      <c r="B5" s="204" t="s">
        <v>43</v>
      </c>
      <c r="C5" s="204" t="s">
        <v>33</v>
      </c>
      <c r="D5" s="204" t="s">
        <v>131</v>
      </c>
      <c r="E5" s="205" t="s">
        <v>1</v>
      </c>
      <c r="F5" s="205">
        <v>29</v>
      </c>
      <c r="G5" s="205">
        <v>8</v>
      </c>
      <c r="H5" s="205">
        <v>1</v>
      </c>
      <c r="I5" s="205">
        <v>0</v>
      </c>
      <c r="J5" s="205">
        <v>5</v>
      </c>
      <c r="K5" s="205">
        <v>1</v>
      </c>
      <c r="L5" s="205">
        <v>0</v>
      </c>
      <c r="M5" s="205">
        <v>0</v>
      </c>
      <c r="N5" s="205">
        <v>1</v>
      </c>
      <c r="O5" s="205">
        <v>0</v>
      </c>
      <c r="P5" s="205">
        <v>0</v>
      </c>
      <c r="Q5" s="205">
        <v>0</v>
      </c>
      <c r="R5" s="205">
        <v>1</v>
      </c>
      <c r="S5" s="206"/>
      <c r="T5" s="215" t="s">
        <v>201</v>
      </c>
      <c r="U5" s="208" t="s">
        <v>149</v>
      </c>
      <c r="V5" s="206" t="s">
        <v>181</v>
      </c>
      <c r="W5" s="209" t="s">
        <v>182</v>
      </c>
      <c r="X5" s="210" t="s">
        <v>202</v>
      </c>
      <c r="Y5" s="211">
        <v>1</v>
      </c>
      <c r="Z5" s="211">
        <v>1</v>
      </c>
      <c r="AA5" s="211">
        <v>0</v>
      </c>
      <c r="AB5" s="212">
        <v>0</v>
      </c>
      <c r="AC5" s="211">
        <v>1</v>
      </c>
      <c r="AD5" s="211">
        <v>1</v>
      </c>
      <c r="AE5" s="211">
        <v>0</v>
      </c>
      <c r="AF5" s="212">
        <v>0</v>
      </c>
      <c r="AG5" s="211">
        <v>0</v>
      </c>
      <c r="AH5" s="211">
        <v>0</v>
      </c>
      <c r="AI5" s="211">
        <v>0</v>
      </c>
      <c r="AJ5" s="212">
        <v>0</v>
      </c>
      <c r="AK5" s="211">
        <v>0</v>
      </c>
      <c r="AL5" s="211">
        <v>0</v>
      </c>
      <c r="AM5" s="211">
        <v>0</v>
      </c>
      <c r="AN5" s="212">
        <v>0</v>
      </c>
    </row>
    <row r="6" spans="1:40" ht="14.95" customHeight="1" thickBot="1" x14ac:dyDescent="0.3">
      <c r="A6" s="184">
        <v>44675</v>
      </c>
      <c r="B6" s="186" t="s">
        <v>43</v>
      </c>
      <c r="C6" s="186" t="s">
        <v>30</v>
      </c>
      <c r="D6" s="186" t="s">
        <v>133</v>
      </c>
      <c r="E6" s="187" t="s">
        <v>3</v>
      </c>
      <c r="F6" s="187">
        <v>0</v>
      </c>
      <c r="G6" s="187">
        <v>69</v>
      </c>
      <c r="H6" s="187">
        <v>0</v>
      </c>
      <c r="I6" s="187">
        <v>0</v>
      </c>
      <c r="J6" s="187">
        <v>0</v>
      </c>
      <c r="K6" s="187">
        <v>0</v>
      </c>
      <c r="L6" s="187">
        <v>0</v>
      </c>
      <c r="M6" s="187">
        <v>0</v>
      </c>
      <c r="N6" s="187">
        <v>1</v>
      </c>
      <c r="O6" s="187">
        <v>1</v>
      </c>
      <c r="P6" s="187">
        <v>1</v>
      </c>
      <c r="Q6" s="187">
        <v>0</v>
      </c>
      <c r="R6" s="187">
        <v>11</v>
      </c>
      <c r="S6" s="191">
        <v>15863</v>
      </c>
      <c r="T6" s="195" t="s">
        <v>215</v>
      </c>
      <c r="U6" s="193" t="s">
        <v>214</v>
      </c>
      <c r="V6" s="191" t="s">
        <v>158</v>
      </c>
      <c r="W6" s="188" t="s">
        <v>149</v>
      </c>
      <c r="X6" s="194" t="s">
        <v>182</v>
      </c>
      <c r="Y6" s="189">
        <v>1</v>
      </c>
      <c r="Z6" s="189">
        <v>0</v>
      </c>
      <c r="AA6" s="189">
        <v>0</v>
      </c>
      <c r="AB6" s="190">
        <v>1</v>
      </c>
      <c r="AC6" s="189">
        <v>0</v>
      </c>
      <c r="AD6" s="189">
        <v>0</v>
      </c>
      <c r="AE6" s="189">
        <v>0</v>
      </c>
      <c r="AF6" s="190">
        <v>0</v>
      </c>
      <c r="AG6" s="189">
        <v>1</v>
      </c>
      <c r="AH6" s="189">
        <v>0</v>
      </c>
      <c r="AI6" s="189">
        <v>0</v>
      </c>
      <c r="AJ6" s="189">
        <v>1</v>
      </c>
      <c r="AK6" s="189">
        <v>0</v>
      </c>
      <c r="AL6" s="189">
        <v>0</v>
      </c>
      <c r="AM6" s="189">
        <v>0</v>
      </c>
      <c r="AN6" s="189">
        <v>0</v>
      </c>
    </row>
    <row r="7" spans="1:40" ht="14.95" customHeight="1" thickBot="1" x14ac:dyDescent="0.35">
      <c r="A7" s="203">
        <v>44681</v>
      </c>
      <c r="B7" s="204" t="s">
        <v>43</v>
      </c>
      <c r="C7" s="204" t="s">
        <v>35</v>
      </c>
      <c r="D7" s="204" t="s">
        <v>137</v>
      </c>
      <c r="E7" s="205" t="s">
        <v>1</v>
      </c>
      <c r="F7" s="205">
        <v>15</v>
      </c>
      <c r="G7" s="205">
        <v>14</v>
      </c>
      <c r="H7" s="205">
        <v>0</v>
      </c>
      <c r="I7" s="205">
        <v>0</v>
      </c>
      <c r="J7" s="205">
        <v>2</v>
      </c>
      <c r="K7" s="205">
        <v>1</v>
      </c>
      <c r="L7" s="205">
        <v>0</v>
      </c>
      <c r="M7" s="205">
        <v>1</v>
      </c>
      <c r="N7" s="205">
        <v>0</v>
      </c>
      <c r="O7" s="205">
        <v>0</v>
      </c>
      <c r="P7" s="205">
        <v>0</v>
      </c>
      <c r="Q7" s="205">
        <v>1</v>
      </c>
      <c r="R7" s="205">
        <v>1</v>
      </c>
      <c r="S7" s="209"/>
      <c r="T7" s="218" t="s">
        <v>235</v>
      </c>
      <c r="U7" s="209" t="s">
        <v>207</v>
      </c>
      <c r="V7" s="209" t="s">
        <v>117</v>
      </c>
      <c r="W7" s="209" t="s">
        <v>236</v>
      </c>
      <c r="X7" s="210" t="s">
        <v>202</v>
      </c>
      <c r="Y7" s="211">
        <v>1</v>
      </c>
      <c r="Z7" s="211">
        <v>1</v>
      </c>
      <c r="AA7" s="211">
        <v>0</v>
      </c>
      <c r="AB7" s="212">
        <v>0</v>
      </c>
      <c r="AC7" s="211">
        <v>1</v>
      </c>
      <c r="AD7" s="211">
        <v>1</v>
      </c>
      <c r="AE7" s="211">
        <v>0</v>
      </c>
      <c r="AF7" s="212">
        <v>0</v>
      </c>
      <c r="AG7" s="211">
        <v>0</v>
      </c>
      <c r="AH7" s="211">
        <v>0</v>
      </c>
      <c r="AI7" s="211">
        <v>0</v>
      </c>
      <c r="AJ7" s="211">
        <v>0</v>
      </c>
      <c r="AK7" s="211">
        <v>0</v>
      </c>
      <c r="AL7" s="211">
        <v>0</v>
      </c>
      <c r="AM7" s="211">
        <v>0</v>
      </c>
      <c r="AN7" s="211">
        <v>0</v>
      </c>
    </row>
    <row r="8" spans="1:40" ht="14.95" customHeight="1" thickBot="1" x14ac:dyDescent="0.35">
      <c r="A8" s="197">
        <v>44793</v>
      </c>
      <c r="B8" s="196" t="s">
        <v>246</v>
      </c>
      <c r="C8" s="196" t="s">
        <v>36</v>
      </c>
      <c r="D8" s="196" t="s">
        <v>351</v>
      </c>
      <c r="E8" s="187" t="s">
        <v>1</v>
      </c>
      <c r="F8" s="187">
        <v>57</v>
      </c>
      <c r="G8" s="187">
        <v>22</v>
      </c>
      <c r="H8" s="187" t="s">
        <v>72</v>
      </c>
      <c r="I8" s="187" t="s">
        <v>72</v>
      </c>
      <c r="J8" s="187">
        <v>9</v>
      </c>
      <c r="K8" s="187">
        <v>6</v>
      </c>
      <c r="L8" s="187">
        <v>0</v>
      </c>
      <c r="M8" s="187">
        <v>0</v>
      </c>
      <c r="N8" s="187">
        <v>0</v>
      </c>
      <c r="O8" s="187">
        <v>0</v>
      </c>
      <c r="P8" s="187" t="s">
        <v>72</v>
      </c>
      <c r="Q8" s="187" t="s">
        <v>72</v>
      </c>
      <c r="R8" s="187">
        <v>3</v>
      </c>
      <c r="S8" s="188"/>
      <c r="T8" s="410" t="s">
        <v>355</v>
      </c>
      <c r="U8" s="188" t="s">
        <v>211</v>
      </c>
      <c r="V8" s="188" t="s">
        <v>250</v>
      </c>
      <c r="W8" s="188" t="s">
        <v>354</v>
      </c>
      <c r="X8" s="188" t="s">
        <v>343</v>
      </c>
      <c r="Y8" s="189">
        <v>1</v>
      </c>
      <c r="Z8" s="189">
        <v>1</v>
      </c>
      <c r="AA8" s="189">
        <v>0</v>
      </c>
      <c r="AB8" s="190">
        <v>0</v>
      </c>
      <c r="AC8" s="189">
        <v>0</v>
      </c>
      <c r="AD8" s="189">
        <v>0</v>
      </c>
      <c r="AE8" s="189">
        <v>0</v>
      </c>
      <c r="AF8" s="190">
        <v>0</v>
      </c>
      <c r="AG8" s="189">
        <v>1</v>
      </c>
      <c r="AH8" s="189">
        <v>1</v>
      </c>
      <c r="AI8" s="189">
        <v>0</v>
      </c>
      <c r="AJ8" s="189">
        <v>0</v>
      </c>
      <c r="AK8" s="189">
        <v>0</v>
      </c>
      <c r="AL8" s="189">
        <v>0</v>
      </c>
      <c r="AM8" s="189">
        <v>0</v>
      </c>
      <c r="AN8" s="189">
        <v>0</v>
      </c>
    </row>
    <row r="9" spans="1:40" ht="14.95" customHeight="1" thickBot="1" x14ac:dyDescent="0.3">
      <c r="A9" s="197">
        <v>44800</v>
      </c>
      <c r="B9" s="411" t="s">
        <v>246</v>
      </c>
      <c r="C9" s="412" t="s">
        <v>36</v>
      </c>
      <c r="D9" s="196" t="s">
        <v>367</v>
      </c>
      <c r="E9" s="198" t="s">
        <v>3</v>
      </c>
      <c r="F9" s="187">
        <v>10</v>
      </c>
      <c r="G9" s="187">
        <v>29</v>
      </c>
      <c r="H9" s="187" t="s">
        <v>72</v>
      </c>
      <c r="I9" s="187" t="s">
        <v>72</v>
      </c>
      <c r="J9" s="187">
        <v>2</v>
      </c>
      <c r="K9" s="187">
        <v>0</v>
      </c>
      <c r="L9" s="187">
        <v>0</v>
      </c>
      <c r="M9" s="187">
        <v>0</v>
      </c>
      <c r="N9" s="187">
        <v>0</v>
      </c>
      <c r="O9" s="187">
        <v>0</v>
      </c>
      <c r="P9" s="187" t="s">
        <v>72</v>
      </c>
      <c r="Q9" s="187" t="s">
        <v>72</v>
      </c>
      <c r="R9" s="187">
        <v>5</v>
      </c>
      <c r="S9" s="188"/>
      <c r="T9" s="199" t="s">
        <v>328</v>
      </c>
      <c r="U9" s="188" t="s">
        <v>211</v>
      </c>
      <c r="V9" s="188" t="s">
        <v>250</v>
      </c>
      <c r="W9" s="188" t="s">
        <v>354</v>
      </c>
      <c r="X9" s="188" t="s">
        <v>343</v>
      </c>
      <c r="Y9" s="189">
        <v>1</v>
      </c>
      <c r="Z9" s="189">
        <v>0</v>
      </c>
      <c r="AA9" s="189">
        <v>0</v>
      </c>
      <c r="AB9" s="190">
        <v>1</v>
      </c>
      <c r="AC9" s="189">
        <v>0</v>
      </c>
      <c r="AD9" s="189">
        <v>0</v>
      </c>
      <c r="AE9" s="189">
        <v>0</v>
      </c>
      <c r="AF9" s="190">
        <v>0</v>
      </c>
      <c r="AG9" s="189">
        <v>1</v>
      </c>
      <c r="AH9" s="189">
        <v>1</v>
      </c>
      <c r="AI9" s="189">
        <v>0</v>
      </c>
      <c r="AJ9" s="189">
        <v>0</v>
      </c>
      <c r="AK9" s="189">
        <v>0</v>
      </c>
      <c r="AL9" s="189">
        <v>0</v>
      </c>
      <c r="AM9" s="189">
        <v>0</v>
      </c>
      <c r="AN9" s="189">
        <v>0</v>
      </c>
    </row>
    <row r="10" spans="1:40" ht="15.8" customHeight="1" thickBot="1" x14ac:dyDescent="0.3">
      <c r="A10" s="123"/>
      <c r="B10" s="124"/>
      <c r="C10" s="692" t="s">
        <v>74</v>
      </c>
      <c r="D10" s="693"/>
      <c r="E10" s="694"/>
      <c r="F10" s="122">
        <f>SUM(F3:F7)</f>
        <v>68</v>
      </c>
      <c r="G10" s="122">
        <f t="shared" ref="G10:R10" si="0">SUM(G3:G7)</f>
        <v>158</v>
      </c>
      <c r="H10" s="122">
        <f t="shared" si="0"/>
        <v>1</v>
      </c>
      <c r="I10" s="122">
        <f t="shared" si="0"/>
        <v>0</v>
      </c>
      <c r="J10" s="122">
        <f t="shared" si="0"/>
        <v>11</v>
      </c>
      <c r="K10" s="122">
        <f t="shared" si="0"/>
        <v>4</v>
      </c>
      <c r="L10" s="122">
        <f t="shared" si="0"/>
        <v>0</v>
      </c>
      <c r="M10" s="122">
        <f t="shared" si="0"/>
        <v>1</v>
      </c>
      <c r="N10" s="122">
        <f t="shared" si="0"/>
        <v>3</v>
      </c>
      <c r="O10" s="122">
        <f t="shared" si="0"/>
        <v>1</v>
      </c>
      <c r="P10" s="122">
        <f t="shared" si="0"/>
        <v>3</v>
      </c>
      <c r="Q10" s="122">
        <f t="shared" si="0"/>
        <v>1</v>
      </c>
      <c r="R10" s="122">
        <f t="shared" si="0"/>
        <v>24</v>
      </c>
      <c r="W10" s="119"/>
      <c r="X10" s="159" t="s">
        <v>74</v>
      </c>
      <c r="Y10" s="122">
        <f t="shared" ref="Y10:AN10" si="1">SUM(Y3:Y7)</f>
        <v>5</v>
      </c>
      <c r="Z10" s="122">
        <f t="shared" si="1"/>
        <v>2</v>
      </c>
      <c r="AA10" s="122">
        <f t="shared" si="1"/>
        <v>0</v>
      </c>
      <c r="AB10" s="122">
        <f t="shared" si="1"/>
        <v>3</v>
      </c>
      <c r="AC10" s="120">
        <f t="shared" si="1"/>
        <v>3</v>
      </c>
      <c r="AD10" s="120">
        <f t="shared" si="1"/>
        <v>2</v>
      </c>
      <c r="AE10" s="120">
        <f t="shared" si="1"/>
        <v>0</v>
      </c>
      <c r="AF10" s="120">
        <f t="shared" si="1"/>
        <v>1</v>
      </c>
      <c r="AG10" s="121">
        <f t="shared" si="1"/>
        <v>2</v>
      </c>
      <c r="AH10" s="121">
        <f t="shared" si="1"/>
        <v>0</v>
      </c>
      <c r="AI10" s="121">
        <f t="shared" si="1"/>
        <v>0</v>
      </c>
      <c r="AJ10" s="121">
        <f t="shared" si="1"/>
        <v>2</v>
      </c>
      <c r="AK10" s="122">
        <f t="shared" si="1"/>
        <v>0</v>
      </c>
      <c r="AL10" s="122">
        <f t="shared" si="1"/>
        <v>0</v>
      </c>
      <c r="AM10" s="122">
        <f t="shared" si="1"/>
        <v>0</v>
      </c>
      <c r="AN10" s="122">
        <f t="shared" si="1"/>
        <v>0</v>
      </c>
    </row>
    <row r="11" spans="1:40" ht="15.8" customHeight="1" thickBot="1" x14ac:dyDescent="0.3">
      <c r="A11" s="247"/>
      <c r="B11" s="248"/>
      <c r="C11" s="686" t="s">
        <v>83</v>
      </c>
      <c r="D11" s="760"/>
      <c r="E11" s="761"/>
      <c r="F11" s="244">
        <f>SUM(F8:F9)</f>
        <v>67</v>
      </c>
      <c r="G11" s="244">
        <f>SUM(G8:G9)</f>
        <v>51</v>
      </c>
      <c r="H11" s="244" t="s">
        <v>72</v>
      </c>
      <c r="I11" s="244" t="s">
        <v>72</v>
      </c>
      <c r="J11" s="244">
        <f t="shared" ref="J11:O11" si="2">SUM(J8:J9)</f>
        <v>11</v>
      </c>
      <c r="K11" s="244">
        <f t="shared" si="2"/>
        <v>6</v>
      </c>
      <c r="L11" s="244">
        <f t="shared" si="2"/>
        <v>0</v>
      </c>
      <c r="M11" s="244">
        <f t="shared" si="2"/>
        <v>0</v>
      </c>
      <c r="N11" s="244">
        <f t="shared" si="2"/>
        <v>0</v>
      </c>
      <c r="O11" s="244">
        <f t="shared" si="2"/>
        <v>0</v>
      </c>
      <c r="P11" s="244" t="s">
        <v>72</v>
      </c>
      <c r="Q11" s="244" t="s">
        <v>72</v>
      </c>
      <c r="R11" s="244">
        <f>SUM(R8:R9)</f>
        <v>8</v>
      </c>
      <c r="S11" s="241"/>
      <c r="T11" s="241"/>
      <c r="U11" s="241"/>
      <c r="V11" s="241"/>
      <c r="W11" s="242"/>
      <c r="X11" s="243" t="s">
        <v>83</v>
      </c>
      <c r="Y11" s="244">
        <f t="shared" ref="Y11:AN11" si="3">SUM(Y8:Y9)</f>
        <v>2</v>
      </c>
      <c r="Z11" s="244">
        <f t="shared" si="3"/>
        <v>1</v>
      </c>
      <c r="AA11" s="244">
        <f t="shared" si="3"/>
        <v>0</v>
      </c>
      <c r="AB11" s="244">
        <f t="shared" si="3"/>
        <v>1</v>
      </c>
      <c r="AC11" s="245">
        <f t="shared" si="3"/>
        <v>0</v>
      </c>
      <c r="AD11" s="245">
        <f t="shared" si="3"/>
        <v>0</v>
      </c>
      <c r="AE11" s="245">
        <f t="shared" si="3"/>
        <v>0</v>
      </c>
      <c r="AF11" s="245">
        <f t="shared" si="3"/>
        <v>0</v>
      </c>
      <c r="AG11" s="246">
        <f t="shared" si="3"/>
        <v>2</v>
      </c>
      <c r="AH11" s="246">
        <f t="shared" si="3"/>
        <v>2</v>
      </c>
      <c r="AI11" s="246">
        <f t="shared" si="3"/>
        <v>0</v>
      </c>
      <c r="AJ11" s="246">
        <f t="shared" si="3"/>
        <v>0</v>
      </c>
      <c r="AK11" s="244">
        <f t="shared" si="3"/>
        <v>0</v>
      </c>
      <c r="AL11" s="244">
        <f t="shared" si="3"/>
        <v>0</v>
      </c>
      <c r="AM11" s="244">
        <f t="shared" si="3"/>
        <v>0</v>
      </c>
      <c r="AN11" s="244">
        <f t="shared" si="3"/>
        <v>0</v>
      </c>
    </row>
    <row r="12" spans="1:40" ht="14.95" thickBot="1" x14ac:dyDescent="0.3">
      <c r="A12" s="123"/>
      <c r="B12" s="124"/>
      <c r="C12" s="682" t="s">
        <v>73</v>
      </c>
      <c r="D12" s="683"/>
      <c r="E12" s="684"/>
      <c r="F12" s="150">
        <f t="shared" ref="F12:R12" si="4">SUM(F3:F9)</f>
        <v>135</v>
      </c>
      <c r="G12" s="150">
        <f t="shared" si="4"/>
        <v>209</v>
      </c>
      <c r="H12" s="150">
        <f t="shared" si="4"/>
        <v>1</v>
      </c>
      <c r="I12" s="150">
        <f t="shared" si="4"/>
        <v>0</v>
      </c>
      <c r="J12" s="150">
        <f t="shared" si="4"/>
        <v>22</v>
      </c>
      <c r="K12" s="150">
        <f t="shared" si="4"/>
        <v>10</v>
      </c>
      <c r="L12" s="150">
        <f t="shared" si="4"/>
        <v>0</v>
      </c>
      <c r="M12" s="150">
        <f t="shared" si="4"/>
        <v>1</v>
      </c>
      <c r="N12" s="150">
        <f t="shared" si="4"/>
        <v>3</v>
      </c>
      <c r="O12" s="150">
        <f t="shared" si="4"/>
        <v>1</v>
      </c>
      <c r="P12" s="150">
        <f t="shared" si="4"/>
        <v>3</v>
      </c>
      <c r="Q12" s="150">
        <f t="shared" si="4"/>
        <v>1</v>
      </c>
      <c r="R12" s="150">
        <f t="shared" si="4"/>
        <v>32</v>
      </c>
      <c r="S12" s="147"/>
      <c r="T12" s="147"/>
      <c r="U12" s="147"/>
      <c r="V12" s="147"/>
      <c r="W12" s="12"/>
      <c r="X12" s="155" t="s">
        <v>73</v>
      </c>
      <c r="Y12" s="150">
        <f t="shared" ref="Y12:AN12" si="5">SUM(Y3:Y9)</f>
        <v>7</v>
      </c>
      <c r="Z12" s="150">
        <f t="shared" si="5"/>
        <v>3</v>
      </c>
      <c r="AA12" s="150">
        <f t="shared" si="5"/>
        <v>0</v>
      </c>
      <c r="AB12" s="150">
        <f t="shared" si="5"/>
        <v>4</v>
      </c>
      <c r="AC12" s="148">
        <f t="shared" si="5"/>
        <v>3</v>
      </c>
      <c r="AD12" s="148">
        <f t="shared" si="5"/>
        <v>2</v>
      </c>
      <c r="AE12" s="148">
        <f t="shared" si="5"/>
        <v>0</v>
      </c>
      <c r="AF12" s="148">
        <f t="shared" si="5"/>
        <v>1</v>
      </c>
      <c r="AG12" s="149">
        <f t="shared" si="5"/>
        <v>4</v>
      </c>
      <c r="AH12" s="149">
        <f t="shared" si="5"/>
        <v>2</v>
      </c>
      <c r="AI12" s="149">
        <f t="shared" si="5"/>
        <v>0</v>
      </c>
      <c r="AJ12" s="149">
        <f t="shared" si="5"/>
        <v>2</v>
      </c>
      <c r="AK12" s="150">
        <f t="shared" si="5"/>
        <v>0</v>
      </c>
      <c r="AL12" s="150">
        <f t="shared" si="5"/>
        <v>0</v>
      </c>
      <c r="AM12" s="150">
        <f t="shared" si="5"/>
        <v>0</v>
      </c>
      <c r="AN12" s="150">
        <f t="shared" si="5"/>
        <v>0</v>
      </c>
    </row>
    <row r="13" spans="1:40" x14ac:dyDescent="0.25">
      <c r="A13" s="685" t="s">
        <v>85</v>
      </c>
      <c r="B13" s="637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7"/>
      <c r="P13" s="637"/>
      <c r="Q13" s="637"/>
      <c r="R13" s="637"/>
    </row>
    <row r="14" spans="1:40" x14ac:dyDescent="0.25">
      <c r="A14" t="s">
        <v>123</v>
      </c>
      <c r="F14" s="13"/>
      <c r="G14" s="13"/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40" x14ac:dyDescent="0.25">
      <c r="A15" t="s">
        <v>135</v>
      </c>
      <c r="F15" s="13"/>
      <c r="G15" s="13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40" x14ac:dyDescent="0.25">
      <c r="A16" t="s">
        <v>356</v>
      </c>
    </row>
    <row r="17" spans="1:2" x14ac:dyDescent="0.25">
      <c r="A17" t="s">
        <v>368</v>
      </c>
    </row>
    <row r="18" spans="1:2" x14ac:dyDescent="0.25">
      <c r="A18" t="s">
        <v>200</v>
      </c>
    </row>
    <row r="19" spans="1:2" x14ac:dyDescent="0.25">
      <c r="A19" s="46"/>
      <c r="B19" t="s">
        <v>42</v>
      </c>
    </row>
    <row r="20" spans="1:2" x14ac:dyDescent="0.25">
      <c r="A20" s="44"/>
      <c r="B20" t="s">
        <v>40</v>
      </c>
    </row>
    <row r="21" spans="1:2" x14ac:dyDescent="0.25">
      <c r="A21" s="45"/>
      <c r="B21" t="s">
        <v>41</v>
      </c>
    </row>
    <row r="22" spans="1:2" x14ac:dyDescent="0.25">
      <c r="A22" s="14" t="s">
        <v>28</v>
      </c>
    </row>
  </sheetData>
  <mergeCells count="14">
    <mergeCell ref="C10:E10"/>
    <mergeCell ref="C12:E12"/>
    <mergeCell ref="A13:R13"/>
    <mergeCell ref="A1:C1"/>
    <mergeCell ref="E1:G1"/>
    <mergeCell ref="H1:I1"/>
    <mergeCell ref="J1:M1"/>
    <mergeCell ref="N1:O1"/>
    <mergeCell ref="C11:E1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32"/>
  <sheetViews>
    <sheetView tabSelected="1" topLeftCell="U1" zoomScaleNormal="100" workbookViewId="0">
      <pane ySplit="2" topLeftCell="A3" activePane="bottomLeft" state="frozen"/>
      <selection pane="bottomLeft" activeCell="AP14" sqref="AP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18" width="3.75" customWidth="1"/>
    <col min="19" max="20" width="6.25" customWidth="1"/>
    <col min="21" max="21" width="22.5" bestFit="1" customWidth="1"/>
    <col min="22" max="22" width="24.125" bestFit="1" customWidth="1"/>
    <col min="23" max="23" width="26.25" bestFit="1" customWidth="1"/>
    <col min="24" max="24" width="30.5" customWidth="1"/>
    <col min="25" max="40" width="3.75" customWidth="1"/>
    <col min="45" max="45" width="9.875" bestFit="1" customWidth="1"/>
  </cols>
  <sheetData>
    <row r="1" spans="1:46" ht="14.95" customHeight="1" thickBot="1" x14ac:dyDescent="0.3">
      <c r="A1" s="768" t="s">
        <v>95</v>
      </c>
      <c r="B1" s="769"/>
      <c r="C1" s="769"/>
      <c r="D1" s="162"/>
      <c r="E1" s="770" t="s">
        <v>24</v>
      </c>
      <c r="F1" s="771"/>
      <c r="G1" s="772"/>
      <c r="H1" s="770" t="s">
        <v>23</v>
      </c>
      <c r="I1" s="772"/>
      <c r="J1" s="765" t="s">
        <v>6</v>
      </c>
      <c r="K1" s="766"/>
      <c r="L1" s="766"/>
      <c r="M1" s="767"/>
      <c r="N1" s="765" t="s">
        <v>7</v>
      </c>
      <c r="O1" s="767"/>
      <c r="P1" s="765" t="s">
        <v>25</v>
      </c>
      <c r="Q1" s="766"/>
      <c r="R1" s="767"/>
      <c r="S1" s="163" t="s">
        <v>8</v>
      </c>
      <c r="T1" s="163" t="s">
        <v>9</v>
      </c>
      <c r="U1" s="164" t="s">
        <v>10</v>
      </c>
      <c r="V1" s="165" t="s">
        <v>11</v>
      </c>
      <c r="W1" s="166" t="s">
        <v>26</v>
      </c>
      <c r="X1" s="167" t="s">
        <v>27</v>
      </c>
      <c r="Y1" s="762" t="s">
        <v>20</v>
      </c>
      <c r="Z1" s="763"/>
      <c r="AA1" s="763"/>
      <c r="AB1" s="764"/>
      <c r="AC1" s="762" t="s">
        <v>58</v>
      </c>
      <c r="AD1" s="763"/>
      <c r="AE1" s="763"/>
      <c r="AF1" s="764"/>
      <c r="AG1" s="762" t="s">
        <v>59</v>
      </c>
      <c r="AH1" s="763"/>
      <c r="AI1" s="763"/>
      <c r="AJ1" s="764"/>
      <c r="AK1" s="762" t="s">
        <v>60</v>
      </c>
      <c r="AL1" s="763"/>
      <c r="AM1" s="763"/>
      <c r="AN1" s="764"/>
    </row>
    <row r="2" spans="1:46" ht="14.95" customHeight="1" thickBot="1" x14ac:dyDescent="0.3">
      <c r="A2" s="168" t="s">
        <v>19</v>
      </c>
      <c r="B2" s="169" t="s">
        <v>18</v>
      </c>
      <c r="C2" s="170" t="s">
        <v>17</v>
      </c>
      <c r="D2" s="170" t="s">
        <v>39</v>
      </c>
      <c r="E2" s="171" t="s">
        <v>16</v>
      </c>
      <c r="F2" s="171" t="s">
        <v>4</v>
      </c>
      <c r="G2" s="171" t="s">
        <v>5</v>
      </c>
      <c r="H2" s="172" t="s">
        <v>12</v>
      </c>
      <c r="I2" s="172" t="s">
        <v>3</v>
      </c>
      <c r="J2" s="172" t="s">
        <v>12</v>
      </c>
      <c r="K2" s="172" t="s">
        <v>13</v>
      </c>
      <c r="L2" s="172" t="s">
        <v>2</v>
      </c>
      <c r="M2" s="172" t="s">
        <v>14</v>
      </c>
      <c r="N2" s="172" t="s">
        <v>15</v>
      </c>
      <c r="O2" s="172" t="s">
        <v>16</v>
      </c>
      <c r="P2" s="172" t="s">
        <v>21</v>
      </c>
      <c r="Q2" s="172" t="s">
        <v>22</v>
      </c>
      <c r="R2" s="172" t="s">
        <v>12</v>
      </c>
      <c r="S2" s="173"/>
      <c r="T2" s="174"/>
      <c r="U2" s="175"/>
      <c r="V2" s="173"/>
      <c r="W2" s="176"/>
      <c r="X2" s="177"/>
      <c r="Y2" s="178" t="s">
        <v>0</v>
      </c>
      <c r="Z2" s="178" t="s">
        <v>1</v>
      </c>
      <c r="AA2" s="178" t="s">
        <v>2</v>
      </c>
      <c r="AB2" s="178" t="s">
        <v>3</v>
      </c>
      <c r="AC2" s="178" t="s">
        <v>0</v>
      </c>
      <c r="AD2" s="178" t="s">
        <v>1</v>
      </c>
      <c r="AE2" s="178" t="s">
        <v>2</v>
      </c>
      <c r="AF2" s="178" t="s">
        <v>3</v>
      </c>
      <c r="AG2" s="178" t="s">
        <v>0</v>
      </c>
      <c r="AH2" s="178" t="s">
        <v>1</v>
      </c>
      <c r="AI2" s="178" t="s">
        <v>2</v>
      </c>
      <c r="AJ2" s="178" t="s">
        <v>3</v>
      </c>
      <c r="AK2" s="178" t="s">
        <v>0</v>
      </c>
      <c r="AL2" s="178" t="s">
        <v>1</v>
      </c>
      <c r="AM2" s="178" t="s">
        <v>2</v>
      </c>
      <c r="AN2" s="178" t="s">
        <v>3</v>
      </c>
    </row>
    <row r="3" spans="1:46" ht="14.95" customHeight="1" thickBot="1" x14ac:dyDescent="0.3">
      <c r="A3" s="184">
        <v>44647</v>
      </c>
      <c r="B3" s="196" t="s">
        <v>43</v>
      </c>
      <c r="C3" s="186" t="s">
        <v>34</v>
      </c>
      <c r="D3" s="186" t="s">
        <v>120</v>
      </c>
      <c r="E3" s="187" t="s">
        <v>3</v>
      </c>
      <c r="F3" s="187">
        <v>6</v>
      </c>
      <c r="G3" s="187">
        <v>39</v>
      </c>
      <c r="H3" s="187">
        <v>0</v>
      </c>
      <c r="I3" s="187">
        <v>0</v>
      </c>
      <c r="J3" s="187">
        <v>0</v>
      </c>
      <c r="K3" s="187">
        <v>0</v>
      </c>
      <c r="L3" s="187">
        <v>0</v>
      </c>
      <c r="M3" s="187">
        <v>2</v>
      </c>
      <c r="N3" s="187">
        <v>0</v>
      </c>
      <c r="O3" s="187">
        <v>0</v>
      </c>
      <c r="P3" s="187">
        <v>1</v>
      </c>
      <c r="Q3" s="187">
        <v>0</v>
      </c>
      <c r="R3" s="187">
        <v>5</v>
      </c>
      <c r="S3" s="191"/>
      <c r="T3" s="195" t="s">
        <v>169</v>
      </c>
      <c r="U3" s="193" t="s">
        <v>165</v>
      </c>
      <c r="V3" s="191" t="s">
        <v>166</v>
      </c>
      <c r="W3" s="188" t="s">
        <v>167</v>
      </c>
      <c r="X3" s="194" t="s">
        <v>168</v>
      </c>
      <c r="Y3" s="189">
        <v>1</v>
      </c>
      <c r="Z3" s="189">
        <v>0</v>
      </c>
      <c r="AA3" s="189">
        <v>0</v>
      </c>
      <c r="AB3" s="190">
        <v>1</v>
      </c>
      <c r="AC3" s="189">
        <v>0</v>
      </c>
      <c r="AD3" s="189">
        <v>0</v>
      </c>
      <c r="AE3" s="189">
        <v>0</v>
      </c>
      <c r="AF3" s="190">
        <v>0</v>
      </c>
      <c r="AG3" s="189">
        <v>1</v>
      </c>
      <c r="AH3" s="189">
        <v>0</v>
      </c>
      <c r="AI3" s="189">
        <v>0</v>
      </c>
      <c r="AJ3" s="190">
        <v>1</v>
      </c>
      <c r="AK3" s="189">
        <v>0</v>
      </c>
      <c r="AL3" s="189">
        <v>0</v>
      </c>
      <c r="AM3" s="189">
        <v>0</v>
      </c>
      <c r="AN3" s="190">
        <v>0</v>
      </c>
      <c r="AS3" s="838" t="s">
        <v>556</v>
      </c>
      <c r="AT3" s="839">
        <v>22</v>
      </c>
    </row>
    <row r="4" spans="1:46" ht="14.95" customHeight="1" thickBot="1" x14ac:dyDescent="0.3">
      <c r="A4" s="203">
        <v>44653</v>
      </c>
      <c r="B4" s="204" t="s">
        <v>43</v>
      </c>
      <c r="C4" s="204" t="s">
        <v>30</v>
      </c>
      <c r="D4" s="204" t="s">
        <v>125</v>
      </c>
      <c r="E4" s="205" t="s">
        <v>3</v>
      </c>
      <c r="F4" s="205">
        <v>0</v>
      </c>
      <c r="G4" s="205">
        <v>74</v>
      </c>
      <c r="H4" s="205">
        <v>0</v>
      </c>
      <c r="I4" s="205">
        <v>0</v>
      </c>
      <c r="J4" s="205">
        <v>0</v>
      </c>
      <c r="K4" s="205">
        <v>0</v>
      </c>
      <c r="L4" s="205">
        <v>0</v>
      </c>
      <c r="M4" s="205">
        <v>0</v>
      </c>
      <c r="N4" s="205">
        <v>1</v>
      </c>
      <c r="O4" s="205">
        <v>0</v>
      </c>
      <c r="P4" s="205">
        <v>1</v>
      </c>
      <c r="Q4" s="205">
        <v>0</v>
      </c>
      <c r="R4" s="205">
        <v>12</v>
      </c>
      <c r="S4" s="206"/>
      <c r="T4" s="207" t="s">
        <v>180</v>
      </c>
      <c r="U4" s="208" t="s">
        <v>159</v>
      </c>
      <c r="V4" s="206" t="s">
        <v>181</v>
      </c>
      <c r="W4" s="209" t="s">
        <v>182</v>
      </c>
      <c r="X4" s="210" t="s">
        <v>183</v>
      </c>
      <c r="Y4" s="211">
        <v>1</v>
      </c>
      <c r="Z4" s="211">
        <v>0</v>
      </c>
      <c r="AA4" s="211">
        <v>0</v>
      </c>
      <c r="AB4" s="212">
        <v>1</v>
      </c>
      <c r="AC4" s="211">
        <v>1</v>
      </c>
      <c r="AD4" s="211">
        <v>0</v>
      </c>
      <c r="AE4" s="211">
        <v>0</v>
      </c>
      <c r="AF4" s="212">
        <v>1</v>
      </c>
      <c r="AG4" s="211">
        <v>0</v>
      </c>
      <c r="AH4" s="211">
        <v>0</v>
      </c>
      <c r="AI4" s="211">
        <v>0</v>
      </c>
      <c r="AJ4" s="212">
        <v>0</v>
      </c>
      <c r="AK4" s="211">
        <v>0</v>
      </c>
      <c r="AL4" s="211">
        <v>0</v>
      </c>
      <c r="AM4" s="211">
        <v>0</v>
      </c>
      <c r="AN4" s="212">
        <v>0</v>
      </c>
      <c r="AS4" s="840" t="s">
        <v>557</v>
      </c>
      <c r="AT4" s="841">
        <v>8</v>
      </c>
    </row>
    <row r="5" spans="1:46" ht="14.95" customHeight="1" thickBot="1" x14ac:dyDescent="0.3">
      <c r="A5" s="184">
        <v>44661</v>
      </c>
      <c r="B5" s="186" t="s">
        <v>43</v>
      </c>
      <c r="C5" s="186" t="s">
        <v>37</v>
      </c>
      <c r="D5" s="186" t="s">
        <v>131</v>
      </c>
      <c r="E5" s="187" t="s">
        <v>3</v>
      </c>
      <c r="F5" s="187">
        <v>8</v>
      </c>
      <c r="G5" s="187">
        <v>29</v>
      </c>
      <c r="H5" s="187">
        <v>0</v>
      </c>
      <c r="I5" s="187">
        <v>0</v>
      </c>
      <c r="J5" s="187">
        <v>1</v>
      </c>
      <c r="K5" s="187">
        <v>0</v>
      </c>
      <c r="L5" s="187">
        <v>0</v>
      </c>
      <c r="M5" s="187">
        <v>1</v>
      </c>
      <c r="N5" s="187">
        <v>1</v>
      </c>
      <c r="O5" s="187">
        <v>0</v>
      </c>
      <c r="P5" s="187">
        <v>1</v>
      </c>
      <c r="Q5" s="187">
        <v>0</v>
      </c>
      <c r="R5" s="187">
        <v>5</v>
      </c>
      <c r="S5" s="191"/>
      <c r="T5" s="195" t="s">
        <v>201</v>
      </c>
      <c r="U5" s="193" t="s">
        <v>149</v>
      </c>
      <c r="V5" s="191" t="s">
        <v>181</v>
      </c>
      <c r="W5" s="188" t="s">
        <v>182</v>
      </c>
      <c r="X5" s="194" t="s">
        <v>202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90">
        <v>0</v>
      </c>
      <c r="AS5" s="840" t="s">
        <v>558</v>
      </c>
      <c r="AT5" s="841">
        <v>0</v>
      </c>
    </row>
    <row r="6" spans="1:46" ht="14.95" customHeight="1" thickBot="1" x14ac:dyDescent="0.3">
      <c r="A6" s="203">
        <v>44674</v>
      </c>
      <c r="B6" s="204" t="s">
        <v>43</v>
      </c>
      <c r="C6" s="204" t="s">
        <v>35</v>
      </c>
      <c r="D6" s="204" t="s">
        <v>125</v>
      </c>
      <c r="E6" s="205" t="s">
        <v>1</v>
      </c>
      <c r="F6" s="205">
        <v>20</v>
      </c>
      <c r="G6" s="205">
        <v>13</v>
      </c>
      <c r="H6" s="205">
        <v>0</v>
      </c>
      <c r="I6" s="205">
        <v>0</v>
      </c>
      <c r="J6" s="205">
        <v>2</v>
      </c>
      <c r="K6" s="205">
        <v>2</v>
      </c>
      <c r="L6" s="205">
        <v>0</v>
      </c>
      <c r="M6" s="205">
        <v>2</v>
      </c>
      <c r="N6" s="205">
        <v>0</v>
      </c>
      <c r="O6" s="205">
        <v>0</v>
      </c>
      <c r="P6" s="205">
        <v>0</v>
      </c>
      <c r="Q6" s="205">
        <v>1</v>
      </c>
      <c r="R6" s="205">
        <v>1</v>
      </c>
      <c r="S6" s="206"/>
      <c r="T6" s="216" t="s">
        <v>210</v>
      </c>
      <c r="U6" s="208" t="s">
        <v>211</v>
      </c>
      <c r="V6" s="206" t="s">
        <v>198</v>
      </c>
      <c r="W6" s="209" t="s">
        <v>165</v>
      </c>
      <c r="X6" s="210" t="s">
        <v>212</v>
      </c>
      <c r="Y6" s="211">
        <v>1</v>
      </c>
      <c r="Z6" s="211">
        <v>1</v>
      </c>
      <c r="AA6" s="211">
        <v>0</v>
      </c>
      <c r="AB6" s="212">
        <v>0</v>
      </c>
      <c r="AC6" s="211">
        <v>1</v>
      </c>
      <c r="AD6" s="211">
        <v>1</v>
      </c>
      <c r="AE6" s="211">
        <v>0</v>
      </c>
      <c r="AF6" s="212">
        <v>0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  <c r="AS6" s="840" t="s">
        <v>559</v>
      </c>
      <c r="AT6" s="841">
        <v>14</v>
      </c>
    </row>
    <row r="7" spans="1:46" ht="14.95" customHeight="1" thickBot="1" x14ac:dyDescent="0.35">
      <c r="A7" s="184">
        <v>44681</v>
      </c>
      <c r="B7" s="186" t="s">
        <v>43</v>
      </c>
      <c r="C7" s="186" t="s">
        <v>32</v>
      </c>
      <c r="D7" s="186" t="s">
        <v>75</v>
      </c>
      <c r="E7" s="187" t="s">
        <v>1</v>
      </c>
      <c r="F7" s="187">
        <v>10</v>
      </c>
      <c r="G7" s="187">
        <v>8</v>
      </c>
      <c r="H7" s="187">
        <v>0</v>
      </c>
      <c r="I7" s="187">
        <v>0</v>
      </c>
      <c r="J7" s="187">
        <v>1</v>
      </c>
      <c r="K7" s="187">
        <v>1</v>
      </c>
      <c r="L7" s="187">
        <v>0</v>
      </c>
      <c r="M7" s="187">
        <v>1</v>
      </c>
      <c r="N7" s="187">
        <v>0</v>
      </c>
      <c r="O7" s="187">
        <v>0</v>
      </c>
      <c r="P7" s="187">
        <v>0</v>
      </c>
      <c r="Q7" s="187">
        <v>1</v>
      </c>
      <c r="R7" s="187">
        <v>1</v>
      </c>
      <c r="S7" s="191"/>
      <c r="T7" s="192" t="s">
        <v>221</v>
      </c>
      <c r="U7" s="193" t="s">
        <v>214</v>
      </c>
      <c r="V7" s="191" t="s">
        <v>158</v>
      </c>
      <c r="W7" s="188" t="s">
        <v>149</v>
      </c>
      <c r="X7" s="194" t="s">
        <v>195</v>
      </c>
      <c r="Y7" s="189">
        <v>1</v>
      </c>
      <c r="Z7" s="189">
        <v>1</v>
      </c>
      <c r="AA7" s="189">
        <v>0</v>
      </c>
      <c r="AB7" s="190">
        <v>0</v>
      </c>
      <c r="AC7" s="189">
        <v>0</v>
      </c>
      <c r="AD7" s="189">
        <v>0</v>
      </c>
      <c r="AE7" s="189">
        <v>0</v>
      </c>
      <c r="AF7" s="190">
        <v>0</v>
      </c>
      <c r="AG7" s="189">
        <v>1</v>
      </c>
      <c r="AH7" s="189">
        <v>1</v>
      </c>
      <c r="AI7" s="189">
        <v>0</v>
      </c>
      <c r="AJ7" s="190">
        <v>0</v>
      </c>
      <c r="AK7" s="189">
        <v>0</v>
      </c>
      <c r="AL7" s="189">
        <v>0</v>
      </c>
      <c r="AM7" s="189">
        <v>0</v>
      </c>
      <c r="AN7" s="190">
        <v>0</v>
      </c>
      <c r="AS7" s="840" t="s">
        <v>560</v>
      </c>
      <c r="AT7" s="841">
        <v>320</v>
      </c>
    </row>
    <row r="8" spans="1:46" ht="14.95" customHeight="1" thickBot="1" x14ac:dyDescent="0.3">
      <c r="A8" s="184">
        <v>44766</v>
      </c>
      <c r="B8" s="186" t="s">
        <v>246</v>
      </c>
      <c r="C8" s="186" t="s">
        <v>38</v>
      </c>
      <c r="D8" s="186" t="s">
        <v>320</v>
      </c>
      <c r="E8" s="187" t="s">
        <v>3</v>
      </c>
      <c r="F8" s="187">
        <v>24</v>
      </c>
      <c r="G8" s="187">
        <v>34</v>
      </c>
      <c r="H8" s="187" t="s">
        <v>72</v>
      </c>
      <c r="I8" s="187" t="s">
        <v>72</v>
      </c>
      <c r="J8" s="187">
        <v>4</v>
      </c>
      <c r="K8" s="187">
        <v>2</v>
      </c>
      <c r="L8" s="187">
        <v>0</v>
      </c>
      <c r="M8" s="187">
        <v>0</v>
      </c>
      <c r="N8" s="187">
        <v>0</v>
      </c>
      <c r="O8" s="187">
        <v>0</v>
      </c>
      <c r="P8" s="187" t="s">
        <v>72</v>
      </c>
      <c r="Q8" s="187" t="s">
        <v>72</v>
      </c>
      <c r="R8" s="187">
        <v>5</v>
      </c>
      <c r="S8" s="191"/>
      <c r="T8" s="400" t="s">
        <v>321</v>
      </c>
      <c r="U8" s="193" t="s">
        <v>165</v>
      </c>
      <c r="V8" s="191" t="s">
        <v>166</v>
      </c>
      <c r="W8" s="193" t="s">
        <v>194</v>
      </c>
      <c r="X8" s="194" t="s">
        <v>118</v>
      </c>
      <c r="Y8" s="189">
        <v>1</v>
      </c>
      <c r="Z8" s="189">
        <v>0</v>
      </c>
      <c r="AA8" s="189">
        <v>0</v>
      </c>
      <c r="AB8" s="190">
        <v>1</v>
      </c>
      <c r="AC8" s="189">
        <v>0</v>
      </c>
      <c r="AD8" s="189">
        <v>0</v>
      </c>
      <c r="AE8" s="189">
        <v>0</v>
      </c>
      <c r="AF8" s="190">
        <v>0</v>
      </c>
      <c r="AG8" s="189">
        <v>1</v>
      </c>
      <c r="AH8" s="189">
        <v>0</v>
      </c>
      <c r="AI8" s="189">
        <v>0</v>
      </c>
      <c r="AJ8" s="190">
        <v>1</v>
      </c>
      <c r="AK8" s="189">
        <v>0</v>
      </c>
      <c r="AL8" s="189">
        <v>0</v>
      </c>
      <c r="AM8" s="189">
        <v>0</v>
      </c>
      <c r="AN8" s="190">
        <v>0</v>
      </c>
    </row>
    <row r="9" spans="1:46" ht="14.95" customHeight="1" thickBot="1" x14ac:dyDescent="0.3">
      <c r="A9" s="184">
        <v>44807</v>
      </c>
      <c r="B9" s="186" t="s">
        <v>246</v>
      </c>
      <c r="C9" s="186" t="s">
        <v>34</v>
      </c>
      <c r="D9" s="186" t="s">
        <v>373</v>
      </c>
      <c r="E9" s="187" t="s">
        <v>3</v>
      </c>
      <c r="F9" s="187">
        <v>0</v>
      </c>
      <c r="G9" s="187">
        <v>21</v>
      </c>
      <c r="H9" s="187" t="s">
        <v>72</v>
      </c>
      <c r="I9" s="187" t="s">
        <v>72</v>
      </c>
      <c r="J9" s="187">
        <v>0</v>
      </c>
      <c r="K9" s="187">
        <v>0</v>
      </c>
      <c r="L9" s="187">
        <v>0</v>
      </c>
      <c r="M9" s="187">
        <v>0</v>
      </c>
      <c r="N9" s="187">
        <v>1</v>
      </c>
      <c r="O9" s="187">
        <v>0</v>
      </c>
      <c r="P9" s="187" t="s">
        <v>72</v>
      </c>
      <c r="Q9" s="187" t="s">
        <v>72</v>
      </c>
      <c r="R9" s="187">
        <v>3</v>
      </c>
      <c r="S9" s="191"/>
      <c r="T9" s="195" t="s">
        <v>394</v>
      </c>
      <c r="U9" s="193" t="s">
        <v>165</v>
      </c>
      <c r="V9" s="191" t="s">
        <v>117</v>
      </c>
      <c r="W9" s="193" t="s">
        <v>160</v>
      </c>
      <c r="X9" s="194" t="s">
        <v>393</v>
      </c>
      <c r="Y9" s="189">
        <v>1</v>
      </c>
      <c r="Z9" s="189">
        <v>0</v>
      </c>
      <c r="AA9" s="189">
        <v>0</v>
      </c>
      <c r="AB9" s="190">
        <v>1</v>
      </c>
      <c r="AC9" s="189">
        <v>0</v>
      </c>
      <c r="AD9" s="189">
        <v>0</v>
      </c>
      <c r="AE9" s="189">
        <v>0</v>
      </c>
      <c r="AF9" s="190">
        <v>0</v>
      </c>
      <c r="AG9" s="189">
        <v>1</v>
      </c>
      <c r="AH9" s="189">
        <v>0</v>
      </c>
      <c r="AI9" s="189">
        <v>0</v>
      </c>
      <c r="AJ9" s="190">
        <v>1</v>
      </c>
      <c r="AK9" s="189">
        <v>0</v>
      </c>
      <c r="AL9" s="189">
        <v>0</v>
      </c>
      <c r="AM9" s="189">
        <v>0</v>
      </c>
      <c r="AN9" s="190">
        <v>0</v>
      </c>
    </row>
    <row r="10" spans="1:46" ht="14.95" customHeight="1" thickBot="1" x14ac:dyDescent="0.3">
      <c r="A10" s="203">
        <v>44813</v>
      </c>
      <c r="B10" s="204" t="s">
        <v>246</v>
      </c>
      <c r="C10" s="204" t="s">
        <v>34</v>
      </c>
      <c r="D10" s="204" t="s">
        <v>374</v>
      </c>
      <c r="E10" s="205" t="s">
        <v>1</v>
      </c>
      <c r="F10" s="205">
        <v>26</v>
      </c>
      <c r="G10" s="205">
        <v>19</v>
      </c>
      <c r="H10" s="205" t="s">
        <v>72</v>
      </c>
      <c r="I10" s="205" t="s">
        <v>72</v>
      </c>
      <c r="J10" s="205">
        <v>3</v>
      </c>
      <c r="K10" s="205">
        <v>2</v>
      </c>
      <c r="L10" s="205">
        <v>0</v>
      </c>
      <c r="M10" s="205">
        <v>0</v>
      </c>
      <c r="N10" s="205">
        <v>0</v>
      </c>
      <c r="O10" s="205">
        <v>0</v>
      </c>
      <c r="P10" s="205" t="s">
        <v>72</v>
      </c>
      <c r="Q10" s="205" t="s">
        <v>72</v>
      </c>
      <c r="R10" s="205">
        <v>3</v>
      </c>
      <c r="S10" s="206"/>
      <c r="T10" s="216" t="s">
        <v>396</v>
      </c>
      <c r="U10" s="208" t="s">
        <v>147</v>
      </c>
      <c r="V10" s="206" t="s">
        <v>117</v>
      </c>
      <c r="W10" s="208" t="s">
        <v>397</v>
      </c>
      <c r="X10" s="210" t="s">
        <v>182</v>
      </c>
      <c r="Y10" s="211">
        <v>1</v>
      </c>
      <c r="Z10" s="211">
        <v>1</v>
      </c>
      <c r="AA10" s="211">
        <v>0</v>
      </c>
      <c r="AB10" s="212">
        <v>0</v>
      </c>
      <c r="AC10" s="211">
        <v>1</v>
      </c>
      <c r="AD10" s="211">
        <v>1</v>
      </c>
      <c r="AE10" s="211">
        <v>0</v>
      </c>
      <c r="AF10" s="212">
        <v>0</v>
      </c>
      <c r="AG10" s="211">
        <v>0</v>
      </c>
      <c r="AH10" s="211">
        <v>0</v>
      </c>
      <c r="AI10" s="211">
        <v>0</v>
      </c>
      <c r="AJ10" s="212">
        <v>0</v>
      </c>
      <c r="AK10" s="211">
        <v>0</v>
      </c>
      <c r="AL10" s="211">
        <v>0</v>
      </c>
      <c r="AM10" s="211">
        <v>0</v>
      </c>
      <c r="AN10" s="212">
        <v>0</v>
      </c>
    </row>
    <row r="11" spans="1:46" ht="14.95" customHeight="1" thickBot="1" x14ac:dyDescent="0.35">
      <c r="A11" s="226">
        <v>44843</v>
      </c>
      <c r="B11" s="227" t="s">
        <v>139</v>
      </c>
      <c r="C11" s="227" t="s">
        <v>57</v>
      </c>
      <c r="D11" s="227" t="s">
        <v>140</v>
      </c>
      <c r="E11" s="223" t="s">
        <v>1</v>
      </c>
      <c r="F11" s="223">
        <v>22</v>
      </c>
      <c r="G11" s="223">
        <v>10</v>
      </c>
      <c r="H11" s="223">
        <v>1</v>
      </c>
      <c r="I11" s="223">
        <v>0</v>
      </c>
      <c r="J11" s="223">
        <v>4</v>
      </c>
      <c r="K11" s="223">
        <v>1</v>
      </c>
      <c r="L11" s="223">
        <v>0</v>
      </c>
      <c r="M11" s="223">
        <v>0</v>
      </c>
      <c r="N11" s="223">
        <v>1</v>
      </c>
      <c r="O11" s="223">
        <v>0</v>
      </c>
      <c r="P11" s="223">
        <v>0</v>
      </c>
      <c r="Q11" s="223">
        <v>0</v>
      </c>
      <c r="R11" s="223">
        <v>2</v>
      </c>
      <c r="S11" s="228"/>
      <c r="T11" s="231" t="s">
        <v>482</v>
      </c>
      <c r="U11" s="229" t="s">
        <v>159</v>
      </c>
      <c r="V11" s="228" t="s">
        <v>198</v>
      </c>
      <c r="W11" s="229" t="s">
        <v>194</v>
      </c>
      <c r="X11" s="228" t="s">
        <v>258</v>
      </c>
      <c r="Y11" s="155">
        <v>1</v>
      </c>
      <c r="Z11" s="155">
        <v>1</v>
      </c>
      <c r="AA11" s="155">
        <v>0</v>
      </c>
      <c r="AB11" s="224">
        <v>0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1</v>
      </c>
      <c r="AM11" s="155">
        <v>0</v>
      </c>
      <c r="AN11" s="224">
        <v>0</v>
      </c>
    </row>
    <row r="12" spans="1:46" ht="14.95" customHeight="1" thickBot="1" x14ac:dyDescent="0.3">
      <c r="A12" s="226">
        <v>44850</v>
      </c>
      <c r="B12" s="227" t="s">
        <v>139</v>
      </c>
      <c r="C12" s="227" t="s">
        <v>38</v>
      </c>
      <c r="D12" s="227" t="s">
        <v>79</v>
      </c>
      <c r="E12" s="223" t="s">
        <v>3</v>
      </c>
      <c r="F12" s="223">
        <v>12</v>
      </c>
      <c r="G12" s="223">
        <v>22</v>
      </c>
      <c r="H12" s="223">
        <v>0</v>
      </c>
      <c r="I12" s="223">
        <v>0</v>
      </c>
      <c r="J12" s="223">
        <v>2</v>
      </c>
      <c r="K12" s="223">
        <v>1</v>
      </c>
      <c r="L12" s="223">
        <v>0</v>
      </c>
      <c r="M12" s="223">
        <v>0</v>
      </c>
      <c r="N12" s="223">
        <v>0</v>
      </c>
      <c r="O12" s="223">
        <v>0</v>
      </c>
      <c r="P12" s="223">
        <v>1</v>
      </c>
      <c r="Q12" s="223">
        <v>0</v>
      </c>
      <c r="R12" s="223">
        <v>4</v>
      </c>
      <c r="S12" s="225"/>
      <c r="T12" s="257" t="s">
        <v>328</v>
      </c>
      <c r="U12" s="225" t="s">
        <v>165</v>
      </c>
      <c r="V12" s="225" t="s">
        <v>229</v>
      </c>
      <c r="W12" s="225" t="s">
        <v>149</v>
      </c>
      <c r="X12" s="230" t="s">
        <v>182</v>
      </c>
      <c r="Y12" s="155">
        <v>1</v>
      </c>
      <c r="Z12" s="155">
        <v>0</v>
      </c>
      <c r="AA12" s="155">
        <v>0</v>
      </c>
      <c r="AB12" s="224">
        <v>1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0</v>
      </c>
      <c r="AM12" s="155">
        <v>0</v>
      </c>
      <c r="AN12" s="224">
        <v>1</v>
      </c>
    </row>
    <row r="13" spans="1:46" ht="14.95" customHeight="1" thickBot="1" x14ac:dyDescent="0.35">
      <c r="A13" s="253">
        <v>44857</v>
      </c>
      <c r="B13" s="254" t="s">
        <v>139</v>
      </c>
      <c r="C13" s="254" t="s">
        <v>36</v>
      </c>
      <c r="D13" s="254" t="s">
        <v>79</v>
      </c>
      <c r="E13" s="223" t="s">
        <v>1</v>
      </c>
      <c r="F13" s="223">
        <v>21</v>
      </c>
      <c r="G13" s="223">
        <v>8</v>
      </c>
      <c r="H13" s="223">
        <v>0</v>
      </c>
      <c r="I13" s="223">
        <v>0</v>
      </c>
      <c r="J13" s="223">
        <v>2</v>
      </c>
      <c r="K13" s="223">
        <v>1</v>
      </c>
      <c r="L13" s="223">
        <v>0</v>
      </c>
      <c r="M13" s="223">
        <v>3</v>
      </c>
      <c r="N13" s="223">
        <v>0</v>
      </c>
      <c r="O13" s="223">
        <v>0</v>
      </c>
      <c r="P13" s="223">
        <v>0</v>
      </c>
      <c r="Q13" s="223">
        <v>0</v>
      </c>
      <c r="R13" s="223">
        <v>1</v>
      </c>
      <c r="S13" s="225"/>
      <c r="T13" s="256" t="s">
        <v>235</v>
      </c>
      <c r="U13" s="225" t="s">
        <v>207</v>
      </c>
      <c r="V13" s="225" t="s">
        <v>198</v>
      </c>
      <c r="W13" s="225" t="s">
        <v>159</v>
      </c>
      <c r="X13" s="225" t="s">
        <v>258</v>
      </c>
      <c r="Y13" s="155">
        <v>1</v>
      </c>
      <c r="Z13" s="155">
        <v>1</v>
      </c>
      <c r="AA13" s="155">
        <v>0</v>
      </c>
      <c r="AB13" s="224">
        <v>0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1</v>
      </c>
      <c r="AM13" s="155">
        <v>0</v>
      </c>
      <c r="AN13" s="224">
        <v>0</v>
      </c>
    </row>
    <row r="14" spans="1:46" ht="14.95" customHeight="1" thickBot="1" x14ac:dyDescent="0.3">
      <c r="A14" s="226">
        <v>44863</v>
      </c>
      <c r="B14" s="227" t="s">
        <v>109</v>
      </c>
      <c r="C14" s="227" t="s">
        <v>34</v>
      </c>
      <c r="D14" s="227" t="s">
        <v>140</v>
      </c>
      <c r="E14" s="223" t="s">
        <v>3</v>
      </c>
      <c r="F14" s="223">
        <v>3</v>
      </c>
      <c r="G14" s="223">
        <v>39</v>
      </c>
      <c r="H14" s="223" t="s">
        <v>72</v>
      </c>
      <c r="I14" s="223" t="s">
        <v>72</v>
      </c>
      <c r="J14" s="223">
        <v>0</v>
      </c>
      <c r="K14" s="223">
        <v>0</v>
      </c>
      <c r="L14" s="223">
        <v>0</v>
      </c>
      <c r="M14" s="223">
        <v>1</v>
      </c>
      <c r="N14" s="223">
        <v>2</v>
      </c>
      <c r="O14" s="223">
        <v>0</v>
      </c>
      <c r="P14" s="223" t="s">
        <v>72</v>
      </c>
      <c r="Q14" s="223" t="s">
        <v>72</v>
      </c>
      <c r="R14" s="223">
        <v>5</v>
      </c>
      <c r="S14" s="290"/>
      <c r="T14" s="240" t="s">
        <v>210</v>
      </c>
      <c r="U14" s="229" t="s">
        <v>159</v>
      </c>
      <c r="V14" s="228" t="s">
        <v>198</v>
      </c>
      <c r="W14" s="229" t="s">
        <v>214</v>
      </c>
      <c r="X14" s="228" t="s">
        <v>258</v>
      </c>
      <c r="Y14" s="155">
        <v>1</v>
      </c>
      <c r="Z14" s="155">
        <v>0</v>
      </c>
      <c r="AA14" s="155">
        <v>0</v>
      </c>
      <c r="AB14" s="224">
        <v>1</v>
      </c>
      <c r="AC14" s="155">
        <v>0</v>
      </c>
      <c r="AD14" s="155">
        <v>0</v>
      </c>
      <c r="AE14" s="155">
        <v>0</v>
      </c>
      <c r="AF14" s="224">
        <v>0</v>
      </c>
      <c r="AG14" s="155">
        <v>0</v>
      </c>
      <c r="AH14" s="155">
        <v>0</v>
      </c>
      <c r="AI14" s="155">
        <v>0</v>
      </c>
      <c r="AJ14" s="224">
        <v>0</v>
      </c>
      <c r="AK14" s="155">
        <v>1</v>
      </c>
      <c r="AL14" s="155">
        <v>0</v>
      </c>
      <c r="AM14" s="155">
        <v>0</v>
      </c>
      <c r="AN14" s="224">
        <v>1</v>
      </c>
    </row>
    <row r="15" spans="1:46" ht="14.95" customHeight="1" thickBot="1" x14ac:dyDescent="0.35">
      <c r="A15" s="226">
        <v>44870</v>
      </c>
      <c r="B15" s="227" t="s">
        <v>387</v>
      </c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6" ht="15.8" customHeight="1" thickBot="1" x14ac:dyDescent="0.35">
      <c r="A16" s="226">
        <v>44877</v>
      </c>
      <c r="B16" s="227" t="s">
        <v>388</v>
      </c>
      <c r="C16" s="227"/>
      <c r="D16" s="227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90"/>
      <c r="T16" s="231"/>
      <c r="U16" s="229"/>
      <c r="V16" s="228"/>
      <c r="W16" s="225"/>
      <c r="X16" s="230"/>
      <c r="Y16" s="155"/>
      <c r="Z16" s="155"/>
      <c r="AA16" s="155"/>
      <c r="AB16" s="224"/>
      <c r="AC16" s="155"/>
      <c r="AD16" s="155"/>
      <c r="AE16" s="155"/>
      <c r="AF16" s="224"/>
      <c r="AG16" s="155"/>
      <c r="AH16" s="155"/>
      <c r="AI16" s="155"/>
      <c r="AJ16" s="224"/>
      <c r="AK16" s="155"/>
      <c r="AL16" s="155"/>
      <c r="AM16" s="155"/>
      <c r="AN16" s="224"/>
    </row>
    <row r="17" spans="1:40" ht="14.95" customHeight="1" thickBot="1" x14ac:dyDescent="0.3">
      <c r="A17" s="123"/>
      <c r="B17" s="124"/>
      <c r="C17" s="692" t="s">
        <v>74</v>
      </c>
      <c r="D17" s="693"/>
      <c r="E17" s="694"/>
      <c r="F17" s="122">
        <f>SUM(F3:F7)</f>
        <v>44</v>
      </c>
      <c r="G17" s="122">
        <f t="shared" ref="G17:R17" si="0">SUM(G3:G7)</f>
        <v>163</v>
      </c>
      <c r="H17" s="122">
        <f t="shared" si="0"/>
        <v>0</v>
      </c>
      <c r="I17" s="122">
        <f t="shared" si="0"/>
        <v>0</v>
      </c>
      <c r="J17" s="122">
        <f t="shared" si="0"/>
        <v>4</v>
      </c>
      <c r="K17" s="122">
        <f t="shared" si="0"/>
        <v>3</v>
      </c>
      <c r="L17" s="122">
        <f t="shared" si="0"/>
        <v>0</v>
      </c>
      <c r="M17" s="122">
        <f t="shared" si="0"/>
        <v>6</v>
      </c>
      <c r="N17" s="122">
        <f t="shared" si="0"/>
        <v>2</v>
      </c>
      <c r="O17" s="122">
        <f t="shared" si="0"/>
        <v>0</v>
      </c>
      <c r="P17" s="122">
        <f t="shared" si="0"/>
        <v>3</v>
      </c>
      <c r="Q17" s="122">
        <f t="shared" si="0"/>
        <v>2</v>
      </c>
      <c r="R17" s="122">
        <f t="shared" si="0"/>
        <v>24</v>
      </c>
      <c r="W17" s="119"/>
      <c r="X17" s="158" t="s">
        <v>74</v>
      </c>
      <c r="Y17" s="122">
        <f t="shared" ref="Y17:AN17" si="1">SUM(Y3:Y7)</f>
        <v>5</v>
      </c>
      <c r="Z17" s="122">
        <f t="shared" si="1"/>
        <v>2</v>
      </c>
      <c r="AA17" s="122">
        <f t="shared" si="1"/>
        <v>0</v>
      </c>
      <c r="AB17" s="122">
        <f t="shared" si="1"/>
        <v>3</v>
      </c>
      <c r="AC17" s="120">
        <f t="shared" si="1"/>
        <v>2</v>
      </c>
      <c r="AD17" s="120">
        <f t="shared" si="1"/>
        <v>1</v>
      </c>
      <c r="AE17" s="120">
        <f t="shared" si="1"/>
        <v>0</v>
      </c>
      <c r="AF17" s="120">
        <f t="shared" si="1"/>
        <v>1</v>
      </c>
      <c r="AG17" s="121">
        <f t="shared" si="1"/>
        <v>3</v>
      </c>
      <c r="AH17" s="121">
        <f t="shared" si="1"/>
        <v>1</v>
      </c>
      <c r="AI17" s="121">
        <f t="shared" si="1"/>
        <v>0</v>
      </c>
      <c r="AJ17" s="121">
        <f t="shared" si="1"/>
        <v>2</v>
      </c>
      <c r="AK17" s="122">
        <f t="shared" si="1"/>
        <v>0</v>
      </c>
      <c r="AL17" s="122">
        <f t="shared" si="1"/>
        <v>0</v>
      </c>
      <c r="AM17" s="122">
        <f t="shared" si="1"/>
        <v>0</v>
      </c>
      <c r="AN17" s="122">
        <f t="shared" si="1"/>
        <v>0</v>
      </c>
    </row>
    <row r="18" spans="1:40" ht="14.95" customHeight="1" thickBot="1" x14ac:dyDescent="0.3">
      <c r="A18" s="123"/>
      <c r="B18" s="124"/>
      <c r="C18" s="679" t="s">
        <v>467</v>
      </c>
      <c r="D18" s="680"/>
      <c r="E18" s="681"/>
      <c r="F18" s="414">
        <f>SUM(F11:F13)</f>
        <v>55</v>
      </c>
      <c r="G18" s="414">
        <f t="shared" ref="G18:R18" si="2">SUM(G11:G13)</f>
        <v>40</v>
      </c>
      <c r="H18" s="414">
        <f t="shared" si="2"/>
        <v>1</v>
      </c>
      <c r="I18" s="414">
        <f t="shared" si="2"/>
        <v>0</v>
      </c>
      <c r="J18" s="414">
        <f t="shared" si="2"/>
        <v>8</v>
      </c>
      <c r="K18" s="414">
        <f t="shared" si="2"/>
        <v>3</v>
      </c>
      <c r="L18" s="414">
        <f t="shared" si="2"/>
        <v>0</v>
      </c>
      <c r="M18" s="414">
        <f t="shared" si="2"/>
        <v>3</v>
      </c>
      <c r="N18" s="414">
        <f t="shared" si="2"/>
        <v>1</v>
      </c>
      <c r="O18" s="414">
        <f t="shared" si="2"/>
        <v>0</v>
      </c>
      <c r="P18" s="414">
        <f t="shared" si="2"/>
        <v>1</v>
      </c>
      <c r="Q18" s="414">
        <f t="shared" si="2"/>
        <v>0</v>
      </c>
      <c r="R18" s="414">
        <f t="shared" si="2"/>
        <v>7</v>
      </c>
      <c r="S18" s="415"/>
      <c r="T18" s="415"/>
      <c r="U18" s="415"/>
      <c r="V18" s="415"/>
      <c r="W18" s="416"/>
      <c r="X18" s="417" t="s">
        <v>467</v>
      </c>
      <c r="Y18" s="414">
        <f t="shared" ref="Y18:AN18" si="3">SUM(Y11:Y13)</f>
        <v>3</v>
      </c>
      <c r="Z18" s="414">
        <f t="shared" si="3"/>
        <v>2</v>
      </c>
      <c r="AA18" s="414">
        <f t="shared" si="3"/>
        <v>0</v>
      </c>
      <c r="AB18" s="414">
        <f t="shared" si="3"/>
        <v>1</v>
      </c>
      <c r="AC18" s="418">
        <f t="shared" si="3"/>
        <v>0</v>
      </c>
      <c r="AD18" s="418">
        <f t="shared" si="3"/>
        <v>0</v>
      </c>
      <c r="AE18" s="418">
        <f t="shared" si="3"/>
        <v>0</v>
      </c>
      <c r="AF18" s="418">
        <f t="shared" si="3"/>
        <v>0</v>
      </c>
      <c r="AG18" s="419">
        <f t="shared" si="3"/>
        <v>0</v>
      </c>
      <c r="AH18" s="419">
        <f t="shared" si="3"/>
        <v>0</v>
      </c>
      <c r="AI18" s="419">
        <f t="shared" si="3"/>
        <v>0</v>
      </c>
      <c r="AJ18" s="419">
        <f t="shared" si="3"/>
        <v>0</v>
      </c>
      <c r="AK18" s="414">
        <f t="shared" si="3"/>
        <v>3</v>
      </c>
      <c r="AL18" s="414">
        <f t="shared" si="3"/>
        <v>2</v>
      </c>
      <c r="AM18" s="414">
        <f t="shared" si="3"/>
        <v>0</v>
      </c>
      <c r="AN18" s="414">
        <f t="shared" si="3"/>
        <v>1</v>
      </c>
    </row>
    <row r="19" spans="1:40" ht="14.95" thickBot="1" x14ac:dyDescent="0.3">
      <c r="A19" s="123"/>
      <c r="B19" s="124"/>
      <c r="C19" s="679" t="s">
        <v>468</v>
      </c>
      <c r="D19" s="680"/>
      <c r="E19" s="681"/>
      <c r="F19" s="414">
        <f>SUM(F14:F16)</f>
        <v>3</v>
      </c>
      <c r="G19" s="414">
        <f>SUM(G14:G16)</f>
        <v>39</v>
      </c>
      <c r="H19" s="414">
        <v>0</v>
      </c>
      <c r="I19" s="414">
        <v>0</v>
      </c>
      <c r="J19" s="414">
        <f t="shared" ref="J19:O19" si="4">SUM(J14:J16)</f>
        <v>0</v>
      </c>
      <c r="K19" s="414">
        <f t="shared" si="4"/>
        <v>0</v>
      </c>
      <c r="L19" s="414">
        <f t="shared" si="4"/>
        <v>0</v>
      </c>
      <c r="M19" s="414">
        <f t="shared" si="4"/>
        <v>1</v>
      </c>
      <c r="N19" s="414">
        <f t="shared" si="4"/>
        <v>2</v>
      </c>
      <c r="O19" s="414">
        <f t="shared" si="4"/>
        <v>0</v>
      </c>
      <c r="P19" s="414">
        <v>0</v>
      </c>
      <c r="Q19" s="414">
        <v>0</v>
      </c>
      <c r="R19" s="414">
        <f>SUM(R14:R16)</f>
        <v>5</v>
      </c>
      <c r="S19" s="415"/>
      <c r="T19" s="415"/>
      <c r="U19" s="415"/>
      <c r="V19" s="415"/>
      <c r="W19" s="416"/>
      <c r="X19" s="417" t="s">
        <v>468</v>
      </c>
      <c r="Y19" s="414">
        <f t="shared" ref="Y19:AN19" si="5">SUM(Y14:Y16)</f>
        <v>1</v>
      </c>
      <c r="Z19" s="414">
        <f t="shared" si="5"/>
        <v>0</v>
      </c>
      <c r="AA19" s="414">
        <f t="shared" si="5"/>
        <v>0</v>
      </c>
      <c r="AB19" s="414">
        <f t="shared" si="5"/>
        <v>1</v>
      </c>
      <c r="AC19" s="418">
        <f t="shared" si="5"/>
        <v>0</v>
      </c>
      <c r="AD19" s="418">
        <f t="shared" si="5"/>
        <v>0</v>
      </c>
      <c r="AE19" s="418">
        <f t="shared" si="5"/>
        <v>0</v>
      </c>
      <c r="AF19" s="418">
        <f t="shared" si="5"/>
        <v>0</v>
      </c>
      <c r="AG19" s="419">
        <f t="shared" si="5"/>
        <v>0</v>
      </c>
      <c r="AH19" s="419">
        <f t="shared" si="5"/>
        <v>0</v>
      </c>
      <c r="AI19" s="419">
        <f t="shared" si="5"/>
        <v>0</v>
      </c>
      <c r="AJ19" s="419">
        <f t="shared" si="5"/>
        <v>0</v>
      </c>
      <c r="AK19" s="414">
        <f t="shared" si="5"/>
        <v>1</v>
      </c>
      <c r="AL19" s="414">
        <f t="shared" si="5"/>
        <v>0</v>
      </c>
      <c r="AM19" s="414">
        <f t="shared" si="5"/>
        <v>0</v>
      </c>
      <c r="AN19" s="414">
        <f t="shared" si="5"/>
        <v>1</v>
      </c>
    </row>
    <row r="20" spans="1:40" ht="14.95" thickBot="1" x14ac:dyDescent="0.3">
      <c r="A20" s="123"/>
      <c r="B20" s="124"/>
      <c r="C20" s="679" t="s">
        <v>469</v>
      </c>
      <c r="D20" s="680"/>
      <c r="E20" s="681"/>
      <c r="F20" s="414">
        <f>SUM(F18+F19)</f>
        <v>58</v>
      </c>
      <c r="G20" s="414">
        <f t="shared" ref="G20:R20" si="6">SUM(G18+G19)</f>
        <v>79</v>
      </c>
      <c r="H20" s="414">
        <f t="shared" si="6"/>
        <v>1</v>
      </c>
      <c r="I20" s="414">
        <f t="shared" si="6"/>
        <v>0</v>
      </c>
      <c r="J20" s="414">
        <f t="shared" si="6"/>
        <v>8</v>
      </c>
      <c r="K20" s="414">
        <f t="shared" si="6"/>
        <v>3</v>
      </c>
      <c r="L20" s="414">
        <f t="shared" si="6"/>
        <v>0</v>
      </c>
      <c r="M20" s="414">
        <f t="shared" si="6"/>
        <v>4</v>
      </c>
      <c r="N20" s="414">
        <f t="shared" si="6"/>
        <v>3</v>
      </c>
      <c r="O20" s="414">
        <f t="shared" si="6"/>
        <v>0</v>
      </c>
      <c r="P20" s="414">
        <f t="shared" si="6"/>
        <v>1</v>
      </c>
      <c r="Q20" s="414">
        <f t="shared" si="6"/>
        <v>0</v>
      </c>
      <c r="R20" s="414">
        <f t="shared" si="6"/>
        <v>12</v>
      </c>
      <c r="S20" s="415"/>
      <c r="T20" s="415"/>
      <c r="U20" s="415"/>
      <c r="V20" s="415"/>
      <c r="W20" s="416"/>
      <c r="X20" s="417" t="s">
        <v>469</v>
      </c>
      <c r="Y20" s="414">
        <f t="shared" ref="Y20:AN20" si="7">SUM(Y18+Y19)</f>
        <v>4</v>
      </c>
      <c r="Z20" s="414">
        <f t="shared" si="7"/>
        <v>2</v>
      </c>
      <c r="AA20" s="414">
        <f t="shared" si="7"/>
        <v>0</v>
      </c>
      <c r="AB20" s="414">
        <f t="shared" si="7"/>
        <v>2</v>
      </c>
      <c r="AC20" s="418">
        <f t="shared" si="7"/>
        <v>0</v>
      </c>
      <c r="AD20" s="418">
        <f t="shared" si="7"/>
        <v>0</v>
      </c>
      <c r="AE20" s="418">
        <f t="shared" si="7"/>
        <v>0</v>
      </c>
      <c r="AF20" s="418">
        <f t="shared" si="7"/>
        <v>0</v>
      </c>
      <c r="AG20" s="419">
        <f t="shared" si="7"/>
        <v>0</v>
      </c>
      <c r="AH20" s="419">
        <f t="shared" si="7"/>
        <v>0</v>
      </c>
      <c r="AI20" s="419">
        <f t="shared" si="7"/>
        <v>0</v>
      </c>
      <c r="AJ20" s="419">
        <f t="shared" si="7"/>
        <v>0</v>
      </c>
      <c r="AK20" s="414">
        <f t="shared" si="7"/>
        <v>4</v>
      </c>
      <c r="AL20" s="414">
        <f t="shared" si="7"/>
        <v>2</v>
      </c>
      <c r="AM20" s="414">
        <f t="shared" si="7"/>
        <v>0</v>
      </c>
      <c r="AN20" s="414">
        <f t="shared" si="7"/>
        <v>2</v>
      </c>
    </row>
    <row r="21" spans="1:40" ht="14.95" thickBot="1" x14ac:dyDescent="0.3">
      <c r="A21" s="247"/>
      <c r="B21" s="248"/>
      <c r="C21" s="686" t="s">
        <v>83</v>
      </c>
      <c r="D21" s="760"/>
      <c r="E21" s="761"/>
      <c r="F21" s="244">
        <f>SUM(F8:F10)</f>
        <v>50</v>
      </c>
      <c r="G21" s="244">
        <f>SUM(G8:G10)</f>
        <v>74</v>
      </c>
      <c r="H21" s="244" t="s">
        <v>72</v>
      </c>
      <c r="I21" s="244" t="s">
        <v>72</v>
      </c>
      <c r="J21" s="244">
        <f t="shared" ref="J21:O21" si="8">SUM(J8:J10)</f>
        <v>7</v>
      </c>
      <c r="K21" s="244">
        <f t="shared" si="8"/>
        <v>4</v>
      </c>
      <c r="L21" s="244">
        <f t="shared" si="8"/>
        <v>0</v>
      </c>
      <c r="M21" s="244">
        <f t="shared" si="8"/>
        <v>0</v>
      </c>
      <c r="N21" s="244">
        <f t="shared" si="8"/>
        <v>1</v>
      </c>
      <c r="O21" s="244">
        <f t="shared" si="8"/>
        <v>0</v>
      </c>
      <c r="P21" s="244" t="s">
        <v>72</v>
      </c>
      <c r="Q21" s="244" t="s">
        <v>72</v>
      </c>
      <c r="R21" s="244">
        <f>SUM(R8:R10)</f>
        <v>11</v>
      </c>
      <c r="S21" s="241"/>
      <c r="T21" s="241"/>
      <c r="U21" s="241"/>
      <c r="V21" s="241"/>
      <c r="W21" s="242"/>
      <c r="X21" s="243" t="s">
        <v>83</v>
      </c>
      <c r="Y21" s="244">
        <f t="shared" ref="Y21:AN21" si="9">SUM(Y8:Y10)</f>
        <v>3</v>
      </c>
      <c r="Z21" s="244">
        <f t="shared" si="9"/>
        <v>1</v>
      </c>
      <c r="AA21" s="244">
        <f t="shared" si="9"/>
        <v>0</v>
      </c>
      <c r="AB21" s="244">
        <f t="shared" si="9"/>
        <v>2</v>
      </c>
      <c r="AC21" s="245">
        <f t="shared" si="9"/>
        <v>1</v>
      </c>
      <c r="AD21" s="245">
        <f t="shared" si="9"/>
        <v>1</v>
      </c>
      <c r="AE21" s="245">
        <f t="shared" si="9"/>
        <v>0</v>
      </c>
      <c r="AF21" s="245">
        <f t="shared" si="9"/>
        <v>0</v>
      </c>
      <c r="AG21" s="246">
        <f t="shared" si="9"/>
        <v>2</v>
      </c>
      <c r="AH21" s="246">
        <f t="shared" si="9"/>
        <v>0</v>
      </c>
      <c r="AI21" s="246">
        <f t="shared" si="9"/>
        <v>0</v>
      </c>
      <c r="AJ21" s="246">
        <f t="shared" si="9"/>
        <v>2</v>
      </c>
      <c r="AK21" s="244">
        <f t="shared" si="9"/>
        <v>0</v>
      </c>
      <c r="AL21" s="244">
        <f t="shared" si="9"/>
        <v>0</v>
      </c>
      <c r="AM21" s="244">
        <f t="shared" si="9"/>
        <v>0</v>
      </c>
      <c r="AN21" s="244">
        <f t="shared" si="9"/>
        <v>0</v>
      </c>
    </row>
    <row r="22" spans="1:40" ht="14.95" thickBot="1" x14ac:dyDescent="0.3">
      <c r="A22" s="123"/>
      <c r="B22" s="124"/>
      <c r="C22" s="682" t="s">
        <v>73</v>
      </c>
      <c r="D22" s="683"/>
      <c r="E22" s="684"/>
      <c r="F22" s="150">
        <f>SUM(F3:F16)</f>
        <v>152</v>
      </c>
      <c r="G22" s="150">
        <f t="shared" ref="G22:R22" si="10">SUM(G3:G16)</f>
        <v>316</v>
      </c>
      <c r="H22" s="150">
        <f t="shared" si="10"/>
        <v>1</v>
      </c>
      <c r="I22" s="150">
        <f t="shared" si="10"/>
        <v>0</v>
      </c>
      <c r="J22" s="150">
        <f t="shared" si="10"/>
        <v>19</v>
      </c>
      <c r="K22" s="150">
        <f t="shared" si="10"/>
        <v>10</v>
      </c>
      <c r="L22" s="150">
        <f t="shared" si="10"/>
        <v>0</v>
      </c>
      <c r="M22" s="150">
        <f t="shared" si="10"/>
        <v>10</v>
      </c>
      <c r="N22" s="150">
        <f t="shared" si="10"/>
        <v>6</v>
      </c>
      <c r="O22" s="150">
        <f t="shared" si="10"/>
        <v>0</v>
      </c>
      <c r="P22" s="150">
        <f t="shared" si="10"/>
        <v>4</v>
      </c>
      <c r="Q22" s="150">
        <f t="shared" si="10"/>
        <v>2</v>
      </c>
      <c r="R22" s="150">
        <f t="shared" si="10"/>
        <v>47</v>
      </c>
      <c r="S22" s="147"/>
      <c r="T22" s="147"/>
      <c r="U22" s="147"/>
      <c r="V22" s="147"/>
      <c r="W22" s="12"/>
      <c r="X22" s="155" t="s">
        <v>73</v>
      </c>
      <c r="Y22" s="150">
        <f t="shared" ref="Y22:AN22" si="11">SUM(Y3:Y16)</f>
        <v>12</v>
      </c>
      <c r="Z22" s="150">
        <f t="shared" si="11"/>
        <v>5</v>
      </c>
      <c r="AA22" s="150">
        <f t="shared" si="11"/>
        <v>0</v>
      </c>
      <c r="AB22" s="150">
        <f t="shared" si="11"/>
        <v>7</v>
      </c>
      <c r="AC22" s="148">
        <f t="shared" si="11"/>
        <v>3</v>
      </c>
      <c r="AD22" s="148">
        <f t="shared" si="11"/>
        <v>2</v>
      </c>
      <c r="AE22" s="148">
        <f t="shared" si="11"/>
        <v>0</v>
      </c>
      <c r="AF22" s="148">
        <f t="shared" si="11"/>
        <v>1</v>
      </c>
      <c r="AG22" s="149">
        <f t="shared" si="11"/>
        <v>5</v>
      </c>
      <c r="AH22" s="149">
        <f t="shared" si="11"/>
        <v>1</v>
      </c>
      <c r="AI22" s="149">
        <f t="shared" si="11"/>
        <v>0</v>
      </c>
      <c r="AJ22" s="149">
        <f t="shared" si="11"/>
        <v>4</v>
      </c>
      <c r="AK22" s="150">
        <f t="shared" si="11"/>
        <v>4</v>
      </c>
      <c r="AL22" s="150">
        <f t="shared" si="11"/>
        <v>2</v>
      </c>
      <c r="AM22" s="150">
        <f t="shared" si="11"/>
        <v>0</v>
      </c>
      <c r="AN22" s="150">
        <f t="shared" si="11"/>
        <v>2</v>
      </c>
    </row>
    <row r="23" spans="1:40" x14ac:dyDescent="0.25">
      <c r="A23" s="685" t="s">
        <v>85</v>
      </c>
      <c r="B23" s="637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</row>
    <row r="24" spans="1:40" x14ac:dyDescent="0.25">
      <c r="A24" t="s">
        <v>126</v>
      </c>
      <c r="F24" s="13"/>
      <c r="G24" s="13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40" x14ac:dyDescent="0.25">
      <c r="A25" t="s">
        <v>322</v>
      </c>
      <c r="F25" s="13"/>
      <c r="G25" s="13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40" x14ac:dyDescent="0.25">
      <c r="A26" s="222" t="s">
        <v>143</v>
      </c>
      <c r="F26" s="13"/>
      <c r="G26" s="13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40" x14ac:dyDescent="0.25">
      <c r="A27" s="222" t="s">
        <v>375</v>
      </c>
      <c r="F27" s="13"/>
      <c r="G27" s="13"/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40" x14ac:dyDescent="0.25">
      <c r="A28" t="s">
        <v>98</v>
      </c>
    </row>
    <row r="29" spans="1:40" x14ac:dyDescent="0.25">
      <c r="A29" s="46"/>
      <c r="B29" t="s">
        <v>42</v>
      </c>
    </row>
    <row r="30" spans="1:40" x14ac:dyDescent="0.25">
      <c r="A30" s="44"/>
      <c r="B30" t="s">
        <v>40</v>
      </c>
    </row>
    <row r="31" spans="1:40" x14ac:dyDescent="0.25">
      <c r="A31" s="45"/>
      <c r="B31" t="s">
        <v>41</v>
      </c>
    </row>
    <row r="32" spans="1:40" x14ac:dyDescent="0.25">
      <c r="A32" s="160" t="s">
        <v>28</v>
      </c>
    </row>
  </sheetData>
  <mergeCells count="17">
    <mergeCell ref="A23:R23"/>
    <mergeCell ref="C22:E22"/>
    <mergeCell ref="P1:R1"/>
    <mergeCell ref="A1:C1"/>
    <mergeCell ref="E1:G1"/>
    <mergeCell ref="H1:I1"/>
    <mergeCell ref="J1:M1"/>
    <mergeCell ref="N1:O1"/>
    <mergeCell ref="C21:E21"/>
    <mergeCell ref="C18:E18"/>
    <mergeCell ref="C19:E19"/>
    <mergeCell ref="C20:E20"/>
    <mergeCell ref="Y1:AB1"/>
    <mergeCell ref="AC1:AF1"/>
    <mergeCell ref="AG1:AJ1"/>
    <mergeCell ref="AK1:AN1"/>
    <mergeCell ref="C17:E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7C5A-F628-40BC-9697-E8083126C3E9}">
  <dimension ref="A1:AN31"/>
  <sheetViews>
    <sheetView workbookViewId="0">
      <selection activeCell="B15" sqref="B1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2.75" bestFit="1" customWidth="1"/>
    <col min="22" max="22" width="15.5" bestFit="1" customWidth="1"/>
    <col min="23" max="23" width="22.125" bestFit="1" customWidth="1"/>
    <col min="24" max="24" width="18.5" bestFit="1" customWidth="1"/>
    <col min="25" max="40" width="3.75" customWidth="1"/>
  </cols>
  <sheetData>
    <row r="1" spans="1:40" ht="14.95" customHeight="1" thickBot="1" x14ac:dyDescent="0.3">
      <c r="A1" s="776" t="s">
        <v>245</v>
      </c>
      <c r="B1" s="777"/>
      <c r="C1" s="777"/>
      <c r="D1" s="332"/>
      <c r="E1" s="778" t="s">
        <v>24</v>
      </c>
      <c r="F1" s="779"/>
      <c r="G1" s="780"/>
      <c r="H1" s="778" t="s">
        <v>81</v>
      </c>
      <c r="I1" s="780"/>
      <c r="J1" s="781" t="s">
        <v>6</v>
      </c>
      <c r="K1" s="782"/>
      <c r="L1" s="782"/>
      <c r="M1" s="783"/>
      <c r="N1" s="781" t="s">
        <v>7</v>
      </c>
      <c r="O1" s="783"/>
      <c r="P1" s="781" t="s">
        <v>25</v>
      </c>
      <c r="Q1" s="782"/>
      <c r="R1" s="783"/>
      <c r="S1" s="333" t="s">
        <v>8</v>
      </c>
      <c r="T1" s="333" t="s">
        <v>9</v>
      </c>
      <c r="U1" s="334" t="s">
        <v>10</v>
      </c>
      <c r="V1" s="334" t="s">
        <v>11</v>
      </c>
      <c r="W1" s="334" t="s">
        <v>26</v>
      </c>
      <c r="X1" s="334" t="s">
        <v>27</v>
      </c>
      <c r="Y1" s="773" t="s">
        <v>20</v>
      </c>
      <c r="Z1" s="774"/>
      <c r="AA1" s="774"/>
      <c r="AB1" s="775"/>
      <c r="AC1" s="773" t="s">
        <v>58</v>
      </c>
      <c r="AD1" s="774"/>
      <c r="AE1" s="774"/>
      <c r="AF1" s="775"/>
      <c r="AG1" s="773" t="s">
        <v>59</v>
      </c>
      <c r="AH1" s="774"/>
      <c r="AI1" s="774"/>
      <c r="AJ1" s="775"/>
      <c r="AK1" s="773" t="s">
        <v>60</v>
      </c>
      <c r="AL1" s="774"/>
      <c r="AM1" s="774"/>
      <c r="AN1" s="775"/>
    </row>
    <row r="2" spans="1:40" ht="14.95" customHeight="1" thickBot="1" x14ac:dyDescent="0.3">
      <c r="A2" s="335" t="s">
        <v>19</v>
      </c>
      <c r="B2" s="336" t="s">
        <v>18</v>
      </c>
      <c r="C2" s="337" t="s">
        <v>17</v>
      </c>
      <c r="D2" s="337" t="s">
        <v>39</v>
      </c>
      <c r="E2" s="338" t="s">
        <v>16</v>
      </c>
      <c r="F2" s="338" t="s">
        <v>4</v>
      </c>
      <c r="G2" s="338" t="s">
        <v>5</v>
      </c>
      <c r="H2" s="339" t="s">
        <v>12</v>
      </c>
      <c r="I2" s="339" t="s">
        <v>3</v>
      </c>
      <c r="J2" s="339" t="s">
        <v>12</v>
      </c>
      <c r="K2" s="339" t="s">
        <v>13</v>
      </c>
      <c r="L2" s="339" t="s">
        <v>2</v>
      </c>
      <c r="M2" s="339" t="s">
        <v>14</v>
      </c>
      <c r="N2" s="339" t="s">
        <v>15</v>
      </c>
      <c r="O2" s="339" t="s">
        <v>16</v>
      </c>
      <c r="P2" s="339" t="s">
        <v>21</v>
      </c>
      <c r="Q2" s="339" t="s">
        <v>22</v>
      </c>
      <c r="R2" s="339" t="s">
        <v>12</v>
      </c>
      <c r="S2" s="340"/>
      <c r="T2" s="341"/>
      <c r="U2" s="342"/>
      <c r="V2" s="340"/>
      <c r="W2" s="334"/>
      <c r="X2" s="343"/>
      <c r="Y2" s="344" t="s">
        <v>0</v>
      </c>
      <c r="Z2" s="344" t="s">
        <v>1</v>
      </c>
      <c r="AA2" s="344" t="s">
        <v>2</v>
      </c>
      <c r="AB2" s="344" t="s">
        <v>3</v>
      </c>
      <c r="AC2" s="344" t="s">
        <v>0</v>
      </c>
      <c r="AD2" s="344" t="s">
        <v>1</v>
      </c>
      <c r="AE2" s="344" t="s">
        <v>2</v>
      </c>
      <c r="AF2" s="344" t="s">
        <v>3</v>
      </c>
      <c r="AG2" s="344" t="s">
        <v>0</v>
      </c>
      <c r="AH2" s="344" t="s">
        <v>1</v>
      </c>
      <c r="AI2" s="344" t="s">
        <v>2</v>
      </c>
      <c r="AJ2" s="344" t="s">
        <v>3</v>
      </c>
      <c r="AK2" s="344" t="s">
        <v>0</v>
      </c>
      <c r="AL2" s="344" t="s">
        <v>1</v>
      </c>
      <c r="AM2" s="344" t="s">
        <v>2</v>
      </c>
      <c r="AN2" s="344" t="s">
        <v>3</v>
      </c>
    </row>
    <row r="3" spans="1:40" ht="29.25" thickBot="1" x14ac:dyDescent="0.3">
      <c r="A3" s="184">
        <v>44682</v>
      </c>
      <c r="B3" s="186" t="s">
        <v>246</v>
      </c>
      <c r="C3" s="186" t="s">
        <v>31</v>
      </c>
      <c r="D3" s="186" t="s">
        <v>247</v>
      </c>
      <c r="E3" s="187" t="s">
        <v>1</v>
      </c>
      <c r="F3" s="187">
        <v>28</v>
      </c>
      <c r="G3" s="187">
        <v>14</v>
      </c>
      <c r="H3" s="187" t="s">
        <v>72</v>
      </c>
      <c r="I3" s="187" t="s">
        <v>72</v>
      </c>
      <c r="J3" s="187">
        <v>4</v>
      </c>
      <c r="K3" s="187">
        <v>3</v>
      </c>
      <c r="L3" s="187">
        <v>0</v>
      </c>
      <c r="M3" s="187">
        <v>0</v>
      </c>
      <c r="N3" s="187">
        <v>0</v>
      </c>
      <c r="O3" s="187">
        <v>0</v>
      </c>
      <c r="P3" s="187" t="s">
        <v>72</v>
      </c>
      <c r="Q3" s="187" t="s">
        <v>72</v>
      </c>
      <c r="R3" s="187">
        <v>2</v>
      </c>
      <c r="S3" s="191"/>
      <c r="T3" s="331" t="s">
        <v>248</v>
      </c>
      <c r="U3" s="193" t="s">
        <v>249</v>
      </c>
      <c r="V3" s="191" t="s">
        <v>250</v>
      </c>
      <c r="W3" s="188" t="s">
        <v>251</v>
      </c>
      <c r="X3" s="194" t="s">
        <v>252</v>
      </c>
      <c r="Y3" s="189">
        <v>1</v>
      </c>
      <c r="Z3" s="189">
        <v>1</v>
      </c>
      <c r="AA3" s="189">
        <v>0</v>
      </c>
      <c r="AB3" s="190">
        <v>0</v>
      </c>
      <c r="AC3" s="189">
        <v>0</v>
      </c>
      <c r="AD3" s="189">
        <v>0</v>
      </c>
      <c r="AE3" s="189">
        <v>0</v>
      </c>
      <c r="AF3" s="190">
        <v>0</v>
      </c>
      <c r="AG3" s="189">
        <v>0</v>
      </c>
      <c r="AH3" s="189">
        <v>0</v>
      </c>
      <c r="AI3" s="189">
        <v>0</v>
      </c>
      <c r="AJ3" s="190">
        <v>0</v>
      </c>
      <c r="AK3" s="189">
        <v>1</v>
      </c>
      <c r="AL3" s="189">
        <v>1</v>
      </c>
      <c r="AM3" s="189">
        <v>0</v>
      </c>
      <c r="AN3" s="190">
        <v>0</v>
      </c>
    </row>
    <row r="4" spans="1:40" ht="29.25" thickBot="1" x14ac:dyDescent="0.3">
      <c r="A4" s="184">
        <v>44691</v>
      </c>
      <c r="B4" s="186" t="s">
        <v>246</v>
      </c>
      <c r="C4" s="186" t="s">
        <v>29</v>
      </c>
      <c r="D4" s="186" t="s">
        <v>247</v>
      </c>
      <c r="E4" s="187" t="s">
        <v>1</v>
      </c>
      <c r="F4" s="187">
        <v>12</v>
      </c>
      <c r="G4" s="187">
        <v>10</v>
      </c>
      <c r="H4" s="187" t="s">
        <v>72</v>
      </c>
      <c r="I4" s="187" t="s">
        <v>72</v>
      </c>
      <c r="J4" s="187">
        <v>2</v>
      </c>
      <c r="K4" s="187">
        <v>1</v>
      </c>
      <c r="L4" s="187">
        <v>0</v>
      </c>
      <c r="M4" s="187">
        <v>0</v>
      </c>
      <c r="N4" s="187">
        <v>0</v>
      </c>
      <c r="O4" s="187">
        <v>0</v>
      </c>
      <c r="P4" s="187" t="s">
        <v>72</v>
      </c>
      <c r="Q4" s="187" t="s">
        <v>72</v>
      </c>
      <c r="R4" s="187">
        <v>2</v>
      </c>
      <c r="S4" s="191"/>
      <c r="T4" s="331" t="s">
        <v>263</v>
      </c>
      <c r="U4" s="193" t="s">
        <v>207</v>
      </c>
      <c r="V4" s="191" t="s">
        <v>229</v>
      </c>
      <c r="W4" s="188" t="s">
        <v>214</v>
      </c>
      <c r="X4" s="194" t="s">
        <v>258</v>
      </c>
      <c r="Y4" s="189">
        <v>1</v>
      </c>
      <c r="Z4" s="189">
        <v>1</v>
      </c>
      <c r="AA4" s="189">
        <v>0</v>
      </c>
      <c r="AB4" s="190">
        <v>0</v>
      </c>
      <c r="AC4" s="189">
        <v>0</v>
      </c>
      <c r="AD4" s="189">
        <v>0</v>
      </c>
      <c r="AE4" s="189">
        <v>0</v>
      </c>
      <c r="AF4" s="190">
        <v>0</v>
      </c>
      <c r="AG4" s="189">
        <v>1</v>
      </c>
      <c r="AH4" s="189">
        <v>1</v>
      </c>
      <c r="AI4" s="189">
        <v>0</v>
      </c>
      <c r="AJ4" s="190">
        <v>0</v>
      </c>
      <c r="AK4" s="189">
        <v>0</v>
      </c>
      <c r="AL4" s="189">
        <v>0</v>
      </c>
      <c r="AM4" s="189">
        <v>0</v>
      </c>
      <c r="AN4" s="190">
        <v>0</v>
      </c>
    </row>
    <row r="5" spans="1:40" ht="14.95" thickBot="1" x14ac:dyDescent="0.3">
      <c r="A5" s="203">
        <v>44766</v>
      </c>
      <c r="B5" s="204" t="s">
        <v>246</v>
      </c>
      <c r="C5" s="204" t="s">
        <v>86</v>
      </c>
      <c r="D5" s="204" t="s">
        <v>314</v>
      </c>
      <c r="E5" s="205" t="s">
        <v>1</v>
      </c>
      <c r="F5" s="205">
        <v>15</v>
      </c>
      <c r="G5" s="205">
        <v>6</v>
      </c>
      <c r="H5" s="205" t="s">
        <v>72</v>
      </c>
      <c r="I5" s="205" t="s">
        <v>72</v>
      </c>
      <c r="J5" s="205">
        <v>2</v>
      </c>
      <c r="K5" s="205">
        <v>1</v>
      </c>
      <c r="L5" s="205">
        <v>0</v>
      </c>
      <c r="M5" s="205">
        <v>1</v>
      </c>
      <c r="N5" s="205">
        <v>0</v>
      </c>
      <c r="O5" s="205">
        <v>0</v>
      </c>
      <c r="P5" s="205" t="s">
        <v>72</v>
      </c>
      <c r="Q5" s="205" t="s">
        <v>72</v>
      </c>
      <c r="R5" s="205">
        <v>0</v>
      </c>
      <c r="S5" s="206"/>
      <c r="T5" s="216" t="s">
        <v>316</v>
      </c>
      <c r="U5" s="208" t="s">
        <v>214</v>
      </c>
      <c r="V5" s="206" t="s">
        <v>250</v>
      </c>
      <c r="W5" s="208" t="s">
        <v>317</v>
      </c>
      <c r="X5" s="209" t="s">
        <v>318</v>
      </c>
      <c r="Y5" s="211">
        <v>1</v>
      </c>
      <c r="Z5" s="211">
        <v>1</v>
      </c>
      <c r="AA5" s="211">
        <v>0</v>
      </c>
      <c r="AB5" s="212">
        <v>0</v>
      </c>
      <c r="AC5" s="211">
        <v>1</v>
      </c>
      <c r="AD5" s="211">
        <v>1</v>
      </c>
      <c r="AE5" s="211">
        <v>0</v>
      </c>
      <c r="AF5" s="212">
        <v>0</v>
      </c>
      <c r="AG5" s="211">
        <v>0</v>
      </c>
      <c r="AH5" s="211">
        <v>0</v>
      </c>
      <c r="AI5" s="211">
        <v>0</v>
      </c>
      <c r="AJ5" s="212">
        <v>0</v>
      </c>
      <c r="AK5" s="211">
        <v>0</v>
      </c>
      <c r="AL5" s="211">
        <v>0</v>
      </c>
      <c r="AM5" s="211">
        <v>0</v>
      </c>
      <c r="AN5" s="212">
        <v>0</v>
      </c>
    </row>
    <row r="6" spans="1:40" ht="14.95" thickBot="1" x14ac:dyDescent="0.3">
      <c r="A6" s="203">
        <v>44772</v>
      </c>
      <c r="B6" s="204" t="s">
        <v>246</v>
      </c>
      <c r="C6" s="204" t="s">
        <v>86</v>
      </c>
      <c r="D6" s="204" t="s">
        <v>327</v>
      </c>
      <c r="E6" s="205" t="s">
        <v>3</v>
      </c>
      <c r="F6" s="205">
        <v>10</v>
      </c>
      <c r="G6" s="205">
        <v>20</v>
      </c>
      <c r="H6" s="205" t="s">
        <v>72</v>
      </c>
      <c r="I6" s="205" t="s">
        <v>72</v>
      </c>
      <c r="J6" s="205">
        <v>2</v>
      </c>
      <c r="K6" s="205">
        <v>0</v>
      </c>
      <c r="L6" s="205">
        <v>0</v>
      </c>
      <c r="M6" s="205">
        <v>0</v>
      </c>
      <c r="N6" s="205">
        <v>0</v>
      </c>
      <c r="O6" s="205">
        <v>0</v>
      </c>
      <c r="P6" s="205" t="s">
        <v>72</v>
      </c>
      <c r="Q6" s="205" t="s">
        <v>72</v>
      </c>
      <c r="R6" s="205">
        <v>3</v>
      </c>
      <c r="S6" s="206"/>
      <c r="T6" s="207" t="s">
        <v>328</v>
      </c>
      <c r="U6" s="208" t="s">
        <v>207</v>
      </c>
      <c r="V6" s="206" t="s">
        <v>250</v>
      </c>
      <c r="W6" s="209" t="s">
        <v>317</v>
      </c>
      <c r="X6" s="210" t="s">
        <v>318</v>
      </c>
      <c r="Y6" s="211">
        <v>1</v>
      </c>
      <c r="Z6" s="211">
        <v>0</v>
      </c>
      <c r="AA6" s="211">
        <v>0</v>
      </c>
      <c r="AB6" s="212">
        <v>1</v>
      </c>
      <c r="AC6" s="211">
        <v>1</v>
      </c>
      <c r="AD6" s="211">
        <v>0</v>
      </c>
      <c r="AE6" s="211">
        <v>0</v>
      </c>
      <c r="AF6" s="212">
        <v>1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</row>
    <row r="7" spans="1:40" ht="14.95" thickBot="1" x14ac:dyDescent="0.3">
      <c r="A7" s="203">
        <v>44793</v>
      </c>
      <c r="B7" s="204" t="s">
        <v>246</v>
      </c>
      <c r="C7" s="204" t="s">
        <v>37</v>
      </c>
      <c r="D7" s="204" t="s">
        <v>351</v>
      </c>
      <c r="E7" s="205" t="s">
        <v>3</v>
      </c>
      <c r="F7" s="205">
        <v>22</v>
      </c>
      <c r="G7" s="205">
        <v>57</v>
      </c>
      <c r="H7" s="205" t="s">
        <v>72</v>
      </c>
      <c r="I7" s="205" t="s">
        <v>72</v>
      </c>
      <c r="J7" s="205">
        <v>3</v>
      </c>
      <c r="K7" s="205">
        <v>2</v>
      </c>
      <c r="L7" s="205">
        <v>0</v>
      </c>
      <c r="M7" s="205">
        <v>1</v>
      </c>
      <c r="N7" s="205">
        <v>1</v>
      </c>
      <c r="O7" s="205">
        <v>0</v>
      </c>
      <c r="P7" s="205" t="s">
        <v>72</v>
      </c>
      <c r="Q7" s="205" t="s">
        <v>72</v>
      </c>
      <c r="R7" s="205">
        <v>9</v>
      </c>
      <c r="S7" s="206"/>
      <c r="T7" s="207" t="s">
        <v>353</v>
      </c>
      <c r="U7" s="208" t="s">
        <v>211</v>
      </c>
      <c r="V7" s="206" t="s">
        <v>250</v>
      </c>
      <c r="W7" s="209" t="s">
        <v>354</v>
      </c>
      <c r="X7" s="210" t="s">
        <v>343</v>
      </c>
      <c r="Y7" s="211">
        <v>1</v>
      </c>
      <c r="Z7" s="211">
        <v>0</v>
      </c>
      <c r="AA7" s="211">
        <v>0</v>
      </c>
      <c r="AB7" s="212">
        <v>1</v>
      </c>
      <c r="AC7" s="211">
        <v>1</v>
      </c>
      <c r="AD7" s="211">
        <v>0</v>
      </c>
      <c r="AE7" s="211">
        <v>0</v>
      </c>
      <c r="AF7" s="212">
        <v>1</v>
      </c>
      <c r="AG7" s="211">
        <v>0</v>
      </c>
      <c r="AH7" s="211">
        <v>0</v>
      </c>
      <c r="AI7" s="211">
        <v>0</v>
      </c>
      <c r="AJ7" s="212">
        <v>0</v>
      </c>
      <c r="AK7" s="211">
        <v>0</v>
      </c>
      <c r="AL7" s="211">
        <v>0</v>
      </c>
      <c r="AM7" s="211">
        <v>0</v>
      </c>
      <c r="AN7" s="212">
        <v>0</v>
      </c>
    </row>
    <row r="8" spans="1:40" ht="17" thickBot="1" x14ac:dyDescent="0.35">
      <c r="A8" s="203">
        <v>44800</v>
      </c>
      <c r="B8" s="204" t="s">
        <v>246</v>
      </c>
      <c r="C8" s="204" t="s">
        <v>37</v>
      </c>
      <c r="D8" s="204" t="s">
        <v>367</v>
      </c>
      <c r="E8" s="205" t="s">
        <v>1</v>
      </c>
      <c r="F8" s="205">
        <v>29</v>
      </c>
      <c r="G8" s="205">
        <v>10</v>
      </c>
      <c r="H8" s="205" t="s">
        <v>72</v>
      </c>
      <c r="I8" s="205" t="s">
        <v>72</v>
      </c>
      <c r="J8" s="205">
        <v>5</v>
      </c>
      <c r="K8" s="205">
        <v>2</v>
      </c>
      <c r="L8" s="205">
        <v>0</v>
      </c>
      <c r="M8" s="205">
        <v>0</v>
      </c>
      <c r="N8" s="205">
        <v>0</v>
      </c>
      <c r="O8" s="205">
        <v>0</v>
      </c>
      <c r="P8" s="205" t="s">
        <v>72</v>
      </c>
      <c r="Q8" s="205" t="s">
        <v>72</v>
      </c>
      <c r="R8" s="205">
        <v>2</v>
      </c>
      <c r="S8" s="206"/>
      <c r="T8" s="215" t="s">
        <v>329</v>
      </c>
      <c r="U8" s="208" t="s">
        <v>211</v>
      </c>
      <c r="V8" s="206" t="s">
        <v>250</v>
      </c>
      <c r="W8" s="209" t="s">
        <v>354</v>
      </c>
      <c r="X8" s="210" t="s">
        <v>343</v>
      </c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customHeight="1" thickBot="1" x14ac:dyDescent="0.3">
      <c r="A9" s="184">
        <v>44828</v>
      </c>
      <c r="B9" s="186" t="s">
        <v>246</v>
      </c>
      <c r="C9" s="186" t="s">
        <v>77</v>
      </c>
      <c r="D9" s="186" t="s">
        <v>144</v>
      </c>
      <c r="E9" s="187" t="s">
        <v>3</v>
      </c>
      <c r="F9" s="187">
        <v>12</v>
      </c>
      <c r="G9" s="187">
        <v>95</v>
      </c>
      <c r="H9" s="187" t="s">
        <v>72</v>
      </c>
      <c r="I9" s="187" t="s">
        <v>72</v>
      </c>
      <c r="J9" s="187">
        <v>2</v>
      </c>
      <c r="K9" s="187">
        <v>1</v>
      </c>
      <c r="L9" s="187">
        <v>0</v>
      </c>
      <c r="M9" s="187">
        <v>0</v>
      </c>
      <c r="N9" s="187">
        <v>0</v>
      </c>
      <c r="O9" s="187">
        <v>0</v>
      </c>
      <c r="P9" s="187" t="s">
        <v>72</v>
      </c>
      <c r="Q9" s="187" t="s">
        <v>72</v>
      </c>
      <c r="R9" s="187">
        <v>15</v>
      </c>
      <c r="S9" s="191"/>
      <c r="T9" s="195" t="s">
        <v>413</v>
      </c>
      <c r="U9" s="193" t="s">
        <v>207</v>
      </c>
      <c r="V9" s="191"/>
      <c r="W9" s="191"/>
      <c r="X9" s="194"/>
      <c r="Y9" s="189">
        <v>1</v>
      </c>
      <c r="Z9" s="189">
        <v>0</v>
      </c>
      <c r="AA9" s="189">
        <v>0</v>
      </c>
      <c r="AB9" s="190">
        <v>1</v>
      </c>
      <c r="AC9" s="189">
        <v>0</v>
      </c>
      <c r="AD9" s="189">
        <v>0</v>
      </c>
      <c r="AE9" s="189">
        <v>0</v>
      </c>
      <c r="AF9" s="190">
        <v>0</v>
      </c>
      <c r="AG9" s="189">
        <v>1</v>
      </c>
      <c r="AH9" s="189">
        <v>0</v>
      </c>
      <c r="AI9" s="189">
        <v>0</v>
      </c>
      <c r="AJ9" s="190">
        <v>1</v>
      </c>
      <c r="AK9" s="189">
        <v>0</v>
      </c>
      <c r="AL9" s="189">
        <v>0</v>
      </c>
      <c r="AM9" s="189">
        <v>0</v>
      </c>
      <c r="AN9" s="190">
        <v>0</v>
      </c>
    </row>
    <row r="10" spans="1:40" ht="14.95" thickBot="1" x14ac:dyDescent="0.3">
      <c r="A10" s="226">
        <v>44843</v>
      </c>
      <c r="B10" s="227" t="s">
        <v>139</v>
      </c>
      <c r="C10" s="227" t="s">
        <v>38</v>
      </c>
      <c r="D10" s="227" t="s">
        <v>140</v>
      </c>
      <c r="E10" s="223" t="s">
        <v>3</v>
      </c>
      <c r="F10" s="223">
        <v>5</v>
      </c>
      <c r="G10" s="223">
        <v>41</v>
      </c>
      <c r="H10" s="223">
        <v>0</v>
      </c>
      <c r="I10" s="223">
        <v>0</v>
      </c>
      <c r="J10" s="223">
        <v>1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1</v>
      </c>
      <c r="Q10" s="223">
        <v>0</v>
      </c>
      <c r="R10" s="223">
        <v>7</v>
      </c>
      <c r="S10" s="228"/>
      <c r="T10" s="240" t="s">
        <v>484</v>
      </c>
      <c r="U10" s="229" t="s">
        <v>147</v>
      </c>
      <c r="V10" s="228" t="s">
        <v>229</v>
      </c>
      <c r="W10" s="228" t="s">
        <v>214</v>
      </c>
      <c r="X10" s="622" t="s">
        <v>182</v>
      </c>
      <c r="Y10" s="155">
        <v>1</v>
      </c>
      <c r="Z10" s="155">
        <v>0</v>
      </c>
      <c r="AA10" s="155">
        <v>0</v>
      </c>
      <c r="AB10" s="224">
        <v>1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0</v>
      </c>
      <c r="AM10" s="155">
        <v>0</v>
      </c>
      <c r="AN10" s="224">
        <v>1</v>
      </c>
    </row>
    <row r="11" spans="1:40" ht="17" thickBot="1" x14ac:dyDescent="0.35">
      <c r="A11" s="226">
        <v>44849</v>
      </c>
      <c r="B11" s="227" t="s">
        <v>139</v>
      </c>
      <c r="C11" s="227" t="s">
        <v>57</v>
      </c>
      <c r="D11" s="227" t="s">
        <v>140</v>
      </c>
      <c r="E11" s="223" t="s">
        <v>3</v>
      </c>
      <c r="F11" s="223">
        <v>17</v>
      </c>
      <c r="G11" s="223">
        <v>30</v>
      </c>
      <c r="H11" s="223">
        <v>0</v>
      </c>
      <c r="I11" s="223">
        <v>0</v>
      </c>
      <c r="J11" s="223">
        <v>3</v>
      </c>
      <c r="K11" s="223">
        <v>1</v>
      </c>
      <c r="L11" s="223">
        <v>0</v>
      </c>
      <c r="M11" s="223">
        <v>0</v>
      </c>
      <c r="N11" s="223">
        <v>1</v>
      </c>
      <c r="O11" s="223">
        <v>0</v>
      </c>
      <c r="P11" s="223">
        <v>1</v>
      </c>
      <c r="Q11" s="223">
        <v>0</v>
      </c>
      <c r="R11" s="223">
        <v>4</v>
      </c>
      <c r="S11" s="228"/>
      <c r="T11" s="396" t="s">
        <v>500</v>
      </c>
      <c r="U11" s="229" t="s">
        <v>214</v>
      </c>
      <c r="V11" s="228" t="s">
        <v>117</v>
      </c>
      <c r="W11" s="228" t="s">
        <v>501</v>
      </c>
      <c r="X11" s="627" t="s">
        <v>209</v>
      </c>
      <c r="Y11" s="155">
        <v>1</v>
      </c>
      <c r="Z11" s="155">
        <v>0</v>
      </c>
      <c r="AA11" s="155">
        <v>0</v>
      </c>
      <c r="AB11" s="224">
        <v>1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0</v>
      </c>
      <c r="AM11" s="155">
        <v>0</v>
      </c>
      <c r="AN11" s="224">
        <v>1</v>
      </c>
    </row>
    <row r="12" spans="1:40" ht="14.95" thickBot="1" x14ac:dyDescent="0.3">
      <c r="A12" s="226">
        <v>44857</v>
      </c>
      <c r="B12" s="227" t="s">
        <v>139</v>
      </c>
      <c r="C12" s="227" t="s">
        <v>33</v>
      </c>
      <c r="D12" s="227" t="s">
        <v>79</v>
      </c>
      <c r="E12" s="223" t="s">
        <v>3</v>
      </c>
      <c r="F12" s="223">
        <v>8</v>
      </c>
      <c r="G12" s="223">
        <v>21</v>
      </c>
      <c r="H12" s="223">
        <v>0</v>
      </c>
      <c r="I12" s="223">
        <v>0</v>
      </c>
      <c r="J12" s="223">
        <v>1</v>
      </c>
      <c r="K12" s="223">
        <v>0</v>
      </c>
      <c r="L12" s="223">
        <v>0</v>
      </c>
      <c r="M12" s="223">
        <v>1</v>
      </c>
      <c r="N12" s="223">
        <v>1</v>
      </c>
      <c r="O12" s="223">
        <v>0</v>
      </c>
      <c r="P12" s="223">
        <v>0</v>
      </c>
      <c r="Q12" s="223">
        <v>0</v>
      </c>
      <c r="R12" s="223">
        <v>2</v>
      </c>
      <c r="S12" s="290"/>
      <c r="T12" s="240" t="s">
        <v>237</v>
      </c>
      <c r="U12" s="229" t="s">
        <v>207</v>
      </c>
      <c r="V12" s="630" t="s">
        <v>198</v>
      </c>
      <c r="W12" s="228" t="s">
        <v>159</v>
      </c>
      <c r="X12" s="255" t="s">
        <v>258</v>
      </c>
      <c r="Y12" s="155">
        <v>1</v>
      </c>
      <c r="Z12" s="155">
        <v>0</v>
      </c>
      <c r="AA12" s="155">
        <v>0</v>
      </c>
      <c r="AB12" s="224">
        <v>1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0</v>
      </c>
      <c r="AM12" s="155">
        <v>0</v>
      </c>
      <c r="AN12" s="224">
        <v>1</v>
      </c>
    </row>
    <row r="13" spans="1:40" ht="17" thickBot="1" x14ac:dyDescent="0.35">
      <c r="A13" s="226" t="s">
        <v>55</v>
      </c>
      <c r="B13" s="227" t="s">
        <v>55</v>
      </c>
      <c r="C13" s="227"/>
      <c r="D13" s="227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90"/>
      <c r="T13" s="231"/>
      <c r="U13" s="229"/>
      <c r="V13" s="228"/>
      <c r="W13" s="229"/>
      <c r="X13" s="228"/>
      <c r="Y13" s="155"/>
      <c r="Z13" s="155"/>
      <c r="AA13" s="155"/>
      <c r="AB13" s="224"/>
      <c r="AC13" s="155"/>
      <c r="AD13" s="155"/>
      <c r="AE13" s="155"/>
      <c r="AF13" s="224"/>
      <c r="AG13" s="155"/>
      <c r="AH13" s="155"/>
      <c r="AI13" s="155"/>
      <c r="AJ13" s="224"/>
      <c r="AK13" s="155"/>
      <c r="AL13" s="155"/>
      <c r="AM13" s="155"/>
      <c r="AN13" s="224"/>
    </row>
    <row r="14" spans="1:40" ht="17" thickBot="1" x14ac:dyDescent="0.35">
      <c r="A14" s="226" t="s">
        <v>55</v>
      </c>
      <c r="B14" s="227" t="s">
        <v>55</v>
      </c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7" thickBot="1" x14ac:dyDescent="0.35">
      <c r="A15" s="226" t="s">
        <v>55</v>
      </c>
      <c r="B15" s="227" t="s">
        <v>55</v>
      </c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0" ht="14.95" thickBot="1" x14ac:dyDescent="0.3">
      <c r="A16" s="123"/>
      <c r="B16" s="124"/>
      <c r="C16" s="692" t="s">
        <v>83</v>
      </c>
      <c r="D16" s="693"/>
      <c r="E16" s="694"/>
      <c r="F16" s="122">
        <f>SUM(F3:F11)</f>
        <v>150</v>
      </c>
      <c r="G16" s="122">
        <f>SUM(G3:G11)</f>
        <v>283</v>
      </c>
      <c r="H16" s="122">
        <f t="shared" ref="H16:Q16" si="0">SUM(H3:H9)</f>
        <v>0</v>
      </c>
      <c r="I16" s="122">
        <f t="shared" si="0"/>
        <v>0</v>
      </c>
      <c r="J16" s="122">
        <f t="shared" ref="J16:O16" si="1">SUM(J3:J11)</f>
        <v>24</v>
      </c>
      <c r="K16" s="122">
        <f t="shared" si="1"/>
        <v>11</v>
      </c>
      <c r="L16" s="122">
        <f t="shared" si="1"/>
        <v>0</v>
      </c>
      <c r="M16" s="122">
        <f t="shared" si="1"/>
        <v>2</v>
      </c>
      <c r="N16" s="122">
        <f t="shared" si="1"/>
        <v>2</v>
      </c>
      <c r="O16" s="122">
        <f t="shared" si="1"/>
        <v>0</v>
      </c>
      <c r="P16" s="122">
        <f t="shared" si="0"/>
        <v>0</v>
      </c>
      <c r="Q16" s="122">
        <f t="shared" si="0"/>
        <v>0</v>
      </c>
      <c r="R16" s="122">
        <f>SUM(R3:R11)</f>
        <v>44</v>
      </c>
      <c r="S16" s="76"/>
      <c r="T16" s="76"/>
      <c r="U16" s="76"/>
      <c r="V16" s="76"/>
      <c r="W16" s="119"/>
      <c r="X16" s="158" t="s">
        <v>83</v>
      </c>
      <c r="Y16" s="122">
        <f t="shared" ref="Y16:AN16" si="2">SUM(Y3:Y11)</f>
        <v>9</v>
      </c>
      <c r="Z16" s="122">
        <f t="shared" si="2"/>
        <v>4</v>
      </c>
      <c r="AA16" s="122">
        <f t="shared" si="2"/>
        <v>0</v>
      </c>
      <c r="AB16" s="122">
        <f t="shared" si="2"/>
        <v>5</v>
      </c>
      <c r="AC16" s="120">
        <f t="shared" si="2"/>
        <v>4</v>
      </c>
      <c r="AD16" s="120">
        <f t="shared" si="2"/>
        <v>2</v>
      </c>
      <c r="AE16" s="120">
        <f t="shared" si="2"/>
        <v>0</v>
      </c>
      <c r="AF16" s="120">
        <f t="shared" si="2"/>
        <v>2</v>
      </c>
      <c r="AG16" s="121">
        <f t="shared" si="2"/>
        <v>2</v>
      </c>
      <c r="AH16" s="121">
        <f t="shared" si="2"/>
        <v>1</v>
      </c>
      <c r="AI16" s="121">
        <f t="shared" si="2"/>
        <v>0</v>
      </c>
      <c r="AJ16" s="121">
        <f t="shared" si="2"/>
        <v>1</v>
      </c>
      <c r="AK16" s="122">
        <f t="shared" si="2"/>
        <v>3</v>
      </c>
      <c r="AL16" s="122">
        <f t="shared" si="2"/>
        <v>1</v>
      </c>
      <c r="AM16" s="122">
        <f t="shared" si="2"/>
        <v>0</v>
      </c>
      <c r="AN16" s="122">
        <f t="shared" si="2"/>
        <v>2</v>
      </c>
    </row>
    <row r="17" spans="1:40" ht="14.95" thickBot="1" x14ac:dyDescent="0.3">
      <c r="A17" s="123"/>
      <c r="B17" s="124"/>
      <c r="C17" s="679" t="s">
        <v>467</v>
      </c>
      <c r="D17" s="680"/>
      <c r="E17" s="681"/>
      <c r="F17" s="414">
        <f>SUM(F10:F12)</f>
        <v>30</v>
      </c>
      <c r="G17" s="414">
        <f t="shared" ref="G17:R17" si="3">SUM(G10:G12)</f>
        <v>92</v>
      </c>
      <c r="H17" s="414">
        <f t="shared" si="3"/>
        <v>0</v>
      </c>
      <c r="I17" s="414">
        <f t="shared" si="3"/>
        <v>0</v>
      </c>
      <c r="J17" s="414">
        <f t="shared" si="3"/>
        <v>5</v>
      </c>
      <c r="K17" s="414">
        <f t="shared" si="3"/>
        <v>1</v>
      </c>
      <c r="L17" s="414">
        <f t="shared" si="3"/>
        <v>0</v>
      </c>
      <c r="M17" s="414">
        <f t="shared" si="3"/>
        <v>1</v>
      </c>
      <c r="N17" s="414">
        <f t="shared" si="3"/>
        <v>2</v>
      </c>
      <c r="O17" s="414">
        <f t="shared" si="3"/>
        <v>0</v>
      </c>
      <c r="P17" s="414">
        <f t="shared" si="3"/>
        <v>2</v>
      </c>
      <c r="Q17" s="414">
        <f t="shared" si="3"/>
        <v>0</v>
      </c>
      <c r="R17" s="414">
        <f t="shared" si="3"/>
        <v>13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4">SUM(Y10:Y12)</f>
        <v>3</v>
      </c>
      <c r="Z17" s="414">
        <f t="shared" si="4"/>
        <v>0</v>
      </c>
      <c r="AA17" s="414">
        <f t="shared" si="4"/>
        <v>0</v>
      </c>
      <c r="AB17" s="414">
        <f t="shared" si="4"/>
        <v>3</v>
      </c>
      <c r="AC17" s="418">
        <f t="shared" si="4"/>
        <v>0</v>
      </c>
      <c r="AD17" s="418">
        <f t="shared" si="4"/>
        <v>0</v>
      </c>
      <c r="AE17" s="418">
        <f t="shared" si="4"/>
        <v>0</v>
      </c>
      <c r="AF17" s="418">
        <f t="shared" si="4"/>
        <v>0</v>
      </c>
      <c r="AG17" s="419">
        <f t="shared" si="4"/>
        <v>0</v>
      </c>
      <c r="AH17" s="419">
        <f t="shared" si="4"/>
        <v>0</v>
      </c>
      <c r="AI17" s="419">
        <f t="shared" si="4"/>
        <v>0</v>
      </c>
      <c r="AJ17" s="419">
        <f t="shared" si="4"/>
        <v>0</v>
      </c>
      <c r="AK17" s="414">
        <f t="shared" si="4"/>
        <v>3</v>
      </c>
      <c r="AL17" s="414">
        <f t="shared" si="4"/>
        <v>0</v>
      </c>
      <c r="AM17" s="414">
        <f t="shared" si="4"/>
        <v>0</v>
      </c>
      <c r="AN17" s="414">
        <f t="shared" si="4"/>
        <v>3</v>
      </c>
    </row>
    <row r="18" spans="1:40" ht="14.95" thickBot="1" x14ac:dyDescent="0.3">
      <c r="A18" s="123"/>
      <c r="B18" s="124"/>
      <c r="C18" s="679" t="s">
        <v>468</v>
      </c>
      <c r="D18" s="680"/>
      <c r="E18" s="681"/>
      <c r="F18" s="414">
        <f>SUM(F13:F15)</f>
        <v>0</v>
      </c>
      <c r="G18" s="414">
        <f>SUM(G13:G15)</f>
        <v>0</v>
      </c>
      <c r="H18" s="414">
        <v>0</v>
      </c>
      <c r="I18" s="414">
        <v>0</v>
      </c>
      <c r="J18" s="414">
        <f t="shared" ref="J18:O18" si="5">SUM(J13:J15)</f>
        <v>0</v>
      </c>
      <c r="K18" s="414">
        <f t="shared" si="5"/>
        <v>0</v>
      </c>
      <c r="L18" s="414">
        <f t="shared" si="5"/>
        <v>0</v>
      </c>
      <c r="M18" s="414">
        <f t="shared" si="5"/>
        <v>0</v>
      </c>
      <c r="N18" s="414">
        <f t="shared" si="5"/>
        <v>0</v>
      </c>
      <c r="O18" s="414">
        <f t="shared" si="5"/>
        <v>0</v>
      </c>
      <c r="P18" s="414">
        <v>0</v>
      </c>
      <c r="Q18" s="414">
        <v>0</v>
      </c>
      <c r="R18" s="414">
        <f>SUM(R13:R15)</f>
        <v>0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6">SUM(Y13:Y15)</f>
        <v>0</v>
      </c>
      <c r="Z18" s="414">
        <f t="shared" si="6"/>
        <v>0</v>
      </c>
      <c r="AA18" s="414">
        <f t="shared" si="6"/>
        <v>0</v>
      </c>
      <c r="AB18" s="414">
        <f t="shared" si="6"/>
        <v>0</v>
      </c>
      <c r="AC18" s="418">
        <f t="shared" si="6"/>
        <v>0</v>
      </c>
      <c r="AD18" s="418">
        <f t="shared" si="6"/>
        <v>0</v>
      </c>
      <c r="AE18" s="418">
        <f t="shared" si="6"/>
        <v>0</v>
      </c>
      <c r="AF18" s="418">
        <f t="shared" si="6"/>
        <v>0</v>
      </c>
      <c r="AG18" s="419">
        <f t="shared" si="6"/>
        <v>0</v>
      </c>
      <c r="AH18" s="419">
        <f t="shared" si="6"/>
        <v>0</v>
      </c>
      <c r="AI18" s="419">
        <f t="shared" si="6"/>
        <v>0</v>
      </c>
      <c r="AJ18" s="419">
        <f t="shared" si="6"/>
        <v>0</v>
      </c>
      <c r="AK18" s="414">
        <f t="shared" si="6"/>
        <v>0</v>
      </c>
      <c r="AL18" s="414">
        <f t="shared" si="6"/>
        <v>0</v>
      </c>
      <c r="AM18" s="414">
        <f t="shared" si="6"/>
        <v>0</v>
      </c>
      <c r="AN18" s="414">
        <f t="shared" si="6"/>
        <v>0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30</v>
      </c>
      <c r="G19" s="414">
        <f t="shared" ref="G19:R19" si="7">SUM(G17+G18)</f>
        <v>92</v>
      </c>
      <c r="H19" s="414">
        <f t="shared" si="7"/>
        <v>0</v>
      </c>
      <c r="I19" s="414">
        <f t="shared" si="7"/>
        <v>0</v>
      </c>
      <c r="J19" s="414">
        <f t="shared" si="7"/>
        <v>5</v>
      </c>
      <c r="K19" s="414">
        <f t="shared" si="7"/>
        <v>1</v>
      </c>
      <c r="L19" s="414">
        <f t="shared" si="7"/>
        <v>0</v>
      </c>
      <c r="M19" s="414">
        <f t="shared" si="7"/>
        <v>1</v>
      </c>
      <c r="N19" s="414">
        <f t="shared" si="7"/>
        <v>2</v>
      </c>
      <c r="O19" s="414">
        <f t="shared" si="7"/>
        <v>0</v>
      </c>
      <c r="P19" s="414">
        <f t="shared" si="7"/>
        <v>2</v>
      </c>
      <c r="Q19" s="414">
        <f t="shared" si="7"/>
        <v>0</v>
      </c>
      <c r="R19" s="414">
        <f t="shared" si="7"/>
        <v>13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8">SUM(Y17+Y18)</f>
        <v>3</v>
      </c>
      <c r="Z19" s="414">
        <f t="shared" si="8"/>
        <v>0</v>
      </c>
      <c r="AA19" s="414">
        <f t="shared" si="8"/>
        <v>0</v>
      </c>
      <c r="AB19" s="414">
        <f t="shared" si="8"/>
        <v>3</v>
      </c>
      <c r="AC19" s="418">
        <f t="shared" si="8"/>
        <v>0</v>
      </c>
      <c r="AD19" s="418">
        <f t="shared" si="8"/>
        <v>0</v>
      </c>
      <c r="AE19" s="418">
        <f t="shared" si="8"/>
        <v>0</v>
      </c>
      <c r="AF19" s="418">
        <f t="shared" si="8"/>
        <v>0</v>
      </c>
      <c r="AG19" s="419">
        <f t="shared" si="8"/>
        <v>0</v>
      </c>
      <c r="AH19" s="419">
        <f t="shared" si="8"/>
        <v>0</v>
      </c>
      <c r="AI19" s="419">
        <f t="shared" si="8"/>
        <v>0</v>
      </c>
      <c r="AJ19" s="419">
        <f t="shared" si="8"/>
        <v>0</v>
      </c>
      <c r="AK19" s="414">
        <f t="shared" si="8"/>
        <v>3</v>
      </c>
      <c r="AL19" s="414">
        <f t="shared" si="8"/>
        <v>0</v>
      </c>
      <c r="AM19" s="414">
        <f t="shared" si="8"/>
        <v>0</v>
      </c>
      <c r="AN19" s="414">
        <f t="shared" si="8"/>
        <v>3</v>
      </c>
    </row>
    <row r="20" spans="1:40" ht="14.95" thickBot="1" x14ac:dyDescent="0.3">
      <c r="A20" s="123"/>
      <c r="B20" s="124"/>
      <c r="C20" s="682" t="s">
        <v>73</v>
      </c>
      <c r="D20" s="683"/>
      <c r="E20" s="684"/>
      <c r="F20" s="150">
        <f t="shared" ref="F20:R20" si="9">SUM(F3:F15)</f>
        <v>158</v>
      </c>
      <c r="G20" s="150">
        <f t="shared" si="9"/>
        <v>304</v>
      </c>
      <c r="H20" s="150">
        <f t="shared" si="9"/>
        <v>0</v>
      </c>
      <c r="I20" s="150">
        <f t="shared" si="9"/>
        <v>0</v>
      </c>
      <c r="J20" s="150">
        <f t="shared" si="9"/>
        <v>25</v>
      </c>
      <c r="K20" s="150">
        <f t="shared" si="9"/>
        <v>11</v>
      </c>
      <c r="L20" s="150">
        <f t="shared" si="9"/>
        <v>0</v>
      </c>
      <c r="M20" s="150">
        <f t="shared" si="9"/>
        <v>3</v>
      </c>
      <c r="N20" s="150">
        <f t="shared" si="9"/>
        <v>3</v>
      </c>
      <c r="O20" s="150">
        <f t="shared" si="9"/>
        <v>0</v>
      </c>
      <c r="P20" s="150">
        <f t="shared" si="9"/>
        <v>2</v>
      </c>
      <c r="Q20" s="150">
        <f t="shared" si="9"/>
        <v>0</v>
      </c>
      <c r="R20" s="150">
        <f t="shared" si="9"/>
        <v>46</v>
      </c>
      <c r="S20" s="237"/>
      <c r="T20" s="237"/>
      <c r="U20" s="237"/>
      <c r="V20" s="237"/>
      <c r="W20" s="12"/>
      <c r="X20" s="155" t="s">
        <v>73</v>
      </c>
      <c r="Y20" s="150">
        <f t="shared" ref="Y20:AN20" si="10">SUM(Y3:Y15)</f>
        <v>10</v>
      </c>
      <c r="Z20" s="150">
        <f t="shared" si="10"/>
        <v>4</v>
      </c>
      <c r="AA20" s="150">
        <f t="shared" si="10"/>
        <v>0</v>
      </c>
      <c r="AB20" s="150">
        <f t="shared" si="10"/>
        <v>6</v>
      </c>
      <c r="AC20" s="148">
        <f t="shared" si="10"/>
        <v>4</v>
      </c>
      <c r="AD20" s="148">
        <f t="shared" si="10"/>
        <v>2</v>
      </c>
      <c r="AE20" s="148">
        <f t="shared" si="10"/>
        <v>0</v>
      </c>
      <c r="AF20" s="148">
        <f t="shared" si="10"/>
        <v>2</v>
      </c>
      <c r="AG20" s="149">
        <f t="shared" si="10"/>
        <v>2</v>
      </c>
      <c r="AH20" s="149">
        <f t="shared" si="10"/>
        <v>1</v>
      </c>
      <c r="AI20" s="149">
        <f t="shared" si="10"/>
        <v>0</v>
      </c>
      <c r="AJ20" s="149">
        <f t="shared" si="10"/>
        <v>1</v>
      </c>
      <c r="AK20" s="150">
        <f t="shared" si="10"/>
        <v>4</v>
      </c>
      <c r="AL20" s="150">
        <f t="shared" si="10"/>
        <v>1</v>
      </c>
      <c r="AM20" s="150">
        <f t="shared" si="10"/>
        <v>0</v>
      </c>
      <c r="AN20" s="150">
        <f t="shared" si="10"/>
        <v>3</v>
      </c>
    </row>
    <row r="21" spans="1:40" x14ac:dyDescent="0.25">
      <c r="A21" s="685" t="s">
        <v>244</v>
      </c>
      <c r="B21" s="637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</row>
    <row r="22" spans="1:40" x14ac:dyDescent="0.25">
      <c r="A22" s="258" t="s">
        <v>315</v>
      </c>
    </row>
    <row r="23" spans="1:40" x14ac:dyDescent="0.25">
      <c r="A23" t="s">
        <v>352</v>
      </c>
    </row>
    <row r="24" spans="1:40" x14ac:dyDescent="0.25">
      <c r="A24" t="s">
        <v>410</v>
      </c>
    </row>
    <row r="25" spans="1:40" x14ac:dyDescent="0.25">
      <c r="A25" t="s">
        <v>143</v>
      </c>
    </row>
    <row r="27" spans="1:40" x14ac:dyDescent="0.25">
      <c r="A27" t="s">
        <v>253</v>
      </c>
    </row>
    <row r="28" spans="1:40" x14ac:dyDescent="0.25">
      <c r="A28" s="238"/>
      <c r="B28" s="76" t="s">
        <v>42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</row>
    <row r="29" spans="1:40" x14ac:dyDescent="0.25">
      <c r="A29" s="140"/>
      <c r="B29" s="76" t="s">
        <v>40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x14ac:dyDescent="0.25">
      <c r="A30" s="239"/>
      <c r="B30" s="76" t="s">
        <v>41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x14ac:dyDescent="0.25">
      <c r="A31" s="258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</sheetData>
  <mergeCells count="16">
    <mergeCell ref="C19:E19"/>
    <mergeCell ref="C20:E20"/>
    <mergeCell ref="A21:AN21"/>
    <mergeCell ref="Y1:AB1"/>
    <mergeCell ref="AC1:AF1"/>
    <mergeCell ref="AG1:AJ1"/>
    <mergeCell ref="AK1:AN1"/>
    <mergeCell ref="C16:E16"/>
    <mergeCell ref="A1:C1"/>
    <mergeCell ref="E1:G1"/>
    <mergeCell ref="H1:I1"/>
    <mergeCell ref="J1:M1"/>
    <mergeCell ref="N1:O1"/>
    <mergeCell ref="P1:R1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DE93-AE69-4D04-A1BF-CDC2EE99770D}">
  <dimension ref="A1:AN31"/>
  <sheetViews>
    <sheetView topLeftCell="A2" zoomScaleNormal="100" workbookViewId="0">
      <selection activeCell="S14" sqref="S14:X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2.125" bestFit="1" customWidth="1"/>
    <col min="22" max="22" width="19.5" bestFit="1" customWidth="1"/>
    <col min="23" max="23" width="23.6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787" t="s">
        <v>278</v>
      </c>
      <c r="B1" s="788"/>
      <c r="C1" s="788"/>
      <c r="D1" s="363"/>
      <c r="E1" s="789" t="s">
        <v>24</v>
      </c>
      <c r="F1" s="790"/>
      <c r="G1" s="791"/>
      <c r="H1" s="789" t="s">
        <v>81</v>
      </c>
      <c r="I1" s="791"/>
      <c r="J1" s="792" t="s">
        <v>6</v>
      </c>
      <c r="K1" s="793"/>
      <c r="L1" s="793"/>
      <c r="M1" s="794"/>
      <c r="N1" s="792" t="s">
        <v>7</v>
      </c>
      <c r="O1" s="794"/>
      <c r="P1" s="792" t="s">
        <v>25</v>
      </c>
      <c r="Q1" s="793"/>
      <c r="R1" s="794"/>
      <c r="S1" s="364" t="s">
        <v>8</v>
      </c>
      <c r="T1" s="364" t="s">
        <v>9</v>
      </c>
      <c r="U1" s="365" t="s">
        <v>10</v>
      </c>
      <c r="V1" s="365" t="s">
        <v>11</v>
      </c>
      <c r="W1" s="365" t="s">
        <v>26</v>
      </c>
      <c r="X1" s="365" t="s">
        <v>27</v>
      </c>
      <c r="Y1" s="784" t="s">
        <v>20</v>
      </c>
      <c r="Z1" s="785"/>
      <c r="AA1" s="785"/>
      <c r="AB1" s="786"/>
      <c r="AC1" s="784" t="s">
        <v>58</v>
      </c>
      <c r="AD1" s="785"/>
      <c r="AE1" s="785"/>
      <c r="AF1" s="786"/>
      <c r="AG1" s="784" t="s">
        <v>59</v>
      </c>
      <c r="AH1" s="785"/>
      <c r="AI1" s="785"/>
      <c r="AJ1" s="786"/>
      <c r="AK1" s="784" t="s">
        <v>60</v>
      </c>
      <c r="AL1" s="785"/>
      <c r="AM1" s="785"/>
      <c r="AN1" s="786"/>
    </row>
    <row r="2" spans="1:40" ht="14.95" customHeight="1" thickBot="1" x14ac:dyDescent="0.3">
      <c r="A2" s="366" t="s">
        <v>19</v>
      </c>
      <c r="B2" s="367" t="s">
        <v>18</v>
      </c>
      <c r="C2" s="368" t="s">
        <v>17</v>
      </c>
      <c r="D2" s="368" t="s">
        <v>39</v>
      </c>
      <c r="E2" s="369" t="s">
        <v>16</v>
      </c>
      <c r="F2" s="369" t="s">
        <v>4</v>
      </c>
      <c r="G2" s="369" t="s">
        <v>5</v>
      </c>
      <c r="H2" s="370" t="s">
        <v>12</v>
      </c>
      <c r="I2" s="370" t="s">
        <v>3</v>
      </c>
      <c r="J2" s="370" t="s">
        <v>12</v>
      </c>
      <c r="K2" s="370" t="s">
        <v>13</v>
      </c>
      <c r="L2" s="370" t="s">
        <v>2</v>
      </c>
      <c r="M2" s="370" t="s">
        <v>14</v>
      </c>
      <c r="N2" s="370" t="s">
        <v>15</v>
      </c>
      <c r="O2" s="370" t="s">
        <v>16</v>
      </c>
      <c r="P2" s="370" t="s">
        <v>21</v>
      </c>
      <c r="Q2" s="370" t="s">
        <v>22</v>
      </c>
      <c r="R2" s="370" t="s">
        <v>12</v>
      </c>
      <c r="S2" s="371"/>
      <c r="T2" s="372"/>
      <c r="U2" s="373"/>
      <c r="V2" s="371"/>
      <c r="W2" s="365"/>
      <c r="X2" s="374"/>
      <c r="Y2" s="375" t="s">
        <v>0</v>
      </c>
      <c r="Z2" s="375" t="s">
        <v>1</v>
      </c>
      <c r="AA2" s="375" t="s">
        <v>2</v>
      </c>
      <c r="AB2" s="375" t="s">
        <v>3</v>
      </c>
      <c r="AC2" s="375" t="s">
        <v>0</v>
      </c>
      <c r="AD2" s="375" t="s">
        <v>1</v>
      </c>
      <c r="AE2" s="375" t="s">
        <v>2</v>
      </c>
      <c r="AF2" s="375" t="s">
        <v>3</v>
      </c>
      <c r="AG2" s="375" t="s">
        <v>0</v>
      </c>
      <c r="AH2" s="375" t="s">
        <v>1</v>
      </c>
      <c r="AI2" s="375" t="s">
        <v>2</v>
      </c>
      <c r="AJ2" s="375" t="s">
        <v>3</v>
      </c>
      <c r="AK2" s="375" t="s">
        <v>0</v>
      </c>
      <c r="AL2" s="375" t="s">
        <v>1</v>
      </c>
      <c r="AM2" s="375" t="s">
        <v>2</v>
      </c>
      <c r="AN2" s="375" t="s">
        <v>3</v>
      </c>
    </row>
    <row r="3" spans="1:40" ht="14.95" customHeight="1" thickBot="1" x14ac:dyDescent="0.3">
      <c r="A3" s="203">
        <v>44718</v>
      </c>
      <c r="B3" s="204" t="s">
        <v>269</v>
      </c>
      <c r="C3" s="204" t="s">
        <v>29</v>
      </c>
      <c r="D3" s="204" t="s">
        <v>272</v>
      </c>
      <c r="E3" s="205" t="s">
        <v>1</v>
      </c>
      <c r="F3" s="205">
        <v>23</v>
      </c>
      <c r="G3" s="205">
        <v>10</v>
      </c>
      <c r="H3" s="205">
        <v>1</v>
      </c>
      <c r="I3" s="205">
        <v>0</v>
      </c>
      <c r="J3" s="205">
        <v>4</v>
      </c>
      <c r="K3" s="205">
        <v>0</v>
      </c>
      <c r="L3" s="205">
        <v>0</v>
      </c>
      <c r="M3" s="205">
        <v>3</v>
      </c>
      <c r="N3" s="205">
        <v>0</v>
      </c>
      <c r="O3" s="205">
        <v>0</v>
      </c>
      <c r="P3" s="205">
        <v>0</v>
      </c>
      <c r="Q3" s="205">
        <v>0</v>
      </c>
      <c r="R3" s="205">
        <v>1</v>
      </c>
      <c r="S3" s="206"/>
      <c r="T3" s="216" t="s">
        <v>279</v>
      </c>
      <c r="U3" s="208" t="s">
        <v>165</v>
      </c>
      <c r="V3" s="206" t="s">
        <v>166</v>
      </c>
      <c r="W3" s="208" t="s">
        <v>194</v>
      </c>
      <c r="X3" s="209" t="s">
        <v>207</v>
      </c>
      <c r="Y3" s="211">
        <v>1</v>
      </c>
      <c r="Z3" s="211">
        <v>1</v>
      </c>
      <c r="AA3" s="211">
        <v>0</v>
      </c>
      <c r="AB3" s="212">
        <v>0</v>
      </c>
      <c r="AC3" s="211">
        <v>1</v>
      </c>
      <c r="AD3" s="211">
        <v>1</v>
      </c>
      <c r="AE3" s="211">
        <v>0</v>
      </c>
      <c r="AF3" s="212">
        <v>0</v>
      </c>
      <c r="AG3" s="211">
        <v>0</v>
      </c>
      <c r="AH3" s="211">
        <v>0</v>
      </c>
      <c r="AI3" s="211">
        <v>0</v>
      </c>
      <c r="AJ3" s="212">
        <v>0</v>
      </c>
      <c r="AK3" s="211">
        <v>0</v>
      </c>
      <c r="AL3" s="211">
        <v>0</v>
      </c>
      <c r="AM3" s="211">
        <v>0</v>
      </c>
      <c r="AN3" s="212">
        <v>0</v>
      </c>
    </row>
    <row r="4" spans="1:40" ht="14.95" customHeight="1" thickBot="1" x14ac:dyDescent="0.35">
      <c r="A4" s="203">
        <v>44724</v>
      </c>
      <c r="B4" s="204" t="s">
        <v>269</v>
      </c>
      <c r="C4" s="204" t="s">
        <v>38</v>
      </c>
      <c r="D4" s="204" t="s">
        <v>79</v>
      </c>
      <c r="E4" s="205" t="s">
        <v>1</v>
      </c>
      <c r="F4" s="205">
        <v>28</v>
      </c>
      <c r="G4" s="205">
        <v>0</v>
      </c>
      <c r="H4" s="205">
        <v>1</v>
      </c>
      <c r="I4" s="205">
        <v>0</v>
      </c>
      <c r="J4" s="205">
        <v>4</v>
      </c>
      <c r="K4" s="205">
        <v>1</v>
      </c>
      <c r="L4" s="205">
        <v>0</v>
      </c>
      <c r="M4" s="205">
        <v>2</v>
      </c>
      <c r="N4" s="205">
        <v>2</v>
      </c>
      <c r="O4" s="205">
        <v>0</v>
      </c>
      <c r="P4" s="205">
        <v>0</v>
      </c>
      <c r="Q4" s="205">
        <v>0</v>
      </c>
      <c r="R4" s="205">
        <v>0</v>
      </c>
      <c r="S4" s="206"/>
      <c r="T4" s="215" t="s">
        <v>286</v>
      </c>
      <c r="U4" s="208" t="s">
        <v>214</v>
      </c>
      <c r="V4" s="206" t="s">
        <v>165</v>
      </c>
      <c r="W4" s="209" t="s">
        <v>211</v>
      </c>
      <c r="X4" s="210" t="s">
        <v>258</v>
      </c>
      <c r="Y4" s="211">
        <v>1</v>
      </c>
      <c r="Z4" s="211">
        <v>1</v>
      </c>
      <c r="AA4" s="211">
        <v>0</v>
      </c>
      <c r="AB4" s="212">
        <v>0</v>
      </c>
      <c r="AC4" s="211">
        <v>1</v>
      </c>
      <c r="AD4" s="211">
        <v>1</v>
      </c>
      <c r="AE4" s="211">
        <v>0</v>
      </c>
      <c r="AF4" s="212">
        <v>0</v>
      </c>
      <c r="AG4" s="211">
        <v>0</v>
      </c>
      <c r="AH4" s="211">
        <v>0</v>
      </c>
      <c r="AI4" s="211">
        <v>0</v>
      </c>
      <c r="AJ4" s="212">
        <v>0</v>
      </c>
      <c r="AK4" s="211">
        <v>0</v>
      </c>
      <c r="AL4" s="211">
        <v>0</v>
      </c>
      <c r="AM4" s="211">
        <v>0</v>
      </c>
      <c r="AN4" s="212">
        <v>0</v>
      </c>
    </row>
    <row r="5" spans="1:40" ht="14.95" customHeight="1" thickBot="1" x14ac:dyDescent="0.35">
      <c r="A5" s="203">
        <v>44730</v>
      </c>
      <c r="B5" s="204" t="s">
        <v>269</v>
      </c>
      <c r="C5" s="204" t="s">
        <v>57</v>
      </c>
      <c r="D5" s="204" t="s">
        <v>140</v>
      </c>
      <c r="E5" s="205" t="s">
        <v>1</v>
      </c>
      <c r="F5" s="205">
        <v>50</v>
      </c>
      <c r="G5" s="205">
        <v>6</v>
      </c>
      <c r="H5" s="205">
        <v>1</v>
      </c>
      <c r="I5" s="205">
        <v>0</v>
      </c>
      <c r="J5" s="205">
        <v>8</v>
      </c>
      <c r="K5" s="205">
        <v>5</v>
      </c>
      <c r="L5" s="205">
        <v>0</v>
      </c>
      <c r="M5" s="205">
        <v>0</v>
      </c>
      <c r="N5" s="205">
        <v>1</v>
      </c>
      <c r="O5" s="205">
        <v>0</v>
      </c>
      <c r="P5" s="205">
        <v>0</v>
      </c>
      <c r="Q5" s="205">
        <v>0</v>
      </c>
      <c r="R5" s="205">
        <v>0</v>
      </c>
      <c r="S5" s="206"/>
      <c r="T5" s="215" t="s">
        <v>291</v>
      </c>
      <c r="U5" s="208" t="s">
        <v>194</v>
      </c>
      <c r="V5" s="206" t="s">
        <v>166</v>
      </c>
      <c r="W5" s="208" t="s">
        <v>214</v>
      </c>
      <c r="X5" s="210" t="s">
        <v>258</v>
      </c>
      <c r="Y5" s="211">
        <v>1</v>
      </c>
      <c r="Z5" s="211">
        <v>1</v>
      </c>
      <c r="AA5" s="211">
        <v>0</v>
      </c>
      <c r="AB5" s="212">
        <v>0</v>
      </c>
      <c r="AC5" s="211">
        <v>1</v>
      </c>
      <c r="AD5" s="211">
        <v>1</v>
      </c>
      <c r="AE5" s="211">
        <v>0</v>
      </c>
      <c r="AF5" s="212">
        <v>0</v>
      </c>
      <c r="AG5" s="211">
        <v>0</v>
      </c>
      <c r="AH5" s="211">
        <v>0</v>
      </c>
      <c r="AI5" s="211">
        <v>0</v>
      </c>
      <c r="AJ5" s="212">
        <v>0</v>
      </c>
      <c r="AK5" s="211">
        <v>0</v>
      </c>
      <c r="AL5" s="211">
        <v>0</v>
      </c>
      <c r="AM5" s="211">
        <v>0</v>
      </c>
      <c r="AN5" s="212">
        <v>0</v>
      </c>
    </row>
    <row r="6" spans="1:40" ht="14.95" customHeight="1" thickBot="1" x14ac:dyDescent="0.35">
      <c r="A6" s="203">
        <v>44793</v>
      </c>
      <c r="B6" s="204" t="s">
        <v>301</v>
      </c>
      <c r="C6" s="204" t="s">
        <v>29</v>
      </c>
      <c r="D6" s="204" t="s">
        <v>358</v>
      </c>
      <c r="E6" s="205" t="s">
        <v>1</v>
      </c>
      <c r="F6" s="205">
        <v>52</v>
      </c>
      <c r="G6" s="205">
        <v>5</v>
      </c>
      <c r="H6" s="205" t="s">
        <v>72</v>
      </c>
      <c r="I6" s="205" t="s">
        <v>72</v>
      </c>
      <c r="J6" s="205">
        <v>8</v>
      </c>
      <c r="K6" s="205">
        <v>6</v>
      </c>
      <c r="L6" s="205">
        <v>0</v>
      </c>
      <c r="M6" s="205">
        <v>0</v>
      </c>
      <c r="N6" s="205">
        <v>0</v>
      </c>
      <c r="O6" s="205">
        <v>0</v>
      </c>
      <c r="P6" s="205" t="s">
        <v>72</v>
      </c>
      <c r="Q6" s="205" t="s">
        <v>72</v>
      </c>
      <c r="R6" s="205">
        <v>1</v>
      </c>
      <c r="S6" s="206"/>
      <c r="T6" s="215" t="s">
        <v>171</v>
      </c>
      <c r="U6" s="209" t="s">
        <v>207</v>
      </c>
      <c r="V6" s="206" t="s">
        <v>229</v>
      </c>
      <c r="W6" s="208" t="s">
        <v>214</v>
      </c>
      <c r="X6" s="210" t="s">
        <v>258</v>
      </c>
      <c r="Y6" s="211">
        <v>1</v>
      </c>
      <c r="Z6" s="211">
        <v>1</v>
      </c>
      <c r="AA6" s="211">
        <v>0</v>
      </c>
      <c r="AB6" s="212">
        <v>0</v>
      </c>
      <c r="AC6" s="211">
        <v>1</v>
      </c>
      <c r="AD6" s="211">
        <v>1</v>
      </c>
      <c r="AE6" s="211">
        <v>0</v>
      </c>
      <c r="AF6" s="212">
        <v>0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</row>
    <row r="7" spans="1:40" ht="14.95" customHeight="1" thickBot="1" x14ac:dyDescent="0.35">
      <c r="A7" s="184">
        <v>44800</v>
      </c>
      <c r="B7" s="186" t="s">
        <v>301</v>
      </c>
      <c r="C7" s="186" t="s">
        <v>29</v>
      </c>
      <c r="D7" s="186" t="s">
        <v>362</v>
      </c>
      <c r="E7" s="187" t="s">
        <v>1</v>
      </c>
      <c r="F7" s="187">
        <v>22</v>
      </c>
      <c r="G7" s="187">
        <v>14</v>
      </c>
      <c r="H7" s="187" t="s">
        <v>72</v>
      </c>
      <c r="I7" s="187" t="s">
        <v>72</v>
      </c>
      <c r="J7" s="187">
        <v>3</v>
      </c>
      <c r="K7" s="187">
        <v>2</v>
      </c>
      <c r="L7" s="187">
        <v>0</v>
      </c>
      <c r="M7" s="187">
        <v>1</v>
      </c>
      <c r="N7" s="187">
        <v>1</v>
      </c>
      <c r="O7" s="187">
        <v>0</v>
      </c>
      <c r="P7" s="187" t="s">
        <v>72</v>
      </c>
      <c r="Q7" s="187" t="s">
        <v>72</v>
      </c>
      <c r="R7" s="187">
        <v>2</v>
      </c>
      <c r="S7" s="191"/>
      <c r="T7" s="192" t="s">
        <v>289</v>
      </c>
      <c r="U7" s="193" t="s">
        <v>214</v>
      </c>
      <c r="V7" s="191" t="s">
        <v>229</v>
      </c>
      <c r="W7" s="193" t="s">
        <v>207</v>
      </c>
      <c r="X7" s="194" t="s">
        <v>258</v>
      </c>
      <c r="Y7" s="189">
        <v>1</v>
      </c>
      <c r="Z7" s="189">
        <v>1</v>
      </c>
      <c r="AA7" s="189">
        <v>0</v>
      </c>
      <c r="AB7" s="190">
        <v>0</v>
      </c>
      <c r="AC7" s="189">
        <v>0</v>
      </c>
      <c r="AD7" s="189">
        <v>0</v>
      </c>
      <c r="AE7" s="189">
        <v>0</v>
      </c>
      <c r="AF7" s="190">
        <v>0</v>
      </c>
      <c r="AG7" s="189">
        <v>1</v>
      </c>
      <c r="AH7" s="189">
        <v>1</v>
      </c>
      <c r="AI7" s="189">
        <v>0</v>
      </c>
      <c r="AJ7" s="190">
        <v>0</v>
      </c>
      <c r="AK7" s="189">
        <v>0</v>
      </c>
      <c r="AL7" s="189">
        <v>0</v>
      </c>
      <c r="AM7" s="189">
        <v>0</v>
      </c>
      <c r="AN7" s="190">
        <v>0</v>
      </c>
    </row>
    <row r="8" spans="1:40" ht="14.95" customHeight="1" thickBot="1" x14ac:dyDescent="0.35">
      <c r="A8" s="203">
        <v>44828</v>
      </c>
      <c r="B8" s="204" t="s">
        <v>246</v>
      </c>
      <c r="C8" s="204" t="s">
        <v>36</v>
      </c>
      <c r="D8" s="204" t="s">
        <v>144</v>
      </c>
      <c r="E8" s="205" t="s">
        <v>1</v>
      </c>
      <c r="F8" s="205">
        <v>95</v>
      </c>
      <c r="G8" s="205">
        <v>12</v>
      </c>
      <c r="H8" s="205" t="s">
        <v>72</v>
      </c>
      <c r="I8" s="205" t="s">
        <v>72</v>
      </c>
      <c r="J8" s="205">
        <v>15</v>
      </c>
      <c r="K8" s="205">
        <v>10</v>
      </c>
      <c r="L8" s="205">
        <v>0</v>
      </c>
      <c r="M8" s="205">
        <v>0</v>
      </c>
      <c r="N8" s="205">
        <v>0</v>
      </c>
      <c r="O8" s="205">
        <v>0</v>
      </c>
      <c r="P8" s="205" t="s">
        <v>72</v>
      </c>
      <c r="Q8" s="205" t="s">
        <v>72</v>
      </c>
      <c r="R8" s="205">
        <v>2</v>
      </c>
      <c r="S8" s="206"/>
      <c r="T8" s="215" t="s">
        <v>412</v>
      </c>
      <c r="U8" s="208" t="s">
        <v>207</v>
      </c>
      <c r="V8" s="206"/>
      <c r="W8" s="208"/>
      <c r="X8" s="210"/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customHeight="1" thickBot="1" x14ac:dyDescent="0.3">
      <c r="A9" s="203">
        <v>44842</v>
      </c>
      <c r="B9" s="204" t="s">
        <v>139</v>
      </c>
      <c r="C9" s="204" t="s">
        <v>29</v>
      </c>
      <c r="D9" s="204" t="s">
        <v>144</v>
      </c>
      <c r="E9" s="205" t="s">
        <v>1</v>
      </c>
      <c r="F9" s="205">
        <v>41</v>
      </c>
      <c r="G9" s="205">
        <v>17</v>
      </c>
      <c r="H9" s="205">
        <v>1</v>
      </c>
      <c r="I9" s="205">
        <v>0</v>
      </c>
      <c r="J9" s="205">
        <v>7</v>
      </c>
      <c r="K9" s="205">
        <v>3</v>
      </c>
      <c r="L9" s="205">
        <v>0</v>
      </c>
      <c r="M9" s="205">
        <v>0</v>
      </c>
      <c r="N9" s="205">
        <v>0</v>
      </c>
      <c r="O9" s="205">
        <v>0</v>
      </c>
      <c r="P9" s="205">
        <v>0</v>
      </c>
      <c r="Q9" s="205">
        <v>0</v>
      </c>
      <c r="R9" s="205">
        <v>3</v>
      </c>
      <c r="S9" s="206"/>
      <c r="T9" s="216" t="s">
        <v>485</v>
      </c>
      <c r="U9" s="624" t="s">
        <v>486</v>
      </c>
      <c r="V9" s="206" t="s">
        <v>117</v>
      </c>
      <c r="W9" s="206" t="s">
        <v>477</v>
      </c>
      <c r="X9" s="210" t="s">
        <v>182</v>
      </c>
      <c r="Y9" s="211">
        <v>1</v>
      </c>
      <c r="Z9" s="211">
        <v>1</v>
      </c>
      <c r="AA9" s="211">
        <v>0</v>
      </c>
      <c r="AB9" s="212">
        <v>0</v>
      </c>
      <c r="AC9" s="211">
        <v>0</v>
      </c>
      <c r="AD9" s="211">
        <v>0</v>
      </c>
      <c r="AE9" s="211">
        <v>0</v>
      </c>
      <c r="AF9" s="212">
        <v>0</v>
      </c>
      <c r="AG9" s="211">
        <v>0</v>
      </c>
      <c r="AH9" s="211">
        <v>0</v>
      </c>
      <c r="AI9" s="211">
        <v>0</v>
      </c>
      <c r="AJ9" s="212">
        <v>0</v>
      </c>
      <c r="AK9" s="211">
        <v>1</v>
      </c>
      <c r="AL9" s="211">
        <v>1</v>
      </c>
      <c r="AM9" s="211">
        <v>0</v>
      </c>
      <c r="AN9" s="212">
        <v>0</v>
      </c>
    </row>
    <row r="10" spans="1:40" ht="14.95" customHeight="1" thickBot="1" x14ac:dyDescent="0.35">
      <c r="A10" s="203">
        <v>44850</v>
      </c>
      <c r="B10" s="204" t="s">
        <v>139</v>
      </c>
      <c r="C10" s="204" t="s">
        <v>32</v>
      </c>
      <c r="D10" s="204" t="s">
        <v>79</v>
      </c>
      <c r="E10" s="205" t="s">
        <v>1</v>
      </c>
      <c r="F10" s="205">
        <v>56</v>
      </c>
      <c r="G10" s="205">
        <v>12</v>
      </c>
      <c r="H10" s="205">
        <v>1</v>
      </c>
      <c r="I10" s="205">
        <v>0</v>
      </c>
      <c r="J10" s="205">
        <v>10</v>
      </c>
      <c r="K10" s="205">
        <v>3</v>
      </c>
      <c r="L10" s="205">
        <v>0</v>
      </c>
      <c r="M10" s="205">
        <v>0</v>
      </c>
      <c r="N10" s="205">
        <v>2</v>
      </c>
      <c r="O10" s="205">
        <v>0</v>
      </c>
      <c r="P10" s="205">
        <v>0</v>
      </c>
      <c r="Q10" s="205">
        <v>0</v>
      </c>
      <c r="R10" s="205">
        <v>2</v>
      </c>
      <c r="S10" s="206"/>
      <c r="T10" s="215" t="s">
        <v>503</v>
      </c>
      <c r="U10" s="208" t="s">
        <v>159</v>
      </c>
      <c r="V10" s="206" t="s">
        <v>166</v>
      </c>
      <c r="W10" s="206" t="s">
        <v>194</v>
      </c>
      <c r="X10" s="210" t="s">
        <v>258</v>
      </c>
      <c r="Y10" s="211">
        <v>1</v>
      </c>
      <c r="Z10" s="211">
        <v>1</v>
      </c>
      <c r="AA10" s="211">
        <v>0</v>
      </c>
      <c r="AB10" s="212">
        <v>0</v>
      </c>
      <c r="AC10" s="211">
        <v>0</v>
      </c>
      <c r="AD10" s="211">
        <v>0</v>
      </c>
      <c r="AE10" s="211">
        <v>0</v>
      </c>
      <c r="AF10" s="212">
        <v>0</v>
      </c>
      <c r="AG10" s="211">
        <v>0</v>
      </c>
      <c r="AH10" s="211">
        <v>0</v>
      </c>
      <c r="AI10" s="211">
        <v>0</v>
      </c>
      <c r="AJ10" s="212">
        <v>0</v>
      </c>
      <c r="AK10" s="211">
        <v>1</v>
      </c>
      <c r="AL10" s="211">
        <v>1</v>
      </c>
      <c r="AM10" s="211">
        <v>0</v>
      </c>
      <c r="AN10" s="212">
        <v>0</v>
      </c>
    </row>
    <row r="11" spans="1:40" ht="14.95" customHeight="1" thickBot="1" x14ac:dyDescent="0.35">
      <c r="A11" s="203">
        <v>44856</v>
      </c>
      <c r="B11" s="204" t="s">
        <v>139</v>
      </c>
      <c r="C11" s="204" t="s">
        <v>35</v>
      </c>
      <c r="D11" s="204" t="s">
        <v>140</v>
      </c>
      <c r="E11" s="205" t="s">
        <v>1</v>
      </c>
      <c r="F11" s="205">
        <v>57</v>
      </c>
      <c r="G11" s="205">
        <v>0</v>
      </c>
      <c r="H11" s="205">
        <v>1</v>
      </c>
      <c r="I11" s="205">
        <v>0</v>
      </c>
      <c r="J11" s="205">
        <v>9</v>
      </c>
      <c r="K11" s="205">
        <v>6</v>
      </c>
      <c r="L11" s="205">
        <v>0</v>
      </c>
      <c r="M11" s="205">
        <v>0</v>
      </c>
      <c r="N11" s="205">
        <v>1</v>
      </c>
      <c r="O11" s="205">
        <v>0</v>
      </c>
      <c r="P11" s="205">
        <v>0</v>
      </c>
      <c r="Q11" s="205">
        <v>0</v>
      </c>
      <c r="R11" s="205">
        <v>0</v>
      </c>
      <c r="S11" s="236"/>
      <c r="T11" s="215" t="s">
        <v>505</v>
      </c>
      <c r="U11" s="208" t="s">
        <v>149</v>
      </c>
      <c r="V11" s="206" t="s">
        <v>166</v>
      </c>
      <c r="W11" s="206" t="s">
        <v>236</v>
      </c>
      <c r="X11" s="213" t="s">
        <v>477</v>
      </c>
      <c r="Y11" s="211">
        <v>1</v>
      </c>
      <c r="Z11" s="211">
        <v>1</v>
      </c>
      <c r="AA11" s="211">
        <v>0</v>
      </c>
      <c r="AB11" s="212">
        <v>0</v>
      </c>
      <c r="AC11" s="211">
        <v>0</v>
      </c>
      <c r="AD11" s="211">
        <v>0</v>
      </c>
      <c r="AE11" s="211">
        <v>0</v>
      </c>
      <c r="AF11" s="212">
        <v>0</v>
      </c>
      <c r="AG11" s="211">
        <v>0</v>
      </c>
      <c r="AH11" s="211">
        <v>0</v>
      </c>
      <c r="AI11" s="211">
        <v>0</v>
      </c>
      <c r="AJ11" s="212">
        <v>0</v>
      </c>
      <c r="AK11" s="211">
        <v>1</v>
      </c>
      <c r="AL11" s="211">
        <v>1</v>
      </c>
      <c r="AM11" s="211">
        <v>0</v>
      </c>
      <c r="AN11" s="212">
        <v>0</v>
      </c>
    </row>
    <row r="12" spans="1:40" ht="14.95" customHeight="1" thickBot="1" x14ac:dyDescent="0.35">
      <c r="A12" s="203">
        <v>44863</v>
      </c>
      <c r="B12" s="204" t="s">
        <v>109</v>
      </c>
      <c r="C12" s="204" t="s">
        <v>32</v>
      </c>
      <c r="D12" s="204" t="s">
        <v>140</v>
      </c>
      <c r="E12" s="205" t="s">
        <v>1</v>
      </c>
      <c r="F12" s="205">
        <v>55</v>
      </c>
      <c r="G12" s="205">
        <v>3</v>
      </c>
      <c r="H12" s="205" t="s">
        <v>525</v>
      </c>
      <c r="I12" s="205" t="s">
        <v>72</v>
      </c>
      <c r="J12" s="205">
        <v>9</v>
      </c>
      <c r="K12" s="205">
        <v>5</v>
      </c>
      <c r="L12" s="205">
        <v>0</v>
      </c>
      <c r="M12" s="205">
        <v>0</v>
      </c>
      <c r="N12" s="205">
        <v>0</v>
      </c>
      <c r="O12" s="205">
        <v>0</v>
      </c>
      <c r="P12" s="205" t="s">
        <v>525</v>
      </c>
      <c r="Q12" s="205" t="s">
        <v>72</v>
      </c>
      <c r="R12" s="205">
        <v>0</v>
      </c>
      <c r="S12" s="236"/>
      <c r="T12" s="215" t="s">
        <v>526</v>
      </c>
      <c r="U12" s="624" t="s">
        <v>486</v>
      </c>
      <c r="V12" s="206" t="s">
        <v>166</v>
      </c>
      <c r="W12" s="208" t="s">
        <v>149</v>
      </c>
      <c r="X12" s="206" t="s">
        <v>194</v>
      </c>
      <c r="Y12" s="211">
        <v>1</v>
      </c>
      <c r="Z12" s="211">
        <v>1</v>
      </c>
      <c r="AA12" s="211">
        <v>0</v>
      </c>
      <c r="AB12" s="212">
        <v>0</v>
      </c>
      <c r="AC12" s="211">
        <v>0</v>
      </c>
      <c r="AD12" s="211">
        <v>0</v>
      </c>
      <c r="AE12" s="211">
        <v>0</v>
      </c>
      <c r="AF12" s="212">
        <v>0</v>
      </c>
      <c r="AG12" s="211">
        <v>0</v>
      </c>
      <c r="AH12" s="211">
        <v>0</v>
      </c>
      <c r="AI12" s="211">
        <v>0</v>
      </c>
      <c r="AJ12" s="212">
        <v>0</v>
      </c>
      <c r="AK12" s="211">
        <v>1</v>
      </c>
      <c r="AL12" s="211">
        <v>1</v>
      </c>
      <c r="AM12" s="211">
        <v>0</v>
      </c>
      <c r="AN12" s="212">
        <v>0</v>
      </c>
    </row>
    <row r="13" spans="1:40" ht="14.95" customHeight="1" thickBot="1" x14ac:dyDescent="0.3">
      <c r="A13" s="203">
        <v>44870</v>
      </c>
      <c r="B13" s="204" t="s">
        <v>387</v>
      </c>
      <c r="C13" s="204" t="s">
        <v>34</v>
      </c>
      <c r="D13" s="204" t="s">
        <v>144</v>
      </c>
      <c r="E13" s="205" t="s">
        <v>1</v>
      </c>
      <c r="F13" s="205">
        <v>25</v>
      </c>
      <c r="G13" s="205">
        <v>24</v>
      </c>
      <c r="H13" s="205" t="s">
        <v>72</v>
      </c>
      <c r="I13" s="205" t="s">
        <v>72</v>
      </c>
      <c r="J13" s="205">
        <v>3</v>
      </c>
      <c r="K13" s="205">
        <v>2</v>
      </c>
      <c r="L13" s="205">
        <v>0</v>
      </c>
      <c r="M13" s="205">
        <v>2</v>
      </c>
      <c r="N13" s="205">
        <v>1</v>
      </c>
      <c r="O13" s="205">
        <v>0</v>
      </c>
      <c r="P13" s="205" t="s">
        <v>72</v>
      </c>
      <c r="Q13" s="205" t="s">
        <v>72</v>
      </c>
      <c r="R13" s="205">
        <v>3</v>
      </c>
      <c r="S13" s="236"/>
      <c r="T13" s="216" t="s">
        <v>538</v>
      </c>
      <c r="U13" s="208" t="s">
        <v>147</v>
      </c>
      <c r="V13" s="206" t="s">
        <v>117</v>
      </c>
      <c r="W13" s="209" t="s">
        <v>165</v>
      </c>
      <c r="X13" s="210" t="s">
        <v>214</v>
      </c>
      <c r="Y13" s="211">
        <v>1</v>
      </c>
      <c r="Z13" s="211">
        <v>1</v>
      </c>
      <c r="AA13" s="211">
        <v>0</v>
      </c>
      <c r="AB13" s="212">
        <v>0</v>
      </c>
      <c r="AC13" s="211">
        <v>0</v>
      </c>
      <c r="AD13" s="211">
        <v>0</v>
      </c>
      <c r="AE13" s="211">
        <v>0</v>
      </c>
      <c r="AF13" s="212">
        <v>0</v>
      </c>
      <c r="AG13" s="211">
        <v>0</v>
      </c>
      <c r="AH13" s="211">
        <v>0</v>
      </c>
      <c r="AI13" s="211">
        <v>0</v>
      </c>
      <c r="AJ13" s="212">
        <v>0</v>
      </c>
      <c r="AK13" s="211">
        <v>1</v>
      </c>
      <c r="AL13" s="211">
        <v>1</v>
      </c>
      <c r="AM13" s="211">
        <v>0</v>
      </c>
      <c r="AN13" s="212">
        <v>0</v>
      </c>
    </row>
    <row r="14" spans="1:40" ht="14.95" customHeight="1" thickBot="1" x14ac:dyDescent="0.3">
      <c r="A14" s="203">
        <v>44877</v>
      </c>
      <c r="B14" s="204" t="s">
        <v>388</v>
      </c>
      <c r="C14" s="204" t="s">
        <v>30</v>
      </c>
      <c r="D14" s="204" t="s">
        <v>144</v>
      </c>
      <c r="E14" s="205" t="s">
        <v>1</v>
      </c>
      <c r="F14" s="205">
        <v>34</v>
      </c>
      <c r="G14" s="205">
        <v>31</v>
      </c>
      <c r="H14" s="205" t="s">
        <v>72</v>
      </c>
      <c r="I14" s="205" t="s">
        <v>72</v>
      </c>
      <c r="J14" s="205">
        <v>6</v>
      </c>
      <c r="K14" s="205">
        <v>2</v>
      </c>
      <c r="L14" s="205">
        <v>0</v>
      </c>
      <c r="M14" s="205">
        <v>0</v>
      </c>
      <c r="N14" s="205">
        <v>1</v>
      </c>
      <c r="O14" s="205">
        <v>0</v>
      </c>
      <c r="P14" s="205" t="s">
        <v>72</v>
      </c>
      <c r="Q14" s="205" t="s">
        <v>72</v>
      </c>
      <c r="R14" s="205">
        <v>5</v>
      </c>
      <c r="S14" s="236"/>
      <c r="T14" s="216" t="s">
        <v>546</v>
      </c>
      <c r="U14" s="208" t="s">
        <v>159</v>
      </c>
      <c r="V14" s="206" t="s">
        <v>198</v>
      </c>
      <c r="W14" s="209" t="s">
        <v>167</v>
      </c>
      <c r="X14" s="210" t="s">
        <v>149</v>
      </c>
      <c r="Y14" s="211">
        <v>1</v>
      </c>
      <c r="Z14" s="211">
        <v>1</v>
      </c>
      <c r="AA14" s="211">
        <v>0</v>
      </c>
      <c r="AB14" s="212">
        <v>0</v>
      </c>
      <c r="AC14" s="211">
        <v>1</v>
      </c>
      <c r="AD14" s="211">
        <v>1</v>
      </c>
      <c r="AE14" s="211">
        <v>0</v>
      </c>
      <c r="AF14" s="212">
        <v>0</v>
      </c>
      <c r="AG14" s="211">
        <v>0</v>
      </c>
      <c r="AH14" s="211">
        <v>0</v>
      </c>
      <c r="AI14" s="211">
        <v>0</v>
      </c>
      <c r="AJ14" s="212">
        <v>0</v>
      </c>
      <c r="AK14" s="211">
        <v>0</v>
      </c>
      <c r="AL14" s="211">
        <v>0</v>
      </c>
      <c r="AM14" s="211">
        <v>0</v>
      </c>
      <c r="AN14" s="212">
        <v>0</v>
      </c>
    </row>
    <row r="15" spans="1:40" ht="14.95" customHeight="1" thickBot="1" x14ac:dyDescent="0.3">
      <c r="A15" s="123"/>
      <c r="B15" s="124"/>
      <c r="C15" s="692" t="s">
        <v>241</v>
      </c>
      <c r="D15" s="693"/>
      <c r="E15" s="694"/>
      <c r="F15" s="122">
        <f>SUM(F3:F14)</f>
        <v>538</v>
      </c>
      <c r="G15" s="122">
        <f>SUM(G3:G14)</f>
        <v>134</v>
      </c>
      <c r="H15" s="122">
        <f>SUM(H3:H5)</f>
        <v>3</v>
      </c>
      <c r="I15" s="122">
        <f>SUM(I3:I5)</f>
        <v>0</v>
      </c>
      <c r="J15" s="122">
        <f t="shared" ref="J15:O15" si="0">SUM(J3:J14)</f>
        <v>86</v>
      </c>
      <c r="K15" s="122">
        <f t="shared" si="0"/>
        <v>45</v>
      </c>
      <c r="L15" s="122">
        <f t="shared" si="0"/>
        <v>0</v>
      </c>
      <c r="M15" s="122">
        <f t="shared" si="0"/>
        <v>8</v>
      </c>
      <c r="N15" s="122">
        <f t="shared" si="0"/>
        <v>9</v>
      </c>
      <c r="O15" s="122">
        <f t="shared" si="0"/>
        <v>0</v>
      </c>
      <c r="P15" s="122">
        <f>SUM(P3:P5)</f>
        <v>0</v>
      </c>
      <c r="Q15" s="122">
        <f>SUM(Q3:Q5)</f>
        <v>0</v>
      </c>
      <c r="R15" s="122">
        <f>SUM(R3:R14)</f>
        <v>19</v>
      </c>
      <c r="S15" s="76"/>
      <c r="T15" s="76"/>
      <c r="U15" s="76"/>
      <c r="V15" s="76"/>
      <c r="W15" s="119"/>
      <c r="X15" s="158" t="s">
        <v>241</v>
      </c>
      <c r="Y15" s="122">
        <f t="shared" ref="Y15:AN15" si="1">SUM(Y3:Y14)</f>
        <v>12</v>
      </c>
      <c r="Z15" s="122">
        <f t="shared" si="1"/>
        <v>12</v>
      </c>
      <c r="AA15" s="122">
        <f t="shared" si="1"/>
        <v>0</v>
      </c>
      <c r="AB15" s="122">
        <f t="shared" si="1"/>
        <v>0</v>
      </c>
      <c r="AC15" s="120">
        <f t="shared" si="1"/>
        <v>6</v>
      </c>
      <c r="AD15" s="120">
        <f t="shared" si="1"/>
        <v>6</v>
      </c>
      <c r="AE15" s="120">
        <f t="shared" si="1"/>
        <v>0</v>
      </c>
      <c r="AF15" s="120">
        <f t="shared" si="1"/>
        <v>0</v>
      </c>
      <c r="AG15" s="121">
        <f t="shared" si="1"/>
        <v>1</v>
      </c>
      <c r="AH15" s="121">
        <f t="shared" si="1"/>
        <v>1</v>
      </c>
      <c r="AI15" s="121">
        <f t="shared" si="1"/>
        <v>0</v>
      </c>
      <c r="AJ15" s="121">
        <f t="shared" si="1"/>
        <v>0</v>
      </c>
      <c r="AK15" s="122">
        <f t="shared" si="1"/>
        <v>5</v>
      </c>
      <c r="AL15" s="122">
        <f t="shared" si="1"/>
        <v>5</v>
      </c>
      <c r="AM15" s="122">
        <f t="shared" si="1"/>
        <v>0</v>
      </c>
      <c r="AN15" s="122">
        <f t="shared" si="1"/>
        <v>0</v>
      </c>
    </row>
    <row r="16" spans="1:40" ht="14.95" customHeight="1" thickBot="1" x14ac:dyDescent="0.3">
      <c r="A16" s="123"/>
      <c r="B16" s="124"/>
      <c r="C16" s="679" t="s">
        <v>467</v>
      </c>
      <c r="D16" s="680"/>
      <c r="E16" s="681"/>
      <c r="F16" s="414">
        <f>SUM(F9:F11)</f>
        <v>154</v>
      </c>
      <c r="G16" s="414">
        <f t="shared" ref="G16:R16" si="2">SUM(G9:G11)</f>
        <v>29</v>
      </c>
      <c r="H16" s="414">
        <f t="shared" si="2"/>
        <v>3</v>
      </c>
      <c r="I16" s="414">
        <f t="shared" si="2"/>
        <v>0</v>
      </c>
      <c r="J16" s="414">
        <f t="shared" si="2"/>
        <v>26</v>
      </c>
      <c r="K16" s="414">
        <f t="shared" si="2"/>
        <v>12</v>
      </c>
      <c r="L16" s="414">
        <f t="shared" si="2"/>
        <v>0</v>
      </c>
      <c r="M16" s="414">
        <f t="shared" si="2"/>
        <v>0</v>
      </c>
      <c r="N16" s="414">
        <f t="shared" si="2"/>
        <v>3</v>
      </c>
      <c r="O16" s="414">
        <f t="shared" si="2"/>
        <v>0</v>
      </c>
      <c r="P16" s="414">
        <f t="shared" si="2"/>
        <v>0</v>
      </c>
      <c r="Q16" s="414">
        <f t="shared" si="2"/>
        <v>0</v>
      </c>
      <c r="R16" s="414">
        <f t="shared" si="2"/>
        <v>5</v>
      </c>
      <c r="S16" s="415"/>
      <c r="T16" s="415"/>
      <c r="U16" s="415"/>
      <c r="V16" s="415"/>
      <c r="W16" s="416"/>
      <c r="X16" s="417" t="s">
        <v>467</v>
      </c>
      <c r="Y16" s="414">
        <f t="shared" ref="Y16:AN16" si="3">SUM(Y9:Y11)</f>
        <v>3</v>
      </c>
      <c r="Z16" s="414">
        <f t="shared" si="3"/>
        <v>3</v>
      </c>
      <c r="AA16" s="414">
        <f t="shared" si="3"/>
        <v>0</v>
      </c>
      <c r="AB16" s="414">
        <f t="shared" si="3"/>
        <v>0</v>
      </c>
      <c r="AC16" s="418">
        <f t="shared" si="3"/>
        <v>0</v>
      </c>
      <c r="AD16" s="418">
        <f t="shared" si="3"/>
        <v>0</v>
      </c>
      <c r="AE16" s="418">
        <f t="shared" si="3"/>
        <v>0</v>
      </c>
      <c r="AF16" s="418">
        <f t="shared" si="3"/>
        <v>0</v>
      </c>
      <c r="AG16" s="419">
        <f t="shared" si="3"/>
        <v>0</v>
      </c>
      <c r="AH16" s="419">
        <f t="shared" si="3"/>
        <v>0</v>
      </c>
      <c r="AI16" s="419">
        <f t="shared" si="3"/>
        <v>0</v>
      </c>
      <c r="AJ16" s="419">
        <f t="shared" si="3"/>
        <v>0</v>
      </c>
      <c r="AK16" s="414">
        <f t="shared" si="3"/>
        <v>3</v>
      </c>
      <c r="AL16" s="414">
        <f t="shared" si="3"/>
        <v>3</v>
      </c>
      <c r="AM16" s="414">
        <f t="shared" si="3"/>
        <v>0</v>
      </c>
      <c r="AN16" s="414">
        <f t="shared" si="3"/>
        <v>0</v>
      </c>
    </row>
    <row r="17" spans="1:40" ht="14.95" customHeight="1" thickBot="1" x14ac:dyDescent="0.3">
      <c r="A17" s="123"/>
      <c r="B17" s="124"/>
      <c r="C17" s="679" t="s">
        <v>468</v>
      </c>
      <c r="D17" s="680"/>
      <c r="E17" s="681"/>
      <c r="F17" s="414">
        <f>SUM(F12:F14)</f>
        <v>114</v>
      </c>
      <c r="G17" s="414">
        <f>SUM(G12:G14)</f>
        <v>58</v>
      </c>
      <c r="H17" s="414">
        <v>0</v>
      </c>
      <c r="I17" s="414">
        <v>0</v>
      </c>
      <c r="J17" s="414">
        <f t="shared" ref="J17:O17" si="4">SUM(J12:J14)</f>
        <v>18</v>
      </c>
      <c r="K17" s="414">
        <f t="shared" si="4"/>
        <v>9</v>
      </c>
      <c r="L17" s="414">
        <f t="shared" si="4"/>
        <v>0</v>
      </c>
      <c r="M17" s="414">
        <f t="shared" si="4"/>
        <v>2</v>
      </c>
      <c r="N17" s="414">
        <f t="shared" si="4"/>
        <v>2</v>
      </c>
      <c r="O17" s="414">
        <f t="shared" si="4"/>
        <v>0</v>
      </c>
      <c r="P17" s="414">
        <v>0</v>
      </c>
      <c r="Q17" s="414">
        <v>0</v>
      </c>
      <c r="R17" s="414">
        <f>SUM(R12:R14)</f>
        <v>8</v>
      </c>
      <c r="S17" s="415"/>
      <c r="T17" s="415"/>
      <c r="U17" s="415"/>
      <c r="V17" s="415"/>
      <c r="W17" s="416"/>
      <c r="X17" s="417" t="s">
        <v>468</v>
      </c>
      <c r="Y17" s="414">
        <f t="shared" ref="Y17:AN17" si="5">SUM(Y12:Y14)</f>
        <v>3</v>
      </c>
      <c r="Z17" s="414">
        <f t="shared" si="5"/>
        <v>3</v>
      </c>
      <c r="AA17" s="414">
        <f t="shared" si="5"/>
        <v>0</v>
      </c>
      <c r="AB17" s="414">
        <f t="shared" si="5"/>
        <v>0</v>
      </c>
      <c r="AC17" s="418">
        <f t="shared" si="5"/>
        <v>1</v>
      </c>
      <c r="AD17" s="418">
        <f t="shared" si="5"/>
        <v>1</v>
      </c>
      <c r="AE17" s="418">
        <f t="shared" si="5"/>
        <v>0</v>
      </c>
      <c r="AF17" s="418">
        <f t="shared" si="5"/>
        <v>0</v>
      </c>
      <c r="AG17" s="419">
        <f t="shared" si="5"/>
        <v>0</v>
      </c>
      <c r="AH17" s="419">
        <f t="shared" si="5"/>
        <v>0</v>
      </c>
      <c r="AI17" s="419">
        <f t="shared" si="5"/>
        <v>0</v>
      </c>
      <c r="AJ17" s="419">
        <f t="shared" si="5"/>
        <v>0</v>
      </c>
      <c r="AK17" s="414">
        <f t="shared" si="5"/>
        <v>2</v>
      </c>
      <c r="AL17" s="414">
        <f t="shared" si="5"/>
        <v>2</v>
      </c>
      <c r="AM17" s="414">
        <f t="shared" si="5"/>
        <v>0</v>
      </c>
      <c r="AN17" s="414">
        <f t="shared" si="5"/>
        <v>0</v>
      </c>
    </row>
    <row r="18" spans="1:40" ht="14.95" customHeight="1" thickBot="1" x14ac:dyDescent="0.3">
      <c r="A18" s="123"/>
      <c r="B18" s="124"/>
      <c r="C18" s="679" t="s">
        <v>469</v>
      </c>
      <c r="D18" s="680"/>
      <c r="E18" s="681"/>
      <c r="F18" s="414">
        <f>SUM(F16+F17)</f>
        <v>268</v>
      </c>
      <c r="G18" s="414">
        <f t="shared" ref="G18:R18" si="6">SUM(G16+G17)</f>
        <v>87</v>
      </c>
      <c r="H18" s="414">
        <f t="shared" si="6"/>
        <v>3</v>
      </c>
      <c r="I18" s="414">
        <f t="shared" si="6"/>
        <v>0</v>
      </c>
      <c r="J18" s="414">
        <f t="shared" si="6"/>
        <v>44</v>
      </c>
      <c r="K18" s="414">
        <f t="shared" si="6"/>
        <v>21</v>
      </c>
      <c r="L18" s="414">
        <f t="shared" si="6"/>
        <v>0</v>
      </c>
      <c r="M18" s="414">
        <f t="shared" si="6"/>
        <v>2</v>
      </c>
      <c r="N18" s="414">
        <f t="shared" si="6"/>
        <v>5</v>
      </c>
      <c r="O18" s="414">
        <f t="shared" si="6"/>
        <v>0</v>
      </c>
      <c r="P18" s="414">
        <f t="shared" si="6"/>
        <v>0</v>
      </c>
      <c r="Q18" s="414">
        <f t="shared" si="6"/>
        <v>0</v>
      </c>
      <c r="R18" s="414">
        <f t="shared" si="6"/>
        <v>13</v>
      </c>
      <c r="S18" s="415"/>
      <c r="T18" s="415"/>
      <c r="U18" s="415"/>
      <c r="V18" s="415"/>
      <c r="W18" s="416"/>
      <c r="X18" s="417" t="s">
        <v>469</v>
      </c>
      <c r="Y18" s="414">
        <f t="shared" ref="Y18:AN18" si="7">SUM(Y16+Y17)</f>
        <v>6</v>
      </c>
      <c r="Z18" s="414">
        <f t="shared" si="7"/>
        <v>6</v>
      </c>
      <c r="AA18" s="414">
        <f t="shared" si="7"/>
        <v>0</v>
      </c>
      <c r="AB18" s="414">
        <f t="shared" si="7"/>
        <v>0</v>
      </c>
      <c r="AC18" s="418">
        <f t="shared" si="7"/>
        <v>1</v>
      </c>
      <c r="AD18" s="418">
        <f t="shared" si="7"/>
        <v>1</v>
      </c>
      <c r="AE18" s="418">
        <f t="shared" si="7"/>
        <v>0</v>
      </c>
      <c r="AF18" s="418">
        <f t="shared" si="7"/>
        <v>0</v>
      </c>
      <c r="AG18" s="419">
        <f t="shared" si="7"/>
        <v>0</v>
      </c>
      <c r="AH18" s="419">
        <f t="shared" si="7"/>
        <v>0</v>
      </c>
      <c r="AI18" s="419">
        <f t="shared" si="7"/>
        <v>0</v>
      </c>
      <c r="AJ18" s="419">
        <f t="shared" si="7"/>
        <v>0</v>
      </c>
      <c r="AK18" s="414">
        <f t="shared" si="7"/>
        <v>5</v>
      </c>
      <c r="AL18" s="414">
        <f t="shared" si="7"/>
        <v>5</v>
      </c>
      <c r="AM18" s="414">
        <f t="shared" si="7"/>
        <v>0</v>
      </c>
      <c r="AN18" s="414">
        <f t="shared" si="7"/>
        <v>0</v>
      </c>
    </row>
    <row r="19" spans="1:40" ht="14.95" customHeight="1" thickBot="1" x14ac:dyDescent="0.3">
      <c r="A19" s="123"/>
      <c r="B19" s="124"/>
      <c r="C19" s="686" t="s">
        <v>83</v>
      </c>
      <c r="D19" s="687"/>
      <c r="E19" s="688"/>
      <c r="F19" s="244">
        <f>SUM(F6+F7+F8)</f>
        <v>169</v>
      </c>
      <c r="G19" s="244">
        <f>SUM(G6+G7+G8)</f>
        <v>31</v>
      </c>
      <c r="H19" s="244" t="s">
        <v>72</v>
      </c>
      <c r="I19" s="244" t="s">
        <v>72</v>
      </c>
      <c r="J19" s="244">
        <f t="shared" ref="J19:O19" si="8">SUM(J6+J7+J8)</f>
        <v>26</v>
      </c>
      <c r="K19" s="244">
        <f t="shared" si="8"/>
        <v>18</v>
      </c>
      <c r="L19" s="244">
        <f t="shared" si="8"/>
        <v>0</v>
      </c>
      <c r="M19" s="244">
        <f t="shared" si="8"/>
        <v>1</v>
      </c>
      <c r="N19" s="244">
        <f t="shared" si="8"/>
        <v>1</v>
      </c>
      <c r="O19" s="244">
        <f t="shared" si="8"/>
        <v>0</v>
      </c>
      <c r="P19" s="244" t="s">
        <v>72</v>
      </c>
      <c r="Q19" s="244" t="s">
        <v>72</v>
      </c>
      <c r="R19" s="244">
        <f>SUM(R6+R7+R8)</f>
        <v>5</v>
      </c>
      <c r="S19" s="252"/>
      <c r="T19" s="252"/>
      <c r="U19" s="252"/>
      <c r="V19" s="252"/>
      <c r="W19" s="242"/>
      <c r="X19" s="249" t="s">
        <v>83</v>
      </c>
      <c r="Y19" s="244">
        <f t="shared" ref="Y19:AN19" si="9">SUM(Y6+Y7+Y8)</f>
        <v>3</v>
      </c>
      <c r="Z19" s="244">
        <f t="shared" si="9"/>
        <v>3</v>
      </c>
      <c r="AA19" s="244">
        <f t="shared" si="9"/>
        <v>0</v>
      </c>
      <c r="AB19" s="244">
        <f t="shared" si="9"/>
        <v>0</v>
      </c>
      <c r="AC19" s="245">
        <f t="shared" si="9"/>
        <v>2</v>
      </c>
      <c r="AD19" s="245">
        <f t="shared" si="9"/>
        <v>2</v>
      </c>
      <c r="AE19" s="245">
        <f t="shared" si="9"/>
        <v>0</v>
      </c>
      <c r="AF19" s="245">
        <f t="shared" si="9"/>
        <v>0</v>
      </c>
      <c r="AG19" s="246">
        <f t="shared" si="9"/>
        <v>1</v>
      </c>
      <c r="AH19" s="246">
        <f t="shared" si="9"/>
        <v>1</v>
      </c>
      <c r="AI19" s="246">
        <f t="shared" si="9"/>
        <v>0</v>
      </c>
      <c r="AJ19" s="246">
        <f t="shared" si="9"/>
        <v>0</v>
      </c>
      <c r="AK19" s="244">
        <f t="shared" si="9"/>
        <v>0</v>
      </c>
      <c r="AL19" s="244">
        <f t="shared" si="9"/>
        <v>0</v>
      </c>
      <c r="AM19" s="244">
        <f t="shared" si="9"/>
        <v>0</v>
      </c>
      <c r="AN19" s="244">
        <f t="shared" si="9"/>
        <v>0</v>
      </c>
    </row>
    <row r="20" spans="1:40" ht="14.95" customHeight="1" thickBot="1" x14ac:dyDescent="0.3">
      <c r="A20" s="123"/>
      <c r="B20" s="124"/>
      <c r="C20" s="682" t="s">
        <v>73</v>
      </c>
      <c r="D20" s="683"/>
      <c r="E20" s="684"/>
      <c r="F20" s="150">
        <f t="shared" ref="F20:R20" si="10">SUM(F3:F14)</f>
        <v>538</v>
      </c>
      <c r="G20" s="150">
        <f t="shared" si="10"/>
        <v>134</v>
      </c>
      <c r="H20" s="150">
        <f t="shared" si="10"/>
        <v>6</v>
      </c>
      <c r="I20" s="150">
        <f t="shared" si="10"/>
        <v>0</v>
      </c>
      <c r="J20" s="150">
        <f t="shared" si="10"/>
        <v>86</v>
      </c>
      <c r="K20" s="150">
        <f t="shared" si="10"/>
        <v>45</v>
      </c>
      <c r="L20" s="150">
        <f t="shared" si="10"/>
        <v>0</v>
      </c>
      <c r="M20" s="150">
        <f t="shared" si="10"/>
        <v>8</v>
      </c>
      <c r="N20" s="150">
        <f t="shared" si="10"/>
        <v>9</v>
      </c>
      <c r="O20" s="150">
        <f t="shared" si="10"/>
        <v>0</v>
      </c>
      <c r="P20" s="150">
        <f t="shared" si="10"/>
        <v>0</v>
      </c>
      <c r="Q20" s="150">
        <f t="shared" si="10"/>
        <v>0</v>
      </c>
      <c r="R20" s="150">
        <f t="shared" si="10"/>
        <v>19</v>
      </c>
      <c r="S20" s="237"/>
      <c r="T20" s="237"/>
      <c r="U20" s="237"/>
      <c r="V20" s="237"/>
      <c r="W20" s="12"/>
      <c r="X20" s="155" t="s">
        <v>73</v>
      </c>
      <c r="Y20" s="150">
        <f t="shared" ref="Y20:AN20" si="11">SUM(Y3:Y14)</f>
        <v>12</v>
      </c>
      <c r="Z20" s="150">
        <f t="shared" si="11"/>
        <v>12</v>
      </c>
      <c r="AA20" s="150">
        <f t="shared" si="11"/>
        <v>0</v>
      </c>
      <c r="AB20" s="150">
        <f t="shared" si="11"/>
        <v>0</v>
      </c>
      <c r="AC20" s="148">
        <f t="shared" si="11"/>
        <v>6</v>
      </c>
      <c r="AD20" s="148">
        <f t="shared" si="11"/>
        <v>6</v>
      </c>
      <c r="AE20" s="148">
        <f t="shared" si="11"/>
        <v>0</v>
      </c>
      <c r="AF20" s="148">
        <f t="shared" si="11"/>
        <v>0</v>
      </c>
      <c r="AG20" s="149">
        <f t="shared" si="11"/>
        <v>1</v>
      </c>
      <c r="AH20" s="149">
        <f t="shared" si="11"/>
        <v>1</v>
      </c>
      <c r="AI20" s="149">
        <f t="shared" si="11"/>
        <v>0</v>
      </c>
      <c r="AJ20" s="149">
        <f t="shared" si="11"/>
        <v>0</v>
      </c>
      <c r="AK20" s="150">
        <f t="shared" si="11"/>
        <v>5</v>
      </c>
      <c r="AL20" s="150">
        <f t="shared" si="11"/>
        <v>5</v>
      </c>
      <c r="AM20" s="150">
        <f t="shared" si="11"/>
        <v>0</v>
      </c>
      <c r="AN20" s="150">
        <f t="shared" si="11"/>
        <v>0</v>
      </c>
    </row>
    <row r="21" spans="1:40" ht="14.95" customHeight="1" x14ac:dyDescent="0.25">
      <c r="A21" s="685" t="s">
        <v>242</v>
      </c>
      <c r="B21" s="637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</row>
    <row r="22" spans="1:40" ht="14.95" customHeight="1" x14ac:dyDescent="0.25">
      <c r="A22" s="258" t="s">
        <v>294</v>
      </c>
    </row>
    <row r="23" spans="1:40" ht="14.95" customHeight="1" x14ac:dyDescent="0.25">
      <c r="A23" t="s">
        <v>359</v>
      </c>
    </row>
    <row r="24" spans="1:40" ht="14.95" customHeight="1" x14ac:dyDescent="0.25">
      <c r="A24" t="s">
        <v>276</v>
      </c>
    </row>
    <row r="25" spans="1:40" ht="14.95" customHeight="1" x14ac:dyDescent="0.25">
      <c r="A25" t="s">
        <v>143</v>
      </c>
    </row>
    <row r="26" spans="1:40" ht="14.95" customHeight="1" x14ac:dyDescent="0.25">
      <c r="A26" t="s">
        <v>357</v>
      </c>
    </row>
    <row r="27" spans="1:40" ht="14.95" customHeight="1" x14ac:dyDescent="0.25">
      <c r="A27" t="s">
        <v>261</v>
      </c>
    </row>
    <row r="28" spans="1:40" ht="14.95" customHeight="1" x14ac:dyDescent="0.25">
      <c r="A28" s="238"/>
      <c r="B28" s="76" t="s">
        <v>42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</row>
    <row r="29" spans="1:40" ht="14.95" customHeight="1" x14ac:dyDescent="0.25">
      <c r="A29" s="140"/>
      <c r="B29" s="76" t="s">
        <v>40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ht="14.95" customHeight="1" x14ac:dyDescent="0.25">
      <c r="A30" s="239"/>
      <c r="B30" s="76" t="s">
        <v>41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ht="14.95" customHeight="1" x14ac:dyDescent="0.25">
      <c r="A31" s="258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</sheetData>
  <mergeCells count="17">
    <mergeCell ref="Y1:AB1"/>
    <mergeCell ref="AC1:AF1"/>
    <mergeCell ref="AG1:AJ1"/>
    <mergeCell ref="AK1:AN1"/>
    <mergeCell ref="C15:E15"/>
    <mergeCell ref="A1:C1"/>
    <mergeCell ref="E1:G1"/>
    <mergeCell ref="H1:I1"/>
    <mergeCell ref="J1:M1"/>
    <mergeCell ref="N1:O1"/>
    <mergeCell ref="P1:R1"/>
    <mergeCell ref="C16:E16"/>
    <mergeCell ref="C17:E17"/>
    <mergeCell ref="C18:E18"/>
    <mergeCell ref="C20:E20"/>
    <mergeCell ref="A21:AN21"/>
    <mergeCell ref="C19:E1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33"/>
  <sheetViews>
    <sheetView workbookViewId="0">
      <selection activeCell="A15" sqref="A1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3.125" bestFit="1" customWidth="1"/>
    <col min="22" max="22" width="21.25" bestFit="1" customWidth="1"/>
    <col min="23" max="23" width="22.5" bestFit="1" customWidth="1"/>
    <col min="24" max="24" width="28.25" bestFit="1" customWidth="1"/>
    <col min="25" max="40" width="3.75" customWidth="1"/>
  </cols>
  <sheetData>
    <row r="1" spans="1:40" ht="14.95" customHeight="1" thickBot="1" x14ac:dyDescent="0.3">
      <c r="A1" s="796" t="s">
        <v>96</v>
      </c>
      <c r="B1" s="797"/>
      <c r="C1" s="797"/>
      <c r="D1" s="47"/>
      <c r="E1" s="798" t="s">
        <v>24</v>
      </c>
      <c r="F1" s="799"/>
      <c r="G1" s="800"/>
      <c r="H1" s="798" t="s">
        <v>23</v>
      </c>
      <c r="I1" s="800"/>
      <c r="J1" s="804" t="s">
        <v>6</v>
      </c>
      <c r="K1" s="805"/>
      <c r="L1" s="805"/>
      <c r="M1" s="806"/>
      <c r="N1" s="804" t="s">
        <v>7</v>
      </c>
      <c r="O1" s="806"/>
      <c r="P1" s="804" t="s">
        <v>25</v>
      </c>
      <c r="Q1" s="805"/>
      <c r="R1" s="806"/>
      <c r="S1" s="154" t="s">
        <v>8</v>
      </c>
      <c r="T1" s="154" t="s">
        <v>9</v>
      </c>
      <c r="U1" s="31" t="s">
        <v>10</v>
      </c>
      <c r="V1" s="30" t="s">
        <v>11</v>
      </c>
      <c r="W1" s="32" t="s">
        <v>26</v>
      </c>
      <c r="X1" s="264" t="s">
        <v>27</v>
      </c>
      <c r="Y1" s="795" t="s">
        <v>20</v>
      </c>
      <c r="Z1" s="741"/>
      <c r="AA1" s="741"/>
      <c r="AB1" s="742"/>
      <c r="AC1" s="795" t="s">
        <v>58</v>
      </c>
      <c r="AD1" s="741"/>
      <c r="AE1" s="741"/>
      <c r="AF1" s="742"/>
      <c r="AG1" s="795" t="s">
        <v>59</v>
      </c>
      <c r="AH1" s="741"/>
      <c r="AI1" s="741"/>
      <c r="AJ1" s="742"/>
      <c r="AK1" s="795" t="s">
        <v>60</v>
      </c>
      <c r="AL1" s="741"/>
      <c r="AM1" s="741"/>
      <c r="AN1" s="742"/>
    </row>
    <row r="2" spans="1:40" ht="14.95" customHeight="1" thickBot="1" x14ac:dyDescent="0.3">
      <c r="A2" s="33" t="s">
        <v>19</v>
      </c>
      <c r="B2" s="34" t="s">
        <v>18</v>
      </c>
      <c r="C2" s="35" t="s">
        <v>17</v>
      </c>
      <c r="D2" s="36" t="s">
        <v>39</v>
      </c>
      <c r="E2" s="36" t="s">
        <v>16</v>
      </c>
      <c r="F2" s="36" t="s">
        <v>4</v>
      </c>
      <c r="G2" s="36" t="s">
        <v>5</v>
      </c>
      <c r="H2" s="37" t="s">
        <v>12</v>
      </c>
      <c r="I2" s="37" t="s">
        <v>3</v>
      </c>
      <c r="J2" s="37" t="s">
        <v>12</v>
      </c>
      <c r="K2" s="37" t="s">
        <v>13</v>
      </c>
      <c r="L2" s="37" t="s">
        <v>2</v>
      </c>
      <c r="M2" s="37" t="s">
        <v>14</v>
      </c>
      <c r="N2" s="37" t="s">
        <v>15</v>
      </c>
      <c r="O2" s="37" t="s">
        <v>16</v>
      </c>
      <c r="P2" s="37" t="s">
        <v>21</v>
      </c>
      <c r="Q2" s="37" t="s">
        <v>22</v>
      </c>
      <c r="R2" s="37" t="s">
        <v>12</v>
      </c>
      <c r="S2" s="38"/>
      <c r="T2" s="39"/>
      <c r="U2" s="40"/>
      <c r="V2" s="38"/>
      <c r="W2" s="41"/>
      <c r="X2" s="42"/>
      <c r="Y2" s="137" t="s">
        <v>0</v>
      </c>
      <c r="Z2" s="137" t="s">
        <v>1</v>
      </c>
      <c r="AA2" s="137" t="s">
        <v>2</v>
      </c>
      <c r="AB2" s="137" t="s">
        <v>3</v>
      </c>
      <c r="AC2" s="137" t="s">
        <v>0</v>
      </c>
      <c r="AD2" s="137" t="s">
        <v>1</v>
      </c>
      <c r="AE2" s="137" t="s">
        <v>2</v>
      </c>
      <c r="AF2" s="137" t="s">
        <v>3</v>
      </c>
      <c r="AG2" s="137" t="s">
        <v>0</v>
      </c>
      <c r="AH2" s="137" t="s">
        <v>1</v>
      </c>
      <c r="AI2" s="137" t="s">
        <v>2</v>
      </c>
      <c r="AJ2" s="137" t="s">
        <v>3</v>
      </c>
      <c r="AK2" s="137" t="s">
        <v>0</v>
      </c>
      <c r="AL2" s="137" t="s">
        <v>1</v>
      </c>
      <c r="AM2" s="137" t="s">
        <v>2</v>
      </c>
      <c r="AN2" s="137" t="s">
        <v>3</v>
      </c>
    </row>
    <row r="3" spans="1:40" ht="14.95" customHeight="1" thickBot="1" x14ac:dyDescent="0.35">
      <c r="A3" s="283">
        <v>44617</v>
      </c>
      <c r="B3" s="275" t="s">
        <v>109</v>
      </c>
      <c r="C3" s="275" t="s">
        <v>105</v>
      </c>
      <c r="D3" s="276" t="s">
        <v>110</v>
      </c>
      <c r="E3" s="276" t="s">
        <v>1</v>
      </c>
      <c r="F3" s="276">
        <v>59</v>
      </c>
      <c r="G3" s="276">
        <v>3</v>
      </c>
      <c r="H3" s="276" t="s">
        <v>72</v>
      </c>
      <c r="I3" s="276" t="s">
        <v>72</v>
      </c>
      <c r="J3" s="276">
        <v>9</v>
      </c>
      <c r="K3" s="276">
        <v>4</v>
      </c>
      <c r="L3" s="276">
        <v>0</v>
      </c>
      <c r="M3" s="276">
        <v>2</v>
      </c>
      <c r="N3" s="276">
        <v>0</v>
      </c>
      <c r="O3" s="276">
        <v>0</v>
      </c>
      <c r="P3" s="276" t="s">
        <v>72</v>
      </c>
      <c r="Q3" s="276" t="s">
        <v>72</v>
      </c>
      <c r="R3" s="276">
        <v>0</v>
      </c>
      <c r="S3" s="277"/>
      <c r="T3" s="285" t="s">
        <v>111</v>
      </c>
      <c r="U3" s="278" t="s">
        <v>116</v>
      </c>
      <c r="V3" s="277" t="s">
        <v>117</v>
      </c>
      <c r="W3" s="278" t="s">
        <v>118</v>
      </c>
      <c r="X3" s="279" t="s">
        <v>119</v>
      </c>
      <c r="Y3" s="280">
        <v>1</v>
      </c>
      <c r="Z3" s="280">
        <v>1</v>
      </c>
      <c r="AA3" s="280">
        <v>0</v>
      </c>
      <c r="AB3" s="281">
        <v>0</v>
      </c>
      <c r="AC3" s="280">
        <v>0</v>
      </c>
      <c r="AD3" s="280">
        <v>0</v>
      </c>
      <c r="AE3" s="280">
        <v>0</v>
      </c>
      <c r="AF3" s="281">
        <v>0</v>
      </c>
      <c r="AG3" s="282">
        <v>0</v>
      </c>
      <c r="AH3" s="282">
        <v>0</v>
      </c>
      <c r="AI3" s="282">
        <v>0</v>
      </c>
      <c r="AJ3" s="282">
        <v>0</v>
      </c>
      <c r="AK3" s="282">
        <v>1</v>
      </c>
      <c r="AL3" s="282">
        <v>1</v>
      </c>
      <c r="AM3" s="282">
        <v>0</v>
      </c>
      <c r="AN3" s="282">
        <v>0</v>
      </c>
    </row>
    <row r="4" spans="1:40" ht="14.95" customHeight="1" thickBot="1" x14ac:dyDescent="0.3">
      <c r="A4" s="203">
        <v>44646</v>
      </c>
      <c r="B4" s="204" t="s">
        <v>43</v>
      </c>
      <c r="C4" s="204" t="s">
        <v>30</v>
      </c>
      <c r="D4" s="214" t="s">
        <v>114</v>
      </c>
      <c r="E4" s="205" t="s">
        <v>3</v>
      </c>
      <c r="F4" s="205">
        <v>5</v>
      </c>
      <c r="G4" s="205">
        <v>57</v>
      </c>
      <c r="H4" s="205">
        <v>0</v>
      </c>
      <c r="I4" s="205">
        <v>0</v>
      </c>
      <c r="J4" s="205">
        <v>1</v>
      </c>
      <c r="K4" s="205">
        <v>0</v>
      </c>
      <c r="L4" s="205">
        <v>0</v>
      </c>
      <c r="M4" s="205">
        <v>0</v>
      </c>
      <c r="N4" s="205">
        <v>0</v>
      </c>
      <c r="O4" s="205">
        <v>0</v>
      </c>
      <c r="P4" s="205">
        <v>1</v>
      </c>
      <c r="Q4" s="205">
        <v>0</v>
      </c>
      <c r="R4" s="205">
        <v>9</v>
      </c>
      <c r="S4" s="206"/>
      <c r="T4" s="207" t="s">
        <v>146</v>
      </c>
      <c r="U4" s="208" t="s">
        <v>147</v>
      </c>
      <c r="V4" s="206" t="s">
        <v>148</v>
      </c>
      <c r="W4" s="209" t="s">
        <v>149</v>
      </c>
      <c r="X4" s="210" t="s">
        <v>209</v>
      </c>
      <c r="Y4" s="211">
        <v>1</v>
      </c>
      <c r="Z4" s="211">
        <v>0</v>
      </c>
      <c r="AA4" s="211">
        <v>0</v>
      </c>
      <c r="AB4" s="212">
        <v>1</v>
      </c>
      <c r="AC4" s="211">
        <v>1</v>
      </c>
      <c r="AD4" s="211">
        <v>0</v>
      </c>
      <c r="AE4" s="211">
        <v>0</v>
      </c>
      <c r="AF4" s="212">
        <v>1</v>
      </c>
      <c r="AG4" s="220">
        <v>0</v>
      </c>
      <c r="AH4" s="220">
        <v>0</v>
      </c>
      <c r="AI4" s="220">
        <v>0</v>
      </c>
      <c r="AJ4" s="220">
        <v>0</v>
      </c>
      <c r="AK4" s="220">
        <v>0</v>
      </c>
      <c r="AL4" s="220">
        <v>0</v>
      </c>
      <c r="AM4" s="220">
        <v>0</v>
      </c>
      <c r="AN4" s="220">
        <v>0</v>
      </c>
    </row>
    <row r="5" spans="1:40" ht="14.95" customHeight="1" thickBot="1" x14ac:dyDescent="0.35">
      <c r="A5" s="184">
        <v>44653</v>
      </c>
      <c r="B5" s="186" t="s">
        <v>43</v>
      </c>
      <c r="C5" s="186" t="s">
        <v>32</v>
      </c>
      <c r="D5" s="185" t="s">
        <v>75</v>
      </c>
      <c r="E5" s="187" t="s">
        <v>3</v>
      </c>
      <c r="F5" s="187">
        <v>19</v>
      </c>
      <c r="G5" s="187">
        <v>24</v>
      </c>
      <c r="H5" s="187">
        <v>0</v>
      </c>
      <c r="I5" s="187">
        <v>1</v>
      </c>
      <c r="J5" s="187">
        <v>3</v>
      </c>
      <c r="K5" s="187">
        <v>2</v>
      </c>
      <c r="L5" s="187">
        <v>0</v>
      </c>
      <c r="M5" s="187">
        <v>0</v>
      </c>
      <c r="N5" s="187">
        <v>1</v>
      </c>
      <c r="O5" s="187">
        <v>0</v>
      </c>
      <c r="P5" s="187">
        <v>1</v>
      </c>
      <c r="Q5" s="187">
        <v>0</v>
      </c>
      <c r="R5" s="187">
        <v>4</v>
      </c>
      <c r="S5" s="191"/>
      <c r="T5" s="293" t="s">
        <v>176</v>
      </c>
      <c r="U5" s="193" t="s">
        <v>147</v>
      </c>
      <c r="V5" s="191" t="s">
        <v>166</v>
      </c>
      <c r="W5" s="188" t="s">
        <v>160</v>
      </c>
      <c r="X5" s="194" t="s">
        <v>497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89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89">
        <v>0</v>
      </c>
    </row>
    <row r="6" spans="1:40" ht="14.95" customHeight="1" thickBot="1" x14ac:dyDescent="0.3">
      <c r="A6" s="203">
        <v>44661</v>
      </c>
      <c r="B6" s="204" t="s">
        <v>43</v>
      </c>
      <c r="C6" s="204" t="s">
        <v>34</v>
      </c>
      <c r="D6" s="214" t="s">
        <v>129</v>
      </c>
      <c r="E6" s="205" t="s">
        <v>3</v>
      </c>
      <c r="F6" s="205">
        <v>8</v>
      </c>
      <c r="G6" s="205">
        <v>28</v>
      </c>
      <c r="H6" s="205">
        <v>0</v>
      </c>
      <c r="I6" s="205">
        <v>0</v>
      </c>
      <c r="J6" s="205">
        <v>1</v>
      </c>
      <c r="K6" s="205">
        <v>0</v>
      </c>
      <c r="L6" s="205">
        <v>0</v>
      </c>
      <c r="M6" s="205">
        <v>1</v>
      </c>
      <c r="N6" s="205">
        <v>0</v>
      </c>
      <c r="O6" s="205">
        <v>0</v>
      </c>
      <c r="P6" s="205">
        <v>1</v>
      </c>
      <c r="Q6" s="205">
        <v>0</v>
      </c>
      <c r="R6" s="205">
        <v>4</v>
      </c>
      <c r="S6" s="206"/>
      <c r="T6" s="207" t="s">
        <v>197</v>
      </c>
      <c r="U6" s="208" t="s">
        <v>172</v>
      </c>
      <c r="V6" s="206" t="s">
        <v>198</v>
      </c>
      <c r="W6" s="208" t="s">
        <v>160</v>
      </c>
      <c r="X6" s="209" t="s">
        <v>199</v>
      </c>
      <c r="Y6" s="211">
        <v>1</v>
      </c>
      <c r="Z6" s="211">
        <v>0</v>
      </c>
      <c r="AA6" s="211">
        <v>0</v>
      </c>
      <c r="AB6" s="212">
        <v>1</v>
      </c>
      <c r="AC6" s="220">
        <v>1</v>
      </c>
      <c r="AD6" s="260">
        <v>0</v>
      </c>
      <c r="AE6" s="211">
        <v>0</v>
      </c>
      <c r="AF6" s="211">
        <v>1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1">
        <v>0</v>
      </c>
    </row>
    <row r="7" spans="1:40" ht="14.95" customHeight="1" thickBot="1" x14ac:dyDescent="0.35">
      <c r="A7" s="184">
        <v>44674</v>
      </c>
      <c r="B7" s="186" t="s">
        <v>43</v>
      </c>
      <c r="C7" s="186" t="s">
        <v>33</v>
      </c>
      <c r="D7" s="185" t="s">
        <v>125</v>
      </c>
      <c r="E7" s="187" t="s">
        <v>3</v>
      </c>
      <c r="F7" s="187">
        <v>13</v>
      </c>
      <c r="G7" s="187">
        <v>20</v>
      </c>
      <c r="H7" s="187">
        <v>0</v>
      </c>
      <c r="I7" s="187">
        <v>1</v>
      </c>
      <c r="J7" s="187">
        <v>1</v>
      </c>
      <c r="K7" s="187">
        <v>1</v>
      </c>
      <c r="L7" s="187">
        <v>0</v>
      </c>
      <c r="M7" s="187">
        <v>2</v>
      </c>
      <c r="N7" s="187">
        <v>0</v>
      </c>
      <c r="O7" s="187">
        <v>0</v>
      </c>
      <c r="P7" s="187">
        <v>0</v>
      </c>
      <c r="Q7" s="187">
        <v>0</v>
      </c>
      <c r="R7" s="187">
        <v>2</v>
      </c>
      <c r="S7" s="191"/>
      <c r="T7" s="293" t="s">
        <v>201</v>
      </c>
      <c r="U7" s="193" t="s">
        <v>211</v>
      </c>
      <c r="V7" s="191" t="s">
        <v>198</v>
      </c>
      <c r="W7" s="188" t="s">
        <v>165</v>
      </c>
      <c r="X7" s="194" t="s">
        <v>497</v>
      </c>
      <c r="Y7" s="189">
        <v>1</v>
      </c>
      <c r="Z7" s="189">
        <v>0</v>
      </c>
      <c r="AA7" s="189">
        <v>0</v>
      </c>
      <c r="AB7" s="190">
        <v>1</v>
      </c>
      <c r="AC7" s="189">
        <v>0</v>
      </c>
      <c r="AD7" s="189">
        <v>0</v>
      </c>
      <c r="AE7" s="189">
        <v>0</v>
      </c>
      <c r="AF7" s="190">
        <v>0</v>
      </c>
      <c r="AG7" s="200">
        <v>1</v>
      </c>
      <c r="AH7" s="200">
        <v>0</v>
      </c>
      <c r="AI7" s="200">
        <v>0</v>
      </c>
      <c r="AJ7" s="200">
        <v>1</v>
      </c>
      <c r="AK7" s="189">
        <v>0</v>
      </c>
      <c r="AL7" s="189">
        <v>0</v>
      </c>
      <c r="AM7" s="189">
        <v>0</v>
      </c>
      <c r="AN7" s="189">
        <v>0</v>
      </c>
    </row>
    <row r="8" spans="1:40" ht="14.95" customHeight="1" thickBot="1" x14ac:dyDescent="0.3">
      <c r="A8" s="184">
        <v>44681</v>
      </c>
      <c r="B8" s="186" t="s">
        <v>43</v>
      </c>
      <c r="C8" s="186" t="s">
        <v>37</v>
      </c>
      <c r="D8" s="185" t="s">
        <v>137</v>
      </c>
      <c r="E8" s="187" t="s">
        <v>3</v>
      </c>
      <c r="F8" s="187">
        <v>14</v>
      </c>
      <c r="G8" s="187">
        <v>15</v>
      </c>
      <c r="H8" s="187">
        <v>0</v>
      </c>
      <c r="I8" s="187">
        <v>1</v>
      </c>
      <c r="J8" s="187">
        <v>1</v>
      </c>
      <c r="K8" s="187">
        <v>0</v>
      </c>
      <c r="L8" s="187">
        <v>0</v>
      </c>
      <c r="M8" s="187">
        <v>3</v>
      </c>
      <c r="N8" s="187">
        <v>0</v>
      </c>
      <c r="O8" s="187">
        <v>0</v>
      </c>
      <c r="P8" s="187">
        <v>0</v>
      </c>
      <c r="Q8" s="187">
        <v>0</v>
      </c>
      <c r="R8" s="187">
        <v>2</v>
      </c>
      <c r="S8" s="191"/>
      <c r="T8" s="195" t="s">
        <v>237</v>
      </c>
      <c r="U8" s="193" t="s">
        <v>207</v>
      </c>
      <c r="V8" s="191" t="s">
        <v>117</v>
      </c>
      <c r="W8" s="188" t="s">
        <v>236</v>
      </c>
      <c r="X8" s="194" t="s">
        <v>202</v>
      </c>
      <c r="Y8" s="189">
        <v>1</v>
      </c>
      <c r="Z8" s="189">
        <v>0</v>
      </c>
      <c r="AA8" s="189">
        <v>0</v>
      </c>
      <c r="AB8" s="190">
        <v>1</v>
      </c>
      <c r="AC8" s="189">
        <v>0</v>
      </c>
      <c r="AD8" s="189">
        <v>0</v>
      </c>
      <c r="AE8" s="189">
        <v>0</v>
      </c>
      <c r="AF8" s="189">
        <v>0</v>
      </c>
      <c r="AG8" s="189">
        <v>1</v>
      </c>
      <c r="AH8" s="189">
        <v>0</v>
      </c>
      <c r="AI8" s="189">
        <v>0</v>
      </c>
      <c r="AJ8" s="190">
        <v>1</v>
      </c>
      <c r="AK8" s="189">
        <v>0</v>
      </c>
      <c r="AL8" s="189">
        <v>0</v>
      </c>
      <c r="AM8" s="189">
        <v>0</v>
      </c>
      <c r="AN8" s="189">
        <v>0</v>
      </c>
    </row>
    <row r="9" spans="1:40" ht="14.95" customHeight="1" thickBot="1" x14ac:dyDescent="0.35">
      <c r="A9" s="203">
        <v>44800</v>
      </c>
      <c r="B9" s="204" t="s">
        <v>246</v>
      </c>
      <c r="C9" s="204" t="s">
        <v>57</v>
      </c>
      <c r="D9" s="214" t="s">
        <v>114</v>
      </c>
      <c r="E9" s="205" t="s">
        <v>3</v>
      </c>
      <c r="F9" s="205">
        <v>17</v>
      </c>
      <c r="G9" s="205">
        <v>21</v>
      </c>
      <c r="H9" s="205" t="s">
        <v>72</v>
      </c>
      <c r="I9" s="205" t="s">
        <v>72</v>
      </c>
      <c r="J9" s="205">
        <v>2</v>
      </c>
      <c r="K9" s="205">
        <v>2</v>
      </c>
      <c r="L9" s="205">
        <v>0</v>
      </c>
      <c r="M9" s="205">
        <v>1</v>
      </c>
      <c r="N9" s="205">
        <v>0</v>
      </c>
      <c r="O9" s="205">
        <v>0</v>
      </c>
      <c r="P9" s="205" t="s">
        <v>72</v>
      </c>
      <c r="Q9" s="205" t="s">
        <v>72</v>
      </c>
      <c r="R9" s="205">
        <v>3</v>
      </c>
      <c r="S9" s="206"/>
      <c r="T9" s="219" t="s">
        <v>380</v>
      </c>
      <c r="U9" s="208" t="s">
        <v>147</v>
      </c>
      <c r="V9" s="206" t="s">
        <v>198</v>
      </c>
      <c r="W9" s="206" t="s">
        <v>159</v>
      </c>
      <c r="X9" s="210" t="s">
        <v>209</v>
      </c>
      <c r="Y9" s="211">
        <v>1</v>
      </c>
      <c r="Z9" s="211">
        <v>0</v>
      </c>
      <c r="AA9" s="211">
        <v>0</v>
      </c>
      <c r="AB9" s="212">
        <v>1</v>
      </c>
      <c r="AC9" s="211">
        <v>1</v>
      </c>
      <c r="AD9" s="211">
        <v>0</v>
      </c>
      <c r="AE9" s="211">
        <v>0</v>
      </c>
      <c r="AF9" s="212">
        <v>1</v>
      </c>
      <c r="AG9" s="211">
        <v>0</v>
      </c>
      <c r="AH9" s="211">
        <v>0</v>
      </c>
      <c r="AI9" s="211">
        <v>0</v>
      </c>
      <c r="AJ9" s="212">
        <v>0</v>
      </c>
      <c r="AK9" s="211">
        <v>0</v>
      </c>
      <c r="AL9" s="211">
        <v>0</v>
      </c>
      <c r="AM9" s="211">
        <v>0</v>
      </c>
      <c r="AN9" s="212">
        <v>0</v>
      </c>
    </row>
    <row r="10" spans="1:40" ht="14.95" customHeight="1" thickBot="1" x14ac:dyDescent="0.3">
      <c r="A10" s="226">
        <v>44843</v>
      </c>
      <c r="B10" s="227" t="s">
        <v>139</v>
      </c>
      <c r="C10" s="227" t="s">
        <v>32</v>
      </c>
      <c r="D10" s="286" t="s">
        <v>140</v>
      </c>
      <c r="E10" s="223" t="s">
        <v>3</v>
      </c>
      <c r="F10" s="223">
        <v>15</v>
      </c>
      <c r="G10" s="223">
        <v>18</v>
      </c>
      <c r="H10" s="223">
        <v>0</v>
      </c>
      <c r="I10" s="223">
        <v>1</v>
      </c>
      <c r="J10" s="223">
        <v>3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2</v>
      </c>
      <c r="S10" s="228"/>
      <c r="T10" s="240" t="s">
        <v>487</v>
      </c>
      <c r="U10" s="229" t="s">
        <v>172</v>
      </c>
      <c r="V10" s="228" t="s">
        <v>166</v>
      </c>
      <c r="W10" s="228" t="s">
        <v>194</v>
      </c>
      <c r="X10" s="230" t="s">
        <v>483</v>
      </c>
      <c r="Y10" s="155">
        <v>1</v>
      </c>
      <c r="Z10" s="155">
        <v>0</v>
      </c>
      <c r="AA10" s="155">
        <v>0</v>
      </c>
      <c r="AB10" s="224">
        <v>1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0</v>
      </c>
      <c r="AM10" s="155">
        <v>0</v>
      </c>
      <c r="AN10" s="224">
        <v>1</v>
      </c>
    </row>
    <row r="11" spans="1:40" ht="14.95" customHeight="1" thickBot="1" x14ac:dyDescent="0.35">
      <c r="A11" s="226">
        <v>44849</v>
      </c>
      <c r="B11" s="227" t="s">
        <v>139</v>
      </c>
      <c r="C11" s="227" t="s">
        <v>29</v>
      </c>
      <c r="D11" s="286" t="s">
        <v>140</v>
      </c>
      <c r="E11" s="223" t="s">
        <v>3</v>
      </c>
      <c r="F11" s="223">
        <v>12</v>
      </c>
      <c r="G11" s="223">
        <v>14</v>
      </c>
      <c r="H11" s="223">
        <v>0</v>
      </c>
      <c r="I11" s="223">
        <v>1</v>
      </c>
      <c r="J11" s="223">
        <v>2</v>
      </c>
      <c r="K11" s="223">
        <v>0</v>
      </c>
      <c r="L11" s="223"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v>0</v>
      </c>
      <c r="R11" s="223">
        <v>2</v>
      </c>
      <c r="S11" s="228"/>
      <c r="T11" s="396" t="s">
        <v>496</v>
      </c>
      <c r="U11" s="229" t="s">
        <v>211</v>
      </c>
      <c r="V11" s="228" t="s">
        <v>229</v>
      </c>
      <c r="W11" s="625" t="s">
        <v>476</v>
      </c>
      <c r="X11" s="230" t="s">
        <v>477</v>
      </c>
      <c r="Y11" s="155">
        <v>1</v>
      </c>
      <c r="Z11" s="155">
        <v>0</v>
      </c>
      <c r="AA11" s="155">
        <v>0</v>
      </c>
      <c r="AB11" s="224">
        <v>1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0</v>
      </c>
      <c r="AM11" s="155">
        <v>0</v>
      </c>
      <c r="AN11" s="224">
        <v>1</v>
      </c>
    </row>
    <row r="12" spans="1:40" ht="14.95" customHeight="1" thickBot="1" x14ac:dyDescent="0.3">
      <c r="A12" s="184">
        <v>44856</v>
      </c>
      <c r="B12" s="186" t="s">
        <v>139</v>
      </c>
      <c r="C12" s="186" t="s">
        <v>77</v>
      </c>
      <c r="D12" s="185" t="s">
        <v>140</v>
      </c>
      <c r="E12" s="187" t="s">
        <v>3</v>
      </c>
      <c r="F12" s="187">
        <v>0</v>
      </c>
      <c r="G12" s="187">
        <v>57</v>
      </c>
      <c r="H12" s="187">
        <v>0</v>
      </c>
      <c r="I12" s="187">
        <v>0</v>
      </c>
      <c r="J12" s="187">
        <v>0</v>
      </c>
      <c r="K12" s="187">
        <v>0</v>
      </c>
      <c r="L12" s="187">
        <v>0</v>
      </c>
      <c r="M12" s="187">
        <v>0</v>
      </c>
      <c r="N12" s="187">
        <v>0</v>
      </c>
      <c r="O12" s="187">
        <v>0</v>
      </c>
      <c r="P12" s="187">
        <v>1</v>
      </c>
      <c r="Q12" s="187">
        <v>0</v>
      </c>
      <c r="R12" s="187">
        <v>9</v>
      </c>
      <c r="S12" s="191"/>
      <c r="T12" s="195" t="s">
        <v>506</v>
      </c>
      <c r="U12" s="193" t="s">
        <v>149</v>
      </c>
      <c r="V12" s="191" t="s">
        <v>166</v>
      </c>
      <c r="W12" s="191" t="s">
        <v>236</v>
      </c>
      <c r="X12" s="194" t="s">
        <v>477</v>
      </c>
      <c r="Y12" s="189">
        <v>1</v>
      </c>
      <c r="Z12" s="189">
        <v>0</v>
      </c>
      <c r="AA12" s="189">
        <v>0</v>
      </c>
      <c r="AB12" s="190">
        <v>1</v>
      </c>
      <c r="AC12" s="189">
        <v>0</v>
      </c>
      <c r="AD12" s="189">
        <v>0</v>
      </c>
      <c r="AE12" s="189">
        <v>0</v>
      </c>
      <c r="AF12" s="190">
        <v>0</v>
      </c>
      <c r="AG12" s="189">
        <v>0</v>
      </c>
      <c r="AH12" s="189">
        <v>0</v>
      </c>
      <c r="AI12" s="189">
        <v>0</v>
      </c>
      <c r="AJ12" s="190">
        <v>0</v>
      </c>
      <c r="AK12" s="189">
        <v>1</v>
      </c>
      <c r="AL12" s="189">
        <v>0</v>
      </c>
      <c r="AM12" s="189">
        <v>0</v>
      </c>
      <c r="AN12" s="190">
        <v>1</v>
      </c>
    </row>
    <row r="13" spans="1:40" ht="15.8" customHeight="1" thickBot="1" x14ac:dyDescent="0.35">
      <c r="A13" s="226"/>
      <c r="B13" s="227"/>
      <c r="C13" s="227"/>
      <c r="D13" s="227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90"/>
      <c r="T13" s="231"/>
      <c r="U13" s="229"/>
      <c r="V13" s="228"/>
      <c r="W13" s="229"/>
      <c r="X13" s="228"/>
      <c r="Y13" s="155"/>
      <c r="Z13" s="155"/>
      <c r="AA13" s="155"/>
      <c r="AB13" s="224"/>
      <c r="AC13" s="155"/>
      <c r="AD13" s="155"/>
      <c r="AE13" s="155"/>
      <c r="AF13" s="224"/>
      <c r="AG13" s="155"/>
      <c r="AH13" s="155"/>
      <c r="AI13" s="155"/>
      <c r="AJ13" s="224"/>
      <c r="AK13" s="155"/>
      <c r="AL13" s="155"/>
      <c r="AM13" s="155"/>
      <c r="AN13" s="224"/>
    </row>
    <row r="14" spans="1:40" ht="15.8" customHeight="1" thickBot="1" x14ac:dyDescent="0.35">
      <c r="A14" s="226"/>
      <c r="B14" s="227"/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7" thickBot="1" x14ac:dyDescent="0.35">
      <c r="A15" s="226"/>
      <c r="B15" s="227"/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0" ht="14.95" thickBot="1" x14ac:dyDescent="0.3">
      <c r="A16" s="123"/>
      <c r="B16" s="124"/>
      <c r="C16" s="692" t="s">
        <v>74</v>
      </c>
      <c r="D16" s="693"/>
      <c r="E16" s="694"/>
      <c r="F16" s="122">
        <f t="shared" ref="F16:R16" si="0">SUM(F4:F8)</f>
        <v>59</v>
      </c>
      <c r="G16" s="122">
        <f t="shared" si="0"/>
        <v>144</v>
      </c>
      <c r="H16" s="122">
        <f t="shared" si="0"/>
        <v>0</v>
      </c>
      <c r="I16" s="122">
        <f t="shared" si="0"/>
        <v>3</v>
      </c>
      <c r="J16" s="122">
        <f t="shared" si="0"/>
        <v>7</v>
      </c>
      <c r="K16" s="122">
        <f t="shared" si="0"/>
        <v>3</v>
      </c>
      <c r="L16" s="122">
        <f t="shared" si="0"/>
        <v>0</v>
      </c>
      <c r="M16" s="122">
        <f t="shared" si="0"/>
        <v>6</v>
      </c>
      <c r="N16" s="122">
        <f t="shared" si="0"/>
        <v>1</v>
      </c>
      <c r="O16" s="122">
        <f t="shared" si="0"/>
        <v>0</v>
      </c>
      <c r="P16" s="122">
        <f t="shared" si="0"/>
        <v>3</v>
      </c>
      <c r="Q16" s="122">
        <f t="shared" si="0"/>
        <v>0</v>
      </c>
      <c r="R16" s="122">
        <f t="shared" si="0"/>
        <v>21</v>
      </c>
      <c r="W16" s="119"/>
      <c r="X16" s="158" t="s">
        <v>74</v>
      </c>
      <c r="Y16" s="122">
        <f t="shared" ref="Y16:AN16" si="1">SUM(Y4:Y8)</f>
        <v>5</v>
      </c>
      <c r="Z16" s="122">
        <f t="shared" si="1"/>
        <v>0</v>
      </c>
      <c r="AA16" s="122">
        <f t="shared" si="1"/>
        <v>0</v>
      </c>
      <c r="AB16" s="122">
        <f t="shared" si="1"/>
        <v>5</v>
      </c>
      <c r="AC16" s="120">
        <f t="shared" si="1"/>
        <v>2</v>
      </c>
      <c r="AD16" s="120">
        <f t="shared" si="1"/>
        <v>0</v>
      </c>
      <c r="AE16" s="120">
        <f t="shared" si="1"/>
        <v>0</v>
      </c>
      <c r="AF16" s="120">
        <f t="shared" si="1"/>
        <v>2</v>
      </c>
      <c r="AG16" s="121">
        <f t="shared" si="1"/>
        <v>3</v>
      </c>
      <c r="AH16" s="121">
        <f t="shared" si="1"/>
        <v>0</v>
      </c>
      <c r="AI16" s="121">
        <f t="shared" si="1"/>
        <v>0</v>
      </c>
      <c r="AJ16" s="121">
        <f t="shared" si="1"/>
        <v>3</v>
      </c>
      <c r="AK16" s="122">
        <f t="shared" si="1"/>
        <v>0</v>
      </c>
      <c r="AL16" s="122">
        <f t="shared" si="1"/>
        <v>0</v>
      </c>
      <c r="AM16" s="122">
        <f t="shared" si="1"/>
        <v>0</v>
      </c>
      <c r="AN16" s="122">
        <f t="shared" si="1"/>
        <v>0</v>
      </c>
    </row>
    <row r="17" spans="1:40" ht="14.95" thickBot="1" x14ac:dyDescent="0.3">
      <c r="A17" s="123"/>
      <c r="B17" s="124"/>
      <c r="C17" s="801" t="s">
        <v>91</v>
      </c>
      <c r="D17" s="802"/>
      <c r="E17" s="803"/>
      <c r="F17" s="270">
        <f>F3</f>
        <v>59</v>
      </c>
      <c r="G17" s="270">
        <f>G3</f>
        <v>3</v>
      </c>
      <c r="H17" s="270" t="s">
        <v>72</v>
      </c>
      <c r="I17" s="270" t="s">
        <v>72</v>
      </c>
      <c r="J17" s="270">
        <f t="shared" ref="J17:O17" si="2">J3</f>
        <v>9</v>
      </c>
      <c r="K17" s="270">
        <f t="shared" si="2"/>
        <v>4</v>
      </c>
      <c r="L17" s="270">
        <f t="shared" si="2"/>
        <v>0</v>
      </c>
      <c r="M17" s="270">
        <f t="shared" si="2"/>
        <v>2</v>
      </c>
      <c r="N17" s="270">
        <f t="shared" si="2"/>
        <v>0</v>
      </c>
      <c r="O17" s="270">
        <f t="shared" si="2"/>
        <v>0</v>
      </c>
      <c r="P17" s="270" t="s">
        <v>72</v>
      </c>
      <c r="Q17" s="270" t="s">
        <v>72</v>
      </c>
      <c r="R17" s="270">
        <f>R3</f>
        <v>0</v>
      </c>
      <c r="S17" s="271"/>
      <c r="T17" s="271"/>
      <c r="U17" s="271"/>
      <c r="V17" s="271"/>
      <c r="W17" s="272"/>
      <c r="X17" s="284" t="s">
        <v>91</v>
      </c>
      <c r="Y17" s="421">
        <f t="shared" ref="Y17:AN17" si="3">Y3</f>
        <v>1</v>
      </c>
      <c r="Z17" s="270">
        <f t="shared" si="3"/>
        <v>1</v>
      </c>
      <c r="AA17" s="270">
        <f t="shared" si="3"/>
        <v>0</v>
      </c>
      <c r="AB17" s="270">
        <f t="shared" si="3"/>
        <v>0</v>
      </c>
      <c r="AC17" s="273">
        <f t="shared" si="3"/>
        <v>0</v>
      </c>
      <c r="AD17" s="273">
        <f t="shared" si="3"/>
        <v>0</v>
      </c>
      <c r="AE17" s="273">
        <f t="shared" si="3"/>
        <v>0</v>
      </c>
      <c r="AF17" s="273">
        <f t="shared" si="3"/>
        <v>0</v>
      </c>
      <c r="AG17" s="274">
        <f t="shared" si="3"/>
        <v>0</v>
      </c>
      <c r="AH17" s="274">
        <f t="shared" si="3"/>
        <v>0</v>
      </c>
      <c r="AI17" s="274">
        <f t="shared" si="3"/>
        <v>0</v>
      </c>
      <c r="AJ17" s="274">
        <f t="shared" si="3"/>
        <v>0</v>
      </c>
      <c r="AK17" s="270">
        <f t="shared" si="3"/>
        <v>1</v>
      </c>
      <c r="AL17" s="270">
        <f t="shared" si="3"/>
        <v>1</v>
      </c>
      <c r="AM17" s="270">
        <f t="shared" si="3"/>
        <v>0</v>
      </c>
      <c r="AN17" s="270">
        <f t="shared" si="3"/>
        <v>0</v>
      </c>
    </row>
    <row r="18" spans="1:40" ht="14.95" thickBot="1" x14ac:dyDescent="0.3">
      <c r="A18" s="123"/>
      <c r="B18" s="124"/>
      <c r="C18" s="679" t="s">
        <v>467</v>
      </c>
      <c r="D18" s="680"/>
      <c r="E18" s="681"/>
      <c r="F18" s="414">
        <f>SUM(F10:F12)</f>
        <v>27</v>
      </c>
      <c r="G18" s="414">
        <f t="shared" ref="G18:R18" si="4">SUM(G10:G12)</f>
        <v>89</v>
      </c>
      <c r="H18" s="414">
        <f t="shared" si="4"/>
        <v>0</v>
      </c>
      <c r="I18" s="414">
        <f t="shared" si="4"/>
        <v>2</v>
      </c>
      <c r="J18" s="414">
        <f t="shared" si="4"/>
        <v>5</v>
      </c>
      <c r="K18" s="414">
        <f t="shared" si="4"/>
        <v>0</v>
      </c>
      <c r="L18" s="414">
        <f t="shared" si="4"/>
        <v>0</v>
      </c>
      <c r="M18" s="414">
        <f t="shared" si="4"/>
        <v>0</v>
      </c>
      <c r="N18" s="414">
        <f t="shared" si="4"/>
        <v>0</v>
      </c>
      <c r="O18" s="414">
        <f t="shared" si="4"/>
        <v>0</v>
      </c>
      <c r="P18" s="414">
        <f t="shared" si="4"/>
        <v>1</v>
      </c>
      <c r="Q18" s="414">
        <f t="shared" si="4"/>
        <v>0</v>
      </c>
      <c r="R18" s="414">
        <f t="shared" si="4"/>
        <v>13</v>
      </c>
      <c r="S18" s="415"/>
      <c r="T18" s="415"/>
      <c r="U18" s="415"/>
      <c r="V18" s="415"/>
      <c r="W18" s="416"/>
      <c r="X18" s="417" t="s">
        <v>467</v>
      </c>
      <c r="Y18" s="414">
        <f t="shared" ref="Y18:AN18" si="5">SUM(Y10:Y12)</f>
        <v>3</v>
      </c>
      <c r="Z18" s="414">
        <f t="shared" si="5"/>
        <v>0</v>
      </c>
      <c r="AA18" s="414">
        <f t="shared" si="5"/>
        <v>0</v>
      </c>
      <c r="AB18" s="414">
        <f t="shared" si="5"/>
        <v>3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0</v>
      </c>
      <c r="AH18" s="419">
        <f t="shared" si="5"/>
        <v>0</v>
      </c>
      <c r="AI18" s="419">
        <f t="shared" si="5"/>
        <v>0</v>
      </c>
      <c r="AJ18" s="419">
        <f t="shared" si="5"/>
        <v>0</v>
      </c>
      <c r="AK18" s="414">
        <f t="shared" si="5"/>
        <v>3</v>
      </c>
      <c r="AL18" s="414">
        <f t="shared" si="5"/>
        <v>0</v>
      </c>
      <c r="AM18" s="414">
        <f t="shared" si="5"/>
        <v>0</v>
      </c>
      <c r="AN18" s="414">
        <f t="shared" si="5"/>
        <v>3</v>
      </c>
    </row>
    <row r="19" spans="1:40" ht="14.95" thickBot="1" x14ac:dyDescent="0.3">
      <c r="A19" s="123"/>
      <c r="B19" s="124"/>
      <c r="C19" s="679" t="s">
        <v>468</v>
      </c>
      <c r="D19" s="680"/>
      <c r="E19" s="681"/>
      <c r="F19" s="414">
        <f>SUM(F13:F15)</f>
        <v>0</v>
      </c>
      <c r="G19" s="414">
        <f>SUM(G13:G15)</f>
        <v>0</v>
      </c>
      <c r="H19" s="414">
        <v>0</v>
      </c>
      <c r="I19" s="414">
        <v>0</v>
      </c>
      <c r="J19" s="414">
        <f t="shared" ref="J19:O19" si="6">SUM(J13:J15)</f>
        <v>0</v>
      </c>
      <c r="K19" s="414">
        <f t="shared" si="6"/>
        <v>0</v>
      </c>
      <c r="L19" s="414">
        <f t="shared" si="6"/>
        <v>0</v>
      </c>
      <c r="M19" s="414">
        <f t="shared" si="6"/>
        <v>0</v>
      </c>
      <c r="N19" s="414">
        <f t="shared" si="6"/>
        <v>0</v>
      </c>
      <c r="O19" s="414">
        <f t="shared" si="6"/>
        <v>0</v>
      </c>
      <c r="P19" s="414">
        <v>0</v>
      </c>
      <c r="Q19" s="414">
        <v>0</v>
      </c>
      <c r="R19" s="414">
        <f>SUM(R13:R15)</f>
        <v>0</v>
      </c>
      <c r="S19" s="415"/>
      <c r="T19" s="415"/>
      <c r="U19" s="415"/>
      <c r="V19" s="415"/>
      <c r="W19" s="416"/>
      <c r="X19" s="417" t="s">
        <v>468</v>
      </c>
      <c r="Y19" s="414">
        <f t="shared" ref="Y19:AN19" si="7">SUM(Y13:Y15)</f>
        <v>0</v>
      </c>
      <c r="Z19" s="414">
        <f t="shared" si="7"/>
        <v>0</v>
      </c>
      <c r="AA19" s="414">
        <f t="shared" si="7"/>
        <v>0</v>
      </c>
      <c r="AB19" s="414">
        <f t="shared" si="7"/>
        <v>0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0</v>
      </c>
      <c r="AH19" s="419">
        <f t="shared" si="7"/>
        <v>0</v>
      </c>
      <c r="AI19" s="419">
        <f t="shared" si="7"/>
        <v>0</v>
      </c>
      <c r="AJ19" s="419">
        <f t="shared" si="7"/>
        <v>0</v>
      </c>
      <c r="AK19" s="414">
        <f t="shared" si="7"/>
        <v>0</v>
      </c>
      <c r="AL19" s="414">
        <f t="shared" si="7"/>
        <v>0</v>
      </c>
      <c r="AM19" s="414">
        <f t="shared" si="7"/>
        <v>0</v>
      </c>
      <c r="AN19" s="414">
        <f t="shared" si="7"/>
        <v>0</v>
      </c>
    </row>
    <row r="20" spans="1:40" ht="14.95" customHeight="1" thickBot="1" x14ac:dyDescent="0.3">
      <c r="A20" s="123"/>
      <c r="B20" s="124"/>
      <c r="C20" s="679" t="s">
        <v>469</v>
      </c>
      <c r="D20" s="680"/>
      <c r="E20" s="681"/>
      <c r="F20" s="414">
        <f>SUM(F18+F19)</f>
        <v>27</v>
      </c>
      <c r="G20" s="414">
        <f t="shared" ref="G20:R20" si="8">SUM(G18+G19)</f>
        <v>89</v>
      </c>
      <c r="H20" s="414">
        <f t="shared" si="8"/>
        <v>0</v>
      </c>
      <c r="I20" s="414">
        <f t="shared" si="8"/>
        <v>2</v>
      </c>
      <c r="J20" s="414">
        <f t="shared" si="8"/>
        <v>5</v>
      </c>
      <c r="K20" s="414">
        <f t="shared" si="8"/>
        <v>0</v>
      </c>
      <c r="L20" s="414">
        <f t="shared" si="8"/>
        <v>0</v>
      </c>
      <c r="M20" s="414">
        <f t="shared" si="8"/>
        <v>0</v>
      </c>
      <c r="N20" s="414">
        <f t="shared" si="8"/>
        <v>0</v>
      </c>
      <c r="O20" s="414">
        <f t="shared" si="8"/>
        <v>0</v>
      </c>
      <c r="P20" s="414">
        <f t="shared" si="8"/>
        <v>1</v>
      </c>
      <c r="Q20" s="414">
        <f t="shared" si="8"/>
        <v>0</v>
      </c>
      <c r="R20" s="414">
        <f t="shared" si="8"/>
        <v>13</v>
      </c>
      <c r="S20" s="415"/>
      <c r="T20" s="415"/>
      <c r="U20" s="415"/>
      <c r="V20" s="415"/>
      <c r="W20" s="416"/>
      <c r="X20" s="417" t="s">
        <v>469</v>
      </c>
      <c r="Y20" s="414">
        <f t="shared" ref="Y20:AN20" si="9">SUM(Y18+Y19)</f>
        <v>3</v>
      </c>
      <c r="Z20" s="414">
        <f t="shared" si="9"/>
        <v>0</v>
      </c>
      <c r="AA20" s="414">
        <f t="shared" si="9"/>
        <v>0</v>
      </c>
      <c r="AB20" s="414">
        <f t="shared" si="9"/>
        <v>3</v>
      </c>
      <c r="AC20" s="418">
        <f t="shared" si="9"/>
        <v>0</v>
      </c>
      <c r="AD20" s="418">
        <f t="shared" si="9"/>
        <v>0</v>
      </c>
      <c r="AE20" s="418">
        <f t="shared" si="9"/>
        <v>0</v>
      </c>
      <c r="AF20" s="418">
        <f t="shared" si="9"/>
        <v>0</v>
      </c>
      <c r="AG20" s="419">
        <f t="shared" si="9"/>
        <v>0</v>
      </c>
      <c r="AH20" s="419">
        <f t="shared" si="9"/>
        <v>0</v>
      </c>
      <c r="AI20" s="419">
        <f t="shared" si="9"/>
        <v>0</v>
      </c>
      <c r="AJ20" s="419">
        <f t="shared" si="9"/>
        <v>0</v>
      </c>
      <c r="AK20" s="414">
        <f t="shared" si="9"/>
        <v>3</v>
      </c>
      <c r="AL20" s="414">
        <f t="shared" si="9"/>
        <v>0</v>
      </c>
      <c r="AM20" s="414">
        <f t="shared" si="9"/>
        <v>0</v>
      </c>
      <c r="AN20" s="414">
        <f t="shared" si="9"/>
        <v>3</v>
      </c>
    </row>
    <row r="21" spans="1:40" ht="14.95" thickBot="1" x14ac:dyDescent="0.3">
      <c r="A21" s="123"/>
      <c r="B21" s="124"/>
      <c r="C21" s="686" t="s">
        <v>83</v>
      </c>
      <c r="D21" s="687"/>
      <c r="E21" s="688"/>
      <c r="F21" s="244">
        <f>F9</f>
        <v>17</v>
      </c>
      <c r="G21" s="244">
        <f>G9</f>
        <v>21</v>
      </c>
      <c r="H21" s="244" t="s">
        <v>72</v>
      </c>
      <c r="I21" s="244" t="s">
        <v>72</v>
      </c>
      <c r="J21" s="244">
        <f t="shared" ref="J21:O21" si="10">J9</f>
        <v>2</v>
      </c>
      <c r="K21" s="244">
        <f t="shared" si="10"/>
        <v>2</v>
      </c>
      <c r="L21" s="244">
        <f t="shared" si="10"/>
        <v>0</v>
      </c>
      <c r="M21" s="244">
        <f t="shared" si="10"/>
        <v>1</v>
      </c>
      <c r="N21" s="244">
        <f t="shared" si="10"/>
        <v>0</v>
      </c>
      <c r="O21" s="244">
        <f t="shared" si="10"/>
        <v>0</v>
      </c>
      <c r="P21" s="244" t="s">
        <v>72</v>
      </c>
      <c r="Q21" s="244" t="s">
        <v>72</v>
      </c>
      <c r="R21" s="244">
        <f>R9</f>
        <v>3</v>
      </c>
      <c r="S21" s="252"/>
      <c r="T21" s="252"/>
      <c r="U21" s="252"/>
      <c r="V21" s="252"/>
      <c r="W21" s="242"/>
      <c r="X21" s="249" t="s">
        <v>83</v>
      </c>
      <c r="Y21" s="244">
        <f t="shared" ref="Y21:AN21" si="11">Y9</f>
        <v>1</v>
      </c>
      <c r="Z21" s="244">
        <f t="shared" si="11"/>
        <v>0</v>
      </c>
      <c r="AA21" s="244">
        <f t="shared" si="11"/>
        <v>0</v>
      </c>
      <c r="AB21" s="244">
        <f t="shared" si="11"/>
        <v>1</v>
      </c>
      <c r="AC21" s="245">
        <f t="shared" si="11"/>
        <v>1</v>
      </c>
      <c r="AD21" s="245">
        <f t="shared" si="11"/>
        <v>0</v>
      </c>
      <c r="AE21" s="245">
        <f t="shared" si="11"/>
        <v>0</v>
      </c>
      <c r="AF21" s="245">
        <f t="shared" si="11"/>
        <v>1</v>
      </c>
      <c r="AG21" s="246">
        <f t="shared" si="11"/>
        <v>0</v>
      </c>
      <c r="AH21" s="246">
        <f t="shared" si="11"/>
        <v>0</v>
      </c>
      <c r="AI21" s="246">
        <f t="shared" si="11"/>
        <v>0</v>
      </c>
      <c r="AJ21" s="246">
        <f t="shared" si="11"/>
        <v>0</v>
      </c>
      <c r="AK21" s="244">
        <f t="shared" si="11"/>
        <v>0</v>
      </c>
      <c r="AL21" s="244">
        <f t="shared" si="11"/>
        <v>0</v>
      </c>
      <c r="AM21" s="244">
        <f t="shared" si="11"/>
        <v>0</v>
      </c>
      <c r="AN21" s="244">
        <f t="shared" si="11"/>
        <v>0</v>
      </c>
    </row>
    <row r="22" spans="1:40" ht="14.95" thickBot="1" x14ac:dyDescent="0.3">
      <c r="A22" s="123"/>
      <c r="B22" s="124"/>
      <c r="C22" s="682" t="s">
        <v>73</v>
      </c>
      <c r="D22" s="683"/>
      <c r="E22" s="684"/>
      <c r="F22" s="150">
        <f t="shared" ref="F22:R22" si="12">SUM(F3:F15)</f>
        <v>162</v>
      </c>
      <c r="G22" s="150">
        <f t="shared" si="12"/>
        <v>257</v>
      </c>
      <c r="H22" s="150">
        <f t="shared" si="12"/>
        <v>0</v>
      </c>
      <c r="I22" s="150">
        <f t="shared" si="12"/>
        <v>5</v>
      </c>
      <c r="J22" s="150">
        <f t="shared" si="12"/>
        <v>23</v>
      </c>
      <c r="K22" s="150">
        <f t="shared" si="12"/>
        <v>9</v>
      </c>
      <c r="L22" s="150">
        <f t="shared" si="12"/>
        <v>0</v>
      </c>
      <c r="M22" s="150">
        <f t="shared" si="12"/>
        <v>9</v>
      </c>
      <c r="N22" s="150">
        <f t="shared" si="12"/>
        <v>1</v>
      </c>
      <c r="O22" s="150">
        <f t="shared" si="12"/>
        <v>0</v>
      </c>
      <c r="P22" s="150">
        <f t="shared" si="12"/>
        <v>4</v>
      </c>
      <c r="Q22" s="150">
        <f t="shared" si="12"/>
        <v>0</v>
      </c>
      <c r="R22" s="150">
        <f t="shared" si="12"/>
        <v>37</v>
      </c>
      <c r="S22" s="147"/>
      <c r="T22" s="147"/>
      <c r="U22" s="147"/>
      <c r="V22" s="147"/>
      <c r="W22" s="12"/>
      <c r="X22" s="155" t="s">
        <v>73</v>
      </c>
      <c r="Y22" s="150">
        <f t="shared" ref="Y22:AN22" si="13">SUM(Y3:Y15)</f>
        <v>10</v>
      </c>
      <c r="Z22" s="150">
        <f t="shared" si="13"/>
        <v>1</v>
      </c>
      <c r="AA22" s="150">
        <f t="shared" si="13"/>
        <v>0</v>
      </c>
      <c r="AB22" s="150">
        <f t="shared" si="13"/>
        <v>9</v>
      </c>
      <c r="AC22" s="148">
        <f t="shared" si="13"/>
        <v>3</v>
      </c>
      <c r="AD22" s="148">
        <f t="shared" si="13"/>
        <v>0</v>
      </c>
      <c r="AE22" s="148">
        <f t="shared" si="13"/>
        <v>0</v>
      </c>
      <c r="AF22" s="148">
        <f t="shared" si="13"/>
        <v>3</v>
      </c>
      <c r="AG22" s="149">
        <f t="shared" si="13"/>
        <v>3</v>
      </c>
      <c r="AH22" s="149">
        <f t="shared" si="13"/>
        <v>0</v>
      </c>
      <c r="AI22" s="149">
        <f t="shared" si="13"/>
        <v>0</v>
      </c>
      <c r="AJ22" s="149">
        <f t="shared" si="13"/>
        <v>3</v>
      </c>
      <c r="AK22" s="150">
        <f t="shared" si="13"/>
        <v>4</v>
      </c>
      <c r="AL22" s="150">
        <f t="shared" si="13"/>
        <v>1</v>
      </c>
      <c r="AM22" s="150">
        <f t="shared" si="13"/>
        <v>0</v>
      </c>
      <c r="AN22" s="150">
        <f t="shared" si="13"/>
        <v>3</v>
      </c>
    </row>
    <row r="23" spans="1:40" x14ac:dyDescent="0.25">
      <c r="A23" s="685" t="s">
        <v>108</v>
      </c>
      <c r="B23" s="685"/>
      <c r="C23" s="685"/>
      <c r="D23" s="685"/>
      <c r="E23" s="685"/>
      <c r="F23" s="685"/>
      <c r="G23" s="685"/>
      <c r="H23" s="685"/>
      <c r="I23" s="685"/>
      <c r="J23" s="685"/>
      <c r="K23" s="685"/>
      <c r="L23" s="685"/>
      <c r="M23" s="685"/>
      <c r="N23" s="685"/>
      <c r="O23" s="685"/>
      <c r="P23" s="685"/>
      <c r="Q23" s="685"/>
      <c r="R23" s="685"/>
    </row>
    <row r="24" spans="1:40" x14ac:dyDescent="0.25">
      <c r="A24" s="258" t="s">
        <v>115</v>
      </c>
    </row>
    <row r="25" spans="1:40" x14ac:dyDescent="0.25">
      <c r="A25" s="258" t="s">
        <v>130</v>
      </c>
    </row>
    <row r="26" spans="1:40" x14ac:dyDescent="0.25">
      <c r="A26" s="258" t="s">
        <v>138</v>
      </c>
    </row>
    <row r="27" spans="1:40" x14ac:dyDescent="0.25">
      <c r="A27" s="222" t="s">
        <v>142</v>
      </c>
    </row>
    <row r="28" spans="1:40" x14ac:dyDescent="0.25">
      <c r="A28" s="222"/>
    </row>
    <row r="29" spans="1:40" x14ac:dyDescent="0.25">
      <c r="A29" s="222" t="s">
        <v>82</v>
      </c>
    </row>
    <row r="30" spans="1:40" x14ac:dyDescent="0.25">
      <c r="A30" s="46"/>
      <c r="B30" t="s">
        <v>42</v>
      </c>
    </row>
    <row r="31" spans="1:40" x14ac:dyDescent="0.25">
      <c r="A31" s="44"/>
      <c r="B31" t="s">
        <v>40</v>
      </c>
    </row>
    <row r="32" spans="1:40" x14ac:dyDescent="0.25">
      <c r="A32" s="45"/>
      <c r="B32" t="s">
        <v>41</v>
      </c>
    </row>
    <row r="33" spans="1:1" x14ac:dyDescent="0.25">
      <c r="A33" s="14" t="s">
        <v>28</v>
      </c>
    </row>
  </sheetData>
  <mergeCells count="18">
    <mergeCell ref="AK1:AN1"/>
    <mergeCell ref="P1:R1"/>
    <mergeCell ref="H1:I1"/>
    <mergeCell ref="J1:M1"/>
    <mergeCell ref="N1:O1"/>
    <mergeCell ref="Y1:AB1"/>
    <mergeCell ref="AC1:AF1"/>
    <mergeCell ref="A23:R23"/>
    <mergeCell ref="C18:E18"/>
    <mergeCell ref="C19:E19"/>
    <mergeCell ref="C20:E20"/>
    <mergeCell ref="AG1:AJ1"/>
    <mergeCell ref="C16:E16"/>
    <mergeCell ref="C22:E22"/>
    <mergeCell ref="A1:C1"/>
    <mergeCell ref="E1:G1"/>
    <mergeCell ref="C21:E21"/>
    <mergeCell ref="C17:E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0254-B55B-4AEF-854F-4514202D58E1}">
  <dimension ref="A1:AN31"/>
  <sheetViews>
    <sheetView workbookViewId="0">
      <selection activeCell="N12" sqref="N1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20" width="6.25" customWidth="1"/>
    <col min="21" max="21" width="22.125" bestFit="1" customWidth="1"/>
    <col min="22" max="22" width="17" bestFit="1" customWidth="1"/>
    <col min="23" max="23" width="26.25" bestFit="1" customWidth="1"/>
    <col min="24" max="24" width="21.5" bestFit="1" customWidth="1"/>
    <col min="25" max="40" width="3.75" customWidth="1"/>
  </cols>
  <sheetData>
    <row r="1" spans="1:40" ht="14.95" customHeight="1" thickBot="1" x14ac:dyDescent="0.3">
      <c r="A1" s="810" t="s">
        <v>293</v>
      </c>
      <c r="B1" s="811"/>
      <c r="C1" s="811"/>
      <c r="D1" s="383"/>
      <c r="E1" s="812" t="s">
        <v>24</v>
      </c>
      <c r="F1" s="813"/>
      <c r="G1" s="814"/>
      <c r="H1" s="812" t="s">
        <v>81</v>
      </c>
      <c r="I1" s="814"/>
      <c r="J1" s="815" t="s">
        <v>6</v>
      </c>
      <c r="K1" s="816"/>
      <c r="L1" s="816"/>
      <c r="M1" s="817"/>
      <c r="N1" s="815" t="s">
        <v>7</v>
      </c>
      <c r="O1" s="817"/>
      <c r="P1" s="815" t="s">
        <v>25</v>
      </c>
      <c r="Q1" s="816"/>
      <c r="R1" s="817"/>
      <c r="S1" s="384" t="s">
        <v>8</v>
      </c>
      <c r="T1" s="384" t="s">
        <v>9</v>
      </c>
      <c r="U1" s="385" t="s">
        <v>10</v>
      </c>
      <c r="V1" s="385" t="s">
        <v>11</v>
      </c>
      <c r="W1" s="385" t="s">
        <v>26</v>
      </c>
      <c r="X1" s="385" t="s">
        <v>27</v>
      </c>
      <c r="Y1" s="807" t="s">
        <v>20</v>
      </c>
      <c r="Z1" s="808"/>
      <c r="AA1" s="808"/>
      <c r="AB1" s="809"/>
      <c r="AC1" s="807" t="s">
        <v>58</v>
      </c>
      <c r="AD1" s="808"/>
      <c r="AE1" s="808"/>
      <c r="AF1" s="809"/>
      <c r="AG1" s="807" t="s">
        <v>59</v>
      </c>
      <c r="AH1" s="808"/>
      <c r="AI1" s="808"/>
      <c r="AJ1" s="809"/>
      <c r="AK1" s="807" t="s">
        <v>60</v>
      </c>
      <c r="AL1" s="808"/>
      <c r="AM1" s="808"/>
      <c r="AN1" s="809"/>
    </row>
    <row r="2" spans="1:40" ht="14.95" customHeight="1" thickBot="1" x14ac:dyDescent="0.3">
      <c r="A2" s="386" t="s">
        <v>19</v>
      </c>
      <c r="B2" s="387" t="s">
        <v>18</v>
      </c>
      <c r="C2" s="388" t="s">
        <v>17</v>
      </c>
      <c r="D2" s="388" t="s">
        <v>39</v>
      </c>
      <c r="E2" s="389" t="s">
        <v>16</v>
      </c>
      <c r="F2" s="389" t="s">
        <v>4</v>
      </c>
      <c r="G2" s="389" t="s">
        <v>5</v>
      </c>
      <c r="H2" s="390" t="s">
        <v>12</v>
      </c>
      <c r="I2" s="390" t="s">
        <v>3</v>
      </c>
      <c r="J2" s="390" t="s">
        <v>12</v>
      </c>
      <c r="K2" s="390" t="s">
        <v>13</v>
      </c>
      <c r="L2" s="390" t="s">
        <v>2</v>
      </c>
      <c r="M2" s="390" t="s">
        <v>14</v>
      </c>
      <c r="N2" s="390" t="s">
        <v>15</v>
      </c>
      <c r="O2" s="390" t="s">
        <v>16</v>
      </c>
      <c r="P2" s="390" t="s">
        <v>21</v>
      </c>
      <c r="Q2" s="390" t="s">
        <v>22</v>
      </c>
      <c r="R2" s="390" t="s">
        <v>12</v>
      </c>
      <c r="S2" s="391"/>
      <c r="T2" s="392"/>
      <c r="U2" s="393"/>
      <c r="V2" s="391"/>
      <c r="W2" s="385"/>
      <c r="X2" s="394"/>
      <c r="Y2" s="395" t="s">
        <v>0</v>
      </c>
      <c r="Z2" s="395" t="s">
        <v>1</v>
      </c>
      <c r="AA2" s="395" t="s">
        <v>2</v>
      </c>
      <c r="AB2" s="395" t="s">
        <v>3</v>
      </c>
      <c r="AC2" s="395" t="s">
        <v>0</v>
      </c>
      <c r="AD2" s="395" t="s">
        <v>1</v>
      </c>
      <c r="AE2" s="395" t="s">
        <v>2</v>
      </c>
      <c r="AF2" s="395" t="s">
        <v>3</v>
      </c>
      <c r="AG2" s="395" t="s">
        <v>0</v>
      </c>
      <c r="AH2" s="395" t="s">
        <v>1</v>
      </c>
      <c r="AI2" s="395" t="s">
        <v>2</v>
      </c>
      <c r="AJ2" s="395" t="s">
        <v>3</v>
      </c>
      <c r="AK2" s="395" t="s">
        <v>0</v>
      </c>
      <c r="AL2" s="395" t="s">
        <v>1</v>
      </c>
      <c r="AM2" s="395" t="s">
        <v>2</v>
      </c>
      <c r="AN2" s="395" t="s">
        <v>3</v>
      </c>
    </row>
    <row r="3" spans="1:40" ht="14.95" customHeight="1" thickBot="1" x14ac:dyDescent="0.35">
      <c r="A3" s="403">
        <v>44727</v>
      </c>
      <c r="B3" s="204" t="s">
        <v>336</v>
      </c>
      <c r="C3" s="204" t="s">
        <v>333</v>
      </c>
      <c r="D3" s="204" t="s">
        <v>337</v>
      </c>
      <c r="E3" s="205" t="s">
        <v>1</v>
      </c>
      <c r="F3" s="205">
        <v>108</v>
      </c>
      <c r="G3" s="205">
        <v>0</v>
      </c>
      <c r="H3" s="205">
        <v>1</v>
      </c>
      <c r="I3" s="205">
        <v>0</v>
      </c>
      <c r="J3" s="205">
        <v>17</v>
      </c>
      <c r="K3" s="205">
        <v>10</v>
      </c>
      <c r="L3" s="205">
        <v>0</v>
      </c>
      <c r="M3" s="205">
        <v>1</v>
      </c>
      <c r="N3" s="205">
        <v>0</v>
      </c>
      <c r="O3" s="205">
        <v>0</v>
      </c>
      <c r="P3" s="205">
        <v>0</v>
      </c>
      <c r="Q3" s="205">
        <v>0</v>
      </c>
      <c r="R3" s="205">
        <v>0</v>
      </c>
      <c r="S3" s="236"/>
      <c r="T3" s="215" t="s">
        <v>339</v>
      </c>
      <c r="U3" s="208" t="s">
        <v>341</v>
      </c>
      <c r="V3" s="206" t="s">
        <v>250</v>
      </c>
      <c r="W3" s="209" t="s">
        <v>167</v>
      </c>
      <c r="X3" s="210" t="s">
        <v>340</v>
      </c>
      <c r="Y3" s="401">
        <v>1</v>
      </c>
      <c r="Z3" s="401">
        <v>1</v>
      </c>
      <c r="AA3" s="401">
        <v>0</v>
      </c>
      <c r="AB3" s="402">
        <v>0</v>
      </c>
      <c r="AC3" s="401">
        <v>1</v>
      </c>
      <c r="AD3" s="401">
        <v>1</v>
      </c>
      <c r="AE3" s="401">
        <v>0</v>
      </c>
      <c r="AF3" s="402">
        <v>0</v>
      </c>
      <c r="AG3" s="401">
        <v>0</v>
      </c>
      <c r="AH3" s="401">
        <v>0</v>
      </c>
      <c r="AI3" s="401">
        <v>0</v>
      </c>
      <c r="AJ3" s="402">
        <v>0</v>
      </c>
      <c r="AK3" s="401">
        <v>0</v>
      </c>
      <c r="AL3" s="401">
        <v>0</v>
      </c>
      <c r="AM3" s="401">
        <v>0</v>
      </c>
      <c r="AN3" s="402">
        <v>0</v>
      </c>
    </row>
    <row r="4" spans="1:40" ht="14.95" customHeight="1" thickBot="1" x14ac:dyDescent="0.35">
      <c r="A4" s="403">
        <v>44735</v>
      </c>
      <c r="B4" s="204" t="s">
        <v>336</v>
      </c>
      <c r="C4" s="204" t="s">
        <v>342</v>
      </c>
      <c r="D4" s="204" t="s">
        <v>337</v>
      </c>
      <c r="E4" s="205" t="s">
        <v>1</v>
      </c>
      <c r="F4" s="205">
        <v>128</v>
      </c>
      <c r="G4" s="205">
        <v>3</v>
      </c>
      <c r="H4" s="205">
        <v>1</v>
      </c>
      <c r="I4" s="205">
        <v>0</v>
      </c>
      <c r="J4" s="205">
        <v>20</v>
      </c>
      <c r="K4" s="205">
        <v>14</v>
      </c>
      <c r="L4" s="205">
        <v>0</v>
      </c>
      <c r="M4" s="205">
        <v>0</v>
      </c>
      <c r="N4" s="205">
        <v>0</v>
      </c>
      <c r="O4" s="205">
        <v>1</v>
      </c>
      <c r="P4" s="205">
        <v>0</v>
      </c>
      <c r="Q4" s="205">
        <v>0</v>
      </c>
      <c r="R4" s="205">
        <v>0</v>
      </c>
      <c r="S4" s="236"/>
      <c r="T4" s="215" t="s">
        <v>345</v>
      </c>
      <c r="U4" s="208" t="s">
        <v>343</v>
      </c>
      <c r="V4" s="206" t="s">
        <v>250</v>
      </c>
      <c r="W4" s="209" t="s">
        <v>341</v>
      </c>
      <c r="X4" s="210" t="s">
        <v>340</v>
      </c>
      <c r="Y4" s="401">
        <v>1</v>
      </c>
      <c r="Z4" s="401">
        <v>1</v>
      </c>
      <c r="AA4" s="401">
        <v>0</v>
      </c>
      <c r="AB4" s="402">
        <v>0</v>
      </c>
      <c r="AC4" s="401">
        <v>1</v>
      </c>
      <c r="AD4" s="401">
        <v>1</v>
      </c>
      <c r="AE4" s="401">
        <v>0</v>
      </c>
      <c r="AF4" s="402">
        <v>0</v>
      </c>
      <c r="AG4" s="401">
        <v>0</v>
      </c>
      <c r="AH4" s="401">
        <v>0</v>
      </c>
      <c r="AI4" s="401">
        <v>0</v>
      </c>
      <c r="AJ4" s="402">
        <v>0</v>
      </c>
      <c r="AK4" s="401">
        <v>0</v>
      </c>
      <c r="AL4" s="401">
        <v>0</v>
      </c>
      <c r="AM4" s="401">
        <v>0</v>
      </c>
      <c r="AN4" s="402">
        <v>0</v>
      </c>
    </row>
    <row r="5" spans="1:40" ht="14.95" customHeight="1" thickBot="1" x14ac:dyDescent="0.3">
      <c r="A5" s="184">
        <v>44766</v>
      </c>
      <c r="B5" s="186" t="s">
        <v>246</v>
      </c>
      <c r="C5" s="186" t="s">
        <v>36</v>
      </c>
      <c r="D5" s="186" t="s">
        <v>314</v>
      </c>
      <c r="E5" s="187" t="s">
        <v>3</v>
      </c>
      <c r="F5" s="187">
        <v>6</v>
      </c>
      <c r="G5" s="187">
        <v>15</v>
      </c>
      <c r="H5" s="187" t="s">
        <v>72</v>
      </c>
      <c r="I5" s="187" t="s">
        <v>72</v>
      </c>
      <c r="J5" s="187">
        <v>0</v>
      </c>
      <c r="K5" s="187">
        <v>0</v>
      </c>
      <c r="L5" s="187">
        <v>0</v>
      </c>
      <c r="M5" s="187">
        <v>2</v>
      </c>
      <c r="N5" s="187">
        <v>0</v>
      </c>
      <c r="O5" s="187">
        <v>0</v>
      </c>
      <c r="P5" s="187" t="s">
        <v>72</v>
      </c>
      <c r="Q5" s="187" t="s">
        <v>72</v>
      </c>
      <c r="R5" s="187">
        <v>2</v>
      </c>
      <c r="S5" s="191"/>
      <c r="T5" s="400" t="s">
        <v>316</v>
      </c>
      <c r="U5" s="193" t="s">
        <v>214</v>
      </c>
      <c r="V5" s="191" t="s">
        <v>250</v>
      </c>
      <c r="W5" s="188" t="s">
        <v>317</v>
      </c>
      <c r="X5" s="194" t="s">
        <v>318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90">
        <v>0</v>
      </c>
    </row>
    <row r="6" spans="1:40" ht="14.95" customHeight="1" thickBot="1" x14ac:dyDescent="0.35">
      <c r="A6" s="184">
        <v>44772</v>
      </c>
      <c r="B6" s="186" t="s">
        <v>246</v>
      </c>
      <c r="C6" s="186" t="s">
        <v>36</v>
      </c>
      <c r="D6" s="186" t="s">
        <v>324</v>
      </c>
      <c r="E6" s="187" t="s">
        <v>1</v>
      </c>
      <c r="F6" s="187">
        <v>20</v>
      </c>
      <c r="G6" s="187">
        <v>10</v>
      </c>
      <c r="H6" s="187" t="s">
        <v>72</v>
      </c>
      <c r="I6" s="187" t="s">
        <v>72</v>
      </c>
      <c r="J6" s="187">
        <v>3</v>
      </c>
      <c r="K6" s="187">
        <v>1</v>
      </c>
      <c r="L6" s="187">
        <v>0</v>
      </c>
      <c r="M6" s="187">
        <v>1</v>
      </c>
      <c r="N6" s="187">
        <v>0</v>
      </c>
      <c r="O6" s="187">
        <v>0</v>
      </c>
      <c r="P6" s="187" t="s">
        <v>72</v>
      </c>
      <c r="Q6" s="187" t="s">
        <v>72</v>
      </c>
      <c r="R6" s="187">
        <v>2</v>
      </c>
      <c r="S6" s="191"/>
      <c r="T6" s="192" t="s">
        <v>329</v>
      </c>
      <c r="U6" s="193" t="s">
        <v>207</v>
      </c>
      <c r="V6" s="191" t="s">
        <v>250</v>
      </c>
      <c r="W6" s="188" t="s">
        <v>317</v>
      </c>
      <c r="X6" s="194" t="s">
        <v>318</v>
      </c>
      <c r="Y6" s="189">
        <v>1</v>
      </c>
      <c r="Z6" s="189">
        <v>1</v>
      </c>
      <c r="AA6" s="189">
        <v>0</v>
      </c>
      <c r="AB6" s="190">
        <v>0</v>
      </c>
      <c r="AC6" s="189">
        <v>0</v>
      </c>
      <c r="AD6" s="189">
        <v>0</v>
      </c>
      <c r="AE6" s="189">
        <v>0</v>
      </c>
      <c r="AF6" s="190">
        <v>0</v>
      </c>
      <c r="AG6" s="189">
        <v>1</v>
      </c>
      <c r="AH6" s="189">
        <v>1</v>
      </c>
      <c r="AI6" s="189">
        <v>0</v>
      </c>
      <c r="AJ6" s="190">
        <v>0</v>
      </c>
      <c r="AK6" s="189">
        <v>0</v>
      </c>
      <c r="AL6" s="189">
        <v>0</v>
      </c>
      <c r="AM6" s="189">
        <v>0</v>
      </c>
      <c r="AN6" s="190">
        <v>0</v>
      </c>
    </row>
    <row r="7" spans="1:40" ht="14.95" customHeight="1" thickBot="1" x14ac:dyDescent="0.35">
      <c r="A7" s="203">
        <v>44786</v>
      </c>
      <c r="B7" s="204" t="s">
        <v>246</v>
      </c>
      <c r="C7" s="204" t="s">
        <v>78</v>
      </c>
      <c r="D7" s="204" t="s">
        <v>324</v>
      </c>
      <c r="E7" s="205" t="s">
        <v>1</v>
      </c>
      <c r="F7" s="205">
        <v>44</v>
      </c>
      <c r="G7" s="205">
        <v>5</v>
      </c>
      <c r="H7" s="205" t="s">
        <v>72</v>
      </c>
      <c r="I7" s="205" t="s">
        <v>72</v>
      </c>
      <c r="J7" s="205">
        <v>5</v>
      </c>
      <c r="K7" s="205">
        <v>5</v>
      </c>
      <c r="L7" s="205">
        <v>0</v>
      </c>
      <c r="M7" s="205">
        <v>3</v>
      </c>
      <c r="N7" s="205">
        <v>0</v>
      </c>
      <c r="O7" s="205">
        <v>0</v>
      </c>
      <c r="P7" s="205" t="s">
        <v>72</v>
      </c>
      <c r="Q7" s="205" t="s">
        <v>72</v>
      </c>
      <c r="R7" s="205">
        <v>1</v>
      </c>
      <c r="S7" s="206"/>
      <c r="T7" s="215" t="s">
        <v>326</v>
      </c>
      <c r="U7" s="208" t="s">
        <v>236</v>
      </c>
      <c r="V7" s="206" t="s">
        <v>117</v>
      </c>
      <c r="W7" s="208" t="s">
        <v>149</v>
      </c>
      <c r="X7" s="209" t="s">
        <v>182</v>
      </c>
      <c r="Y7" s="211">
        <v>1</v>
      </c>
      <c r="Z7" s="211">
        <v>1</v>
      </c>
      <c r="AA7" s="211">
        <v>0</v>
      </c>
      <c r="AB7" s="212">
        <v>0</v>
      </c>
      <c r="AC7" s="211">
        <v>1</v>
      </c>
      <c r="AD7" s="211">
        <v>1</v>
      </c>
      <c r="AE7" s="211">
        <v>0</v>
      </c>
      <c r="AF7" s="212">
        <v>0</v>
      </c>
      <c r="AG7" s="211">
        <v>0</v>
      </c>
      <c r="AH7" s="211">
        <v>0</v>
      </c>
      <c r="AI7" s="211">
        <v>0</v>
      </c>
      <c r="AJ7" s="212">
        <v>0</v>
      </c>
      <c r="AK7" s="211">
        <v>0</v>
      </c>
      <c r="AL7" s="211">
        <v>0</v>
      </c>
      <c r="AM7" s="211">
        <v>0</v>
      </c>
      <c r="AN7" s="212">
        <v>0</v>
      </c>
    </row>
    <row r="8" spans="1:40" ht="14.95" customHeight="1" thickBot="1" x14ac:dyDescent="0.3">
      <c r="A8" s="203">
        <v>44792</v>
      </c>
      <c r="B8" s="204" t="s">
        <v>246</v>
      </c>
      <c r="C8" s="204" t="s">
        <v>78</v>
      </c>
      <c r="D8" s="204" t="s">
        <v>346</v>
      </c>
      <c r="E8" s="205" t="s">
        <v>1</v>
      </c>
      <c r="F8" s="205">
        <v>37</v>
      </c>
      <c r="G8" s="205">
        <v>14</v>
      </c>
      <c r="H8" s="205" t="s">
        <v>72</v>
      </c>
      <c r="I8" s="205" t="s">
        <v>72</v>
      </c>
      <c r="J8" s="205">
        <v>5</v>
      </c>
      <c r="K8" s="205">
        <v>3</v>
      </c>
      <c r="L8" s="205">
        <v>2</v>
      </c>
      <c r="M8" s="205">
        <v>0</v>
      </c>
      <c r="N8" s="205">
        <v>3</v>
      </c>
      <c r="O8" s="205">
        <v>0</v>
      </c>
      <c r="P8" s="205" t="s">
        <v>72</v>
      </c>
      <c r="Q8" s="205" t="s">
        <v>72</v>
      </c>
      <c r="R8" s="205">
        <v>1</v>
      </c>
      <c r="S8" s="206"/>
      <c r="T8" s="216" t="s">
        <v>348</v>
      </c>
      <c r="U8" s="208" t="s">
        <v>149</v>
      </c>
      <c r="V8" s="206" t="s">
        <v>117</v>
      </c>
      <c r="W8" s="209" t="s">
        <v>167</v>
      </c>
      <c r="X8" s="210" t="s">
        <v>182</v>
      </c>
      <c r="Y8" s="211">
        <v>1</v>
      </c>
      <c r="Z8" s="211">
        <v>1</v>
      </c>
      <c r="AA8" s="211">
        <v>0</v>
      </c>
      <c r="AB8" s="212">
        <v>0</v>
      </c>
      <c r="AC8" s="211">
        <v>1</v>
      </c>
      <c r="AD8" s="211">
        <v>1</v>
      </c>
      <c r="AE8" s="211">
        <v>0</v>
      </c>
      <c r="AF8" s="212">
        <v>0</v>
      </c>
      <c r="AG8" s="211">
        <v>0</v>
      </c>
      <c r="AH8" s="211">
        <v>0</v>
      </c>
      <c r="AI8" s="211">
        <v>0</v>
      </c>
      <c r="AJ8" s="212">
        <v>0</v>
      </c>
      <c r="AK8" s="211">
        <v>0</v>
      </c>
      <c r="AL8" s="211">
        <v>0</v>
      </c>
      <c r="AM8" s="211">
        <v>0</v>
      </c>
      <c r="AN8" s="212">
        <v>0</v>
      </c>
    </row>
    <row r="9" spans="1:40" ht="14.95" customHeight="1" thickBot="1" x14ac:dyDescent="0.3">
      <c r="A9" s="226">
        <v>44842</v>
      </c>
      <c r="B9" s="227" t="s">
        <v>139</v>
      </c>
      <c r="C9" s="227" t="s">
        <v>34</v>
      </c>
      <c r="D9" s="227" t="s">
        <v>144</v>
      </c>
      <c r="E9" s="223" t="s">
        <v>3</v>
      </c>
      <c r="F9" s="223">
        <v>5</v>
      </c>
      <c r="G9" s="223">
        <v>40</v>
      </c>
      <c r="H9" s="223">
        <v>0</v>
      </c>
      <c r="I9" s="223">
        <v>0</v>
      </c>
      <c r="J9" s="223">
        <v>1</v>
      </c>
      <c r="K9" s="223">
        <v>0</v>
      </c>
      <c r="L9" s="223">
        <v>0</v>
      </c>
      <c r="M9" s="223">
        <v>0</v>
      </c>
      <c r="N9" s="223">
        <v>1</v>
      </c>
      <c r="O9" s="223">
        <v>0</v>
      </c>
      <c r="P9" s="223">
        <v>1</v>
      </c>
      <c r="Q9" s="223">
        <v>0</v>
      </c>
      <c r="R9" s="223">
        <v>6</v>
      </c>
      <c r="S9" s="228"/>
      <c r="T9" s="240" t="s">
        <v>196</v>
      </c>
      <c r="U9" s="229" t="s">
        <v>207</v>
      </c>
      <c r="V9" s="625" t="s">
        <v>198</v>
      </c>
      <c r="W9" s="228" t="s">
        <v>214</v>
      </c>
      <c r="X9" s="230" t="s">
        <v>477</v>
      </c>
      <c r="Y9" s="155">
        <v>1</v>
      </c>
      <c r="Z9" s="155">
        <v>0</v>
      </c>
      <c r="AA9" s="155">
        <v>0</v>
      </c>
      <c r="AB9" s="224">
        <v>1</v>
      </c>
      <c r="AC9" s="155">
        <v>0</v>
      </c>
      <c r="AD9" s="155">
        <v>0</v>
      </c>
      <c r="AE9" s="155">
        <v>0</v>
      </c>
      <c r="AF9" s="224">
        <v>0</v>
      </c>
      <c r="AG9" s="155">
        <v>0</v>
      </c>
      <c r="AH9" s="155">
        <v>0</v>
      </c>
      <c r="AI9" s="155">
        <v>0</v>
      </c>
      <c r="AJ9" s="224">
        <v>0</v>
      </c>
      <c r="AK9" s="155">
        <v>1</v>
      </c>
      <c r="AL9" s="155">
        <v>0</v>
      </c>
      <c r="AM9" s="155">
        <v>0</v>
      </c>
      <c r="AN9" s="224">
        <v>1</v>
      </c>
    </row>
    <row r="10" spans="1:40" ht="14.95" customHeight="1" thickBot="1" x14ac:dyDescent="0.3">
      <c r="A10" s="226">
        <v>44850</v>
      </c>
      <c r="B10" s="227" t="s">
        <v>139</v>
      </c>
      <c r="C10" s="227" t="s">
        <v>31</v>
      </c>
      <c r="D10" s="227" t="s">
        <v>79</v>
      </c>
      <c r="E10" s="223" t="s">
        <v>3</v>
      </c>
      <c r="F10" s="223">
        <v>17</v>
      </c>
      <c r="G10" s="223">
        <v>21</v>
      </c>
      <c r="H10" s="223">
        <v>0</v>
      </c>
      <c r="I10" s="223">
        <v>1</v>
      </c>
      <c r="J10" s="223">
        <v>2</v>
      </c>
      <c r="K10" s="223">
        <v>2</v>
      </c>
      <c r="L10" s="223">
        <v>0</v>
      </c>
      <c r="M10" s="223">
        <v>1</v>
      </c>
      <c r="N10" s="223">
        <v>1</v>
      </c>
      <c r="O10" s="223">
        <v>0</v>
      </c>
      <c r="P10" s="223">
        <v>0</v>
      </c>
      <c r="Q10" s="223">
        <v>0</v>
      </c>
      <c r="R10" s="223">
        <v>3</v>
      </c>
      <c r="S10" s="228"/>
      <c r="T10" s="240" t="s">
        <v>174</v>
      </c>
      <c r="U10" s="229" t="s">
        <v>236</v>
      </c>
      <c r="V10" s="228" t="s">
        <v>117</v>
      </c>
      <c r="W10" s="228" t="s">
        <v>149</v>
      </c>
      <c r="X10" s="230" t="s">
        <v>182</v>
      </c>
      <c r="Y10" s="155">
        <v>1</v>
      </c>
      <c r="Z10" s="155">
        <v>0</v>
      </c>
      <c r="AA10" s="155">
        <v>0</v>
      </c>
      <c r="AB10" s="224">
        <v>1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0</v>
      </c>
      <c r="AM10" s="155">
        <v>0</v>
      </c>
      <c r="AN10" s="224">
        <v>1</v>
      </c>
    </row>
    <row r="11" spans="1:40" ht="14.95" customHeight="1" thickBot="1" x14ac:dyDescent="0.3">
      <c r="A11" s="226">
        <v>44857</v>
      </c>
      <c r="B11" s="227" t="s">
        <v>139</v>
      </c>
      <c r="C11" s="227" t="s">
        <v>30</v>
      </c>
      <c r="D11" s="227" t="s">
        <v>79</v>
      </c>
      <c r="E11" s="223" t="s">
        <v>3</v>
      </c>
      <c r="F11" s="223">
        <v>0</v>
      </c>
      <c r="G11" s="223">
        <v>75</v>
      </c>
      <c r="H11" s="223">
        <v>0</v>
      </c>
      <c r="I11" s="223">
        <v>0</v>
      </c>
      <c r="J11" s="223">
        <v>0</v>
      </c>
      <c r="K11" s="223">
        <v>0</v>
      </c>
      <c r="L11" s="223">
        <v>0</v>
      </c>
      <c r="M11" s="223">
        <v>0</v>
      </c>
      <c r="N11" s="223">
        <v>2</v>
      </c>
      <c r="O11" s="223">
        <v>0</v>
      </c>
      <c r="P11" s="223">
        <v>1</v>
      </c>
      <c r="Q11" s="223">
        <v>0</v>
      </c>
      <c r="R11" s="223">
        <v>13</v>
      </c>
      <c r="S11" s="290"/>
      <c r="T11" s="240" t="s">
        <v>511</v>
      </c>
      <c r="U11" s="229" t="s">
        <v>211</v>
      </c>
      <c r="V11" s="228" t="s">
        <v>229</v>
      </c>
      <c r="W11" s="228" t="s">
        <v>159</v>
      </c>
      <c r="X11" s="255" t="s">
        <v>258</v>
      </c>
      <c r="Y11" s="155">
        <v>1</v>
      </c>
      <c r="Z11" s="155">
        <v>0</v>
      </c>
      <c r="AA11" s="155">
        <v>0</v>
      </c>
      <c r="AB11" s="224">
        <v>1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0</v>
      </c>
      <c r="AM11" s="155">
        <v>0</v>
      </c>
      <c r="AN11" s="224">
        <v>1</v>
      </c>
    </row>
    <row r="12" spans="1:40" ht="14.95" customHeight="1" thickBot="1" x14ac:dyDescent="0.35">
      <c r="A12" s="226" t="s">
        <v>55</v>
      </c>
      <c r="B12" s="227" t="s">
        <v>55</v>
      </c>
      <c r="C12" s="227"/>
      <c r="D12" s="227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90"/>
      <c r="T12" s="231"/>
      <c r="U12" s="229"/>
      <c r="V12" s="228"/>
      <c r="W12" s="229"/>
      <c r="X12" s="228"/>
      <c r="Y12" s="155"/>
      <c r="Z12" s="155"/>
      <c r="AA12" s="155"/>
      <c r="AB12" s="224"/>
      <c r="AC12" s="155"/>
      <c r="AD12" s="155"/>
      <c r="AE12" s="155"/>
      <c r="AF12" s="224"/>
      <c r="AG12" s="155"/>
      <c r="AH12" s="155"/>
      <c r="AI12" s="155"/>
      <c r="AJ12" s="224"/>
      <c r="AK12" s="155"/>
      <c r="AL12" s="155"/>
      <c r="AM12" s="155"/>
      <c r="AN12" s="224"/>
    </row>
    <row r="13" spans="1:40" ht="14.95" customHeight="1" thickBot="1" x14ac:dyDescent="0.35">
      <c r="A13" s="226" t="s">
        <v>55</v>
      </c>
      <c r="B13" s="227" t="s">
        <v>55</v>
      </c>
      <c r="C13" s="227"/>
      <c r="D13" s="227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626"/>
      <c r="S13" s="290"/>
      <c r="T13" s="231"/>
      <c r="U13" s="229"/>
      <c r="V13" s="228"/>
      <c r="W13" s="225"/>
      <c r="X13" s="230"/>
      <c r="Y13" s="155"/>
      <c r="Z13" s="155"/>
      <c r="AA13" s="155"/>
      <c r="AB13" s="224"/>
      <c r="AC13" s="155"/>
      <c r="AD13" s="155"/>
      <c r="AE13" s="155"/>
      <c r="AF13" s="224"/>
      <c r="AG13" s="155"/>
      <c r="AH13" s="155"/>
      <c r="AI13" s="155"/>
      <c r="AJ13" s="224"/>
      <c r="AK13" s="155"/>
      <c r="AL13" s="155"/>
      <c r="AM13" s="155"/>
      <c r="AN13" s="224"/>
    </row>
    <row r="14" spans="1:40" ht="14.95" customHeight="1" thickBot="1" x14ac:dyDescent="0.35">
      <c r="A14" s="226" t="s">
        <v>55</v>
      </c>
      <c r="B14" s="227" t="s">
        <v>55</v>
      </c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4.95" customHeight="1" thickBot="1" x14ac:dyDescent="0.3">
      <c r="A15" s="123"/>
      <c r="B15" s="124"/>
      <c r="C15" s="686" t="s">
        <v>83</v>
      </c>
      <c r="D15" s="687"/>
      <c r="E15" s="688"/>
      <c r="F15" s="244">
        <f>SUM(F5:F8)</f>
        <v>107</v>
      </c>
      <c r="G15" s="244">
        <f>SUM(G5:G8)</f>
        <v>44</v>
      </c>
      <c r="H15" s="244" t="s">
        <v>72</v>
      </c>
      <c r="I15" s="244" t="s">
        <v>72</v>
      </c>
      <c r="J15" s="244">
        <f t="shared" ref="J15:O15" si="0">SUM(J5:J8)</f>
        <v>13</v>
      </c>
      <c r="K15" s="244">
        <f t="shared" si="0"/>
        <v>9</v>
      </c>
      <c r="L15" s="244">
        <f t="shared" si="0"/>
        <v>2</v>
      </c>
      <c r="M15" s="244">
        <f t="shared" si="0"/>
        <v>6</v>
      </c>
      <c r="N15" s="244">
        <f t="shared" si="0"/>
        <v>3</v>
      </c>
      <c r="O15" s="244">
        <f t="shared" si="0"/>
        <v>0</v>
      </c>
      <c r="P15" s="244" t="s">
        <v>72</v>
      </c>
      <c r="Q15" s="244" t="s">
        <v>72</v>
      </c>
      <c r="R15" s="244">
        <f>SUM(R5:R8)</f>
        <v>6</v>
      </c>
      <c r="S15" s="252"/>
      <c r="T15" s="252"/>
      <c r="U15" s="252"/>
      <c r="V15" s="252"/>
      <c r="W15" s="242"/>
      <c r="X15" s="249" t="s">
        <v>83</v>
      </c>
      <c r="Y15" s="244">
        <f t="shared" ref="Y15:AN15" si="1">SUM(Y5:Y8)</f>
        <v>4</v>
      </c>
      <c r="Z15" s="244">
        <f t="shared" si="1"/>
        <v>3</v>
      </c>
      <c r="AA15" s="244">
        <f t="shared" si="1"/>
        <v>0</v>
      </c>
      <c r="AB15" s="244">
        <f t="shared" si="1"/>
        <v>1</v>
      </c>
      <c r="AC15" s="245">
        <f t="shared" si="1"/>
        <v>2</v>
      </c>
      <c r="AD15" s="245">
        <f t="shared" si="1"/>
        <v>2</v>
      </c>
      <c r="AE15" s="245">
        <f t="shared" si="1"/>
        <v>0</v>
      </c>
      <c r="AF15" s="245">
        <f t="shared" si="1"/>
        <v>0</v>
      </c>
      <c r="AG15" s="246">
        <f t="shared" si="1"/>
        <v>2</v>
      </c>
      <c r="AH15" s="246">
        <f t="shared" si="1"/>
        <v>1</v>
      </c>
      <c r="AI15" s="246">
        <f t="shared" si="1"/>
        <v>0</v>
      </c>
      <c r="AJ15" s="246">
        <f t="shared" si="1"/>
        <v>1</v>
      </c>
      <c r="AK15" s="244">
        <f t="shared" si="1"/>
        <v>0</v>
      </c>
      <c r="AL15" s="244">
        <f t="shared" si="1"/>
        <v>0</v>
      </c>
      <c r="AM15" s="244">
        <f t="shared" si="1"/>
        <v>0</v>
      </c>
      <c r="AN15" s="244">
        <f t="shared" si="1"/>
        <v>0</v>
      </c>
    </row>
    <row r="16" spans="1:40" ht="14.95" thickBot="1" x14ac:dyDescent="0.3">
      <c r="A16" s="123"/>
      <c r="B16" s="124"/>
      <c r="C16" s="818" t="s">
        <v>344</v>
      </c>
      <c r="D16" s="819"/>
      <c r="E16" s="820"/>
      <c r="F16" s="404">
        <f t="shared" ref="F16:R16" si="2">SUM(F3+F4)</f>
        <v>236</v>
      </c>
      <c r="G16" s="404">
        <f t="shared" si="2"/>
        <v>3</v>
      </c>
      <c r="H16" s="404">
        <f t="shared" si="2"/>
        <v>2</v>
      </c>
      <c r="I16" s="404">
        <f t="shared" si="2"/>
        <v>0</v>
      </c>
      <c r="J16" s="404">
        <f t="shared" si="2"/>
        <v>37</v>
      </c>
      <c r="K16" s="404">
        <f t="shared" si="2"/>
        <v>24</v>
      </c>
      <c r="L16" s="404">
        <f t="shared" si="2"/>
        <v>0</v>
      </c>
      <c r="M16" s="404">
        <f t="shared" si="2"/>
        <v>1</v>
      </c>
      <c r="N16" s="404">
        <f t="shared" si="2"/>
        <v>0</v>
      </c>
      <c r="O16" s="404">
        <f t="shared" si="2"/>
        <v>1</v>
      </c>
      <c r="P16" s="404">
        <f t="shared" si="2"/>
        <v>0</v>
      </c>
      <c r="Q16" s="404">
        <f t="shared" si="2"/>
        <v>0</v>
      </c>
      <c r="R16" s="404">
        <f t="shared" si="2"/>
        <v>0</v>
      </c>
      <c r="S16" s="405"/>
      <c r="T16" s="405"/>
      <c r="U16" s="405"/>
      <c r="V16" s="405"/>
      <c r="W16" s="406"/>
      <c r="X16" s="407" t="s">
        <v>344</v>
      </c>
      <c r="Y16" s="404">
        <f t="shared" ref="Y16:AN16" si="3">SUM(Y3+Y4)</f>
        <v>2</v>
      </c>
      <c r="Z16" s="404">
        <f t="shared" si="3"/>
        <v>2</v>
      </c>
      <c r="AA16" s="404">
        <f t="shared" si="3"/>
        <v>0</v>
      </c>
      <c r="AB16" s="404">
        <f t="shared" si="3"/>
        <v>0</v>
      </c>
      <c r="AC16" s="408">
        <f t="shared" si="3"/>
        <v>2</v>
      </c>
      <c r="AD16" s="408">
        <f t="shared" si="3"/>
        <v>2</v>
      </c>
      <c r="AE16" s="408">
        <f t="shared" si="3"/>
        <v>0</v>
      </c>
      <c r="AF16" s="408">
        <f t="shared" si="3"/>
        <v>0</v>
      </c>
      <c r="AG16" s="409">
        <f t="shared" si="3"/>
        <v>0</v>
      </c>
      <c r="AH16" s="409">
        <f t="shared" si="3"/>
        <v>0</v>
      </c>
      <c r="AI16" s="409">
        <f t="shared" si="3"/>
        <v>0</v>
      </c>
      <c r="AJ16" s="409">
        <f t="shared" si="3"/>
        <v>0</v>
      </c>
      <c r="AK16" s="404">
        <f t="shared" si="3"/>
        <v>0</v>
      </c>
      <c r="AL16" s="404">
        <f t="shared" si="3"/>
        <v>0</v>
      </c>
      <c r="AM16" s="404">
        <f t="shared" si="3"/>
        <v>0</v>
      </c>
      <c r="AN16" s="404">
        <f t="shared" si="3"/>
        <v>0</v>
      </c>
    </row>
    <row r="17" spans="1:40" ht="14.95" thickBot="1" x14ac:dyDescent="0.3">
      <c r="A17" s="123"/>
      <c r="B17" s="124"/>
      <c r="C17" s="679" t="s">
        <v>467</v>
      </c>
      <c r="D17" s="680"/>
      <c r="E17" s="681"/>
      <c r="F17" s="414">
        <f>SUM(F9:F11)</f>
        <v>22</v>
      </c>
      <c r="G17" s="414">
        <f>SUM(G9:G11)</f>
        <v>136</v>
      </c>
      <c r="H17" s="414">
        <f t="shared" ref="H17:I17" si="4">SUM(H9:H11)</f>
        <v>0</v>
      </c>
      <c r="I17" s="414">
        <f t="shared" si="4"/>
        <v>1</v>
      </c>
      <c r="J17" s="414">
        <f t="shared" ref="J17:Q17" si="5">SUM(J9:J11)</f>
        <v>3</v>
      </c>
      <c r="K17" s="414">
        <f t="shared" si="5"/>
        <v>2</v>
      </c>
      <c r="L17" s="414">
        <f t="shared" si="5"/>
        <v>0</v>
      </c>
      <c r="M17" s="414">
        <f t="shared" si="5"/>
        <v>1</v>
      </c>
      <c r="N17" s="414">
        <f t="shared" si="5"/>
        <v>4</v>
      </c>
      <c r="O17" s="414">
        <f t="shared" si="5"/>
        <v>0</v>
      </c>
      <c r="P17" s="414">
        <f t="shared" si="5"/>
        <v>2</v>
      </c>
      <c r="Q17" s="414">
        <f t="shared" si="5"/>
        <v>0</v>
      </c>
      <c r="R17" s="414">
        <f>SUM(R9:R11)</f>
        <v>22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6">SUM(Y9:Y11)</f>
        <v>3</v>
      </c>
      <c r="Z17" s="414">
        <f t="shared" si="6"/>
        <v>0</v>
      </c>
      <c r="AA17" s="414">
        <f t="shared" si="6"/>
        <v>0</v>
      </c>
      <c r="AB17" s="414">
        <f t="shared" si="6"/>
        <v>3</v>
      </c>
      <c r="AC17" s="418">
        <f t="shared" si="6"/>
        <v>0</v>
      </c>
      <c r="AD17" s="418">
        <f t="shared" si="6"/>
        <v>0</v>
      </c>
      <c r="AE17" s="418">
        <f t="shared" si="6"/>
        <v>0</v>
      </c>
      <c r="AF17" s="418">
        <f t="shared" si="6"/>
        <v>0</v>
      </c>
      <c r="AG17" s="419">
        <f t="shared" si="6"/>
        <v>0</v>
      </c>
      <c r="AH17" s="419">
        <f t="shared" si="6"/>
        <v>0</v>
      </c>
      <c r="AI17" s="419">
        <f t="shared" si="6"/>
        <v>0</v>
      </c>
      <c r="AJ17" s="419">
        <f t="shared" si="6"/>
        <v>0</v>
      </c>
      <c r="AK17" s="414">
        <f t="shared" si="6"/>
        <v>3</v>
      </c>
      <c r="AL17" s="414">
        <f t="shared" si="6"/>
        <v>0</v>
      </c>
      <c r="AM17" s="414">
        <f t="shared" si="6"/>
        <v>0</v>
      </c>
      <c r="AN17" s="414">
        <f t="shared" si="6"/>
        <v>3</v>
      </c>
    </row>
    <row r="18" spans="1:40" ht="14.95" thickBot="1" x14ac:dyDescent="0.3">
      <c r="A18" s="123"/>
      <c r="B18" s="124"/>
      <c r="C18" s="679" t="s">
        <v>468</v>
      </c>
      <c r="D18" s="680"/>
      <c r="E18" s="681"/>
      <c r="F18" s="414">
        <f>SUM(F12:F14)</f>
        <v>0</v>
      </c>
      <c r="G18" s="414">
        <f>SUM(G12:G14)</f>
        <v>0</v>
      </c>
      <c r="H18" s="414">
        <v>0</v>
      </c>
      <c r="I18" s="414">
        <v>0</v>
      </c>
      <c r="J18" s="414">
        <f t="shared" ref="J18:O18" si="7">SUM(J12:J14)</f>
        <v>0</v>
      </c>
      <c r="K18" s="414">
        <f t="shared" si="7"/>
        <v>0</v>
      </c>
      <c r="L18" s="414">
        <f t="shared" si="7"/>
        <v>0</v>
      </c>
      <c r="M18" s="414">
        <f t="shared" si="7"/>
        <v>0</v>
      </c>
      <c r="N18" s="414">
        <f t="shared" si="7"/>
        <v>0</v>
      </c>
      <c r="O18" s="414">
        <f t="shared" si="7"/>
        <v>0</v>
      </c>
      <c r="P18" s="414">
        <v>0</v>
      </c>
      <c r="Q18" s="414">
        <v>0</v>
      </c>
      <c r="R18" s="414">
        <f>SUM(R12:R14)</f>
        <v>0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8">SUM(Y12:Y14)</f>
        <v>0</v>
      </c>
      <c r="Z18" s="414">
        <f t="shared" si="8"/>
        <v>0</v>
      </c>
      <c r="AA18" s="414">
        <f t="shared" si="8"/>
        <v>0</v>
      </c>
      <c r="AB18" s="414">
        <f t="shared" si="8"/>
        <v>0</v>
      </c>
      <c r="AC18" s="418">
        <f t="shared" si="8"/>
        <v>0</v>
      </c>
      <c r="AD18" s="418">
        <f t="shared" si="8"/>
        <v>0</v>
      </c>
      <c r="AE18" s="418">
        <f t="shared" si="8"/>
        <v>0</v>
      </c>
      <c r="AF18" s="418">
        <f t="shared" si="8"/>
        <v>0</v>
      </c>
      <c r="AG18" s="419">
        <f t="shared" si="8"/>
        <v>0</v>
      </c>
      <c r="AH18" s="419">
        <f t="shared" si="8"/>
        <v>0</v>
      </c>
      <c r="AI18" s="419">
        <f t="shared" si="8"/>
        <v>0</v>
      </c>
      <c r="AJ18" s="419">
        <f t="shared" si="8"/>
        <v>0</v>
      </c>
      <c r="AK18" s="414">
        <f t="shared" si="8"/>
        <v>0</v>
      </c>
      <c r="AL18" s="414">
        <f t="shared" si="8"/>
        <v>0</v>
      </c>
      <c r="AM18" s="414">
        <f t="shared" si="8"/>
        <v>0</v>
      </c>
      <c r="AN18" s="414">
        <f t="shared" si="8"/>
        <v>0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22</v>
      </c>
      <c r="G19" s="414">
        <f t="shared" ref="G19:R19" si="9">SUM(G17+G18)</f>
        <v>136</v>
      </c>
      <c r="H19" s="414">
        <f t="shared" si="9"/>
        <v>0</v>
      </c>
      <c r="I19" s="414">
        <f t="shared" si="9"/>
        <v>1</v>
      </c>
      <c r="J19" s="414">
        <f t="shared" si="9"/>
        <v>3</v>
      </c>
      <c r="K19" s="414">
        <f t="shared" si="9"/>
        <v>2</v>
      </c>
      <c r="L19" s="414">
        <f t="shared" si="9"/>
        <v>0</v>
      </c>
      <c r="M19" s="414">
        <f t="shared" si="9"/>
        <v>1</v>
      </c>
      <c r="N19" s="414">
        <f t="shared" si="9"/>
        <v>4</v>
      </c>
      <c r="O19" s="414">
        <f t="shared" si="9"/>
        <v>0</v>
      </c>
      <c r="P19" s="414">
        <f t="shared" si="9"/>
        <v>2</v>
      </c>
      <c r="Q19" s="414">
        <f t="shared" si="9"/>
        <v>0</v>
      </c>
      <c r="R19" s="414">
        <f t="shared" si="9"/>
        <v>22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10">SUM(Y17+Y18)</f>
        <v>3</v>
      </c>
      <c r="Z19" s="414">
        <f t="shared" si="10"/>
        <v>0</v>
      </c>
      <c r="AA19" s="414">
        <f t="shared" si="10"/>
        <v>0</v>
      </c>
      <c r="AB19" s="414">
        <f t="shared" si="10"/>
        <v>3</v>
      </c>
      <c r="AC19" s="418">
        <f t="shared" si="10"/>
        <v>0</v>
      </c>
      <c r="AD19" s="418">
        <f t="shared" si="10"/>
        <v>0</v>
      </c>
      <c r="AE19" s="418">
        <f t="shared" si="10"/>
        <v>0</v>
      </c>
      <c r="AF19" s="418">
        <f t="shared" si="10"/>
        <v>0</v>
      </c>
      <c r="AG19" s="419">
        <f t="shared" si="10"/>
        <v>0</v>
      </c>
      <c r="AH19" s="419">
        <f t="shared" si="10"/>
        <v>0</v>
      </c>
      <c r="AI19" s="419">
        <f t="shared" si="10"/>
        <v>0</v>
      </c>
      <c r="AJ19" s="419">
        <f t="shared" si="10"/>
        <v>0</v>
      </c>
      <c r="AK19" s="414">
        <f t="shared" si="10"/>
        <v>3</v>
      </c>
      <c r="AL19" s="414">
        <f t="shared" si="10"/>
        <v>0</v>
      </c>
      <c r="AM19" s="414">
        <f t="shared" si="10"/>
        <v>0</v>
      </c>
      <c r="AN19" s="414">
        <f t="shared" si="10"/>
        <v>3</v>
      </c>
    </row>
    <row r="20" spans="1:40" ht="14.95" thickBot="1" x14ac:dyDescent="0.3">
      <c r="A20" s="123"/>
      <c r="B20" s="124"/>
      <c r="C20" s="682" t="s">
        <v>73</v>
      </c>
      <c r="D20" s="683"/>
      <c r="E20" s="684"/>
      <c r="F20" s="150">
        <f t="shared" ref="F20:R20" si="11">SUM(F3:F14)</f>
        <v>365</v>
      </c>
      <c r="G20" s="150">
        <f t="shared" si="11"/>
        <v>183</v>
      </c>
      <c r="H20" s="150">
        <f t="shared" si="11"/>
        <v>2</v>
      </c>
      <c r="I20" s="150">
        <f t="shared" si="11"/>
        <v>1</v>
      </c>
      <c r="J20" s="150">
        <f t="shared" si="11"/>
        <v>53</v>
      </c>
      <c r="K20" s="150">
        <f t="shared" si="11"/>
        <v>35</v>
      </c>
      <c r="L20" s="150">
        <f t="shared" si="11"/>
        <v>2</v>
      </c>
      <c r="M20" s="150">
        <f t="shared" si="11"/>
        <v>8</v>
      </c>
      <c r="N20" s="150">
        <f t="shared" si="11"/>
        <v>7</v>
      </c>
      <c r="O20" s="150">
        <f t="shared" si="11"/>
        <v>1</v>
      </c>
      <c r="P20" s="150">
        <f t="shared" si="11"/>
        <v>2</v>
      </c>
      <c r="Q20" s="150">
        <f t="shared" si="11"/>
        <v>0</v>
      </c>
      <c r="R20" s="150">
        <f t="shared" si="11"/>
        <v>28</v>
      </c>
      <c r="S20" s="237"/>
      <c r="T20" s="237"/>
      <c r="U20" s="237"/>
      <c r="V20" s="237"/>
      <c r="W20" s="12"/>
      <c r="X20" s="155" t="s">
        <v>73</v>
      </c>
      <c r="Y20" s="150">
        <f t="shared" ref="Y20:AN20" si="12">SUM(Y3:Y14)</f>
        <v>9</v>
      </c>
      <c r="Z20" s="150">
        <f t="shared" si="12"/>
        <v>5</v>
      </c>
      <c r="AA20" s="150">
        <f t="shared" si="12"/>
        <v>0</v>
      </c>
      <c r="AB20" s="150">
        <f t="shared" si="12"/>
        <v>4</v>
      </c>
      <c r="AC20" s="148">
        <f t="shared" si="12"/>
        <v>4</v>
      </c>
      <c r="AD20" s="148">
        <f t="shared" si="12"/>
        <v>4</v>
      </c>
      <c r="AE20" s="148">
        <f t="shared" si="12"/>
        <v>0</v>
      </c>
      <c r="AF20" s="148">
        <f t="shared" si="12"/>
        <v>0</v>
      </c>
      <c r="AG20" s="149">
        <f t="shared" si="12"/>
        <v>2</v>
      </c>
      <c r="AH20" s="149">
        <f t="shared" si="12"/>
        <v>1</v>
      </c>
      <c r="AI20" s="149">
        <f t="shared" si="12"/>
        <v>0</v>
      </c>
      <c r="AJ20" s="149">
        <f t="shared" si="12"/>
        <v>1</v>
      </c>
      <c r="AK20" s="150">
        <f t="shared" si="12"/>
        <v>3</v>
      </c>
      <c r="AL20" s="150">
        <f t="shared" si="12"/>
        <v>0</v>
      </c>
      <c r="AM20" s="150">
        <f t="shared" si="12"/>
        <v>0</v>
      </c>
      <c r="AN20" s="150">
        <f t="shared" si="12"/>
        <v>3</v>
      </c>
    </row>
    <row r="21" spans="1:40" x14ac:dyDescent="0.25">
      <c r="A21" s="685" t="s">
        <v>338</v>
      </c>
      <c r="B21" s="637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</row>
    <row r="22" spans="1:40" x14ac:dyDescent="0.25">
      <c r="A22" s="258" t="s">
        <v>347</v>
      </c>
    </row>
    <row r="23" spans="1:40" x14ac:dyDescent="0.25">
      <c r="A23" s="258" t="s">
        <v>325</v>
      </c>
    </row>
    <row r="24" spans="1:40" x14ac:dyDescent="0.25">
      <c r="A24" t="s">
        <v>276</v>
      </c>
    </row>
    <row r="25" spans="1:40" x14ac:dyDescent="0.25">
      <c r="A25" t="s">
        <v>143</v>
      </c>
    </row>
    <row r="27" spans="1:40" x14ac:dyDescent="0.25">
      <c r="A27" t="s">
        <v>82</v>
      </c>
    </row>
    <row r="28" spans="1:40" x14ac:dyDescent="0.25">
      <c r="A28" s="238"/>
      <c r="B28" s="76" t="s">
        <v>42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</row>
    <row r="29" spans="1:40" x14ac:dyDescent="0.25">
      <c r="A29" s="140"/>
      <c r="B29" s="76" t="s">
        <v>40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x14ac:dyDescent="0.25">
      <c r="A30" s="239"/>
      <c r="B30" s="76" t="s">
        <v>41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x14ac:dyDescent="0.25">
      <c r="A31" s="258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</sheetData>
  <mergeCells count="17">
    <mergeCell ref="C16:E16"/>
    <mergeCell ref="C17:E17"/>
    <mergeCell ref="C18:E18"/>
    <mergeCell ref="C19:E19"/>
    <mergeCell ref="A21:AN21"/>
    <mergeCell ref="C20:E20"/>
    <mergeCell ref="Y1:AB1"/>
    <mergeCell ref="AC1:AF1"/>
    <mergeCell ref="AG1:AJ1"/>
    <mergeCell ref="AK1:AN1"/>
    <mergeCell ref="C15:E15"/>
    <mergeCell ref="A1:C1"/>
    <mergeCell ref="E1:G1"/>
    <mergeCell ref="H1:I1"/>
    <mergeCell ref="J1:M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65B5-95D2-4F6D-AFF2-D00FED6BEEF6}">
  <dimension ref="A1:AN30"/>
  <sheetViews>
    <sheetView zoomScaleNormal="100" workbookViewId="0">
      <selection activeCell="A12" sqref="A12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2.75" bestFit="1" customWidth="1"/>
    <col min="22" max="22" width="19.75" customWidth="1"/>
    <col min="23" max="23" width="22.125" bestFit="1" customWidth="1"/>
    <col min="24" max="24" width="27.25" bestFit="1" customWidth="1"/>
    <col min="25" max="40" width="3.75" customWidth="1"/>
  </cols>
  <sheetData>
    <row r="1" spans="1:40" ht="14.95" thickBot="1" x14ac:dyDescent="0.3">
      <c r="A1" s="746" t="s">
        <v>275</v>
      </c>
      <c r="B1" s="747"/>
      <c r="C1" s="747"/>
      <c r="D1" s="358"/>
      <c r="E1" s="748" t="s">
        <v>24</v>
      </c>
      <c r="F1" s="749"/>
      <c r="G1" s="750"/>
      <c r="H1" s="748" t="s">
        <v>81</v>
      </c>
      <c r="I1" s="750"/>
      <c r="J1" s="743" t="s">
        <v>6</v>
      </c>
      <c r="K1" s="745"/>
      <c r="L1" s="745"/>
      <c r="M1" s="744"/>
      <c r="N1" s="743" t="s">
        <v>7</v>
      </c>
      <c r="O1" s="744"/>
      <c r="P1" s="743" t="s">
        <v>25</v>
      </c>
      <c r="Q1" s="745"/>
      <c r="R1" s="744"/>
      <c r="S1" s="151" t="s">
        <v>8</v>
      </c>
      <c r="T1" s="151" t="s">
        <v>9</v>
      </c>
      <c r="U1" s="78" t="s">
        <v>10</v>
      </c>
      <c r="V1" s="78" t="s">
        <v>11</v>
      </c>
      <c r="W1" s="78" t="s">
        <v>26</v>
      </c>
      <c r="X1" s="78" t="s">
        <v>27</v>
      </c>
      <c r="Y1" s="740" t="s">
        <v>20</v>
      </c>
      <c r="Z1" s="821"/>
      <c r="AA1" s="821"/>
      <c r="AB1" s="822"/>
      <c r="AC1" s="740" t="s">
        <v>58</v>
      </c>
      <c r="AD1" s="821"/>
      <c r="AE1" s="821"/>
      <c r="AF1" s="822"/>
      <c r="AG1" s="740" t="s">
        <v>59</v>
      </c>
      <c r="AH1" s="821"/>
      <c r="AI1" s="821"/>
      <c r="AJ1" s="822"/>
      <c r="AK1" s="740" t="s">
        <v>60</v>
      </c>
      <c r="AL1" s="821"/>
      <c r="AM1" s="821"/>
      <c r="AN1" s="822"/>
    </row>
    <row r="2" spans="1:40" ht="14.95" customHeight="1" thickBot="1" x14ac:dyDescent="0.3">
      <c r="A2" s="82" t="s">
        <v>19</v>
      </c>
      <c r="B2" s="83" t="s">
        <v>18</v>
      </c>
      <c r="C2" s="84" t="s">
        <v>17</v>
      </c>
      <c r="D2" s="84" t="s">
        <v>39</v>
      </c>
      <c r="E2" s="85" t="s">
        <v>16</v>
      </c>
      <c r="F2" s="85" t="s">
        <v>4</v>
      </c>
      <c r="G2" s="85" t="s">
        <v>5</v>
      </c>
      <c r="H2" s="86" t="s">
        <v>12</v>
      </c>
      <c r="I2" s="86" t="s">
        <v>3</v>
      </c>
      <c r="J2" s="86" t="s">
        <v>12</v>
      </c>
      <c r="K2" s="86" t="s">
        <v>13</v>
      </c>
      <c r="L2" s="86" t="s">
        <v>2</v>
      </c>
      <c r="M2" s="86" t="s">
        <v>14</v>
      </c>
      <c r="N2" s="86" t="s">
        <v>15</v>
      </c>
      <c r="O2" s="86" t="s">
        <v>16</v>
      </c>
      <c r="P2" s="86" t="s">
        <v>21</v>
      </c>
      <c r="Q2" s="86" t="s">
        <v>22</v>
      </c>
      <c r="R2" s="86" t="s">
        <v>12</v>
      </c>
      <c r="S2" s="359"/>
      <c r="T2" s="360"/>
      <c r="U2" s="361"/>
      <c r="V2" s="359"/>
      <c r="W2" s="78"/>
      <c r="X2" s="362"/>
      <c r="Y2" s="135" t="s">
        <v>0</v>
      </c>
      <c r="Z2" s="135" t="s">
        <v>1</v>
      </c>
      <c r="AA2" s="135" t="s">
        <v>2</v>
      </c>
      <c r="AB2" s="135" t="s">
        <v>3</v>
      </c>
      <c r="AC2" s="135" t="s">
        <v>0</v>
      </c>
      <c r="AD2" s="135" t="s">
        <v>1</v>
      </c>
      <c r="AE2" s="135" t="s">
        <v>2</v>
      </c>
      <c r="AF2" s="135" t="s">
        <v>3</v>
      </c>
      <c r="AG2" s="135" t="s">
        <v>0</v>
      </c>
      <c r="AH2" s="135" t="s">
        <v>1</v>
      </c>
      <c r="AI2" s="135" t="s">
        <v>2</v>
      </c>
      <c r="AJ2" s="135" t="s">
        <v>3</v>
      </c>
      <c r="AK2" s="135" t="s">
        <v>0</v>
      </c>
      <c r="AL2" s="135" t="s">
        <v>1</v>
      </c>
      <c r="AM2" s="135" t="s">
        <v>2</v>
      </c>
      <c r="AN2" s="135" t="s">
        <v>3</v>
      </c>
    </row>
    <row r="3" spans="1:40" ht="14.95" thickBot="1" x14ac:dyDescent="0.3">
      <c r="A3" s="226">
        <v>44718</v>
      </c>
      <c r="B3" s="227" t="s">
        <v>269</v>
      </c>
      <c r="C3" s="227" t="s">
        <v>38</v>
      </c>
      <c r="D3" s="227" t="s">
        <v>272</v>
      </c>
      <c r="E3" s="223" t="s">
        <v>3</v>
      </c>
      <c r="F3" s="223">
        <v>5</v>
      </c>
      <c r="G3" s="223">
        <v>36</v>
      </c>
      <c r="H3" s="223">
        <v>0</v>
      </c>
      <c r="I3" s="223">
        <v>0</v>
      </c>
      <c r="J3" s="223">
        <v>1</v>
      </c>
      <c r="K3" s="223">
        <v>0</v>
      </c>
      <c r="L3" s="223">
        <v>0</v>
      </c>
      <c r="M3" s="223">
        <v>0</v>
      </c>
      <c r="N3" s="223">
        <v>0</v>
      </c>
      <c r="O3" s="223">
        <v>0</v>
      </c>
      <c r="P3" s="223">
        <v>1</v>
      </c>
      <c r="Q3" s="223">
        <v>0</v>
      </c>
      <c r="R3" s="223">
        <v>6</v>
      </c>
      <c r="S3" s="228"/>
      <c r="T3" s="240" t="s">
        <v>277</v>
      </c>
      <c r="U3" s="229" t="s">
        <v>211</v>
      </c>
      <c r="V3" s="228" t="s">
        <v>229</v>
      </c>
      <c r="W3" s="229" t="s">
        <v>214</v>
      </c>
      <c r="X3" s="225" t="s">
        <v>258</v>
      </c>
      <c r="Y3" s="155">
        <v>1</v>
      </c>
      <c r="Z3" s="155">
        <v>0</v>
      </c>
      <c r="AA3" s="155">
        <v>0</v>
      </c>
      <c r="AB3" s="224">
        <v>1</v>
      </c>
      <c r="AC3" s="155">
        <v>0</v>
      </c>
      <c r="AD3" s="155">
        <v>0</v>
      </c>
      <c r="AE3" s="155">
        <v>0</v>
      </c>
      <c r="AF3" s="224">
        <v>0</v>
      </c>
      <c r="AG3" s="155">
        <v>0</v>
      </c>
      <c r="AH3" s="155">
        <v>0</v>
      </c>
      <c r="AI3" s="155">
        <v>0</v>
      </c>
      <c r="AJ3" s="224">
        <v>0</v>
      </c>
      <c r="AK3" s="155">
        <v>1</v>
      </c>
      <c r="AL3" s="155">
        <v>0</v>
      </c>
      <c r="AM3" s="155">
        <v>0</v>
      </c>
      <c r="AN3" s="224">
        <v>1</v>
      </c>
    </row>
    <row r="4" spans="1:40" ht="17" thickBot="1" x14ac:dyDescent="0.35">
      <c r="A4" s="226">
        <v>44724</v>
      </c>
      <c r="B4" s="227" t="s">
        <v>269</v>
      </c>
      <c r="C4" s="227" t="s">
        <v>29</v>
      </c>
      <c r="D4" s="227" t="s">
        <v>79</v>
      </c>
      <c r="E4" s="223" t="s">
        <v>1</v>
      </c>
      <c r="F4" s="223">
        <v>16</v>
      </c>
      <c r="G4" s="223">
        <v>14</v>
      </c>
      <c r="H4" s="223">
        <v>0</v>
      </c>
      <c r="I4" s="223">
        <v>0</v>
      </c>
      <c r="J4" s="223">
        <v>1</v>
      </c>
      <c r="K4" s="223">
        <v>1</v>
      </c>
      <c r="L4" s="223">
        <v>0</v>
      </c>
      <c r="M4" s="223">
        <v>3</v>
      </c>
      <c r="N4" s="223">
        <v>0</v>
      </c>
      <c r="O4" s="223">
        <v>0</v>
      </c>
      <c r="P4" s="223">
        <v>0</v>
      </c>
      <c r="Q4" s="223">
        <v>1</v>
      </c>
      <c r="R4" s="223">
        <v>2</v>
      </c>
      <c r="S4" s="228"/>
      <c r="T4" s="231" t="s">
        <v>283</v>
      </c>
      <c r="U4" s="229" t="s">
        <v>207</v>
      </c>
      <c r="V4" s="228" t="s">
        <v>229</v>
      </c>
      <c r="W4" s="225" t="s">
        <v>194</v>
      </c>
      <c r="X4" s="230" t="s">
        <v>166</v>
      </c>
      <c r="Y4" s="155">
        <v>1</v>
      </c>
      <c r="Z4" s="155">
        <v>1</v>
      </c>
      <c r="AA4" s="155">
        <v>0</v>
      </c>
      <c r="AB4" s="224">
        <v>0</v>
      </c>
      <c r="AC4" s="155">
        <v>0</v>
      </c>
      <c r="AD4" s="155">
        <v>0</v>
      </c>
      <c r="AE4" s="155">
        <v>0</v>
      </c>
      <c r="AF4" s="224">
        <v>0</v>
      </c>
      <c r="AG4" s="155">
        <v>0</v>
      </c>
      <c r="AH4" s="155">
        <v>0</v>
      </c>
      <c r="AI4" s="155">
        <v>0</v>
      </c>
      <c r="AJ4" s="224">
        <v>0</v>
      </c>
      <c r="AK4" s="155">
        <v>1</v>
      </c>
      <c r="AL4" s="155">
        <v>1</v>
      </c>
      <c r="AM4" s="155">
        <v>0</v>
      </c>
      <c r="AN4" s="224">
        <v>0</v>
      </c>
    </row>
    <row r="5" spans="1:40" ht="14.95" customHeight="1" thickBot="1" x14ac:dyDescent="0.3">
      <c r="A5" s="184">
        <v>44730</v>
      </c>
      <c r="B5" s="186" t="s">
        <v>269</v>
      </c>
      <c r="C5" s="186" t="s">
        <v>77</v>
      </c>
      <c r="D5" s="186" t="s">
        <v>140</v>
      </c>
      <c r="E5" s="187" t="s">
        <v>3</v>
      </c>
      <c r="F5" s="187">
        <v>6</v>
      </c>
      <c r="G5" s="187">
        <v>50</v>
      </c>
      <c r="H5" s="187">
        <v>0</v>
      </c>
      <c r="I5" s="187">
        <v>0</v>
      </c>
      <c r="J5" s="187">
        <v>0</v>
      </c>
      <c r="K5" s="187">
        <v>0</v>
      </c>
      <c r="L5" s="187">
        <v>0</v>
      </c>
      <c r="M5" s="187">
        <v>2</v>
      </c>
      <c r="N5" s="187">
        <v>0</v>
      </c>
      <c r="O5" s="187">
        <v>0</v>
      </c>
      <c r="P5" s="187">
        <v>1</v>
      </c>
      <c r="Q5" s="187">
        <v>0</v>
      </c>
      <c r="R5" s="187">
        <v>8</v>
      </c>
      <c r="S5" s="191"/>
      <c r="T5" s="195" t="s">
        <v>292</v>
      </c>
      <c r="U5" s="193" t="s">
        <v>194</v>
      </c>
      <c r="V5" s="191" t="s">
        <v>166</v>
      </c>
      <c r="W5" s="188" t="s">
        <v>214</v>
      </c>
      <c r="X5" s="194" t="s">
        <v>258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90">
        <v>0</v>
      </c>
    </row>
    <row r="6" spans="1:40" ht="14.95" customHeight="1" thickBot="1" x14ac:dyDescent="0.3">
      <c r="A6" s="184">
        <v>44800</v>
      </c>
      <c r="B6" s="186" t="s">
        <v>246</v>
      </c>
      <c r="C6" s="186" t="s">
        <v>35</v>
      </c>
      <c r="D6" s="186" t="s">
        <v>114</v>
      </c>
      <c r="E6" s="187" t="s">
        <v>1</v>
      </c>
      <c r="F6" s="187">
        <v>21</v>
      </c>
      <c r="G6" s="187">
        <v>17</v>
      </c>
      <c r="H6" s="187" t="s">
        <v>72</v>
      </c>
      <c r="I6" s="187" t="s">
        <v>72</v>
      </c>
      <c r="J6" s="187">
        <v>3</v>
      </c>
      <c r="K6" s="187">
        <v>0</v>
      </c>
      <c r="L6" s="187">
        <v>0</v>
      </c>
      <c r="M6" s="187">
        <v>2</v>
      </c>
      <c r="N6" s="187">
        <v>0</v>
      </c>
      <c r="O6" s="187">
        <v>0</v>
      </c>
      <c r="P6" s="187" t="s">
        <v>72</v>
      </c>
      <c r="Q6" s="187" t="s">
        <v>72</v>
      </c>
      <c r="R6" s="187">
        <v>2</v>
      </c>
      <c r="S6" s="191"/>
      <c r="T6" s="201" t="s">
        <v>381</v>
      </c>
      <c r="U6" s="193" t="s">
        <v>147</v>
      </c>
      <c r="V6" s="191" t="s">
        <v>198</v>
      </c>
      <c r="W6" s="191" t="s">
        <v>159</v>
      </c>
      <c r="X6" s="194" t="s">
        <v>209</v>
      </c>
      <c r="Y6" s="189">
        <v>1</v>
      </c>
      <c r="Z6" s="189">
        <v>1</v>
      </c>
      <c r="AA6" s="189">
        <v>0</v>
      </c>
      <c r="AB6" s="190">
        <v>0</v>
      </c>
      <c r="AC6" s="189">
        <v>0</v>
      </c>
      <c r="AD6" s="189">
        <v>0</v>
      </c>
      <c r="AE6" s="189">
        <v>0</v>
      </c>
      <c r="AF6" s="190">
        <v>0</v>
      </c>
      <c r="AG6" s="189">
        <v>1</v>
      </c>
      <c r="AH6" s="189">
        <v>1</v>
      </c>
      <c r="AI6" s="189">
        <v>0</v>
      </c>
      <c r="AJ6" s="190">
        <v>0</v>
      </c>
      <c r="AK6" s="189">
        <v>0</v>
      </c>
      <c r="AL6" s="189">
        <v>0</v>
      </c>
      <c r="AM6" s="189">
        <v>0</v>
      </c>
      <c r="AN6" s="190">
        <v>0</v>
      </c>
    </row>
    <row r="7" spans="1:40" ht="14.95" customHeight="1" thickBot="1" x14ac:dyDescent="0.3">
      <c r="A7" s="184">
        <v>44807</v>
      </c>
      <c r="B7" s="186" t="s">
        <v>246</v>
      </c>
      <c r="C7" s="186" t="s">
        <v>30</v>
      </c>
      <c r="D7" s="186" t="s">
        <v>369</v>
      </c>
      <c r="E7" s="187" t="s">
        <v>3</v>
      </c>
      <c r="F7" s="187">
        <v>14</v>
      </c>
      <c r="G7" s="187">
        <v>52</v>
      </c>
      <c r="H7" s="187" t="s">
        <v>72</v>
      </c>
      <c r="I7" s="187" t="s">
        <v>72</v>
      </c>
      <c r="J7" s="187">
        <v>2</v>
      </c>
      <c r="K7" s="187">
        <v>1</v>
      </c>
      <c r="L7" s="187">
        <v>0</v>
      </c>
      <c r="M7" s="187">
        <v>0</v>
      </c>
      <c r="N7" s="187">
        <v>1</v>
      </c>
      <c r="O7" s="187">
        <v>0</v>
      </c>
      <c r="P7" s="187" t="s">
        <v>72</v>
      </c>
      <c r="Q7" s="187" t="s">
        <v>72</v>
      </c>
      <c r="R7" s="187">
        <v>8</v>
      </c>
      <c r="S7" s="191">
        <v>10000</v>
      </c>
      <c r="T7" s="195" t="s">
        <v>389</v>
      </c>
      <c r="U7" s="193" t="s">
        <v>149</v>
      </c>
      <c r="V7" s="191" t="s">
        <v>198</v>
      </c>
      <c r="W7" s="191" t="s">
        <v>182</v>
      </c>
      <c r="X7" s="194" t="s">
        <v>209</v>
      </c>
      <c r="Y7" s="189">
        <v>1</v>
      </c>
      <c r="Z7" s="189">
        <v>0</v>
      </c>
      <c r="AA7" s="189">
        <v>0</v>
      </c>
      <c r="AB7" s="190">
        <v>1</v>
      </c>
      <c r="AC7" s="189">
        <v>0</v>
      </c>
      <c r="AD7" s="189">
        <v>0</v>
      </c>
      <c r="AE7" s="189">
        <v>0</v>
      </c>
      <c r="AF7" s="190">
        <v>0</v>
      </c>
      <c r="AG7" s="189">
        <v>1</v>
      </c>
      <c r="AH7" s="189">
        <v>0</v>
      </c>
      <c r="AI7" s="189">
        <v>0</v>
      </c>
      <c r="AJ7" s="190">
        <v>1</v>
      </c>
      <c r="AK7" s="189">
        <v>0</v>
      </c>
      <c r="AL7" s="189">
        <v>0</v>
      </c>
      <c r="AM7" s="189">
        <v>0</v>
      </c>
      <c r="AN7" s="190">
        <v>0</v>
      </c>
    </row>
    <row r="8" spans="1:40" ht="14.95" thickBot="1" x14ac:dyDescent="0.3">
      <c r="A8" s="226">
        <v>44843</v>
      </c>
      <c r="B8" s="227" t="s">
        <v>139</v>
      </c>
      <c r="C8" s="227" t="s">
        <v>33</v>
      </c>
      <c r="D8" s="227" t="s">
        <v>140</v>
      </c>
      <c r="E8" s="223" t="s">
        <v>3</v>
      </c>
      <c r="F8" s="223">
        <v>10</v>
      </c>
      <c r="G8" s="223">
        <v>22</v>
      </c>
      <c r="H8" s="223">
        <v>0</v>
      </c>
      <c r="I8" s="223">
        <v>0</v>
      </c>
      <c r="J8" s="223">
        <v>2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3">
        <v>1</v>
      </c>
      <c r="Q8" s="223">
        <v>0</v>
      </c>
      <c r="R8" s="223">
        <v>4</v>
      </c>
      <c r="S8" s="228"/>
      <c r="T8" s="240" t="s">
        <v>488</v>
      </c>
      <c r="U8" s="229" t="s">
        <v>159</v>
      </c>
      <c r="V8" s="228" t="s">
        <v>198</v>
      </c>
      <c r="W8" s="228" t="s">
        <v>194</v>
      </c>
      <c r="X8" s="230" t="s">
        <v>258</v>
      </c>
      <c r="Y8" s="155">
        <v>1</v>
      </c>
      <c r="Z8" s="155">
        <v>0</v>
      </c>
      <c r="AA8" s="155">
        <v>0</v>
      </c>
      <c r="AB8" s="224">
        <v>1</v>
      </c>
      <c r="AC8" s="155">
        <v>0</v>
      </c>
      <c r="AD8" s="155">
        <v>0</v>
      </c>
      <c r="AE8" s="155">
        <v>0</v>
      </c>
      <c r="AF8" s="224">
        <v>0</v>
      </c>
      <c r="AG8" s="155">
        <v>0</v>
      </c>
      <c r="AH8" s="155">
        <v>0</v>
      </c>
      <c r="AI8" s="155">
        <v>0</v>
      </c>
      <c r="AJ8" s="224">
        <v>0</v>
      </c>
      <c r="AK8" s="155">
        <v>1</v>
      </c>
      <c r="AL8" s="155">
        <v>0</v>
      </c>
      <c r="AM8" s="155">
        <v>0</v>
      </c>
      <c r="AN8" s="224">
        <v>1</v>
      </c>
    </row>
    <row r="9" spans="1:40" ht="14.95" thickBot="1" x14ac:dyDescent="0.3">
      <c r="A9" s="226">
        <v>44849</v>
      </c>
      <c r="B9" s="227" t="s">
        <v>139</v>
      </c>
      <c r="C9" s="227" t="s">
        <v>36</v>
      </c>
      <c r="D9" s="227" t="s">
        <v>140</v>
      </c>
      <c r="E9" s="223" t="s">
        <v>1</v>
      </c>
      <c r="F9" s="223">
        <v>30</v>
      </c>
      <c r="G9" s="223">
        <v>17</v>
      </c>
      <c r="H9" s="223">
        <v>1</v>
      </c>
      <c r="I9" s="223">
        <v>0</v>
      </c>
      <c r="J9" s="223">
        <v>4</v>
      </c>
      <c r="K9" s="223">
        <v>2</v>
      </c>
      <c r="L9" s="223">
        <v>0</v>
      </c>
      <c r="M9" s="223">
        <v>2</v>
      </c>
      <c r="N9" s="223">
        <v>1</v>
      </c>
      <c r="O9" s="223">
        <v>0</v>
      </c>
      <c r="P9" s="223">
        <v>0</v>
      </c>
      <c r="Q9" s="223">
        <v>0</v>
      </c>
      <c r="R9" s="223">
        <v>3</v>
      </c>
      <c r="S9" s="228"/>
      <c r="T9" s="259" t="s">
        <v>499</v>
      </c>
      <c r="U9" s="229" t="s">
        <v>214</v>
      </c>
      <c r="V9" s="228" t="s">
        <v>117</v>
      </c>
      <c r="W9" s="228" t="s">
        <v>207</v>
      </c>
      <c r="X9" s="230" t="s">
        <v>209</v>
      </c>
      <c r="Y9" s="155">
        <v>1</v>
      </c>
      <c r="Z9" s="155">
        <v>0</v>
      </c>
      <c r="AA9" s="155">
        <v>0</v>
      </c>
      <c r="AB9" s="224">
        <v>1</v>
      </c>
      <c r="AC9" s="155">
        <v>0</v>
      </c>
      <c r="AD9" s="155">
        <v>0</v>
      </c>
      <c r="AE9" s="155">
        <v>0</v>
      </c>
      <c r="AF9" s="224">
        <v>0</v>
      </c>
      <c r="AG9" s="155">
        <v>0</v>
      </c>
      <c r="AH9" s="155">
        <v>0</v>
      </c>
      <c r="AI9" s="155">
        <v>0</v>
      </c>
      <c r="AJ9" s="224">
        <v>0</v>
      </c>
      <c r="AK9" s="155">
        <v>1</v>
      </c>
      <c r="AL9" s="155">
        <v>1</v>
      </c>
      <c r="AM9" s="155">
        <v>0</v>
      </c>
      <c r="AN9" s="224">
        <v>0</v>
      </c>
    </row>
    <row r="10" spans="1:40" ht="14.95" thickBot="1" x14ac:dyDescent="0.3">
      <c r="A10" s="226">
        <v>44857</v>
      </c>
      <c r="B10" s="227" t="s">
        <v>139</v>
      </c>
      <c r="C10" s="227" t="s">
        <v>38</v>
      </c>
      <c r="D10" s="227" t="s">
        <v>79</v>
      </c>
      <c r="E10" s="223" t="s">
        <v>3</v>
      </c>
      <c r="F10" s="223">
        <v>14</v>
      </c>
      <c r="G10" s="223">
        <v>29</v>
      </c>
      <c r="H10" s="223">
        <v>0</v>
      </c>
      <c r="I10" s="223">
        <v>0</v>
      </c>
      <c r="J10" s="223">
        <v>2</v>
      </c>
      <c r="K10" s="223">
        <v>2</v>
      </c>
      <c r="L10" s="223">
        <v>0</v>
      </c>
      <c r="M10" s="223">
        <v>0</v>
      </c>
      <c r="N10" s="223">
        <v>1</v>
      </c>
      <c r="O10" s="223">
        <v>0</v>
      </c>
      <c r="P10" s="223">
        <v>1</v>
      </c>
      <c r="Q10" s="223">
        <v>0</v>
      </c>
      <c r="R10" s="223">
        <v>5</v>
      </c>
      <c r="S10" s="290"/>
      <c r="T10" s="240" t="s">
        <v>509</v>
      </c>
      <c r="U10" s="631" t="s">
        <v>476</v>
      </c>
      <c r="V10" s="228" t="s">
        <v>117</v>
      </c>
      <c r="W10" s="228" t="s">
        <v>147</v>
      </c>
      <c r="X10" s="255" t="s">
        <v>182</v>
      </c>
      <c r="Y10" s="155">
        <v>1</v>
      </c>
      <c r="Z10" s="155">
        <v>0</v>
      </c>
      <c r="AA10" s="155">
        <v>0</v>
      </c>
      <c r="AB10" s="224">
        <v>1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0</v>
      </c>
      <c r="AM10" s="155">
        <v>0</v>
      </c>
      <c r="AN10" s="224">
        <v>1</v>
      </c>
    </row>
    <row r="11" spans="1:40" ht="14.95" thickBot="1" x14ac:dyDescent="0.3">
      <c r="A11" s="226">
        <v>44864</v>
      </c>
      <c r="B11" s="227" t="s">
        <v>109</v>
      </c>
      <c r="C11" s="227" t="s">
        <v>38</v>
      </c>
      <c r="D11" s="227" t="s">
        <v>79</v>
      </c>
      <c r="E11" s="223" t="s">
        <v>3</v>
      </c>
      <c r="F11" s="223">
        <v>11</v>
      </c>
      <c r="G11" s="223">
        <v>32</v>
      </c>
      <c r="H11" s="223" t="s">
        <v>72</v>
      </c>
      <c r="I11" s="223" t="s">
        <v>72</v>
      </c>
      <c r="J11" s="223">
        <v>1</v>
      </c>
      <c r="K11" s="223">
        <v>0</v>
      </c>
      <c r="L11" s="223">
        <v>0</v>
      </c>
      <c r="M11" s="223">
        <v>2</v>
      </c>
      <c r="N11" s="223">
        <v>1</v>
      </c>
      <c r="O11" s="223">
        <v>0</v>
      </c>
      <c r="P11" s="223" t="s">
        <v>72</v>
      </c>
      <c r="Q11" s="223" t="s">
        <v>72</v>
      </c>
      <c r="R11" s="223">
        <v>4</v>
      </c>
      <c r="S11" s="290"/>
      <c r="T11" s="240" t="s">
        <v>531</v>
      </c>
      <c r="U11" s="229" t="s">
        <v>147</v>
      </c>
      <c r="V11" s="228" t="s">
        <v>117</v>
      </c>
      <c r="W11" s="229" t="s">
        <v>165</v>
      </c>
      <c r="X11" s="228" t="s">
        <v>236</v>
      </c>
      <c r="Y11" s="155">
        <v>1</v>
      </c>
      <c r="Z11" s="155">
        <v>0</v>
      </c>
      <c r="AA11" s="155">
        <v>0</v>
      </c>
      <c r="AB11" s="224">
        <v>1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0</v>
      </c>
      <c r="AM11" s="155">
        <v>0</v>
      </c>
      <c r="AN11" s="224">
        <v>1</v>
      </c>
    </row>
    <row r="12" spans="1:40" ht="17" thickBot="1" x14ac:dyDescent="0.35">
      <c r="A12" s="226">
        <v>44870</v>
      </c>
      <c r="B12" s="227" t="s">
        <v>387</v>
      </c>
      <c r="C12" s="227"/>
      <c r="D12" s="227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90"/>
      <c r="T12" s="231"/>
      <c r="U12" s="229"/>
      <c r="V12" s="228"/>
      <c r="W12" s="225"/>
      <c r="X12" s="230"/>
      <c r="Y12" s="155"/>
      <c r="Z12" s="155"/>
      <c r="AA12" s="155"/>
      <c r="AB12" s="224"/>
      <c r="AC12" s="155"/>
      <c r="AD12" s="155"/>
      <c r="AE12" s="155"/>
      <c r="AF12" s="224"/>
      <c r="AG12" s="155"/>
      <c r="AH12" s="155"/>
      <c r="AI12" s="155"/>
      <c r="AJ12" s="224"/>
      <c r="AK12" s="155"/>
      <c r="AL12" s="155"/>
      <c r="AM12" s="155"/>
      <c r="AN12" s="224"/>
    </row>
    <row r="13" spans="1:40" ht="17" thickBot="1" x14ac:dyDescent="0.35">
      <c r="A13" s="226">
        <v>44877</v>
      </c>
      <c r="B13" s="227" t="s">
        <v>388</v>
      </c>
      <c r="C13" s="227"/>
      <c r="D13" s="227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90"/>
      <c r="T13" s="231"/>
      <c r="U13" s="229"/>
      <c r="V13" s="228"/>
      <c r="W13" s="225"/>
      <c r="X13" s="230"/>
      <c r="Y13" s="155"/>
      <c r="Z13" s="155"/>
      <c r="AA13" s="155"/>
      <c r="AB13" s="224"/>
      <c r="AC13" s="155"/>
      <c r="AD13" s="155"/>
      <c r="AE13" s="155"/>
      <c r="AF13" s="224"/>
      <c r="AG13" s="155"/>
      <c r="AH13" s="155"/>
      <c r="AI13" s="155"/>
      <c r="AJ13" s="224"/>
      <c r="AK13" s="155"/>
      <c r="AL13" s="155"/>
      <c r="AM13" s="155"/>
      <c r="AN13" s="224"/>
    </row>
    <row r="14" spans="1:40" ht="14.95" thickBot="1" x14ac:dyDescent="0.3">
      <c r="A14" s="123"/>
      <c r="B14" s="124"/>
      <c r="C14" s="823" t="s">
        <v>241</v>
      </c>
      <c r="D14" s="824"/>
      <c r="E14" s="825"/>
      <c r="F14" s="377">
        <f t="shared" ref="F14:R14" si="0">SUM(F3:F5)</f>
        <v>27</v>
      </c>
      <c r="G14" s="377">
        <f t="shared" si="0"/>
        <v>100</v>
      </c>
      <c r="H14" s="377">
        <f t="shared" si="0"/>
        <v>0</v>
      </c>
      <c r="I14" s="377">
        <f t="shared" si="0"/>
        <v>0</v>
      </c>
      <c r="J14" s="377">
        <f t="shared" si="0"/>
        <v>2</v>
      </c>
      <c r="K14" s="377">
        <f t="shared" si="0"/>
        <v>1</v>
      </c>
      <c r="L14" s="377">
        <f t="shared" si="0"/>
        <v>0</v>
      </c>
      <c r="M14" s="377">
        <f t="shared" si="0"/>
        <v>5</v>
      </c>
      <c r="N14" s="377">
        <f t="shared" si="0"/>
        <v>0</v>
      </c>
      <c r="O14" s="377">
        <f t="shared" si="0"/>
        <v>0</v>
      </c>
      <c r="P14" s="377">
        <f t="shared" si="0"/>
        <v>2</v>
      </c>
      <c r="Q14" s="377">
        <f t="shared" si="0"/>
        <v>1</v>
      </c>
      <c r="R14" s="377">
        <f t="shared" si="0"/>
        <v>16</v>
      </c>
      <c r="S14" s="378"/>
      <c r="T14" s="378"/>
      <c r="U14" s="378"/>
      <c r="V14" s="378"/>
      <c r="W14" s="379"/>
      <c r="X14" s="380" t="s">
        <v>241</v>
      </c>
      <c r="Y14" s="377">
        <f t="shared" ref="Y14:AN14" si="1">SUM(Y3:Y5)</f>
        <v>3</v>
      </c>
      <c r="Z14" s="377">
        <f t="shared" si="1"/>
        <v>1</v>
      </c>
      <c r="AA14" s="377">
        <f t="shared" si="1"/>
        <v>0</v>
      </c>
      <c r="AB14" s="377">
        <f t="shared" si="1"/>
        <v>2</v>
      </c>
      <c r="AC14" s="381">
        <f t="shared" si="1"/>
        <v>0</v>
      </c>
      <c r="AD14" s="381">
        <f t="shared" si="1"/>
        <v>0</v>
      </c>
      <c r="AE14" s="381">
        <f t="shared" si="1"/>
        <v>0</v>
      </c>
      <c r="AF14" s="381">
        <f t="shared" si="1"/>
        <v>0</v>
      </c>
      <c r="AG14" s="382">
        <f t="shared" si="1"/>
        <v>1</v>
      </c>
      <c r="AH14" s="382">
        <f t="shared" si="1"/>
        <v>0</v>
      </c>
      <c r="AI14" s="382">
        <f t="shared" si="1"/>
        <v>0</v>
      </c>
      <c r="AJ14" s="382">
        <f t="shared" si="1"/>
        <v>1</v>
      </c>
      <c r="AK14" s="377">
        <f t="shared" si="1"/>
        <v>2</v>
      </c>
      <c r="AL14" s="377">
        <f t="shared" si="1"/>
        <v>1</v>
      </c>
      <c r="AM14" s="377">
        <f t="shared" si="1"/>
        <v>0</v>
      </c>
      <c r="AN14" s="377">
        <f t="shared" si="1"/>
        <v>1</v>
      </c>
    </row>
    <row r="15" spans="1:40" ht="14.95" customHeight="1" thickBot="1" x14ac:dyDescent="0.3">
      <c r="A15" s="123"/>
      <c r="B15" s="124"/>
      <c r="C15" s="679" t="s">
        <v>467</v>
      </c>
      <c r="D15" s="680"/>
      <c r="E15" s="681"/>
      <c r="F15" s="414">
        <f>SUM(F8:F10)</f>
        <v>54</v>
      </c>
      <c r="G15" s="414">
        <f t="shared" ref="G15:R15" si="2">SUM(G8:G10)</f>
        <v>68</v>
      </c>
      <c r="H15" s="414">
        <f t="shared" si="2"/>
        <v>1</v>
      </c>
      <c r="I15" s="414">
        <f t="shared" si="2"/>
        <v>0</v>
      </c>
      <c r="J15" s="414">
        <f t="shared" si="2"/>
        <v>8</v>
      </c>
      <c r="K15" s="414">
        <f t="shared" si="2"/>
        <v>4</v>
      </c>
      <c r="L15" s="414">
        <f t="shared" si="2"/>
        <v>0</v>
      </c>
      <c r="M15" s="414">
        <f t="shared" si="2"/>
        <v>2</v>
      </c>
      <c r="N15" s="414">
        <f t="shared" si="2"/>
        <v>2</v>
      </c>
      <c r="O15" s="414">
        <f t="shared" si="2"/>
        <v>0</v>
      </c>
      <c r="P15" s="414">
        <f t="shared" si="2"/>
        <v>2</v>
      </c>
      <c r="Q15" s="414">
        <f t="shared" si="2"/>
        <v>0</v>
      </c>
      <c r="R15" s="414">
        <f t="shared" si="2"/>
        <v>12</v>
      </c>
      <c r="S15" s="415"/>
      <c r="T15" s="415"/>
      <c r="U15" s="415"/>
      <c r="V15" s="415"/>
      <c r="W15" s="416"/>
      <c r="X15" s="417" t="s">
        <v>467</v>
      </c>
      <c r="Y15" s="414">
        <f t="shared" ref="Y15:AN15" si="3">SUM(Y8:Y10)</f>
        <v>3</v>
      </c>
      <c r="Z15" s="414">
        <f t="shared" si="3"/>
        <v>0</v>
      </c>
      <c r="AA15" s="414">
        <f t="shared" si="3"/>
        <v>0</v>
      </c>
      <c r="AB15" s="414">
        <f t="shared" si="3"/>
        <v>3</v>
      </c>
      <c r="AC15" s="418">
        <f t="shared" si="3"/>
        <v>0</v>
      </c>
      <c r="AD15" s="418">
        <f t="shared" si="3"/>
        <v>0</v>
      </c>
      <c r="AE15" s="418">
        <f t="shared" si="3"/>
        <v>0</v>
      </c>
      <c r="AF15" s="418">
        <f t="shared" si="3"/>
        <v>0</v>
      </c>
      <c r="AG15" s="419">
        <f t="shared" si="3"/>
        <v>0</v>
      </c>
      <c r="AH15" s="419">
        <f t="shared" si="3"/>
        <v>0</v>
      </c>
      <c r="AI15" s="419">
        <f t="shared" si="3"/>
        <v>0</v>
      </c>
      <c r="AJ15" s="419">
        <f t="shared" si="3"/>
        <v>0</v>
      </c>
      <c r="AK15" s="414">
        <f t="shared" si="3"/>
        <v>3</v>
      </c>
      <c r="AL15" s="414">
        <f t="shared" si="3"/>
        <v>1</v>
      </c>
      <c r="AM15" s="414">
        <f t="shared" si="3"/>
        <v>0</v>
      </c>
      <c r="AN15" s="414">
        <f t="shared" si="3"/>
        <v>2</v>
      </c>
    </row>
    <row r="16" spans="1:40" ht="14.95" thickBot="1" x14ac:dyDescent="0.3">
      <c r="A16" s="123"/>
      <c r="B16" s="124"/>
      <c r="C16" s="679" t="s">
        <v>468</v>
      </c>
      <c r="D16" s="680"/>
      <c r="E16" s="681"/>
      <c r="F16" s="414">
        <f>SUM(F11:F13)</f>
        <v>11</v>
      </c>
      <c r="G16" s="414">
        <f>SUM(G11:G13)</f>
        <v>32</v>
      </c>
      <c r="H16" s="414">
        <v>0</v>
      </c>
      <c r="I16" s="414">
        <v>0</v>
      </c>
      <c r="J16" s="414">
        <f t="shared" ref="J16:O16" si="4">SUM(J11:J13)</f>
        <v>1</v>
      </c>
      <c r="K16" s="414">
        <f t="shared" si="4"/>
        <v>0</v>
      </c>
      <c r="L16" s="414">
        <f t="shared" si="4"/>
        <v>0</v>
      </c>
      <c r="M16" s="414">
        <f t="shared" si="4"/>
        <v>2</v>
      </c>
      <c r="N16" s="414">
        <f t="shared" si="4"/>
        <v>1</v>
      </c>
      <c r="O16" s="414">
        <f t="shared" si="4"/>
        <v>0</v>
      </c>
      <c r="P16" s="414">
        <v>0</v>
      </c>
      <c r="Q16" s="414">
        <v>0</v>
      </c>
      <c r="R16" s="414">
        <f>SUM(R11:R13)</f>
        <v>4</v>
      </c>
      <c r="S16" s="415"/>
      <c r="T16" s="415"/>
      <c r="U16" s="415"/>
      <c r="V16" s="415"/>
      <c r="W16" s="416"/>
      <c r="X16" s="417" t="s">
        <v>468</v>
      </c>
      <c r="Y16" s="414">
        <f t="shared" ref="Y16:AN16" si="5">SUM(Y11:Y13)</f>
        <v>1</v>
      </c>
      <c r="Z16" s="414">
        <f t="shared" si="5"/>
        <v>0</v>
      </c>
      <c r="AA16" s="414">
        <f t="shared" si="5"/>
        <v>0</v>
      </c>
      <c r="AB16" s="414">
        <f t="shared" si="5"/>
        <v>1</v>
      </c>
      <c r="AC16" s="418">
        <f t="shared" si="5"/>
        <v>0</v>
      </c>
      <c r="AD16" s="418">
        <f t="shared" si="5"/>
        <v>0</v>
      </c>
      <c r="AE16" s="418">
        <f t="shared" si="5"/>
        <v>0</v>
      </c>
      <c r="AF16" s="418">
        <f t="shared" si="5"/>
        <v>0</v>
      </c>
      <c r="AG16" s="419">
        <f t="shared" si="5"/>
        <v>0</v>
      </c>
      <c r="AH16" s="419">
        <f t="shared" si="5"/>
        <v>0</v>
      </c>
      <c r="AI16" s="419">
        <f t="shared" si="5"/>
        <v>0</v>
      </c>
      <c r="AJ16" s="419">
        <f t="shared" si="5"/>
        <v>0</v>
      </c>
      <c r="AK16" s="414">
        <f t="shared" si="5"/>
        <v>1</v>
      </c>
      <c r="AL16" s="414">
        <f t="shared" si="5"/>
        <v>0</v>
      </c>
      <c r="AM16" s="414">
        <f t="shared" si="5"/>
        <v>0</v>
      </c>
      <c r="AN16" s="414">
        <f t="shared" si="5"/>
        <v>1</v>
      </c>
    </row>
    <row r="17" spans="1:40" ht="14.95" thickBot="1" x14ac:dyDescent="0.3">
      <c r="A17" s="123"/>
      <c r="B17" s="124"/>
      <c r="C17" s="679" t="s">
        <v>469</v>
      </c>
      <c r="D17" s="680"/>
      <c r="E17" s="681"/>
      <c r="F17" s="414">
        <f>SUM(F15+F16)</f>
        <v>65</v>
      </c>
      <c r="G17" s="414">
        <f t="shared" ref="G17:R17" si="6">SUM(G15+G16)</f>
        <v>100</v>
      </c>
      <c r="H17" s="414">
        <f t="shared" si="6"/>
        <v>1</v>
      </c>
      <c r="I17" s="414">
        <f t="shared" si="6"/>
        <v>0</v>
      </c>
      <c r="J17" s="414">
        <f t="shared" si="6"/>
        <v>9</v>
      </c>
      <c r="K17" s="414">
        <f t="shared" si="6"/>
        <v>4</v>
      </c>
      <c r="L17" s="414">
        <f t="shared" si="6"/>
        <v>0</v>
      </c>
      <c r="M17" s="414">
        <f t="shared" si="6"/>
        <v>4</v>
      </c>
      <c r="N17" s="414">
        <f t="shared" si="6"/>
        <v>3</v>
      </c>
      <c r="O17" s="414">
        <f t="shared" si="6"/>
        <v>0</v>
      </c>
      <c r="P17" s="414">
        <f t="shared" si="6"/>
        <v>2</v>
      </c>
      <c r="Q17" s="414">
        <f t="shared" si="6"/>
        <v>0</v>
      </c>
      <c r="R17" s="414">
        <f t="shared" si="6"/>
        <v>16</v>
      </c>
      <c r="S17" s="415"/>
      <c r="T17" s="415"/>
      <c r="U17" s="415"/>
      <c r="V17" s="415"/>
      <c r="W17" s="416"/>
      <c r="X17" s="417" t="s">
        <v>469</v>
      </c>
      <c r="Y17" s="414">
        <f t="shared" ref="Y17:AN17" si="7">SUM(Y15+Y16)</f>
        <v>4</v>
      </c>
      <c r="Z17" s="414">
        <f t="shared" si="7"/>
        <v>0</v>
      </c>
      <c r="AA17" s="414">
        <f t="shared" si="7"/>
        <v>0</v>
      </c>
      <c r="AB17" s="414">
        <f t="shared" si="7"/>
        <v>4</v>
      </c>
      <c r="AC17" s="418">
        <f t="shared" si="7"/>
        <v>0</v>
      </c>
      <c r="AD17" s="418">
        <f t="shared" si="7"/>
        <v>0</v>
      </c>
      <c r="AE17" s="418">
        <f t="shared" si="7"/>
        <v>0</v>
      </c>
      <c r="AF17" s="418">
        <f t="shared" si="7"/>
        <v>0</v>
      </c>
      <c r="AG17" s="419">
        <f t="shared" si="7"/>
        <v>0</v>
      </c>
      <c r="AH17" s="419">
        <f t="shared" si="7"/>
        <v>0</v>
      </c>
      <c r="AI17" s="419">
        <f t="shared" si="7"/>
        <v>0</v>
      </c>
      <c r="AJ17" s="419">
        <f t="shared" si="7"/>
        <v>0</v>
      </c>
      <c r="AK17" s="414">
        <f t="shared" si="7"/>
        <v>4</v>
      </c>
      <c r="AL17" s="414">
        <f t="shared" si="7"/>
        <v>1</v>
      </c>
      <c r="AM17" s="414">
        <f t="shared" si="7"/>
        <v>0</v>
      </c>
      <c r="AN17" s="414">
        <f t="shared" si="7"/>
        <v>3</v>
      </c>
    </row>
    <row r="18" spans="1:40" ht="14.95" thickBot="1" x14ac:dyDescent="0.3">
      <c r="A18" s="123"/>
      <c r="B18" s="124"/>
      <c r="C18" s="686" t="s">
        <v>83</v>
      </c>
      <c r="D18" s="687"/>
      <c r="E18" s="688"/>
      <c r="F18" s="244">
        <f>SUM(F6+F7)</f>
        <v>35</v>
      </c>
      <c r="G18" s="244">
        <f>SUM(G6+G7)</f>
        <v>69</v>
      </c>
      <c r="H18" s="244" t="s">
        <v>72</v>
      </c>
      <c r="I18" s="244" t="s">
        <v>72</v>
      </c>
      <c r="J18" s="244">
        <f t="shared" ref="J18:O18" si="8">SUM(J6+J7)</f>
        <v>5</v>
      </c>
      <c r="K18" s="244">
        <f t="shared" si="8"/>
        <v>1</v>
      </c>
      <c r="L18" s="244">
        <f t="shared" si="8"/>
        <v>0</v>
      </c>
      <c r="M18" s="244">
        <f t="shared" si="8"/>
        <v>2</v>
      </c>
      <c r="N18" s="244">
        <f t="shared" si="8"/>
        <v>1</v>
      </c>
      <c r="O18" s="244">
        <f t="shared" si="8"/>
        <v>0</v>
      </c>
      <c r="P18" s="244" t="s">
        <v>72</v>
      </c>
      <c r="Q18" s="244" t="s">
        <v>72</v>
      </c>
      <c r="R18" s="244">
        <f>SUM(R6+R7)</f>
        <v>10</v>
      </c>
      <c r="S18" s="252"/>
      <c r="T18" s="252"/>
      <c r="U18" s="252"/>
      <c r="V18" s="252"/>
      <c r="W18" s="242"/>
      <c r="X18" s="249" t="s">
        <v>83</v>
      </c>
      <c r="Y18" s="244">
        <f t="shared" ref="Y18:AN18" si="9">SUM(Y6+Y7)</f>
        <v>2</v>
      </c>
      <c r="Z18" s="244">
        <f t="shared" si="9"/>
        <v>1</v>
      </c>
      <c r="AA18" s="244">
        <f t="shared" si="9"/>
        <v>0</v>
      </c>
      <c r="AB18" s="244">
        <f t="shared" si="9"/>
        <v>1</v>
      </c>
      <c r="AC18" s="245">
        <f t="shared" si="9"/>
        <v>0</v>
      </c>
      <c r="AD18" s="245">
        <f t="shared" si="9"/>
        <v>0</v>
      </c>
      <c r="AE18" s="245">
        <f t="shared" si="9"/>
        <v>0</v>
      </c>
      <c r="AF18" s="245">
        <f t="shared" si="9"/>
        <v>0</v>
      </c>
      <c r="AG18" s="246">
        <f t="shared" si="9"/>
        <v>2</v>
      </c>
      <c r="AH18" s="246">
        <f t="shared" si="9"/>
        <v>1</v>
      </c>
      <c r="AI18" s="246">
        <f t="shared" si="9"/>
        <v>0</v>
      </c>
      <c r="AJ18" s="246">
        <f t="shared" si="9"/>
        <v>1</v>
      </c>
      <c r="AK18" s="244">
        <f t="shared" si="9"/>
        <v>0</v>
      </c>
      <c r="AL18" s="244">
        <f t="shared" si="9"/>
        <v>0</v>
      </c>
      <c r="AM18" s="244">
        <f t="shared" si="9"/>
        <v>0</v>
      </c>
      <c r="AN18" s="244">
        <f t="shared" si="9"/>
        <v>0</v>
      </c>
    </row>
    <row r="19" spans="1:40" ht="14.95" thickBot="1" x14ac:dyDescent="0.3">
      <c r="A19" s="123"/>
      <c r="B19" s="124"/>
      <c r="C19" s="682" t="s">
        <v>73</v>
      </c>
      <c r="D19" s="683"/>
      <c r="E19" s="684"/>
      <c r="F19" s="150">
        <f t="shared" ref="F19:R19" si="10">SUM(F3:F13)</f>
        <v>127</v>
      </c>
      <c r="G19" s="150">
        <f t="shared" si="10"/>
        <v>269</v>
      </c>
      <c r="H19" s="150">
        <f t="shared" si="10"/>
        <v>1</v>
      </c>
      <c r="I19" s="150">
        <f t="shared" si="10"/>
        <v>0</v>
      </c>
      <c r="J19" s="150">
        <f t="shared" si="10"/>
        <v>16</v>
      </c>
      <c r="K19" s="150">
        <f t="shared" si="10"/>
        <v>6</v>
      </c>
      <c r="L19" s="150">
        <f t="shared" si="10"/>
        <v>0</v>
      </c>
      <c r="M19" s="150">
        <f t="shared" si="10"/>
        <v>11</v>
      </c>
      <c r="N19" s="150">
        <f t="shared" si="10"/>
        <v>4</v>
      </c>
      <c r="O19" s="150">
        <f t="shared" si="10"/>
        <v>0</v>
      </c>
      <c r="P19" s="150">
        <f t="shared" si="10"/>
        <v>4</v>
      </c>
      <c r="Q19" s="150">
        <f t="shared" si="10"/>
        <v>1</v>
      </c>
      <c r="R19" s="150">
        <f t="shared" si="10"/>
        <v>42</v>
      </c>
      <c r="S19" s="237"/>
      <c r="T19" s="237"/>
      <c r="U19" s="237"/>
      <c r="V19" s="237"/>
      <c r="W19" s="12"/>
      <c r="X19" s="155" t="s">
        <v>73</v>
      </c>
      <c r="Y19" s="150">
        <f t="shared" ref="Y19:AN19" si="11">SUM(Y3:Y13)</f>
        <v>9</v>
      </c>
      <c r="Z19" s="150">
        <f t="shared" si="11"/>
        <v>2</v>
      </c>
      <c r="AA19" s="150">
        <f t="shared" si="11"/>
        <v>0</v>
      </c>
      <c r="AB19" s="150">
        <f t="shared" si="11"/>
        <v>7</v>
      </c>
      <c r="AC19" s="148">
        <f t="shared" si="11"/>
        <v>0</v>
      </c>
      <c r="AD19" s="148">
        <f t="shared" si="11"/>
        <v>0</v>
      </c>
      <c r="AE19" s="148">
        <f t="shared" si="11"/>
        <v>0</v>
      </c>
      <c r="AF19" s="148">
        <f t="shared" si="11"/>
        <v>0</v>
      </c>
      <c r="AG19" s="149">
        <f t="shared" si="11"/>
        <v>3</v>
      </c>
      <c r="AH19" s="149">
        <f t="shared" si="11"/>
        <v>1</v>
      </c>
      <c r="AI19" s="149">
        <f t="shared" si="11"/>
        <v>0</v>
      </c>
      <c r="AJ19" s="149">
        <f t="shared" si="11"/>
        <v>2</v>
      </c>
      <c r="AK19" s="150">
        <f t="shared" si="11"/>
        <v>6</v>
      </c>
      <c r="AL19" s="150">
        <f t="shared" si="11"/>
        <v>2</v>
      </c>
      <c r="AM19" s="150">
        <f t="shared" si="11"/>
        <v>0</v>
      </c>
      <c r="AN19" s="150">
        <f t="shared" si="11"/>
        <v>4</v>
      </c>
    </row>
    <row r="20" spans="1:40" x14ac:dyDescent="0.25">
      <c r="A20" s="685" t="s">
        <v>242</v>
      </c>
      <c r="B20" s="637"/>
      <c r="C20" s="637"/>
      <c r="D20" s="637"/>
      <c r="E20" s="637"/>
      <c r="F20" s="637"/>
      <c r="G20" s="637"/>
      <c r="H20" s="637"/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637"/>
      <c r="AB20" s="637"/>
      <c r="AC20" s="637"/>
      <c r="AD20" s="637"/>
      <c r="AE20" s="637"/>
      <c r="AF20" s="637"/>
      <c r="AG20" s="637"/>
      <c r="AH20" s="637"/>
      <c r="AI20" s="637"/>
      <c r="AJ20" s="637"/>
      <c r="AK20" s="637"/>
      <c r="AL20" s="637"/>
      <c r="AM20" s="637"/>
      <c r="AN20" s="637"/>
    </row>
    <row r="21" spans="1:40" x14ac:dyDescent="0.25">
      <c r="A21" s="258" t="s">
        <v>294</v>
      </c>
    </row>
    <row r="22" spans="1:40" x14ac:dyDescent="0.25">
      <c r="A22" t="s">
        <v>372</v>
      </c>
    </row>
    <row r="23" spans="1:40" x14ac:dyDescent="0.25">
      <c r="A23" t="s">
        <v>276</v>
      </c>
    </row>
    <row r="24" spans="1:40" x14ac:dyDescent="0.25">
      <c r="A24" t="s">
        <v>295</v>
      </c>
    </row>
    <row r="26" spans="1:40" x14ac:dyDescent="0.25">
      <c r="A26" t="s">
        <v>390</v>
      </c>
    </row>
    <row r="27" spans="1:40" x14ac:dyDescent="0.25">
      <c r="A27" s="238"/>
      <c r="B27" s="76" t="s">
        <v>42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8" spans="1:40" x14ac:dyDescent="0.25">
      <c r="A28" s="140"/>
      <c r="B28" s="76" t="s">
        <v>40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</row>
    <row r="29" spans="1:40" x14ac:dyDescent="0.25">
      <c r="A29" s="239"/>
      <c r="B29" s="76" t="s">
        <v>41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x14ac:dyDescent="0.25">
      <c r="A30" s="258" t="s">
        <v>28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</sheetData>
  <mergeCells count="17">
    <mergeCell ref="Y1:AB1"/>
    <mergeCell ref="AC1:AF1"/>
    <mergeCell ref="AG1:AJ1"/>
    <mergeCell ref="AK1:AN1"/>
    <mergeCell ref="C14:E14"/>
    <mergeCell ref="A1:C1"/>
    <mergeCell ref="E1:G1"/>
    <mergeCell ref="H1:I1"/>
    <mergeCell ref="J1:M1"/>
    <mergeCell ref="N1:O1"/>
    <mergeCell ref="P1:R1"/>
    <mergeCell ref="C15:E15"/>
    <mergeCell ref="C16:E16"/>
    <mergeCell ref="C17:E17"/>
    <mergeCell ref="C19:E19"/>
    <mergeCell ref="A20:AN20"/>
    <mergeCell ref="C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B317-2C07-47FD-A342-5ED07DC95FD5}">
  <dimension ref="A1:U81"/>
  <sheetViews>
    <sheetView topLeftCell="A34" workbookViewId="0">
      <selection activeCell="F47" sqref="F47"/>
    </sheetView>
  </sheetViews>
  <sheetFormatPr defaultRowHeight="14.3" x14ac:dyDescent="0.25"/>
  <cols>
    <col min="1" max="1" width="17.5" bestFit="1" customWidth="1"/>
    <col min="5" max="5" width="10.75" bestFit="1" customWidth="1"/>
  </cols>
  <sheetData>
    <row r="1" spans="1:15" x14ac:dyDescent="0.25">
      <c r="A1" s="423" t="s">
        <v>414</v>
      </c>
      <c r="B1" s="423" t="s">
        <v>456</v>
      </c>
      <c r="C1" s="140"/>
      <c r="D1" s="140"/>
      <c r="E1" s="140"/>
      <c r="F1" s="140"/>
      <c r="G1" s="140"/>
      <c r="H1" s="44"/>
      <c r="I1" s="44"/>
      <c r="J1" s="44"/>
      <c r="K1" s="44"/>
      <c r="L1" s="44"/>
      <c r="M1" s="44"/>
      <c r="N1" s="424" t="s">
        <v>8</v>
      </c>
      <c r="O1" s="131" t="s">
        <v>416</v>
      </c>
    </row>
    <row r="2" spans="1:15" ht="14.95" customHeight="1" x14ac:dyDescent="0.25">
      <c r="A2" s="607">
        <v>44842</v>
      </c>
      <c r="B2" s="645">
        <v>0.34375</v>
      </c>
      <c r="C2" s="632"/>
      <c r="D2" s="426"/>
      <c r="E2" s="423" t="s">
        <v>434</v>
      </c>
      <c r="F2" s="140">
        <v>17</v>
      </c>
      <c r="G2" s="423">
        <v>41</v>
      </c>
      <c r="H2" s="423" t="s">
        <v>427</v>
      </c>
      <c r="I2" s="426"/>
      <c r="J2" s="646" t="s">
        <v>457</v>
      </c>
      <c r="K2" s="632"/>
      <c r="L2" s="632"/>
      <c r="M2" s="632"/>
      <c r="N2" s="13"/>
      <c r="O2" s="130">
        <v>44000</v>
      </c>
    </row>
    <row r="3" spans="1:15" ht="14.95" customHeight="1" x14ac:dyDescent="0.25">
      <c r="A3" s="607">
        <v>44843</v>
      </c>
      <c r="B3" s="645">
        <v>0.28125</v>
      </c>
      <c r="C3" s="632"/>
      <c r="D3" s="426"/>
      <c r="E3" s="423" t="s">
        <v>436</v>
      </c>
      <c r="F3" s="140">
        <v>18</v>
      </c>
      <c r="G3" s="423">
        <v>15</v>
      </c>
      <c r="H3" s="423" t="s">
        <v>418</v>
      </c>
      <c r="I3" s="426"/>
      <c r="J3" s="646" t="s">
        <v>459</v>
      </c>
      <c r="K3" s="632"/>
      <c r="L3" s="632"/>
      <c r="M3" s="632"/>
      <c r="N3" s="13"/>
      <c r="O3" s="130">
        <v>30000</v>
      </c>
    </row>
    <row r="4" spans="1:15" ht="14.95" customHeight="1" x14ac:dyDescent="0.25">
      <c r="A4" s="607">
        <v>44849</v>
      </c>
      <c r="B4" s="645">
        <v>0.16666666666666666</v>
      </c>
      <c r="C4" s="632"/>
      <c r="D4" s="426"/>
      <c r="E4" s="423" t="s">
        <v>418</v>
      </c>
      <c r="F4" s="140">
        <v>12</v>
      </c>
      <c r="G4" s="423">
        <v>14</v>
      </c>
      <c r="H4" s="646" t="s">
        <v>434</v>
      </c>
      <c r="I4" s="637"/>
      <c r="J4" s="646" t="s">
        <v>459</v>
      </c>
      <c r="K4" s="632"/>
      <c r="L4" s="632"/>
      <c r="M4" s="632"/>
      <c r="N4" s="13"/>
      <c r="O4" s="130">
        <v>30000</v>
      </c>
    </row>
    <row r="5" spans="1:15" ht="14.95" customHeight="1" x14ac:dyDescent="0.25">
      <c r="A5" s="607">
        <v>44850</v>
      </c>
      <c r="B5" s="645">
        <v>0.17708333333333334</v>
      </c>
      <c r="C5" s="632"/>
      <c r="D5" s="426"/>
      <c r="E5" s="423" t="s">
        <v>436</v>
      </c>
      <c r="F5" s="140">
        <v>12</v>
      </c>
      <c r="G5" s="423">
        <v>56</v>
      </c>
      <c r="H5" s="423" t="s">
        <v>427</v>
      </c>
      <c r="I5" s="426"/>
      <c r="J5" s="646" t="s">
        <v>458</v>
      </c>
      <c r="K5" s="632"/>
      <c r="L5" s="632"/>
      <c r="M5" s="632"/>
      <c r="N5" s="13"/>
      <c r="O5" s="130">
        <v>4901</v>
      </c>
    </row>
    <row r="6" spans="1:15" ht="14.95" customHeight="1" x14ac:dyDescent="0.25">
      <c r="A6" s="607">
        <v>44856</v>
      </c>
      <c r="B6" s="645">
        <v>0.13541666666666666</v>
      </c>
      <c r="C6" s="632"/>
      <c r="D6" s="426"/>
      <c r="E6" s="423" t="s">
        <v>434</v>
      </c>
      <c r="F6" s="140">
        <v>13</v>
      </c>
      <c r="G6" s="423">
        <v>7</v>
      </c>
      <c r="H6" s="646" t="s">
        <v>436</v>
      </c>
      <c r="I6" s="637"/>
      <c r="J6" s="646" t="s">
        <v>459</v>
      </c>
      <c r="K6" s="632"/>
      <c r="L6" s="632"/>
      <c r="M6" s="632"/>
      <c r="N6" s="13"/>
      <c r="O6" s="130">
        <v>30000</v>
      </c>
    </row>
    <row r="7" spans="1:15" ht="14.95" customHeight="1" x14ac:dyDescent="0.25">
      <c r="A7" s="607">
        <v>44856</v>
      </c>
      <c r="B7" s="645">
        <v>0.23958333333333334</v>
      </c>
      <c r="C7" s="632"/>
      <c r="D7" s="426"/>
      <c r="E7" s="423" t="s">
        <v>427</v>
      </c>
      <c r="F7" s="140">
        <v>57</v>
      </c>
      <c r="G7" s="423">
        <v>0</v>
      </c>
      <c r="H7" s="423" t="s">
        <v>418</v>
      </c>
      <c r="I7" s="426"/>
      <c r="J7" s="646" t="s">
        <v>459</v>
      </c>
      <c r="K7" s="632"/>
      <c r="L7" s="632"/>
      <c r="M7" s="632"/>
      <c r="N7" s="13"/>
      <c r="O7" s="130">
        <v>30000</v>
      </c>
    </row>
    <row r="8" spans="1:15" ht="14.95" customHeight="1" thickBot="1" x14ac:dyDescent="0.3">
      <c r="A8" s="425" t="s">
        <v>55</v>
      </c>
      <c r="B8" s="427" t="s">
        <v>55</v>
      </c>
      <c r="C8" s="140"/>
      <c r="D8" s="426"/>
      <c r="E8" s="140"/>
      <c r="F8" s="140"/>
      <c r="G8" s="140"/>
      <c r="H8" s="140"/>
      <c r="I8" s="140"/>
      <c r="J8" s="140"/>
      <c r="K8" s="140"/>
      <c r="L8" s="140"/>
      <c r="M8" s="140"/>
      <c r="N8" s="13"/>
      <c r="O8" s="130"/>
    </row>
    <row r="9" spans="1:15" ht="14.95" customHeight="1" thickBot="1" x14ac:dyDescent="0.3">
      <c r="A9" s="428" t="s">
        <v>55</v>
      </c>
      <c r="B9" s="429" t="s">
        <v>0</v>
      </c>
      <c r="C9" s="429" t="s">
        <v>1</v>
      </c>
      <c r="D9" s="429" t="s">
        <v>2</v>
      </c>
      <c r="E9" s="430" t="s">
        <v>3</v>
      </c>
      <c r="F9" s="429" t="s">
        <v>419</v>
      </c>
      <c r="G9" s="429" t="s">
        <v>420</v>
      </c>
      <c r="H9" s="430" t="s">
        <v>421</v>
      </c>
      <c r="I9" s="429" t="s">
        <v>422</v>
      </c>
      <c r="J9" s="429" t="s">
        <v>423</v>
      </c>
      <c r="K9" s="430" t="s">
        <v>424</v>
      </c>
      <c r="L9" s="429" t="s">
        <v>425</v>
      </c>
      <c r="M9" s="430" t="s">
        <v>47</v>
      </c>
      <c r="N9" s="13"/>
      <c r="O9" s="130"/>
    </row>
    <row r="10" spans="1:15" ht="16.3" customHeight="1" thickBot="1" x14ac:dyDescent="0.3">
      <c r="A10" s="435" t="s">
        <v>77</v>
      </c>
      <c r="B10" s="436">
        <f>nzl2021wcpoolplayed</f>
        <v>3</v>
      </c>
      <c r="C10" s="436">
        <f>nzl2021wcpoolwon</f>
        <v>3</v>
      </c>
      <c r="D10" s="436">
        <f>nzl2021wcpooldrawn</f>
        <v>0</v>
      </c>
      <c r="E10" s="436">
        <f>nzl2021wcpoollost</f>
        <v>0</v>
      </c>
      <c r="F10" s="437">
        <f>nzl2021wcpoolpointsscored</f>
        <v>154</v>
      </c>
      <c r="G10" s="437">
        <f>nzl2021wcpoolpointsagainst</f>
        <v>29</v>
      </c>
      <c r="H10" s="438">
        <f>SUM(F10-G10)</f>
        <v>125</v>
      </c>
      <c r="I10" s="437">
        <f>nzl2021wcpooltriesscored</f>
        <v>26</v>
      </c>
      <c r="J10" s="437">
        <f>nzl2021wcpooltriesconceded</f>
        <v>5</v>
      </c>
      <c r="K10" s="438">
        <f>SUM(I10-J10)</f>
        <v>21</v>
      </c>
      <c r="L10" s="437">
        <f>nzl2021wcpoollbscored+nzl2021wcpooltbscored</f>
        <v>3</v>
      </c>
      <c r="M10" s="438">
        <f>SUM(C10*4+D10*2+L10)</f>
        <v>15</v>
      </c>
      <c r="N10" s="13"/>
      <c r="O10" s="130"/>
    </row>
    <row r="11" spans="1:15" ht="14.95" customHeight="1" thickBot="1" x14ac:dyDescent="0.3">
      <c r="A11" s="431" t="s">
        <v>29</v>
      </c>
      <c r="B11" s="432">
        <f>aus2021wcpoolplayed</f>
        <v>3</v>
      </c>
      <c r="C11" s="432">
        <f>aus2021wcpoolwon</f>
        <v>2</v>
      </c>
      <c r="D11" s="432">
        <f>aus2021wcpooldrawn</f>
        <v>0</v>
      </c>
      <c r="E11" s="432">
        <f>aus2021wcpoollost</f>
        <v>1</v>
      </c>
      <c r="F11" s="433">
        <v>44</v>
      </c>
      <c r="G11" s="433">
        <v>60</v>
      </c>
      <c r="H11" s="434">
        <f>SUM(F11-G11)</f>
        <v>-16</v>
      </c>
      <c r="I11" s="433">
        <v>6</v>
      </c>
      <c r="J11" s="433">
        <v>10</v>
      </c>
      <c r="K11" s="434">
        <f>SUM(I11-J11)</f>
        <v>-4</v>
      </c>
      <c r="L11" s="433">
        <f>aus2021wcpoollbscored+Aus2021wcpooltbscored</f>
        <v>0</v>
      </c>
      <c r="M11" s="434">
        <f>SUM(C11*4+D11*2+L11)</f>
        <v>8</v>
      </c>
      <c r="N11" s="13"/>
      <c r="O11" s="130"/>
    </row>
    <row r="12" spans="1:15" ht="14.95" customHeight="1" thickBot="1" x14ac:dyDescent="0.3">
      <c r="A12" s="439" t="s">
        <v>32</v>
      </c>
      <c r="B12" s="440">
        <f>wal2021wcpoolplayed</f>
        <v>3</v>
      </c>
      <c r="C12" s="441">
        <f>wal2021wcpoolwon</f>
        <v>1</v>
      </c>
      <c r="D12" s="441">
        <f>wal2021wcpooldrawn</f>
        <v>0</v>
      </c>
      <c r="E12" s="441">
        <f>wal2021wcpoollost</f>
        <v>2</v>
      </c>
      <c r="F12" s="442">
        <v>37</v>
      </c>
      <c r="G12" s="442">
        <v>84</v>
      </c>
      <c r="H12" s="443">
        <f>SUM(F12-G12)</f>
        <v>-47</v>
      </c>
      <c r="I12" s="442">
        <v>5</v>
      </c>
      <c r="J12" s="444">
        <v>14</v>
      </c>
      <c r="K12" s="443">
        <f>SUM(I12-J12)</f>
        <v>-9</v>
      </c>
      <c r="L12" s="442">
        <f>wal2021wcpoollbscored+wal2021wcpooltbscored</f>
        <v>1</v>
      </c>
      <c r="M12" s="443">
        <f>SUM(C12*4+D12*2+L12)</f>
        <v>5</v>
      </c>
      <c r="N12" s="13"/>
      <c r="O12" s="130"/>
    </row>
    <row r="13" spans="1:15" ht="14.95" customHeight="1" thickBot="1" x14ac:dyDescent="0.3">
      <c r="A13" s="445" t="s">
        <v>35</v>
      </c>
      <c r="B13" s="446">
        <f>sco2021wcpoolplayed</f>
        <v>3</v>
      </c>
      <c r="C13" s="446">
        <f>sco2021wcpoolwon</f>
        <v>0</v>
      </c>
      <c r="D13" s="446">
        <f>sco2021wcpooldrawn</f>
        <v>0</v>
      </c>
      <c r="E13" s="446">
        <f>sco2021wcpoollost</f>
        <v>3</v>
      </c>
      <c r="F13" s="447">
        <f>sco2021wcpoolpointsscored</f>
        <v>27</v>
      </c>
      <c r="G13" s="447">
        <f>sco2021wcpoolpointsagainst</f>
        <v>89</v>
      </c>
      <c r="H13" s="448">
        <f>SUM(F13-G13)</f>
        <v>-62</v>
      </c>
      <c r="I13" s="447">
        <f>sco2021wcpooltriesscored</f>
        <v>5</v>
      </c>
      <c r="J13" s="447">
        <f>sco2021wcpooltriesconceded</f>
        <v>13</v>
      </c>
      <c r="K13" s="448">
        <f>SUM(I13-J13)</f>
        <v>-8</v>
      </c>
      <c r="L13" s="447">
        <f>sco2021wcpoollbscored+sco2021wcpooltbscored</f>
        <v>2</v>
      </c>
      <c r="M13" s="448">
        <f>SUM(C13*4+D13*2+L13)</f>
        <v>2</v>
      </c>
      <c r="N13" s="13"/>
      <c r="O13" s="130"/>
    </row>
    <row r="14" spans="1:15" ht="14.95" customHeight="1" x14ac:dyDescent="0.25">
      <c r="A14" s="449"/>
      <c r="B14" s="450"/>
      <c r="C14" s="451"/>
      <c r="D14" s="452"/>
      <c r="E14" s="451"/>
      <c r="F14" s="451"/>
      <c r="G14" s="451"/>
      <c r="H14" s="453"/>
      <c r="I14" s="453"/>
      <c r="J14" s="453"/>
      <c r="K14" s="453"/>
      <c r="L14" s="453"/>
      <c r="M14" s="453"/>
      <c r="N14" s="13"/>
      <c r="O14" s="130"/>
    </row>
    <row r="15" spans="1:15" ht="14.95" customHeight="1" x14ac:dyDescent="0.25">
      <c r="A15" s="449" t="s">
        <v>426</v>
      </c>
      <c r="B15" s="454" t="s">
        <v>415</v>
      </c>
      <c r="C15" s="451"/>
      <c r="D15" s="451"/>
      <c r="E15" s="451"/>
      <c r="F15" s="451"/>
      <c r="G15" s="451"/>
      <c r="H15" s="453"/>
      <c r="I15" s="453"/>
      <c r="J15" s="453"/>
      <c r="K15" s="453"/>
      <c r="L15" s="453"/>
      <c r="M15" s="453"/>
      <c r="N15" s="13"/>
      <c r="O15" s="130"/>
    </row>
    <row r="16" spans="1:15" ht="14.95" customHeight="1" x14ac:dyDescent="0.25">
      <c r="A16" s="608">
        <v>44843</v>
      </c>
      <c r="B16" s="641">
        <v>7.2916666666666671E-2</v>
      </c>
      <c r="C16" s="642"/>
      <c r="D16" s="452"/>
      <c r="E16" s="449" t="s">
        <v>57</v>
      </c>
      <c r="F16" s="452">
        <v>10</v>
      </c>
      <c r="G16" s="449">
        <v>22</v>
      </c>
      <c r="H16" s="643" t="s">
        <v>429</v>
      </c>
      <c r="I16" s="642"/>
      <c r="J16" s="644" t="s">
        <v>459</v>
      </c>
      <c r="K16" s="632"/>
      <c r="L16" s="632"/>
      <c r="M16" s="632"/>
      <c r="N16" s="13"/>
      <c r="O16" s="130">
        <v>30000</v>
      </c>
    </row>
    <row r="17" spans="1:15" ht="14.95" customHeight="1" x14ac:dyDescent="0.25">
      <c r="A17" s="608">
        <v>44843</v>
      </c>
      <c r="B17" s="641">
        <v>0.17708333333333334</v>
      </c>
      <c r="C17" s="642"/>
      <c r="D17" s="452"/>
      <c r="E17" s="449" t="s">
        <v>417</v>
      </c>
      <c r="F17" s="452">
        <v>5</v>
      </c>
      <c r="G17" s="449">
        <v>41</v>
      </c>
      <c r="H17" s="643" t="s">
        <v>430</v>
      </c>
      <c r="I17" s="642"/>
      <c r="J17" s="644" t="s">
        <v>459</v>
      </c>
      <c r="K17" s="632"/>
      <c r="L17" s="632"/>
      <c r="M17" s="632"/>
      <c r="N17" s="13"/>
      <c r="O17" s="130">
        <v>30000</v>
      </c>
    </row>
    <row r="18" spans="1:15" ht="14.95" customHeight="1" x14ac:dyDescent="0.25">
      <c r="A18" s="608">
        <v>44849</v>
      </c>
      <c r="B18" s="641">
        <v>0.27083333333333331</v>
      </c>
      <c r="C18" s="642"/>
      <c r="D18" s="452"/>
      <c r="E18" s="449" t="s">
        <v>57</v>
      </c>
      <c r="F18" s="452">
        <v>30</v>
      </c>
      <c r="G18" s="449">
        <v>17</v>
      </c>
      <c r="H18" s="643" t="s">
        <v>417</v>
      </c>
      <c r="I18" s="642"/>
      <c r="J18" s="644" t="s">
        <v>459</v>
      </c>
      <c r="K18" s="632"/>
      <c r="L18" s="632"/>
      <c r="M18" s="632"/>
      <c r="N18" s="13"/>
      <c r="O18" s="130">
        <v>30000</v>
      </c>
    </row>
    <row r="19" spans="1:15" ht="14.95" customHeight="1" x14ac:dyDescent="0.25">
      <c r="A19" s="608">
        <v>44850</v>
      </c>
      <c r="B19" s="641">
        <v>7.2916666666666671E-2</v>
      </c>
      <c r="C19" s="642"/>
      <c r="D19" s="452"/>
      <c r="E19" s="449" t="s">
        <v>429</v>
      </c>
      <c r="F19" s="452">
        <v>12</v>
      </c>
      <c r="G19" s="449">
        <v>22</v>
      </c>
      <c r="H19" s="643" t="s">
        <v>430</v>
      </c>
      <c r="I19" s="642"/>
      <c r="J19" s="644" t="s">
        <v>458</v>
      </c>
      <c r="K19" s="632"/>
      <c r="L19" s="632"/>
      <c r="M19" s="632"/>
      <c r="N19" s="13"/>
      <c r="O19" s="130">
        <v>4901</v>
      </c>
    </row>
    <row r="20" spans="1:15" ht="14.95" customHeight="1" x14ac:dyDescent="0.25">
      <c r="A20" s="608">
        <v>44857</v>
      </c>
      <c r="B20" s="641">
        <v>0.17708333333333334</v>
      </c>
      <c r="C20" s="642"/>
      <c r="D20" s="452"/>
      <c r="E20" s="449" t="s">
        <v>417</v>
      </c>
      <c r="F20" s="452">
        <v>8</v>
      </c>
      <c r="G20" s="449">
        <v>21</v>
      </c>
      <c r="H20" s="643" t="s">
        <v>429</v>
      </c>
      <c r="I20" s="642"/>
      <c r="J20" s="644" t="s">
        <v>458</v>
      </c>
      <c r="K20" s="632"/>
      <c r="L20" s="632"/>
      <c r="M20" s="632"/>
      <c r="N20" s="13"/>
      <c r="O20" s="130">
        <v>4901</v>
      </c>
    </row>
    <row r="21" spans="1:15" ht="14.95" customHeight="1" x14ac:dyDescent="0.25">
      <c r="A21" s="608">
        <v>44857</v>
      </c>
      <c r="B21" s="641">
        <v>0.28125</v>
      </c>
      <c r="C21" s="642"/>
      <c r="D21" s="452"/>
      <c r="E21" s="449" t="s">
        <v>430</v>
      </c>
      <c r="F21" s="452">
        <v>29</v>
      </c>
      <c r="G21" s="449">
        <v>14</v>
      </c>
      <c r="H21" s="643" t="s">
        <v>57</v>
      </c>
      <c r="I21" s="642"/>
      <c r="J21" s="644" t="s">
        <v>458</v>
      </c>
      <c r="K21" s="632"/>
      <c r="L21" s="632"/>
      <c r="M21" s="632"/>
      <c r="N21" s="13"/>
      <c r="O21" s="130">
        <v>4901</v>
      </c>
    </row>
    <row r="22" spans="1:15" ht="14.95" customHeight="1" thickBot="1" x14ac:dyDescent="0.3">
      <c r="A22" s="455" t="s">
        <v>55</v>
      </c>
      <c r="B22" s="450" t="s">
        <v>55</v>
      </c>
      <c r="C22" s="451"/>
      <c r="D22" s="452"/>
      <c r="E22" s="451"/>
      <c r="F22" s="451"/>
      <c r="G22" s="451"/>
      <c r="H22" s="451"/>
      <c r="I22" s="451"/>
      <c r="J22" s="451"/>
      <c r="K22" s="451"/>
      <c r="L22" s="451"/>
      <c r="M22" s="451"/>
      <c r="N22" s="13"/>
      <c r="O22" s="130"/>
    </row>
    <row r="23" spans="1:15" ht="14.95" customHeight="1" thickBot="1" x14ac:dyDescent="0.3">
      <c r="A23" s="457" t="s">
        <v>55</v>
      </c>
      <c r="B23" s="458" t="s">
        <v>0</v>
      </c>
      <c r="C23" s="458" t="s">
        <v>1</v>
      </c>
      <c r="D23" s="458" t="s">
        <v>2</v>
      </c>
      <c r="E23" s="459" t="s">
        <v>3</v>
      </c>
      <c r="F23" s="458" t="s">
        <v>419</v>
      </c>
      <c r="G23" s="458" t="s">
        <v>420</v>
      </c>
      <c r="H23" s="459" t="s">
        <v>421</v>
      </c>
      <c r="I23" s="458" t="s">
        <v>422</v>
      </c>
      <c r="J23" s="458" t="s">
        <v>423</v>
      </c>
      <c r="K23" s="459" t="s">
        <v>424</v>
      </c>
      <c r="L23" s="458" t="s">
        <v>425</v>
      </c>
      <c r="M23" s="459" t="s">
        <v>47</v>
      </c>
      <c r="N23" s="13"/>
      <c r="O23" s="130"/>
    </row>
    <row r="24" spans="1:15" ht="14.95" customHeight="1" thickBot="1" x14ac:dyDescent="0.3">
      <c r="A24" s="460" t="s">
        <v>38</v>
      </c>
      <c r="B24" s="436">
        <f>can2021wcpoolplayed</f>
        <v>3</v>
      </c>
      <c r="C24" s="436">
        <f>can2021wcpoolwon</f>
        <v>3</v>
      </c>
      <c r="D24" s="436">
        <f>can2021wcpooldrawn</f>
        <v>0</v>
      </c>
      <c r="E24" s="436">
        <f>can2021wcpoollost</f>
        <v>0</v>
      </c>
      <c r="F24" s="437">
        <f>can2021wcpoolpointsscored</f>
        <v>92</v>
      </c>
      <c r="G24" s="437">
        <f>can2021wcpoolpointsagainst</f>
        <v>31</v>
      </c>
      <c r="H24" s="438">
        <f>SUM(F24-G24)</f>
        <v>61</v>
      </c>
      <c r="I24" s="437">
        <f>can2021wcpooltriesscored</f>
        <v>16</v>
      </c>
      <c r="J24" s="437">
        <f>can2021wcpooltriesconceded</f>
        <v>5</v>
      </c>
      <c r="K24" s="438">
        <f>SUM(I24-J24)</f>
        <v>11</v>
      </c>
      <c r="L24" s="437">
        <f>can2021wcpoollbscored+can2021wcpooltbscored</f>
        <v>3</v>
      </c>
      <c r="M24" s="438">
        <f>SUM(C24*4+D24*2+L24)</f>
        <v>15</v>
      </c>
      <c r="N24" s="13"/>
      <c r="O24" s="130"/>
    </row>
    <row r="25" spans="1:15" ht="14.95" customHeight="1" thickBot="1" x14ac:dyDescent="0.3">
      <c r="A25" s="435" t="s">
        <v>33</v>
      </c>
      <c r="B25" s="436">
        <f>ita2021wcpoolplayed</f>
        <v>3</v>
      </c>
      <c r="C25" s="461">
        <f>ita2021wcpoolwon</f>
        <v>2</v>
      </c>
      <c r="D25" s="461">
        <f>ita2021wcpooldrawn</f>
        <v>0</v>
      </c>
      <c r="E25" s="461">
        <f>ita2021wcpoollost</f>
        <v>1</v>
      </c>
      <c r="F25" s="462">
        <f>ita2021wcpoolpointsscored</f>
        <v>55</v>
      </c>
      <c r="G25" s="462">
        <f>ita2021wcpoolpointsagainst</f>
        <v>40</v>
      </c>
      <c r="H25" s="438">
        <f>SUM(F25-G25)</f>
        <v>15</v>
      </c>
      <c r="I25" s="462">
        <f>ita2021wcpooltriesscored</f>
        <v>8</v>
      </c>
      <c r="J25" s="437">
        <f>ita2021wcpooltriesconceded</f>
        <v>7</v>
      </c>
      <c r="K25" s="438">
        <f>SUM(I25-J25)</f>
        <v>1</v>
      </c>
      <c r="L25" s="462">
        <f>ita2021wcpoollbscoredcorrect+ita2021wcpooltbscored</f>
        <v>1</v>
      </c>
      <c r="M25" s="438">
        <f>SUM(C25*4+D25*2+L25)</f>
        <v>9</v>
      </c>
      <c r="N25" s="13"/>
      <c r="O25" s="130"/>
    </row>
    <row r="26" spans="1:15" ht="14.95" customHeight="1" thickBot="1" x14ac:dyDescent="0.3">
      <c r="A26" s="463" t="s">
        <v>57</v>
      </c>
      <c r="B26" s="464">
        <f>usa2021wcpoolplayed</f>
        <v>3</v>
      </c>
      <c r="C26" s="467">
        <v>1</v>
      </c>
      <c r="D26" s="467">
        <f>usa2021wcpooldrawn</f>
        <v>0</v>
      </c>
      <c r="E26" s="467">
        <v>2</v>
      </c>
      <c r="F26" s="468">
        <f>usa2021wcpoolpointsscored</f>
        <v>54</v>
      </c>
      <c r="G26" s="468">
        <f>usa2021wcpoolpointsagainst</f>
        <v>68</v>
      </c>
      <c r="H26" s="466">
        <f>SUM(F26-G26)</f>
        <v>-14</v>
      </c>
      <c r="I26" s="468">
        <f>usa2021wcpooltriesscored</f>
        <v>8</v>
      </c>
      <c r="J26" s="465">
        <f>usa2021wcpooltriesconceded</f>
        <v>12</v>
      </c>
      <c r="K26" s="466">
        <f>SUM(I26-J26)</f>
        <v>-4</v>
      </c>
      <c r="L26" s="468">
        <f>usa2021wcpoollbscored+usa2021wcpooltbscored</f>
        <v>1</v>
      </c>
      <c r="M26" s="466">
        <f>SUM(C26*4+D26*2+L26)</f>
        <v>5</v>
      </c>
      <c r="N26" s="13"/>
      <c r="O26" s="130"/>
    </row>
    <row r="27" spans="1:15" ht="14.95" customHeight="1" thickBot="1" x14ac:dyDescent="0.3">
      <c r="A27" s="463" t="s">
        <v>36</v>
      </c>
      <c r="B27" s="464">
        <f>jpn2021wcpoolplayed</f>
        <v>3</v>
      </c>
      <c r="C27" s="464">
        <f>jpn2021wcpoolwon</f>
        <v>0</v>
      </c>
      <c r="D27" s="464">
        <f>jpn2021wcpooldrawn</f>
        <v>0</v>
      </c>
      <c r="E27" s="464">
        <f>jpn2021wcpoollost</f>
        <v>3</v>
      </c>
      <c r="F27" s="465">
        <f>jpn2021wcpoolpointsscored</f>
        <v>30</v>
      </c>
      <c r="G27" s="465">
        <f>jpn2021wcpoolpointsagainst</f>
        <v>92</v>
      </c>
      <c r="H27" s="466">
        <f>SUM(F27-G27)</f>
        <v>-62</v>
      </c>
      <c r="I27" s="465">
        <f>jpn2021wcpooltriesscored</f>
        <v>5</v>
      </c>
      <c r="J27" s="465">
        <f>jpn2021wcpooltriesconceded</f>
        <v>13</v>
      </c>
      <c r="K27" s="466">
        <f>SUM(I27-J27)</f>
        <v>-8</v>
      </c>
      <c r="L27" s="465">
        <f>jpn2021wcpoollbscored+jpn2021wcpooltbscored</f>
        <v>0</v>
      </c>
      <c r="M27" s="466">
        <f>SUM(C27*4+D27*2+L27)</f>
        <v>0</v>
      </c>
      <c r="N27" s="13"/>
      <c r="O27" s="130"/>
    </row>
    <row r="28" spans="1:15" ht="14.95" customHeight="1" x14ac:dyDescent="0.25">
      <c r="A28" s="58"/>
      <c r="B28" s="469"/>
      <c r="C28" s="469"/>
      <c r="D28" s="469"/>
      <c r="E28" s="469"/>
      <c r="F28" s="60"/>
      <c r="G28" s="60"/>
      <c r="H28" s="470"/>
      <c r="I28" s="60"/>
      <c r="J28" s="60"/>
      <c r="K28" s="470"/>
      <c r="L28" s="60"/>
      <c r="M28" s="470"/>
      <c r="N28" s="13"/>
      <c r="O28" s="130"/>
    </row>
    <row r="29" spans="1:15" ht="14.95" customHeight="1" x14ac:dyDescent="0.25">
      <c r="A29" s="471"/>
      <c r="B29" s="472"/>
      <c r="C29" s="473"/>
      <c r="D29" s="474"/>
      <c r="E29" s="473"/>
      <c r="F29" s="473"/>
      <c r="G29" s="473"/>
      <c r="H29" s="13"/>
      <c r="I29" s="13"/>
      <c r="J29" s="13"/>
      <c r="K29" s="13"/>
      <c r="L29" s="13"/>
      <c r="M29" s="13"/>
      <c r="N29" s="13"/>
      <c r="O29" s="130"/>
    </row>
    <row r="30" spans="1:15" ht="14.95" customHeight="1" x14ac:dyDescent="0.25">
      <c r="A30" s="475" t="s">
        <v>431</v>
      </c>
      <c r="B30" s="476" t="s">
        <v>415</v>
      </c>
      <c r="C30" s="477"/>
      <c r="D30" s="477"/>
      <c r="E30" s="477"/>
      <c r="F30" s="477"/>
      <c r="G30" s="477"/>
      <c r="H30" s="478"/>
      <c r="I30" s="478"/>
      <c r="J30" s="478"/>
      <c r="K30" s="478"/>
      <c r="L30" s="478"/>
      <c r="M30" s="478"/>
      <c r="N30" s="13"/>
      <c r="O30" s="130"/>
    </row>
    <row r="31" spans="1:15" ht="14.95" customHeight="1" x14ac:dyDescent="0.25">
      <c r="A31" s="609">
        <v>44842</v>
      </c>
      <c r="B31" s="638">
        <v>0.13541666666666666</v>
      </c>
      <c r="C31" s="639"/>
      <c r="D31" s="480"/>
      <c r="E31" s="475" t="s">
        <v>428</v>
      </c>
      <c r="F31" s="480">
        <v>5</v>
      </c>
      <c r="G31" s="475">
        <v>40</v>
      </c>
      <c r="H31" s="640" t="s">
        <v>432</v>
      </c>
      <c r="I31" s="639"/>
      <c r="J31" s="640" t="s">
        <v>457</v>
      </c>
      <c r="K31" s="637"/>
      <c r="L31" s="637"/>
      <c r="M31" s="637"/>
      <c r="N31" s="13"/>
      <c r="O31" s="130">
        <v>44000</v>
      </c>
    </row>
    <row r="32" spans="1:15" ht="14.95" customHeight="1" x14ac:dyDescent="0.25">
      <c r="A32" s="609">
        <v>44842</v>
      </c>
      <c r="B32" s="638">
        <v>0.23958333333333334</v>
      </c>
      <c r="C32" s="639"/>
      <c r="D32" s="480"/>
      <c r="E32" s="475" t="s">
        <v>435</v>
      </c>
      <c r="F32" s="480">
        <v>19</v>
      </c>
      <c r="G32" s="475">
        <v>84</v>
      </c>
      <c r="H32" s="640" t="s">
        <v>433</v>
      </c>
      <c r="I32" s="639"/>
      <c r="J32" s="640" t="s">
        <v>457</v>
      </c>
      <c r="K32" s="637"/>
      <c r="L32" s="637"/>
      <c r="M32" s="637"/>
      <c r="N32" s="13"/>
      <c r="O32" s="130">
        <v>44000</v>
      </c>
    </row>
    <row r="33" spans="1:15" ht="14.95" customHeight="1" x14ac:dyDescent="0.25">
      <c r="A33" s="609">
        <v>44849</v>
      </c>
      <c r="B33" s="638">
        <v>0.375</v>
      </c>
      <c r="C33" s="639"/>
      <c r="D33" s="480"/>
      <c r="E33" s="475" t="s">
        <v>432</v>
      </c>
      <c r="F33" s="480">
        <v>7</v>
      </c>
      <c r="G33" s="475">
        <v>13</v>
      </c>
      <c r="H33" s="640" t="s">
        <v>433</v>
      </c>
      <c r="I33" s="639"/>
      <c r="J33" s="640" t="s">
        <v>458</v>
      </c>
      <c r="K33" s="637"/>
      <c r="L33" s="637"/>
      <c r="M33" s="637"/>
      <c r="N33" s="13"/>
      <c r="O33" s="130">
        <v>4901</v>
      </c>
    </row>
    <row r="34" spans="1:15" ht="14.95" customHeight="1" x14ac:dyDescent="0.25">
      <c r="A34" s="609">
        <v>44850</v>
      </c>
      <c r="B34" s="638">
        <v>0.28125</v>
      </c>
      <c r="C34" s="639"/>
      <c r="D34" s="480"/>
      <c r="E34" s="475" t="s">
        <v>435</v>
      </c>
      <c r="F34" s="480">
        <v>21</v>
      </c>
      <c r="G34" s="475">
        <v>17</v>
      </c>
      <c r="H34" s="640" t="s">
        <v>428</v>
      </c>
      <c r="I34" s="639"/>
      <c r="J34" s="640" t="s">
        <v>458</v>
      </c>
      <c r="K34" s="637"/>
      <c r="L34" s="637"/>
      <c r="M34" s="637"/>
      <c r="N34" s="13"/>
      <c r="O34" s="130">
        <v>4901</v>
      </c>
    </row>
    <row r="35" spans="1:15" ht="14.95" customHeight="1" x14ac:dyDescent="0.25">
      <c r="A35" s="609">
        <v>44856</v>
      </c>
      <c r="B35" s="638">
        <v>0.34375</v>
      </c>
      <c r="C35" s="639"/>
      <c r="D35" s="480"/>
      <c r="E35" s="475" t="s">
        <v>432</v>
      </c>
      <c r="F35" s="480">
        <v>44</v>
      </c>
      <c r="G35" s="475">
        <v>0</v>
      </c>
      <c r="H35" s="640" t="s">
        <v>435</v>
      </c>
      <c r="I35" s="639"/>
      <c r="J35" s="640" t="s">
        <v>459</v>
      </c>
      <c r="K35" s="637"/>
      <c r="L35" s="637"/>
      <c r="M35" s="637"/>
      <c r="N35" s="13"/>
      <c r="O35" s="130">
        <v>30000</v>
      </c>
    </row>
    <row r="36" spans="1:15" ht="14.95" customHeight="1" x14ac:dyDescent="0.25">
      <c r="A36" s="609">
        <v>44857</v>
      </c>
      <c r="B36" s="638">
        <v>0.28125</v>
      </c>
      <c r="C36" s="639"/>
      <c r="D36" s="480"/>
      <c r="E36" s="475" t="s">
        <v>433</v>
      </c>
      <c r="F36" s="480">
        <v>75</v>
      </c>
      <c r="G36" s="475">
        <v>0</v>
      </c>
      <c r="H36" s="640" t="s">
        <v>428</v>
      </c>
      <c r="I36" s="639"/>
      <c r="J36" s="640" t="s">
        <v>458</v>
      </c>
      <c r="K36" s="637"/>
      <c r="L36" s="637"/>
      <c r="M36" s="637"/>
      <c r="N36" s="13"/>
      <c r="O36" s="130">
        <v>4901</v>
      </c>
    </row>
    <row r="37" spans="1:15" ht="14.95" customHeight="1" thickBot="1" x14ac:dyDescent="0.3">
      <c r="A37" s="479" t="s">
        <v>55</v>
      </c>
      <c r="B37" s="481" t="s">
        <v>55</v>
      </c>
      <c r="C37" s="477"/>
      <c r="D37" s="480"/>
      <c r="E37" s="477"/>
      <c r="F37" s="477"/>
      <c r="G37" s="477"/>
      <c r="H37" s="477"/>
      <c r="I37" s="477"/>
      <c r="J37" s="477"/>
      <c r="K37" s="477"/>
      <c r="L37" s="477"/>
      <c r="M37" s="477"/>
      <c r="N37" s="13"/>
      <c r="O37" s="130"/>
    </row>
    <row r="38" spans="1:15" ht="14.95" customHeight="1" thickBot="1" x14ac:dyDescent="0.3">
      <c r="A38" s="482" t="s">
        <v>55</v>
      </c>
      <c r="B38" s="483" t="s">
        <v>0</v>
      </c>
      <c r="C38" s="483" t="s">
        <v>1</v>
      </c>
      <c r="D38" s="483" t="s">
        <v>2</v>
      </c>
      <c r="E38" s="484" t="s">
        <v>3</v>
      </c>
      <c r="F38" s="483" t="s">
        <v>419</v>
      </c>
      <c r="G38" s="483" t="s">
        <v>420</v>
      </c>
      <c r="H38" s="484" t="s">
        <v>421</v>
      </c>
      <c r="I38" s="483" t="s">
        <v>422</v>
      </c>
      <c r="J38" s="483" t="s">
        <v>423</v>
      </c>
      <c r="K38" s="484" t="s">
        <v>424</v>
      </c>
      <c r="L38" s="483" t="s">
        <v>425</v>
      </c>
      <c r="M38" s="484" t="s">
        <v>47</v>
      </c>
      <c r="N38" s="13"/>
      <c r="O38" s="130"/>
    </row>
    <row r="39" spans="1:15" ht="14.95" customHeight="1" thickBot="1" x14ac:dyDescent="0.3">
      <c r="A39" s="460" t="s">
        <v>30</v>
      </c>
      <c r="B39" s="436">
        <f>eng2021wcpoolplayed</f>
        <v>3</v>
      </c>
      <c r="C39" s="436">
        <f>eng2021wcpoolwon</f>
        <v>3</v>
      </c>
      <c r="D39" s="436">
        <f>eng2021wcpooldrawn</f>
        <v>0</v>
      </c>
      <c r="E39" s="436">
        <f>eng2021wcpoollost</f>
        <v>0</v>
      </c>
      <c r="F39" s="437">
        <f>eng2021wcpoolpointsscored</f>
        <v>172</v>
      </c>
      <c r="G39" s="437">
        <f>eng2021wcpoolpointsagainst</f>
        <v>26</v>
      </c>
      <c r="H39" s="438">
        <f>SUM(F39-G39)</f>
        <v>146</v>
      </c>
      <c r="I39" s="437">
        <f>eng2021wcpooltriesscored</f>
        <v>28</v>
      </c>
      <c r="J39" s="437">
        <f>eng2021wcpooltriesconceded</f>
        <v>4</v>
      </c>
      <c r="K39" s="438">
        <f>SUM(I39-J39)</f>
        <v>24</v>
      </c>
      <c r="L39" s="436">
        <f>eng2021wcpoollbscored+eng2021wcpooltbscored</f>
        <v>2</v>
      </c>
      <c r="M39" s="438">
        <f>SUM(C39*4+D39*2+L39)</f>
        <v>14</v>
      </c>
      <c r="N39" s="13"/>
      <c r="O39" s="130"/>
    </row>
    <row r="40" spans="1:15" ht="14.95" customHeight="1" thickBot="1" x14ac:dyDescent="0.3">
      <c r="A40" s="485" t="s">
        <v>34</v>
      </c>
      <c r="B40" s="486">
        <f>fra2021wcpoolplayed</f>
        <v>3</v>
      </c>
      <c r="C40" s="487">
        <f>fra2021wcpoolwon</f>
        <v>2</v>
      </c>
      <c r="D40" s="487">
        <f>fra2021wcpooldrawn</f>
        <v>0</v>
      </c>
      <c r="E40" s="487">
        <f>fra2021wcpoollost</f>
        <v>1</v>
      </c>
      <c r="F40" s="488">
        <f>fra2021wcpoolpointsscored</f>
        <v>91</v>
      </c>
      <c r="G40" s="488">
        <f>fra2021wcpoolpointsagainst</f>
        <v>18</v>
      </c>
      <c r="H40" s="489">
        <f>SUM(F40-G40)</f>
        <v>73</v>
      </c>
      <c r="I40" s="488">
        <f>fra2021wcpooltriesscored</f>
        <v>14</v>
      </c>
      <c r="J40" s="490">
        <f>fra2021wcpooltriesconceded</f>
        <v>2</v>
      </c>
      <c r="K40" s="489">
        <f>SUM(I40-J40)</f>
        <v>12</v>
      </c>
      <c r="L40" s="487">
        <f>fra2021wcpoollbscored+fra2021wcpooltbscored</f>
        <v>3</v>
      </c>
      <c r="M40" s="489">
        <f>SUM(C40*4+D40*2+L40)</f>
        <v>11</v>
      </c>
      <c r="N40" s="13"/>
      <c r="O40" s="130"/>
    </row>
    <row r="41" spans="1:15" ht="14.95" customHeight="1" thickBot="1" x14ac:dyDescent="0.3">
      <c r="A41" s="435" t="s">
        <v>31</v>
      </c>
      <c r="B41" s="436">
        <f>fij2021wcpoolplayed</f>
        <v>3</v>
      </c>
      <c r="C41" s="436">
        <f>fij2021wcpoolwon</f>
        <v>1</v>
      </c>
      <c r="D41" s="436">
        <f>fij2021wcpooldrawn</f>
        <v>0</v>
      </c>
      <c r="E41" s="436">
        <f>fij2021wcpoollost</f>
        <v>2</v>
      </c>
      <c r="F41" s="437">
        <f>fij2021wcpoolpointsscored</f>
        <v>40</v>
      </c>
      <c r="G41" s="437">
        <f>fij2021wcpoolpointsagainst</f>
        <v>145</v>
      </c>
      <c r="H41" s="438">
        <f>SUM(F41-G41)</f>
        <v>-105</v>
      </c>
      <c r="I41" s="437">
        <f>fij2021wcpooltriesscored</f>
        <v>6</v>
      </c>
      <c r="J41" s="437">
        <f>fij2021wcpooltriesconceded</f>
        <v>23</v>
      </c>
      <c r="K41" s="438">
        <f>SUM(I41-J41)</f>
        <v>-17</v>
      </c>
      <c r="L41" s="436">
        <f>fij2021wcpoollbscored+fij2021wcpooltbscored</f>
        <v>0</v>
      </c>
      <c r="M41" s="438">
        <f>SUM(C41*4+D41*2+L41)</f>
        <v>4</v>
      </c>
      <c r="N41" s="13"/>
      <c r="O41" s="130"/>
    </row>
    <row r="42" spans="1:15" ht="14.95" customHeight="1" thickBot="1" x14ac:dyDescent="0.3">
      <c r="A42" s="485" t="s">
        <v>86</v>
      </c>
      <c r="B42" s="486">
        <f>rsa2021wcpoolplayed</f>
        <v>3</v>
      </c>
      <c r="C42" s="486">
        <f>rsa2021wcpoolwon</f>
        <v>0</v>
      </c>
      <c r="D42" s="486">
        <f>rsa2021wcpooldrawn</f>
        <v>0</v>
      </c>
      <c r="E42" s="486">
        <f>rsa2021wcpoollost</f>
        <v>3</v>
      </c>
      <c r="F42" s="490">
        <f>rsa2021wcpoolpointsscored</f>
        <v>22</v>
      </c>
      <c r="G42" s="490">
        <f>rsa2021wcpoolpointsagainst</f>
        <v>136</v>
      </c>
      <c r="H42" s="489">
        <f>SUM(F42-G42)</f>
        <v>-114</v>
      </c>
      <c r="I42" s="490">
        <f>rsa2021wcpooltriesscored</f>
        <v>3</v>
      </c>
      <c r="J42" s="490">
        <f>rsa2021wcpooltriesconceded</f>
        <v>22</v>
      </c>
      <c r="K42" s="489">
        <f>SUM(I42-J42)</f>
        <v>-19</v>
      </c>
      <c r="L42" s="486">
        <f>rsa2021wcpoollbscored+rsa2021wcpooltbscored</f>
        <v>1</v>
      </c>
      <c r="M42" s="489">
        <f>SUM(C42*4+D42*2+L42)</f>
        <v>1</v>
      </c>
      <c r="N42" s="13"/>
      <c r="O42" s="130"/>
    </row>
    <row r="43" spans="1:15" ht="14.95" customHeight="1" x14ac:dyDescent="0.25">
      <c r="A43" s="491"/>
      <c r="B43" s="492"/>
      <c r="C43" s="493"/>
      <c r="D43" s="493"/>
      <c r="E43" s="493"/>
      <c r="F43" s="494"/>
      <c r="G43" s="494"/>
      <c r="H43" s="495"/>
      <c r="I43" s="494"/>
      <c r="J43" s="496"/>
      <c r="K43" s="495"/>
      <c r="L43" s="494"/>
      <c r="M43" s="495"/>
      <c r="N43" s="13"/>
      <c r="O43" s="130"/>
    </row>
    <row r="44" spans="1:15" ht="14.95" customHeight="1" x14ac:dyDescent="0.25">
      <c r="B44" s="497"/>
      <c r="C44" s="473"/>
      <c r="D44" s="498"/>
      <c r="E44" s="473"/>
      <c r="F44" s="473"/>
      <c r="G44" s="473"/>
      <c r="H44" s="13"/>
      <c r="I44" s="13"/>
      <c r="J44" s="13"/>
      <c r="K44" s="13"/>
      <c r="L44" s="13"/>
      <c r="M44" s="13"/>
      <c r="N44" s="13"/>
      <c r="O44" s="130"/>
    </row>
    <row r="45" spans="1:15" ht="14.95" customHeight="1" x14ac:dyDescent="0.25">
      <c r="A45" s="499" t="s">
        <v>437</v>
      </c>
      <c r="B45" s="500" t="s">
        <v>415</v>
      </c>
      <c r="C45" s="501"/>
      <c r="D45" s="502"/>
      <c r="E45" s="501"/>
      <c r="F45" s="501"/>
      <c r="G45" s="501"/>
      <c r="H45" s="503"/>
      <c r="I45" s="503"/>
      <c r="J45" s="503"/>
      <c r="K45" s="503"/>
      <c r="L45" s="503"/>
      <c r="M45" s="503"/>
      <c r="N45" s="13"/>
      <c r="O45" s="130"/>
    </row>
    <row r="46" spans="1:15" ht="14.95" customHeight="1" x14ac:dyDescent="0.25">
      <c r="A46" s="610">
        <v>44863</v>
      </c>
      <c r="B46" s="633">
        <v>0.1875</v>
      </c>
      <c r="C46" s="634"/>
      <c r="D46" s="499" t="s">
        <v>463</v>
      </c>
      <c r="E46" s="499" t="s">
        <v>516</v>
      </c>
      <c r="F46" s="505">
        <v>39</v>
      </c>
      <c r="G46" s="499">
        <v>3</v>
      </c>
      <c r="H46" s="635" t="s">
        <v>517</v>
      </c>
      <c r="I46" s="636"/>
      <c r="J46" s="499" t="s">
        <v>459</v>
      </c>
      <c r="K46" s="499"/>
      <c r="L46" s="505"/>
      <c r="M46" s="505"/>
      <c r="N46" s="13"/>
      <c r="O46" s="130">
        <v>30000</v>
      </c>
    </row>
    <row r="47" spans="1:15" ht="14.95" customHeight="1" x14ac:dyDescent="0.25">
      <c r="A47" s="610">
        <v>44863</v>
      </c>
      <c r="B47" s="633">
        <v>0.3125</v>
      </c>
      <c r="C47" s="634"/>
      <c r="D47" s="499" t="s">
        <v>460</v>
      </c>
      <c r="E47" s="499" t="s">
        <v>518</v>
      </c>
      <c r="F47" s="505">
        <v>55</v>
      </c>
      <c r="G47" s="499">
        <v>3</v>
      </c>
      <c r="H47" s="635" t="s">
        <v>519</v>
      </c>
      <c r="I47" s="636"/>
      <c r="J47" s="635" t="s">
        <v>459</v>
      </c>
      <c r="K47" s="637"/>
      <c r="L47" s="637"/>
      <c r="M47" s="637"/>
      <c r="N47" s="13"/>
      <c r="O47" s="130">
        <v>30000</v>
      </c>
    </row>
    <row r="48" spans="1:15" ht="14.95" customHeight="1" x14ac:dyDescent="0.25">
      <c r="A48" s="610">
        <v>44864</v>
      </c>
      <c r="B48" s="633">
        <v>6.25E-2</v>
      </c>
      <c r="C48" s="634"/>
      <c r="D48" s="499" t="s">
        <v>462</v>
      </c>
      <c r="E48" s="499" t="s">
        <v>520</v>
      </c>
      <c r="F48" s="505">
        <v>41</v>
      </c>
      <c r="G48" s="499">
        <v>5</v>
      </c>
      <c r="H48" s="635" t="s">
        <v>521</v>
      </c>
      <c r="I48" s="636"/>
      <c r="J48" s="499" t="s">
        <v>458</v>
      </c>
      <c r="K48" s="499"/>
      <c r="L48" s="505"/>
      <c r="M48" s="505"/>
      <c r="N48" s="13"/>
      <c r="O48" s="130">
        <v>4901</v>
      </c>
    </row>
    <row r="49" spans="1:21" ht="14.95" customHeight="1" x14ac:dyDescent="0.25">
      <c r="A49" s="610">
        <v>44864</v>
      </c>
      <c r="B49" s="633">
        <v>0.14583333333333334</v>
      </c>
      <c r="C49" s="634"/>
      <c r="D49" s="499" t="s">
        <v>461</v>
      </c>
      <c r="E49" s="499" t="s">
        <v>522</v>
      </c>
      <c r="F49" s="505">
        <v>32</v>
      </c>
      <c r="G49" s="499">
        <v>11</v>
      </c>
      <c r="H49" s="635" t="s">
        <v>57</v>
      </c>
      <c r="I49" s="636"/>
      <c r="J49" s="499" t="s">
        <v>458</v>
      </c>
      <c r="K49" s="499"/>
      <c r="L49" s="505"/>
      <c r="M49" s="505"/>
      <c r="N49" s="13"/>
      <c r="O49" s="130">
        <v>4901</v>
      </c>
    </row>
    <row r="50" spans="1:21" ht="14.95" customHeight="1" x14ac:dyDescent="0.25">
      <c r="A50" s="499"/>
      <c r="B50" s="500"/>
      <c r="C50" s="501"/>
      <c r="D50" s="502"/>
      <c r="E50" s="501"/>
      <c r="F50" s="505"/>
      <c r="G50" s="499"/>
      <c r="H50" s="506"/>
      <c r="I50" s="506"/>
      <c r="J50" s="506"/>
      <c r="K50" s="499"/>
      <c r="L50" s="505"/>
      <c r="M50" s="505"/>
      <c r="N50" s="13"/>
      <c r="O50" s="130"/>
    </row>
    <row r="51" spans="1:21" ht="14.95" customHeight="1" x14ac:dyDescent="0.25">
      <c r="A51" s="499" t="s">
        <v>438</v>
      </c>
      <c r="B51" s="500" t="s">
        <v>415</v>
      </c>
      <c r="C51" s="501"/>
      <c r="D51" s="502"/>
      <c r="E51" s="501"/>
      <c r="F51" s="505"/>
      <c r="G51" s="499"/>
      <c r="H51" s="506"/>
      <c r="I51" s="506"/>
      <c r="J51" s="506"/>
      <c r="K51" s="499"/>
      <c r="L51" s="505"/>
      <c r="M51" s="505"/>
      <c r="N51" s="13"/>
      <c r="O51" s="130"/>
    </row>
    <row r="52" spans="1:21" ht="14.95" customHeight="1" x14ac:dyDescent="0.25">
      <c r="A52" s="610">
        <v>44870</v>
      </c>
      <c r="B52" s="633">
        <v>0.14583333333333334</v>
      </c>
      <c r="C52" s="634"/>
      <c r="D52" s="499" t="s">
        <v>464</v>
      </c>
      <c r="E52" s="499" t="s">
        <v>522</v>
      </c>
      <c r="F52" s="505">
        <v>19</v>
      </c>
      <c r="G52" s="499">
        <v>26</v>
      </c>
      <c r="H52" s="635" t="s">
        <v>520</v>
      </c>
      <c r="I52" s="636"/>
      <c r="J52" s="499" t="s">
        <v>457</v>
      </c>
      <c r="K52" s="499"/>
      <c r="L52" s="505"/>
      <c r="M52" s="505"/>
      <c r="N52" s="13"/>
      <c r="O52" s="130">
        <v>44000</v>
      </c>
    </row>
    <row r="53" spans="1:21" ht="14.95" customHeight="1" x14ac:dyDescent="0.25">
      <c r="A53" s="610">
        <v>44870</v>
      </c>
      <c r="B53" s="633">
        <v>0.27083333333333331</v>
      </c>
      <c r="C53" s="634" t="s">
        <v>55</v>
      </c>
      <c r="D53" s="499" t="s">
        <v>465</v>
      </c>
      <c r="E53" s="499" t="s">
        <v>518</v>
      </c>
      <c r="F53" s="505">
        <v>25</v>
      </c>
      <c r="G53" s="499">
        <v>24</v>
      </c>
      <c r="H53" s="635" t="s">
        <v>516</v>
      </c>
      <c r="I53" s="636"/>
      <c r="J53" s="499" t="s">
        <v>457</v>
      </c>
      <c r="K53" s="499"/>
      <c r="L53" s="505"/>
      <c r="M53" s="505"/>
      <c r="N53" s="13"/>
      <c r="O53" s="130">
        <v>44000</v>
      </c>
    </row>
    <row r="54" spans="1:21" ht="14.95" customHeight="1" x14ac:dyDescent="0.25">
      <c r="A54" s="499"/>
      <c r="B54" s="500"/>
      <c r="C54" s="501"/>
      <c r="D54" s="502"/>
      <c r="E54" s="501"/>
      <c r="F54" s="505"/>
      <c r="G54" s="499"/>
      <c r="H54" s="506"/>
      <c r="I54" s="506"/>
      <c r="J54" s="506"/>
      <c r="K54" s="499"/>
      <c r="L54" s="505"/>
      <c r="M54" s="505"/>
      <c r="N54" s="13"/>
      <c r="O54" s="130"/>
    </row>
    <row r="55" spans="1:21" ht="14.95" customHeight="1" x14ac:dyDescent="0.25">
      <c r="A55" s="499" t="s">
        <v>466</v>
      </c>
      <c r="B55" s="500" t="s">
        <v>415</v>
      </c>
      <c r="C55" s="501"/>
      <c r="D55" s="502"/>
      <c r="E55" s="501"/>
      <c r="F55" s="505"/>
      <c r="G55" s="499"/>
      <c r="H55" s="506"/>
      <c r="I55" s="506"/>
      <c r="J55" s="506"/>
      <c r="K55" s="499"/>
      <c r="L55" s="505"/>
      <c r="M55" s="505" t="s">
        <v>55</v>
      </c>
      <c r="N55" s="13"/>
      <c r="O55" s="130"/>
    </row>
    <row r="56" spans="1:21" ht="14.95" customHeight="1" x14ac:dyDescent="0.25">
      <c r="A56" s="610">
        <v>44877</v>
      </c>
      <c r="B56" s="633">
        <v>0.14583333333333334</v>
      </c>
      <c r="C56" s="634"/>
      <c r="D56" s="505"/>
      <c r="E56" s="499" t="s">
        <v>522</v>
      </c>
      <c r="F56" s="505">
        <v>0</v>
      </c>
      <c r="G56" s="499">
        <v>36</v>
      </c>
      <c r="H56" s="499" t="s">
        <v>516</v>
      </c>
      <c r="I56" s="499"/>
      <c r="J56" s="499" t="s">
        <v>457</v>
      </c>
      <c r="K56" s="499"/>
      <c r="L56" s="505"/>
      <c r="M56" s="505"/>
      <c r="N56" s="13"/>
      <c r="O56" s="130">
        <v>44000</v>
      </c>
    </row>
    <row r="57" spans="1:21" ht="14.95" customHeight="1" x14ac:dyDescent="0.25">
      <c r="A57" s="499"/>
      <c r="B57" s="500"/>
      <c r="C57" s="501"/>
      <c r="D57" s="502"/>
      <c r="E57" s="501"/>
      <c r="F57" s="505"/>
      <c r="G57" s="499"/>
      <c r="H57" s="506"/>
      <c r="I57" s="506"/>
      <c r="J57" s="506"/>
      <c r="K57" s="499"/>
      <c r="L57" s="505"/>
      <c r="M57" s="505"/>
      <c r="N57" s="13"/>
      <c r="O57" s="130"/>
    </row>
    <row r="58" spans="1:21" ht="14.95" customHeight="1" x14ac:dyDescent="0.25">
      <c r="A58" s="499" t="s">
        <v>439</v>
      </c>
      <c r="B58" s="500" t="s">
        <v>415</v>
      </c>
      <c r="C58" s="501"/>
      <c r="D58" s="502"/>
      <c r="E58" s="501"/>
      <c r="F58" s="505"/>
      <c r="G58" s="499"/>
      <c r="H58" s="506"/>
      <c r="I58" s="506"/>
      <c r="J58" s="506"/>
      <c r="K58" s="499"/>
      <c r="L58" s="505"/>
      <c r="M58" s="505"/>
      <c r="N58" s="13"/>
      <c r="O58" s="130"/>
    </row>
    <row r="59" spans="1:21" ht="14.95" customHeight="1" x14ac:dyDescent="0.25">
      <c r="A59" s="504">
        <v>44877</v>
      </c>
      <c r="B59" s="633">
        <v>0.27083333333333331</v>
      </c>
      <c r="C59" s="634"/>
      <c r="D59" s="505"/>
      <c r="E59" s="499" t="s">
        <v>520</v>
      </c>
      <c r="F59" s="505">
        <v>31</v>
      </c>
      <c r="G59" s="499">
        <v>34</v>
      </c>
      <c r="H59" s="635" t="s">
        <v>518</v>
      </c>
      <c r="I59" s="636"/>
      <c r="J59" s="499" t="s">
        <v>457</v>
      </c>
      <c r="K59" s="499"/>
      <c r="L59" s="505"/>
      <c r="M59" s="505"/>
      <c r="N59" s="13"/>
      <c r="O59" s="130">
        <v>44000</v>
      </c>
    </row>
    <row r="60" spans="1:21" x14ac:dyDescent="0.25">
      <c r="A60" s="471"/>
      <c r="B60" s="472"/>
      <c r="C60" s="473"/>
      <c r="D60" s="498"/>
      <c r="E60" s="473"/>
      <c r="F60" s="473">
        <f>SUM(F46:F59)</f>
        <v>242</v>
      </c>
      <c r="G60" s="473">
        <f>SUM(G46:G59)</f>
        <v>142</v>
      </c>
      <c r="N60">
        <f>SUM(N1:N59)</f>
        <v>0</v>
      </c>
      <c r="O60">
        <f>SUM(O1:O59)</f>
        <v>652109</v>
      </c>
      <c r="P60" s="507">
        <f>SUM(N60/O60)*1</f>
        <v>0</v>
      </c>
    </row>
    <row r="61" spans="1:21" x14ac:dyDescent="0.25">
      <c r="A61" s="471"/>
      <c r="B61" s="472"/>
      <c r="C61" s="473"/>
      <c r="D61" s="498"/>
      <c r="E61" s="473"/>
      <c r="F61" s="473"/>
      <c r="G61" s="473"/>
      <c r="N61" s="131" t="s">
        <v>440</v>
      </c>
      <c r="O61" s="131" t="s">
        <v>441</v>
      </c>
      <c r="P61" s="131" t="s">
        <v>442</v>
      </c>
    </row>
    <row r="62" spans="1:21" x14ac:dyDescent="0.25">
      <c r="A62" s="471"/>
      <c r="B62" s="472"/>
      <c r="C62" s="473"/>
      <c r="D62" s="498"/>
      <c r="E62" s="473"/>
      <c r="F62" s="473"/>
      <c r="G62" s="473"/>
    </row>
    <row r="63" spans="1:21" x14ac:dyDescent="0.25">
      <c r="A63" s="471"/>
      <c r="B63" s="472"/>
      <c r="C63" s="473"/>
      <c r="D63" s="498"/>
      <c r="E63" s="473"/>
      <c r="F63" s="473"/>
      <c r="G63" s="473"/>
    </row>
    <row r="64" spans="1:21" x14ac:dyDescent="0.25">
      <c r="A64" s="471"/>
      <c r="B64" s="472"/>
      <c r="C64" s="473"/>
      <c r="D64" s="498"/>
      <c r="E64" s="473"/>
      <c r="F64" s="473"/>
      <c r="G64" s="473"/>
      <c r="R64" t="s">
        <v>42</v>
      </c>
      <c r="S64" t="s">
        <v>40</v>
      </c>
      <c r="T64" t="s">
        <v>493</v>
      </c>
      <c r="U64" t="s">
        <v>494</v>
      </c>
    </row>
    <row r="65" spans="1:21" x14ac:dyDescent="0.25">
      <c r="A65" s="471"/>
      <c r="B65" s="497"/>
      <c r="C65" s="473"/>
      <c r="D65" s="498"/>
      <c r="E65" s="473"/>
      <c r="F65" s="473"/>
      <c r="G65" s="473"/>
      <c r="R65">
        <f>SUM(F2:F7)</f>
        <v>129</v>
      </c>
      <c r="S65">
        <f>SUM(G2:G7)</f>
        <v>133</v>
      </c>
      <c r="T65">
        <f>SUM(F10:F13)</f>
        <v>262</v>
      </c>
      <c r="U65">
        <f>SUM(G10:G13)</f>
        <v>262</v>
      </c>
    </row>
    <row r="66" spans="1:21" x14ac:dyDescent="0.25">
      <c r="A66" s="471"/>
      <c r="B66" s="472"/>
      <c r="C66" s="473"/>
      <c r="D66" s="498"/>
      <c r="E66" s="473"/>
      <c r="F66" s="473"/>
      <c r="G66" s="473"/>
      <c r="R66">
        <f>SUM(F16:F21)</f>
        <v>94</v>
      </c>
      <c r="S66">
        <f>SUM(G16:G21)</f>
        <v>137</v>
      </c>
      <c r="T66">
        <f>SUM(F24:F27)</f>
        <v>231</v>
      </c>
      <c r="U66">
        <f>SUM(G24:G27)</f>
        <v>231</v>
      </c>
    </row>
    <row r="67" spans="1:21" x14ac:dyDescent="0.25">
      <c r="A67" s="471"/>
      <c r="B67" s="472"/>
      <c r="C67" s="473"/>
      <c r="D67" s="498"/>
      <c r="E67" s="473"/>
      <c r="F67" s="473"/>
      <c r="G67" s="473"/>
      <c r="R67">
        <f>SUM(F31:F36)</f>
        <v>171</v>
      </c>
      <c r="S67">
        <f>SUM(G31:G36)</f>
        <v>154</v>
      </c>
      <c r="T67">
        <f>SUM(F39:F42)</f>
        <v>325</v>
      </c>
      <c r="U67">
        <f>SUM(G39:G42)</f>
        <v>325</v>
      </c>
    </row>
    <row r="68" spans="1:21" x14ac:dyDescent="0.25">
      <c r="A68" s="471"/>
      <c r="B68" s="472"/>
      <c r="C68" s="473"/>
      <c r="D68" s="498"/>
      <c r="E68" s="473"/>
      <c r="F68" s="473"/>
      <c r="G68" s="473"/>
      <c r="Q68" t="s">
        <v>492</v>
      </c>
      <c r="R68">
        <f>SUM(R65:R67)</f>
        <v>394</v>
      </c>
      <c r="S68">
        <f>SUM(S65:S67)</f>
        <v>424</v>
      </c>
      <c r="T68">
        <f t="shared" ref="T68:U68" si="0">SUM(T65:T67)</f>
        <v>818</v>
      </c>
      <c r="U68">
        <f t="shared" si="0"/>
        <v>818</v>
      </c>
    </row>
    <row r="69" spans="1:21" x14ac:dyDescent="0.25">
      <c r="A69" s="471"/>
      <c r="B69" s="472"/>
      <c r="C69" s="473"/>
      <c r="D69" s="498"/>
      <c r="E69" s="473"/>
      <c r="F69" s="473"/>
      <c r="G69" s="473"/>
      <c r="Q69" t="s">
        <v>495</v>
      </c>
      <c r="R69">
        <f>SUM(R68+S68)</f>
        <v>818</v>
      </c>
    </row>
    <row r="70" spans="1:21" x14ac:dyDescent="0.25">
      <c r="A70" s="471"/>
      <c r="B70" s="472"/>
      <c r="C70" s="473"/>
      <c r="D70" s="498"/>
      <c r="E70" s="473"/>
      <c r="F70" s="473"/>
      <c r="G70" s="473"/>
    </row>
    <row r="71" spans="1:21" x14ac:dyDescent="0.25">
      <c r="A71" s="471"/>
      <c r="B71" s="472"/>
      <c r="C71" s="473"/>
      <c r="D71" s="498"/>
      <c r="E71" s="473"/>
      <c r="F71" s="473"/>
      <c r="G71" s="473"/>
    </row>
    <row r="73" spans="1:21" x14ac:dyDescent="0.25">
      <c r="A73" s="76" t="s">
        <v>443</v>
      </c>
    </row>
    <row r="74" spans="1:21" x14ac:dyDescent="0.25">
      <c r="A74" t="s">
        <v>444</v>
      </c>
    </row>
    <row r="75" spans="1:21" x14ac:dyDescent="0.25">
      <c r="A75" t="s">
        <v>445</v>
      </c>
    </row>
    <row r="76" spans="1:21" x14ac:dyDescent="0.25">
      <c r="A76" t="s">
        <v>446</v>
      </c>
    </row>
    <row r="77" spans="1:21" x14ac:dyDescent="0.25">
      <c r="A77" t="s">
        <v>447</v>
      </c>
    </row>
    <row r="78" spans="1:21" x14ac:dyDescent="0.25">
      <c r="A78" t="s">
        <v>448</v>
      </c>
    </row>
    <row r="81" spans="1:1" ht="16.3" x14ac:dyDescent="0.3">
      <c r="A81" s="611" t="s">
        <v>28</v>
      </c>
    </row>
  </sheetData>
  <sortState xmlns:xlrd2="http://schemas.microsoft.com/office/spreadsheetml/2017/richdata2" ref="A10:M13">
    <sortCondition descending="1" ref="M10:M13"/>
  </sortState>
  <mergeCells count="66">
    <mergeCell ref="B2:C2"/>
    <mergeCell ref="B3:C3"/>
    <mergeCell ref="B4:C4"/>
    <mergeCell ref="H4:I4"/>
    <mergeCell ref="J3:M3"/>
    <mergeCell ref="J4:M4"/>
    <mergeCell ref="J2:M2"/>
    <mergeCell ref="B5:C5"/>
    <mergeCell ref="B6:C6"/>
    <mergeCell ref="H6:I6"/>
    <mergeCell ref="B7:C7"/>
    <mergeCell ref="J6:M6"/>
    <mergeCell ref="J7:M7"/>
    <mergeCell ref="J5:M5"/>
    <mergeCell ref="B16:C16"/>
    <mergeCell ref="H16:I16"/>
    <mergeCell ref="B17:C17"/>
    <mergeCell ref="H17:I17"/>
    <mergeCell ref="J16:M16"/>
    <mergeCell ref="J17:M17"/>
    <mergeCell ref="B18:C18"/>
    <mergeCell ref="H18:I18"/>
    <mergeCell ref="B19:C19"/>
    <mergeCell ref="H19:I19"/>
    <mergeCell ref="J18:M18"/>
    <mergeCell ref="J19:M19"/>
    <mergeCell ref="B20:C20"/>
    <mergeCell ref="H20:I20"/>
    <mergeCell ref="B21:C21"/>
    <mergeCell ref="H21:I21"/>
    <mergeCell ref="J20:M20"/>
    <mergeCell ref="J21:M21"/>
    <mergeCell ref="J33:M33"/>
    <mergeCell ref="J34:M34"/>
    <mergeCell ref="B31:C31"/>
    <mergeCell ref="H31:I31"/>
    <mergeCell ref="B32:C32"/>
    <mergeCell ref="H32:I32"/>
    <mergeCell ref="J31:M31"/>
    <mergeCell ref="J32:M32"/>
    <mergeCell ref="B33:C33"/>
    <mergeCell ref="H33:I33"/>
    <mergeCell ref="B34:C34"/>
    <mergeCell ref="H34:I34"/>
    <mergeCell ref="B52:C52"/>
    <mergeCell ref="H52:I52"/>
    <mergeCell ref="B46:C46"/>
    <mergeCell ref="H46:I46"/>
    <mergeCell ref="B47:C47"/>
    <mergeCell ref="H47:I47"/>
    <mergeCell ref="B48:C48"/>
    <mergeCell ref="H48:I48"/>
    <mergeCell ref="B49:C49"/>
    <mergeCell ref="H49:I49"/>
    <mergeCell ref="J47:M47"/>
    <mergeCell ref="B35:C35"/>
    <mergeCell ref="H35:I35"/>
    <mergeCell ref="B36:C36"/>
    <mergeCell ref="H36:I36"/>
    <mergeCell ref="J35:M35"/>
    <mergeCell ref="J36:M36"/>
    <mergeCell ref="B53:C53"/>
    <mergeCell ref="H53:I53"/>
    <mergeCell ref="B56:C56"/>
    <mergeCell ref="B59:C59"/>
    <mergeCell ref="H59:I5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N31"/>
  <sheetViews>
    <sheetView zoomScaleNormal="100" workbookViewId="0">
      <selection activeCell="AN14" sqref="AN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30.5" customWidth="1"/>
    <col min="22" max="22" width="20.125" customWidth="1"/>
    <col min="23" max="23" width="22.5" bestFit="1" customWidth="1"/>
    <col min="24" max="24" width="27.25" customWidth="1"/>
    <col min="25" max="28" width="4.25" customWidth="1"/>
    <col min="29" max="40" width="3.75" customWidth="1"/>
  </cols>
  <sheetData>
    <row r="1" spans="1:40" ht="14.95" customHeight="1" thickBot="1" x14ac:dyDescent="0.3">
      <c r="A1" s="833" t="s">
        <v>97</v>
      </c>
      <c r="B1" s="834"/>
      <c r="C1" s="834"/>
      <c r="D1" s="48"/>
      <c r="E1" s="835" t="s">
        <v>24</v>
      </c>
      <c r="F1" s="836"/>
      <c r="G1" s="837"/>
      <c r="H1" s="835" t="s">
        <v>23</v>
      </c>
      <c r="I1" s="837"/>
      <c r="J1" s="830" t="s">
        <v>6</v>
      </c>
      <c r="K1" s="831"/>
      <c r="L1" s="831"/>
      <c r="M1" s="832"/>
      <c r="N1" s="830" t="s">
        <v>7</v>
      </c>
      <c r="O1" s="832"/>
      <c r="P1" s="830" t="s">
        <v>25</v>
      </c>
      <c r="Q1" s="831"/>
      <c r="R1" s="832"/>
      <c r="S1" s="153" t="s">
        <v>8</v>
      </c>
      <c r="T1" s="153" t="s">
        <v>9</v>
      </c>
      <c r="U1" s="1" t="s">
        <v>10</v>
      </c>
      <c r="V1" s="6" t="s">
        <v>11</v>
      </c>
      <c r="W1" s="15" t="s">
        <v>26</v>
      </c>
      <c r="X1" s="49" t="s">
        <v>27</v>
      </c>
      <c r="Y1" s="829" t="s">
        <v>20</v>
      </c>
      <c r="Z1" s="741"/>
      <c r="AA1" s="741"/>
      <c r="AB1" s="742"/>
      <c r="AC1" s="829" t="s">
        <v>58</v>
      </c>
      <c r="AD1" s="741"/>
      <c r="AE1" s="741"/>
      <c r="AF1" s="742"/>
      <c r="AG1" s="829" t="s">
        <v>59</v>
      </c>
      <c r="AH1" s="741"/>
      <c r="AI1" s="741"/>
      <c r="AJ1" s="742"/>
      <c r="AK1" s="829" t="s">
        <v>60</v>
      </c>
      <c r="AL1" s="741"/>
      <c r="AM1" s="741"/>
      <c r="AN1" s="742"/>
    </row>
    <row r="2" spans="1:40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39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16"/>
      <c r="X2" s="5"/>
      <c r="Y2" s="136" t="s">
        <v>0</v>
      </c>
      <c r="Z2" s="136" t="s">
        <v>1</v>
      </c>
      <c r="AA2" s="136" t="s">
        <v>2</v>
      </c>
      <c r="AB2" s="136" t="s">
        <v>3</v>
      </c>
      <c r="AC2" s="136" t="s">
        <v>0</v>
      </c>
      <c r="AD2" s="136" t="s">
        <v>1</v>
      </c>
      <c r="AE2" s="136" t="s">
        <v>2</v>
      </c>
      <c r="AF2" s="136" t="s">
        <v>3</v>
      </c>
      <c r="AG2" s="136" t="s">
        <v>0</v>
      </c>
      <c r="AH2" s="136" t="s">
        <v>1</v>
      </c>
      <c r="AI2" s="136" t="s">
        <v>2</v>
      </c>
      <c r="AJ2" s="136" t="s">
        <v>3</v>
      </c>
      <c r="AK2" s="136" t="s">
        <v>0</v>
      </c>
      <c r="AL2" s="136" t="s">
        <v>1</v>
      </c>
      <c r="AM2" s="136" t="s">
        <v>2</v>
      </c>
      <c r="AN2" s="136" t="s">
        <v>3</v>
      </c>
    </row>
    <row r="3" spans="1:40" ht="14.95" customHeight="1" thickBot="1" x14ac:dyDescent="0.3">
      <c r="A3" s="184">
        <v>44597</v>
      </c>
      <c r="B3" s="186" t="s">
        <v>43</v>
      </c>
      <c r="C3" s="186" t="s">
        <v>37</v>
      </c>
      <c r="D3" s="186" t="s">
        <v>76</v>
      </c>
      <c r="E3" s="187" t="s">
        <v>1</v>
      </c>
      <c r="F3" s="187">
        <v>27</v>
      </c>
      <c r="G3" s="187">
        <v>19</v>
      </c>
      <c r="H3" s="187">
        <v>1</v>
      </c>
      <c r="I3" s="187">
        <v>0</v>
      </c>
      <c r="J3" s="187">
        <v>5</v>
      </c>
      <c r="K3" s="187">
        <v>1</v>
      </c>
      <c r="L3" s="187">
        <v>0</v>
      </c>
      <c r="M3" s="187">
        <v>0</v>
      </c>
      <c r="N3" s="187">
        <v>0</v>
      </c>
      <c r="O3" s="187">
        <v>0</v>
      </c>
      <c r="P3" s="187">
        <v>0</v>
      </c>
      <c r="Q3" s="187">
        <v>0</v>
      </c>
      <c r="R3" s="187">
        <v>3</v>
      </c>
      <c r="S3" s="191"/>
      <c r="T3" s="201" t="s">
        <v>161</v>
      </c>
      <c r="U3" s="193" t="s">
        <v>157</v>
      </c>
      <c r="V3" s="191" t="s">
        <v>158</v>
      </c>
      <c r="W3" s="188" t="s">
        <v>159</v>
      </c>
      <c r="X3" s="194" t="s">
        <v>160</v>
      </c>
      <c r="Y3" s="189">
        <v>1</v>
      </c>
      <c r="Z3" s="189">
        <v>1</v>
      </c>
      <c r="AA3" s="189">
        <v>0</v>
      </c>
      <c r="AB3" s="190">
        <v>0</v>
      </c>
      <c r="AC3" s="189">
        <v>0</v>
      </c>
      <c r="AD3" s="189">
        <v>0</v>
      </c>
      <c r="AE3" s="189">
        <v>0</v>
      </c>
      <c r="AF3" s="190">
        <v>0</v>
      </c>
      <c r="AG3" s="189">
        <v>1</v>
      </c>
      <c r="AH3" s="189">
        <v>1</v>
      </c>
      <c r="AI3" s="189">
        <v>0</v>
      </c>
      <c r="AJ3" s="190">
        <v>0</v>
      </c>
      <c r="AK3" s="189">
        <v>0</v>
      </c>
      <c r="AL3" s="189">
        <v>0</v>
      </c>
      <c r="AM3" s="189">
        <v>0</v>
      </c>
      <c r="AN3" s="190">
        <v>0</v>
      </c>
    </row>
    <row r="4" spans="1:40" ht="14.95" customHeight="1" thickBot="1" x14ac:dyDescent="0.3">
      <c r="A4" s="203">
        <v>44653</v>
      </c>
      <c r="B4" s="204" t="s">
        <v>43</v>
      </c>
      <c r="C4" s="204" t="s">
        <v>35</v>
      </c>
      <c r="D4" s="204" t="s">
        <v>75</v>
      </c>
      <c r="E4" s="205" t="s">
        <v>1</v>
      </c>
      <c r="F4" s="205">
        <v>24</v>
      </c>
      <c r="G4" s="205">
        <v>19</v>
      </c>
      <c r="H4" s="205">
        <v>1</v>
      </c>
      <c r="I4" s="205">
        <v>0</v>
      </c>
      <c r="J4" s="205">
        <v>4</v>
      </c>
      <c r="K4" s="205">
        <v>2</v>
      </c>
      <c r="L4" s="205">
        <v>0</v>
      </c>
      <c r="M4" s="205">
        <v>0</v>
      </c>
      <c r="N4" s="205">
        <v>1</v>
      </c>
      <c r="O4" s="205">
        <v>0</v>
      </c>
      <c r="P4" s="205">
        <v>0</v>
      </c>
      <c r="Q4" s="205">
        <v>1</v>
      </c>
      <c r="R4" s="205">
        <v>3</v>
      </c>
      <c r="S4" s="206"/>
      <c r="T4" s="216" t="s">
        <v>174</v>
      </c>
      <c r="U4" s="208" t="s">
        <v>147</v>
      </c>
      <c r="V4" s="206" t="s">
        <v>166</v>
      </c>
      <c r="W4" s="209" t="s">
        <v>160</v>
      </c>
      <c r="X4" s="210" t="s">
        <v>175</v>
      </c>
      <c r="Y4" s="211">
        <v>1</v>
      </c>
      <c r="Z4" s="211">
        <v>1</v>
      </c>
      <c r="AA4" s="211">
        <v>0</v>
      </c>
      <c r="AB4" s="212">
        <v>0</v>
      </c>
      <c r="AC4" s="211">
        <v>1</v>
      </c>
      <c r="AD4" s="211">
        <v>1</v>
      </c>
      <c r="AE4" s="211">
        <v>0</v>
      </c>
      <c r="AF4" s="212">
        <v>0</v>
      </c>
      <c r="AG4" s="211">
        <v>0</v>
      </c>
      <c r="AH4" s="211">
        <v>0</v>
      </c>
      <c r="AI4" s="211">
        <v>0</v>
      </c>
      <c r="AJ4" s="212">
        <v>0</v>
      </c>
      <c r="AK4" s="211">
        <v>0</v>
      </c>
      <c r="AL4" s="211">
        <v>0</v>
      </c>
      <c r="AM4" s="211">
        <v>0</v>
      </c>
      <c r="AN4" s="212">
        <v>0</v>
      </c>
    </row>
    <row r="5" spans="1:40" ht="14.95" customHeight="1" thickBot="1" x14ac:dyDescent="0.3">
      <c r="A5" s="184">
        <v>44660</v>
      </c>
      <c r="B5" s="186" t="s">
        <v>43</v>
      </c>
      <c r="C5" s="186" t="s">
        <v>30</v>
      </c>
      <c r="D5" s="186" t="s">
        <v>128</v>
      </c>
      <c r="E5" s="187" t="s">
        <v>3</v>
      </c>
      <c r="F5" s="187">
        <v>5</v>
      </c>
      <c r="G5" s="187">
        <v>58</v>
      </c>
      <c r="H5" s="187">
        <v>0</v>
      </c>
      <c r="I5" s="187">
        <v>0</v>
      </c>
      <c r="J5" s="187">
        <v>1</v>
      </c>
      <c r="K5" s="187">
        <v>0</v>
      </c>
      <c r="L5" s="187">
        <v>0</v>
      </c>
      <c r="M5" s="187">
        <v>0</v>
      </c>
      <c r="N5" s="187">
        <v>1</v>
      </c>
      <c r="O5" s="187">
        <v>0</v>
      </c>
      <c r="P5" s="187">
        <v>1</v>
      </c>
      <c r="Q5" s="187">
        <v>0</v>
      </c>
      <c r="R5" s="187">
        <v>10</v>
      </c>
      <c r="S5" s="191">
        <v>14689</v>
      </c>
      <c r="T5" s="195" t="s">
        <v>196</v>
      </c>
      <c r="U5" s="193" t="s">
        <v>194</v>
      </c>
      <c r="V5" s="191" t="s">
        <v>148</v>
      </c>
      <c r="W5" s="188" t="s">
        <v>159</v>
      </c>
      <c r="X5" s="194" t="s">
        <v>195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90">
        <v>0</v>
      </c>
    </row>
    <row r="6" spans="1:40" ht="14.95" customHeight="1" thickBot="1" x14ac:dyDescent="0.3">
      <c r="A6" s="203">
        <v>44673</v>
      </c>
      <c r="B6" s="204" t="s">
        <v>43</v>
      </c>
      <c r="C6" s="204" t="s">
        <v>34</v>
      </c>
      <c r="D6" s="204" t="s">
        <v>75</v>
      </c>
      <c r="E6" s="205" t="s">
        <v>3</v>
      </c>
      <c r="F6" s="205">
        <v>5</v>
      </c>
      <c r="G6" s="205">
        <v>33</v>
      </c>
      <c r="H6" s="205">
        <v>0</v>
      </c>
      <c r="I6" s="205">
        <v>0</v>
      </c>
      <c r="J6" s="205">
        <v>1</v>
      </c>
      <c r="K6" s="205">
        <v>0</v>
      </c>
      <c r="L6" s="205">
        <v>0</v>
      </c>
      <c r="M6" s="205">
        <v>0</v>
      </c>
      <c r="N6" s="205">
        <v>0</v>
      </c>
      <c r="O6" s="205">
        <v>0</v>
      </c>
      <c r="P6" s="205">
        <v>1</v>
      </c>
      <c r="Q6" s="205">
        <v>0</v>
      </c>
      <c r="R6" s="205">
        <v>5</v>
      </c>
      <c r="S6" s="206"/>
      <c r="T6" s="207" t="s">
        <v>173</v>
      </c>
      <c r="U6" s="208" t="s">
        <v>207</v>
      </c>
      <c r="V6" s="206" t="s">
        <v>208</v>
      </c>
      <c r="W6" s="209" t="s">
        <v>147</v>
      </c>
      <c r="X6" s="210" t="s">
        <v>209</v>
      </c>
      <c r="Y6" s="211">
        <v>1</v>
      </c>
      <c r="Z6" s="211">
        <v>0</v>
      </c>
      <c r="AA6" s="211">
        <v>0</v>
      </c>
      <c r="AB6" s="212">
        <v>1</v>
      </c>
      <c r="AC6" s="211">
        <v>1</v>
      </c>
      <c r="AD6" s="211">
        <v>0</v>
      </c>
      <c r="AE6" s="211">
        <v>0</v>
      </c>
      <c r="AF6" s="212">
        <v>1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</row>
    <row r="7" spans="1:40" ht="14.95" customHeight="1" thickBot="1" x14ac:dyDescent="0.3">
      <c r="A7" s="203">
        <v>44681</v>
      </c>
      <c r="B7" s="204" t="s">
        <v>43</v>
      </c>
      <c r="C7" s="204" t="s">
        <v>33</v>
      </c>
      <c r="D7" s="204" t="s">
        <v>75</v>
      </c>
      <c r="E7" s="205" t="s">
        <v>3</v>
      </c>
      <c r="F7" s="205">
        <v>8</v>
      </c>
      <c r="G7" s="205">
        <v>10</v>
      </c>
      <c r="H7" s="205">
        <v>0</v>
      </c>
      <c r="I7" s="205">
        <v>1</v>
      </c>
      <c r="J7" s="205">
        <v>1</v>
      </c>
      <c r="K7" s="205">
        <v>0</v>
      </c>
      <c r="L7" s="205">
        <v>0</v>
      </c>
      <c r="M7" s="205">
        <v>1</v>
      </c>
      <c r="N7" s="205">
        <v>2</v>
      </c>
      <c r="O7" s="205">
        <v>0</v>
      </c>
      <c r="P7" s="205">
        <v>0</v>
      </c>
      <c r="Q7" s="205">
        <v>0</v>
      </c>
      <c r="R7" s="205">
        <v>1</v>
      </c>
      <c r="S7" s="209"/>
      <c r="T7" s="303" t="s">
        <v>220</v>
      </c>
      <c r="U7" s="209" t="s">
        <v>214</v>
      </c>
      <c r="V7" s="209" t="s">
        <v>158</v>
      </c>
      <c r="W7" s="209" t="s">
        <v>149</v>
      </c>
      <c r="X7" s="210" t="s">
        <v>195</v>
      </c>
      <c r="Y7" s="211">
        <v>1</v>
      </c>
      <c r="Z7" s="211">
        <v>0</v>
      </c>
      <c r="AA7" s="211">
        <v>0</v>
      </c>
      <c r="AB7" s="212">
        <v>1</v>
      </c>
      <c r="AC7" s="211">
        <v>1</v>
      </c>
      <c r="AD7" s="211">
        <v>0</v>
      </c>
      <c r="AE7" s="211">
        <v>0</v>
      </c>
      <c r="AF7" s="212">
        <v>1</v>
      </c>
      <c r="AG7" s="211">
        <v>0</v>
      </c>
      <c r="AH7" s="211">
        <v>0</v>
      </c>
      <c r="AI7" s="211">
        <v>0</v>
      </c>
      <c r="AJ7" s="212">
        <v>0</v>
      </c>
      <c r="AK7" s="211">
        <v>0</v>
      </c>
      <c r="AL7" s="211">
        <v>0</v>
      </c>
      <c r="AM7" s="211">
        <v>0</v>
      </c>
      <c r="AN7" s="212">
        <v>0</v>
      </c>
    </row>
    <row r="8" spans="1:40" ht="14.95" customHeight="1" thickBot="1" x14ac:dyDescent="0.3">
      <c r="A8" s="197">
        <v>44800</v>
      </c>
      <c r="B8" s="196" t="s">
        <v>246</v>
      </c>
      <c r="C8" s="186" t="s">
        <v>38</v>
      </c>
      <c r="D8" s="221" t="s">
        <v>364</v>
      </c>
      <c r="E8" s="198" t="s">
        <v>3</v>
      </c>
      <c r="F8" s="187">
        <v>3</v>
      </c>
      <c r="G8" s="187">
        <v>31</v>
      </c>
      <c r="H8" s="187" t="s">
        <v>72</v>
      </c>
      <c r="I8" s="187" t="s">
        <v>72</v>
      </c>
      <c r="J8" s="187">
        <v>0</v>
      </c>
      <c r="K8" s="187">
        <v>0</v>
      </c>
      <c r="L8" s="187">
        <v>0</v>
      </c>
      <c r="M8" s="187">
        <v>1</v>
      </c>
      <c r="N8" s="187">
        <v>0</v>
      </c>
      <c r="O8" s="187">
        <v>0</v>
      </c>
      <c r="P8" s="187" t="s">
        <v>72</v>
      </c>
      <c r="Q8" s="187" t="s">
        <v>72</v>
      </c>
      <c r="R8" s="187">
        <v>5</v>
      </c>
      <c r="S8" s="188"/>
      <c r="T8" s="199" t="s">
        <v>384</v>
      </c>
      <c r="U8" s="188" t="s">
        <v>167</v>
      </c>
      <c r="V8" s="188" t="s">
        <v>166</v>
      </c>
      <c r="W8" s="188" t="s">
        <v>194</v>
      </c>
      <c r="X8" s="194" t="s">
        <v>118</v>
      </c>
      <c r="Y8" s="189">
        <v>1</v>
      </c>
      <c r="Z8" s="189">
        <v>0</v>
      </c>
      <c r="AA8" s="189">
        <v>0</v>
      </c>
      <c r="AB8" s="190">
        <v>1</v>
      </c>
      <c r="AC8" s="189">
        <v>0</v>
      </c>
      <c r="AD8" s="189">
        <v>0</v>
      </c>
      <c r="AE8" s="189">
        <v>0</v>
      </c>
      <c r="AF8" s="190">
        <v>0</v>
      </c>
      <c r="AG8" s="189">
        <v>1</v>
      </c>
      <c r="AH8" s="189">
        <v>0</v>
      </c>
      <c r="AI8" s="189">
        <v>0</v>
      </c>
      <c r="AJ8" s="190">
        <v>1</v>
      </c>
      <c r="AK8" s="189">
        <v>0</v>
      </c>
      <c r="AL8" s="189">
        <v>0</v>
      </c>
      <c r="AM8" s="189">
        <v>0</v>
      </c>
      <c r="AN8" s="190">
        <v>0</v>
      </c>
    </row>
    <row r="9" spans="1:40" ht="14.95" customHeight="1" thickBot="1" x14ac:dyDescent="0.3">
      <c r="A9" s="413">
        <v>44818</v>
      </c>
      <c r="B9" s="196" t="s">
        <v>246</v>
      </c>
      <c r="C9" s="186" t="s">
        <v>30</v>
      </c>
      <c r="D9" s="196" t="s">
        <v>370</v>
      </c>
      <c r="E9" s="187" t="s">
        <v>3</v>
      </c>
      <c r="F9" s="187">
        <v>7</v>
      </c>
      <c r="G9" s="187">
        <v>73</v>
      </c>
      <c r="H9" s="187" t="s">
        <v>72</v>
      </c>
      <c r="I9" s="187" t="s">
        <v>72</v>
      </c>
      <c r="J9" s="187">
        <v>1</v>
      </c>
      <c r="K9" s="187">
        <v>1</v>
      </c>
      <c r="L9" s="187">
        <v>0</v>
      </c>
      <c r="M9" s="187">
        <v>0</v>
      </c>
      <c r="N9" s="187">
        <v>1</v>
      </c>
      <c r="O9" s="187">
        <v>0</v>
      </c>
      <c r="P9" s="187" t="s">
        <v>72</v>
      </c>
      <c r="Q9" s="187" t="s">
        <v>72</v>
      </c>
      <c r="R9" s="187">
        <v>11</v>
      </c>
      <c r="S9" s="188">
        <v>11691</v>
      </c>
      <c r="T9" s="199" t="s">
        <v>402</v>
      </c>
      <c r="U9" s="188" t="s">
        <v>149</v>
      </c>
      <c r="V9" s="188" t="s">
        <v>208</v>
      </c>
      <c r="W9" s="188" t="s">
        <v>147</v>
      </c>
      <c r="X9" s="194" t="s">
        <v>182</v>
      </c>
      <c r="Y9" s="189">
        <v>1</v>
      </c>
      <c r="Z9" s="189">
        <v>0</v>
      </c>
      <c r="AA9" s="189">
        <v>0</v>
      </c>
      <c r="AB9" s="190">
        <v>1</v>
      </c>
      <c r="AC9" s="189">
        <v>0</v>
      </c>
      <c r="AD9" s="189">
        <v>0</v>
      </c>
      <c r="AE9" s="189">
        <v>0</v>
      </c>
      <c r="AF9" s="190">
        <v>0</v>
      </c>
      <c r="AG9" s="189">
        <v>1</v>
      </c>
      <c r="AH9" s="189">
        <v>0</v>
      </c>
      <c r="AI9" s="189">
        <v>0</v>
      </c>
      <c r="AJ9" s="190">
        <v>1</v>
      </c>
      <c r="AK9" s="189">
        <v>0</v>
      </c>
      <c r="AL9" s="189">
        <v>0</v>
      </c>
      <c r="AM9" s="189">
        <v>0</v>
      </c>
      <c r="AN9" s="190">
        <v>0</v>
      </c>
    </row>
    <row r="10" spans="1:40" ht="14.95" customHeight="1" thickBot="1" x14ac:dyDescent="0.35">
      <c r="A10" s="287">
        <v>44843</v>
      </c>
      <c r="B10" s="288" t="s">
        <v>139</v>
      </c>
      <c r="C10" s="254" t="s">
        <v>35</v>
      </c>
      <c r="D10" s="288" t="s">
        <v>140</v>
      </c>
      <c r="E10" s="156" t="s">
        <v>1</v>
      </c>
      <c r="F10" s="150">
        <v>18</v>
      </c>
      <c r="G10" s="150">
        <v>15</v>
      </c>
      <c r="H10" s="150">
        <v>0</v>
      </c>
      <c r="I10" s="150">
        <v>0</v>
      </c>
      <c r="J10" s="150">
        <v>2</v>
      </c>
      <c r="K10" s="150">
        <v>1</v>
      </c>
      <c r="L10" s="150">
        <v>0</v>
      </c>
      <c r="M10" s="150">
        <v>2</v>
      </c>
      <c r="N10" s="150">
        <v>2</v>
      </c>
      <c r="O10" s="150">
        <v>0</v>
      </c>
      <c r="P10" s="150">
        <v>0</v>
      </c>
      <c r="Q10" s="150">
        <v>1</v>
      </c>
      <c r="R10" s="150">
        <v>3</v>
      </c>
      <c r="S10" s="225"/>
      <c r="T10" s="256" t="s">
        <v>489</v>
      </c>
      <c r="U10" s="225" t="s">
        <v>236</v>
      </c>
      <c r="V10" s="225" t="s">
        <v>166</v>
      </c>
      <c r="W10" s="225" t="s">
        <v>194</v>
      </c>
      <c r="X10" s="225" t="s">
        <v>258</v>
      </c>
      <c r="Y10" s="155">
        <v>1</v>
      </c>
      <c r="Z10" s="155">
        <v>1</v>
      </c>
      <c r="AA10" s="155">
        <v>0</v>
      </c>
      <c r="AB10" s="224">
        <v>0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1</v>
      </c>
      <c r="AM10" s="155">
        <v>0</v>
      </c>
      <c r="AN10" s="224">
        <v>0</v>
      </c>
    </row>
    <row r="11" spans="1:40" ht="14.95" customHeight="1" thickBot="1" x14ac:dyDescent="0.3">
      <c r="A11" s="197">
        <v>44850</v>
      </c>
      <c r="B11" s="196" t="s">
        <v>139</v>
      </c>
      <c r="C11" s="196" t="s">
        <v>77</v>
      </c>
      <c r="D11" s="221" t="s">
        <v>79</v>
      </c>
      <c r="E11" s="198" t="s">
        <v>3</v>
      </c>
      <c r="F11" s="187">
        <v>12</v>
      </c>
      <c r="G11" s="187">
        <v>56</v>
      </c>
      <c r="H11" s="187">
        <v>0</v>
      </c>
      <c r="I11" s="187">
        <v>0</v>
      </c>
      <c r="J11" s="187">
        <v>2</v>
      </c>
      <c r="K11" s="187">
        <v>1</v>
      </c>
      <c r="L11" s="187">
        <v>0</v>
      </c>
      <c r="M11" s="187">
        <v>0</v>
      </c>
      <c r="N11" s="187">
        <v>0</v>
      </c>
      <c r="O11" s="187">
        <v>0</v>
      </c>
      <c r="P11" s="187">
        <v>1</v>
      </c>
      <c r="Q11" s="187">
        <v>0</v>
      </c>
      <c r="R11" s="187">
        <v>10</v>
      </c>
      <c r="S11" s="188"/>
      <c r="T11" s="199" t="s">
        <v>502</v>
      </c>
      <c r="U11" s="188" t="s">
        <v>159</v>
      </c>
      <c r="V11" s="188" t="s">
        <v>166</v>
      </c>
      <c r="W11" s="188" t="s">
        <v>194</v>
      </c>
      <c r="X11" s="202" t="s">
        <v>258</v>
      </c>
      <c r="Y11" s="189">
        <v>1</v>
      </c>
      <c r="Z11" s="250">
        <v>0</v>
      </c>
      <c r="AA11" s="250">
        <v>0</v>
      </c>
      <c r="AB11" s="251">
        <v>1</v>
      </c>
      <c r="AC11" s="250">
        <v>0</v>
      </c>
      <c r="AD11" s="250">
        <v>0</v>
      </c>
      <c r="AE11" s="250">
        <v>0</v>
      </c>
      <c r="AF11" s="251">
        <v>0</v>
      </c>
      <c r="AG11" s="250">
        <v>0</v>
      </c>
      <c r="AH11" s="250">
        <v>0</v>
      </c>
      <c r="AI11" s="250">
        <v>0</v>
      </c>
      <c r="AJ11" s="251">
        <v>0</v>
      </c>
      <c r="AK11" s="250">
        <v>1</v>
      </c>
      <c r="AL11" s="250">
        <v>0</v>
      </c>
      <c r="AM11" s="250">
        <v>0</v>
      </c>
      <c r="AN11" s="251">
        <v>1</v>
      </c>
    </row>
    <row r="12" spans="1:40" ht="15.8" customHeight="1" thickBot="1" x14ac:dyDescent="0.3">
      <c r="A12" s="253">
        <v>44856</v>
      </c>
      <c r="B12" s="254" t="s">
        <v>139</v>
      </c>
      <c r="C12" s="254" t="s">
        <v>29</v>
      </c>
      <c r="D12" s="254" t="s">
        <v>140</v>
      </c>
      <c r="E12" s="156" t="s">
        <v>3</v>
      </c>
      <c r="F12" s="223">
        <v>7</v>
      </c>
      <c r="G12" s="223">
        <v>13</v>
      </c>
      <c r="H12" s="223">
        <v>0</v>
      </c>
      <c r="I12" s="223">
        <v>1</v>
      </c>
      <c r="J12" s="223">
        <v>1</v>
      </c>
      <c r="K12" s="223">
        <v>1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5"/>
      <c r="T12" s="257" t="s">
        <v>290</v>
      </c>
      <c r="U12" s="225" t="s">
        <v>165</v>
      </c>
      <c r="V12" s="225" t="s">
        <v>117</v>
      </c>
      <c r="W12" s="225" t="s">
        <v>194</v>
      </c>
      <c r="X12" s="225" t="s">
        <v>209</v>
      </c>
      <c r="Y12" s="155">
        <v>1</v>
      </c>
      <c r="Z12" s="155">
        <v>0</v>
      </c>
      <c r="AA12" s="155">
        <v>0</v>
      </c>
      <c r="AB12" s="224">
        <v>1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0</v>
      </c>
      <c r="AM12" s="155">
        <v>0</v>
      </c>
      <c r="AN12" s="224">
        <v>1</v>
      </c>
    </row>
    <row r="13" spans="1:40" ht="15.8" customHeight="1" thickBot="1" x14ac:dyDescent="0.3">
      <c r="A13" s="226">
        <v>44863</v>
      </c>
      <c r="B13" s="227" t="s">
        <v>109</v>
      </c>
      <c r="C13" s="227" t="s">
        <v>77</v>
      </c>
      <c r="D13" s="227" t="s">
        <v>140</v>
      </c>
      <c r="E13" s="223" t="s">
        <v>3</v>
      </c>
      <c r="F13" s="223">
        <v>3</v>
      </c>
      <c r="G13" s="223">
        <v>55</v>
      </c>
      <c r="H13" s="223" t="s">
        <v>525</v>
      </c>
      <c r="I13" s="223" t="s">
        <v>72</v>
      </c>
      <c r="J13" s="223">
        <v>0</v>
      </c>
      <c r="K13" s="223">
        <v>0</v>
      </c>
      <c r="L13" s="223">
        <v>0</v>
      </c>
      <c r="M13" s="223">
        <v>1</v>
      </c>
      <c r="N13" s="223">
        <v>2</v>
      </c>
      <c r="O13" s="223">
        <v>0</v>
      </c>
      <c r="P13" s="223" t="s">
        <v>525</v>
      </c>
      <c r="Q13" s="223" t="s">
        <v>72</v>
      </c>
      <c r="R13" s="223">
        <v>9</v>
      </c>
      <c r="S13" s="290"/>
      <c r="T13" s="240" t="s">
        <v>527</v>
      </c>
      <c r="U13" s="229" t="s">
        <v>167</v>
      </c>
      <c r="V13" s="228" t="s">
        <v>166</v>
      </c>
      <c r="W13" s="229" t="s">
        <v>149</v>
      </c>
      <c r="X13" s="228" t="s">
        <v>194</v>
      </c>
      <c r="Y13" s="155">
        <v>1</v>
      </c>
      <c r="Z13" s="155">
        <v>0</v>
      </c>
      <c r="AA13" s="155">
        <v>0</v>
      </c>
      <c r="AB13" s="224">
        <v>1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0</v>
      </c>
      <c r="AM13" s="155">
        <v>0</v>
      </c>
      <c r="AN13" s="224">
        <v>1</v>
      </c>
    </row>
    <row r="14" spans="1:40" ht="17" thickBot="1" x14ac:dyDescent="0.35">
      <c r="A14" s="226">
        <v>44870</v>
      </c>
      <c r="B14" s="227" t="s">
        <v>387</v>
      </c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7" thickBot="1" x14ac:dyDescent="0.35">
      <c r="A15" s="226">
        <v>44877</v>
      </c>
      <c r="B15" s="227" t="s">
        <v>388</v>
      </c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0" ht="14.95" thickBot="1" x14ac:dyDescent="0.3">
      <c r="A16" s="123"/>
      <c r="B16" s="124"/>
      <c r="C16" s="692" t="s">
        <v>74</v>
      </c>
      <c r="D16" s="693"/>
      <c r="E16" s="694"/>
      <c r="F16" s="122">
        <f>SUM(F3:F7)</f>
        <v>69</v>
      </c>
      <c r="G16" s="122">
        <f t="shared" ref="G16:R16" si="0">SUM(G3:G7)</f>
        <v>139</v>
      </c>
      <c r="H16" s="122">
        <f t="shared" si="0"/>
        <v>2</v>
      </c>
      <c r="I16" s="122">
        <f t="shared" si="0"/>
        <v>1</v>
      </c>
      <c r="J16" s="122">
        <f t="shared" si="0"/>
        <v>12</v>
      </c>
      <c r="K16" s="122">
        <f t="shared" si="0"/>
        <v>3</v>
      </c>
      <c r="L16" s="122">
        <f t="shared" si="0"/>
        <v>0</v>
      </c>
      <c r="M16" s="122">
        <f t="shared" si="0"/>
        <v>1</v>
      </c>
      <c r="N16" s="122">
        <f t="shared" si="0"/>
        <v>4</v>
      </c>
      <c r="O16" s="122">
        <f t="shared" si="0"/>
        <v>0</v>
      </c>
      <c r="P16" s="122">
        <f t="shared" si="0"/>
        <v>2</v>
      </c>
      <c r="Q16" s="122">
        <f t="shared" si="0"/>
        <v>1</v>
      </c>
      <c r="R16" s="122">
        <f t="shared" si="0"/>
        <v>22</v>
      </c>
      <c r="W16" s="119"/>
      <c r="X16" s="158" t="s">
        <v>74</v>
      </c>
      <c r="Y16" s="122">
        <f t="shared" ref="Y16:AN16" si="1">SUM(Y3:Y7)</f>
        <v>5</v>
      </c>
      <c r="Z16" s="122">
        <f t="shared" si="1"/>
        <v>2</v>
      </c>
      <c r="AA16" s="122">
        <f t="shared" si="1"/>
        <v>0</v>
      </c>
      <c r="AB16" s="122">
        <f t="shared" si="1"/>
        <v>3</v>
      </c>
      <c r="AC16" s="120">
        <f t="shared" si="1"/>
        <v>3</v>
      </c>
      <c r="AD16" s="120">
        <f t="shared" si="1"/>
        <v>1</v>
      </c>
      <c r="AE16" s="120">
        <f t="shared" si="1"/>
        <v>0</v>
      </c>
      <c r="AF16" s="120">
        <f t="shared" si="1"/>
        <v>2</v>
      </c>
      <c r="AG16" s="121">
        <f t="shared" si="1"/>
        <v>2</v>
      </c>
      <c r="AH16" s="121">
        <f t="shared" si="1"/>
        <v>1</v>
      </c>
      <c r="AI16" s="121">
        <f t="shared" si="1"/>
        <v>0</v>
      </c>
      <c r="AJ16" s="121">
        <f t="shared" si="1"/>
        <v>1</v>
      </c>
      <c r="AK16" s="122">
        <f t="shared" si="1"/>
        <v>0</v>
      </c>
      <c r="AL16" s="122">
        <f t="shared" si="1"/>
        <v>0</v>
      </c>
      <c r="AM16" s="122">
        <f t="shared" si="1"/>
        <v>0</v>
      </c>
      <c r="AN16" s="122">
        <f t="shared" si="1"/>
        <v>0</v>
      </c>
    </row>
    <row r="17" spans="1:40" ht="14.95" thickBot="1" x14ac:dyDescent="0.3">
      <c r="A17" s="123"/>
      <c r="B17" s="124"/>
      <c r="C17" s="679" t="s">
        <v>467</v>
      </c>
      <c r="D17" s="680"/>
      <c r="E17" s="681"/>
      <c r="F17" s="414">
        <f>SUM(F10:F12)</f>
        <v>37</v>
      </c>
      <c r="G17" s="414">
        <f t="shared" ref="G17:R17" si="2">SUM(G10:G12)</f>
        <v>84</v>
      </c>
      <c r="H17" s="414">
        <f t="shared" si="2"/>
        <v>0</v>
      </c>
      <c r="I17" s="414">
        <f t="shared" si="2"/>
        <v>1</v>
      </c>
      <c r="J17" s="414">
        <f t="shared" si="2"/>
        <v>5</v>
      </c>
      <c r="K17" s="414">
        <f t="shared" si="2"/>
        <v>3</v>
      </c>
      <c r="L17" s="414">
        <f t="shared" si="2"/>
        <v>0</v>
      </c>
      <c r="M17" s="414">
        <f t="shared" si="2"/>
        <v>2</v>
      </c>
      <c r="N17" s="414">
        <f t="shared" si="2"/>
        <v>2</v>
      </c>
      <c r="O17" s="414">
        <f t="shared" si="2"/>
        <v>0</v>
      </c>
      <c r="P17" s="414">
        <f t="shared" si="2"/>
        <v>1</v>
      </c>
      <c r="Q17" s="414">
        <f t="shared" si="2"/>
        <v>1</v>
      </c>
      <c r="R17" s="414">
        <f t="shared" si="2"/>
        <v>13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3">SUM(Y10:Y12)</f>
        <v>3</v>
      </c>
      <c r="Z17" s="414">
        <f t="shared" si="3"/>
        <v>1</v>
      </c>
      <c r="AA17" s="414">
        <f t="shared" si="3"/>
        <v>0</v>
      </c>
      <c r="AB17" s="414">
        <f t="shared" si="3"/>
        <v>2</v>
      </c>
      <c r="AC17" s="418">
        <f t="shared" si="3"/>
        <v>0</v>
      </c>
      <c r="AD17" s="418">
        <f t="shared" si="3"/>
        <v>0</v>
      </c>
      <c r="AE17" s="418">
        <f t="shared" si="3"/>
        <v>0</v>
      </c>
      <c r="AF17" s="418">
        <f t="shared" si="3"/>
        <v>0</v>
      </c>
      <c r="AG17" s="419">
        <f t="shared" si="3"/>
        <v>0</v>
      </c>
      <c r="AH17" s="419">
        <f t="shared" si="3"/>
        <v>0</v>
      </c>
      <c r="AI17" s="419">
        <f t="shared" si="3"/>
        <v>0</v>
      </c>
      <c r="AJ17" s="419">
        <f t="shared" si="3"/>
        <v>0</v>
      </c>
      <c r="AK17" s="414">
        <f t="shared" si="3"/>
        <v>3</v>
      </c>
      <c r="AL17" s="414">
        <f t="shared" si="3"/>
        <v>1</v>
      </c>
      <c r="AM17" s="414">
        <f t="shared" si="3"/>
        <v>0</v>
      </c>
      <c r="AN17" s="414">
        <f t="shared" si="3"/>
        <v>2</v>
      </c>
    </row>
    <row r="18" spans="1:40" ht="14.95" thickBot="1" x14ac:dyDescent="0.3">
      <c r="A18" s="123"/>
      <c r="B18" s="124"/>
      <c r="C18" s="679" t="s">
        <v>468</v>
      </c>
      <c r="D18" s="680"/>
      <c r="E18" s="681"/>
      <c r="F18" s="414">
        <f>SUM(F13:F15)</f>
        <v>3</v>
      </c>
      <c r="G18" s="414">
        <f>SUM(G13:G15)</f>
        <v>55</v>
      </c>
      <c r="H18" s="414">
        <v>0</v>
      </c>
      <c r="I18" s="414">
        <v>0</v>
      </c>
      <c r="J18" s="414">
        <f t="shared" ref="J18:O18" si="4">SUM(J13:J15)</f>
        <v>0</v>
      </c>
      <c r="K18" s="414">
        <f t="shared" si="4"/>
        <v>0</v>
      </c>
      <c r="L18" s="414">
        <f t="shared" si="4"/>
        <v>0</v>
      </c>
      <c r="M18" s="414">
        <f t="shared" si="4"/>
        <v>1</v>
      </c>
      <c r="N18" s="414">
        <f t="shared" si="4"/>
        <v>2</v>
      </c>
      <c r="O18" s="414">
        <f t="shared" si="4"/>
        <v>0</v>
      </c>
      <c r="P18" s="414">
        <v>0</v>
      </c>
      <c r="Q18" s="414">
        <v>0</v>
      </c>
      <c r="R18" s="414">
        <f>SUM(R13:R15)</f>
        <v>9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5">SUM(Y13:Y15)</f>
        <v>1</v>
      </c>
      <c r="Z18" s="414">
        <f t="shared" si="5"/>
        <v>0</v>
      </c>
      <c r="AA18" s="414">
        <f t="shared" si="5"/>
        <v>0</v>
      </c>
      <c r="AB18" s="414">
        <f t="shared" si="5"/>
        <v>1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0</v>
      </c>
      <c r="AH18" s="419">
        <f t="shared" si="5"/>
        <v>0</v>
      </c>
      <c r="AI18" s="419">
        <f t="shared" si="5"/>
        <v>0</v>
      </c>
      <c r="AJ18" s="419">
        <f t="shared" si="5"/>
        <v>0</v>
      </c>
      <c r="AK18" s="414">
        <f t="shared" si="5"/>
        <v>1</v>
      </c>
      <c r="AL18" s="414">
        <f t="shared" si="5"/>
        <v>0</v>
      </c>
      <c r="AM18" s="414">
        <f t="shared" si="5"/>
        <v>0</v>
      </c>
      <c r="AN18" s="414">
        <f t="shared" si="5"/>
        <v>1</v>
      </c>
    </row>
    <row r="19" spans="1:40" ht="14.95" thickBot="1" x14ac:dyDescent="0.3">
      <c r="A19" s="123"/>
      <c r="B19" s="124"/>
      <c r="C19" s="679" t="s">
        <v>469</v>
      </c>
      <c r="D19" s="680"/>
      <c r="E19" s="681"/>
      <c r="F19" s="414">
        <f>SUM(F17+F18)</f>
        <v>40</v>
      </c>
      <c r="G19" s="414">
        <f t="shared" ref="G19:R19" si="6">SUM(G17+G18)</f>
        <v>139</v>
      </c>
      <c r="H19" s="414">
        <f t="shared" si="6"/>
        <v>0</v>
      </c>
      <c r="I19" s="414">
        <f t="shared" si="6"/>
        <v>1</v>
      </c>
      <c r="J19" s="414">
        <f t="shared" si="6"/>
        <v>5</v>
      </c>
      <c r="K19" s="414">
        <f t="shared" si="6"/>
        <v>3</v>
      </c>
      <c r="L19" s="414">
        <f t="shared" si="6"/>
        <v>0</v>
      </c>
      <c r="M19" s="414">
        <f t="shared" si="6"/>
        <v>3</v>
      </c>
      <c r="N19" s="414">
        <f t="shared" si="6"/>
        <v>4</v>
      </c>
      <c r="O19" s="414">
        <f t="shared" si="6"/>
        <v>0</v>
      </c>
      <c r="P19" s="414">
        <f t="shared" si="6"/>
        <v>1</v>
      </c>
      <c r="Q19" s="414">
        <f t="shared" si="6"/>
        <v>1</v>
      </c>
      <c r="R19" s="414">
        <f t="shared" si="6"/>
        <v>22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7">SUM(Y17+Y18)</f>
        <v>4</v>
      </c>
      <c r="Z19" s="414">
        <f t="shared" si="7"/>
        <v>1</v>
      </c>
      <c r="AA19" s="414">
        <f t="shared" si="7"/>
        <v>0</v>
      </c>
      <c r="AB19" s="414">
        <f t="shared" si="7"/>
        <v>3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0</v>
      </c>
      <c r="AH19" s="419">
        <f t="shared" si="7"/>
        <v>0</v>
      </c>
      <c r="AI19" s="419">
        <f t="shared" si="7"/>
        <v>0</v>
      </c>
      <c r="AJ19" s="419">
        <f t="shared" si="7"/>
        <v>0</v>
      </c>
      <c r="AK19" s="414">
        <f t="shared" si="7"/>
        <v>4</v>
      </c>
      <c r="AL19" s="414">
        <f t="shared" si="7"/>
        <v>1</v>
      </c>
      <c r="AM19" s="414">
        <f t="shared" si="7"/>
        <v>0</v>
      </c>
      <c r="AN19" s="414">
        <f t="shared" si="7"/>
        <v>3</v>
      </c>
    </row>
    <row r="20" spans="1:40" ht="14.95" thickBot="1" x14ac:dyDescent="0.3">
      <c r="A20" s="123"/>
      <c r="B20" s="124"/>
      <c r="C20" s="725" t="s">
        <v>83</v>
      </c>
      <c r="D20" s="827"/>
      <c r="E20" s="828"/>
      <c r="F20" s="129">
        <f>SUM(F8+F9)</f>
        <v>10</v>
      </c>
      <c r="G20" s="129">
        <f>SUM(G8+G9)</f>
        <v>104</v>
      </c>
      <c r="H20" s="129" t="s">
        <v>72</v>
      </c>
      <c r="I20" s="129" t="s">
        <v>72</v>
      </c>
      <c r="J20" s="129">
        <f t="shared" ref="J20:O20" si="8">SUM(J8+J9)</f>
        <v>1</v>
      </c>
      <c r="K20" s="129">
        <f t="shared" si="8"/>
        <v>1</v>
      </c>
      <c r="L20" s="129">
        <f t="shared" si="8"/>
        <v>0</v>
      </c>
      <c r="M20" s="129">
        <f t="shared" si="8"/>
        <v>1</v>
      </c>
      <c r="N20" s="129">
        <f t="shared" si="8"/>
        <v>1</v>
      </c>
      <c r="O20" s="129">
        <f t="shared" si="8"/>
        <v>0</v>
      </c>
      <c r="P20" s="129" t="s">
        <v>72</v>
      </c>
      <c r="Q20" s="129" t="s">
        <v>72</v>
      </c>
      <c r="R20" s="129">
        <f>SUM(R8+R9)</f>
        <v>16</v>
      </c>
      <c r="S20" s="125"/>
      <c r="T20" s="125"/>
      <c r="U20" s="125"/>
      <c r="V20" s="125"/>
      <c r="W20" s="126"/>
      <c r="X20" s="157" t="s">
        <v>83</v>
      </c>
      <c r="Y20" s="129">
        <f t="shared" ref="Y20:AN20" si="9">SUM(Y8+Y9)</f>
        <v>2</v>
      </c>
      <c r="Z20" s="129">
        <f t="shared" si="9"/>
        <v>0</v>
      </c>
      <c r="AA20" s="129">
        <f t="shared" si="9"/>
        <v>0</v>
      </c>
      <c r="AB20" s="129">
        <f t="shared" si="9"/>
        <v>2</v>
      </c>
      <c r="AC20" s="127">
        <f t="shared" si="9"/>
        <v>0</v>
      </c>
      <c r="AD20" s="127">
        <f t="shared" si="9"/>
        <v>0</v>
      </c>
      <c r="AE20" s="127">
        <f t="shared" si="9"/>
        <v>0</v>
      </c>
      <c r="AF20" s="127">
        <f t="shared" si="9"/>
        <v>0</v>
      </c>
      <c r="AG20" s="128">
        <f t="shared" si="9"/>
        <v>2</v>
      </c>
      <c r="AH20" s="128">
        <f t="shared" si="9"/>
        <v>0</v>
      </c>
      <c r="AI20" s="128">
        <f t="shared" si="9"/>
        <v>0</v>
      </c>
      <c r="AJ20" s="128">
        <f t="shared" si="9"/>
        <v>2</v>
      </c>
      <c r="AK20" s="129">
        <f t="shared" si="9"/>
        <v>0</v>
      </c>
      <c r="AL20" s="129">
        <f t="shared" si="9"/>
        <v>0</v>
      </c>
      <c r="AM20" s="129">
        <f t="shared" si="9"/>
        <v>0</v>
      </c>
      <c r="AN20" s="129">
        <f t="shared" si="9"/>
        <v>0</v>
      </c>
    </row>
    <row r="21" spans="1:40" ht="14.95" thickBot="1" x14ac:dyDescent="0.3">
      <c r="A21" s="123"/>
      <c r="B21" s="124"/>
      <c r="C21" s="682" t="s">
        <v>73</v>
      </c>
      <c r="D21" s="683"/>
      <c r="E21" s="684"/>
      <c r="F21" s="150">
        <f t="shared" ref="F21:R21" si="10">SUM(F3:F15)</f>
        <v>119</v>
      </c>
      <c r="G21" s="150">
        <f t="shared" si="10"/>
        <v>382</v>
      </c>
      <c r="H21" s="150">
        <f t="shared" si="10"/>
        <v>2</v>
      </c>
      <c r="I21" s="150">
        <f t="shared" si="10"/>
        <v>2</v>
      </c>
      <c r="J21" s="150">
        <f t="shared" si="10"/>
        <v>18</v>
      </c>
      <c r="K21" s="150">
        <f t="shared" si="10"/>
        <v>7</v>
      </c>
      <c r="L21" s="150">
        <f t="shared" si="10"/>
        <v>0</v>
      </c>
      <c r="M21" s="150">
        <f t="shared" si="10"/>
        <v>5</v>
      </c>
      <c r="N21" s="150">
        <f t="shared" si="10"/>
        <v>9</v>
      </c>
      <c r="O21" s="150">
        <f t="shared" si="10"/>
        <v>0</v>
      </c>
      <c r="P21" s="150">
        <f t="shared" si="10"/>
        <v>3</v>
      </c>
      <c r="Q21" s="150">
        <f t="shared" si="10"/>
        <v>2</v>
      </c>
      <c r="R21" s="150">
        <f t="shared" si="10"/>
        <v>60</v>
      </c>
      <c r="S21" s="147"/>
      <c r="T21" s="147"/>
      <c r="U21" s="147"/>
      <c r="V21" s="147"/>
      <c r="W21" s="12"/>
      <c r="X21" s="155" t="s">
        <v>73</v>
      </c>
      <c r="Y21" s="150">
        <f t="shared" ref="Y21:AN21" si="11">SUM(Y3:Y15)</f>
        <v>11</v>
      </c>
      <c r="Z21" s="150">
        <f t="shared" si="11"/>
        <v>3</v>
      </c>
      <c r="AA21" s="150">
        <f t="shared" si="11"/>
        <v>0</v>
      </c>
      <c r="AB21" s="150">
        <f t="shared" si="11"/>
        <v>8</v>
      </c>
      <c r="AC21" s="148">
        <f t="shared" si="11"/>
        <v>3</v>
      </c>
      <c r="AD21" s="148">
        <f t="shared" si="11"/>
        <v>1</v>
      </c>
      <c r="AE21" s="148">
        <f t="shared" si="11"/>
        <v>0</v>
      </c>
      <c r="AF21" s="148">
        <f t="shared" si="11"/>
        <v>2</v>
      </c>
      <c r="AG21" s="149">
        <f t="shared" si="11"/>
        <v>4</v>
      </c>
      <c r="AH21" s="149">
        <f t="shared" si="11"/>
        <v>1</v>
      </c>
      <c r="AI21" s="149">
        <f t="shared" si="11"/>
        <v>0</v>
      </c>
      <c r="AJ21" s="149">
        <f t="shared" si="11"/>
        <v>3</v>
      </c>
      <c r="AK21" s="150">
        <f t="shared" si="11"/>
        <v>4</v>
      </c>
      <c r="AL21" s="150">
        <f t="shared" si="11"/>
        <v>1</v>
      </c>
      <c r="AM21" s="150">
        <f t="shared" si="11"/>
        <v>0</v>
      </c>
      <c r="AN21" s="150">
        <f t="shared" si="11"/>
        <v>3</v>
      </c>
    </row>
    <row r="22" spans="1:40" x14ac:dyDescent="0.25">
      <c r="A22" s="728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26"/>
      <c r="S22" s="826"/>
      <c r="T22" s="826"/>
      <c r="U22" s="826"/>
      <c r="V22" s="826"/>
      <c r="W22" s="826"/>
      <c r="X22" s="826"/>
      <c r="Y22" s="826"/>
      <c r="Z22" s="826"/>
      <c r="AA22" s="826"/>
      <c r="AB22" s="826"/>
      <c r="AC22" s="826"/>
      <c r="AD22" s="826"/>
      <c r="AE22" s="826"/>
      <c r="AF22" s="826"/>
      <c r="AG22" s="826"/>
      <c r="AH22" s="826"/>
      <c r="AI22" s="826"/>
      <c r="AJ22" s="826"/>
      <c r="AK22" s="826"/>
      <c r="AL22" s="826"/>
      <c r="AM22" s="826"/>
      <c r="AN22" s="826"/>
    </row>
    <row r="23" spans="1:40" x14ac:dyDescent="0.25">
      <c r="A23" s="685" t="s">
        <v>85</v>
      </c>
      <c r="B23" s="637"/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  <c r="AA23" s="637"/>
      <c r="AB23" s="637"/>
      <c r="AC23" s="637"/>
      <c r="AD23" s="637"/>
      <c r="AE23" s="637"/>
      <c r="AF23" s="637"/>
      <c r="AG23" s="637"/>
      <c r="AH23" s="637"/>
      <c r="AI23" s="637"/>
      <c r="AJ23" s="637"/>
      <c r="AK23" s="637"/>
      <c r="AL23" s="637"/>
      <c r="AM23" s="637"/>
      <c r="AN23" s="637"/>
    </row>
    <row r="24" spans="1:40" x14ac:dyDescent="0.25">
      <c r="A24" s="258" t="s">
        <v>124</v>
      </c>
      <c r="F24" s="13"/>
      <c r="G24" s="13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40" x14ac:dyDescent="0.25">
      <c r="A25" t="s">
        <v>141</v>
      </c>
      <c r="F25" s="13"/>
    </row>
    <row r="26" spans="1:40" x14ac:dyDescent="0.25">
      <c r="A26" s="258" t="s">
        <v>366</v>
      </c>
    </row>
    <row r="27" spans="1:40" x14ac:dyDescent="0.25">
      <c r="A27" s="258" t="s">
        <v>376</v>
      </c>
    </row>
    <row r="28" spans="1:40" x14ac:dyDescent="0.25">
      <c r="A28" s="46"/>
      <c r="B28" t="s">
        <v>42</v>
      </c>
    </row>
    <row r="29" spans="1:40" x14ac:dyDescent="0.25">
      <c r="A29" s="44"/>
      <c r="B29" t="s">
        <v>40</v>
      </c>
    </row>
    <row r="30" spans="1:40" x14ac:dyDescent="0.25">
      <c r="A30" s="45"/>
      <c r="B30" t="s">
        <v>41</v>
      </c>
    </row>
    <row r="31" spans="1:40" x14ac:dyDescent="0.25">
      <c r="A31" s="14" t="s">
        <v>28</v>
      </c>
    </row>
  </sheetData>
  <mergeCells count="18">
    <mergeCell ref="Y1:AB1"/>
    <mergeCell ref="AC1:AF1"/>
    <mergeCell ref="AG1:AJ1"/>
    <mergeCell ref="AK1:AN1"/>
    <mergeCell ref="C16:E16"/>
    <mergeCell ref="P1:R1"/>
    <mergeCell ref="A1:C1"/>
    <mergeCell ref="E1:G1"/>
    <mergeCell ref="H1:I1"/>
    <mergeCell ref="J1:M1"/>
    <mergeCell ref="N1:O1"/>
    <mergeCell ref="C17:E17"/>
    <mergeCell ref="C18:E18"/>
    <mergeCell ref="C19:E19"/>
    <mergeCell ref="A23:AN23"/>
    <mergeCell ref="A22:AN22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6E03-3411-45CE-98E5-3F3DB833D3EF}">
  <dimension ref="A1:T53"/>
  <sheetViews>
    <sheetView zoomScaleNormal="100" workbookViewId="0">
      <selection activeCell="E21" sqref="E21"/>
    </sheetView>
  </sheetViews>
  <sheetFormatPr defaultColWidth="8.875" defaultRowHeight="14.3" x14ac:dyDescent="0.25"/>
  <cols>
    <col min="1" max="1" width="9.875" bestFit="1" customWidth="1"/>
    <col min="2" max="2" width="3.75" customWidth="1"/>
    <col min="3" max="3" width="50.25" customWidth="1"/>
    <col min="4" max="4" width="3.875" customWidth="1"/>
    <col min="5" max="5" width="29.75" customWidth="1"/>
    <col min="6" max="6" width="8.125" customWidth="1"/>
    <col min="7" max="7" width="5.25" customWidth="1"/>
    <col min="8" max="8" width="9.875" bestFit="1" customWidth="1"/>
    <col min="19" max="19" width="7.125" customWidth="1"/>
    <col min="20" max="20" width="4.875" customWidth="1"/>
  </cols>
  <sheetData>
    <row r="1" spans="1:20" ht="14.95" customHeight="1" thickBot="1" x14ac:dyDescent="0.3">
      <c r="H1" s="660" t="s">
        <v>55</v>
      </c>
      <c r="I1" s="654" t="s">
        <v>63</v>
      </c>
      <c r="J1" s="655"/>
      <c r="K1" s="654" t="s">
        <v>64</v>
      </c>
      <c r="L1" s="657"/>
      <c r="M1" s="657"/>
      <c r="N1" s="657"/>
      <c r="O1" s="655"/>
      <c r="P1" s="508" t="s">
        <v>65</v>
      </c>
      <c r="Q1" s="654" t="s">
        <v>66</v>
      </c>
      <c r="R1" s="655"/>
      <c r="S1" s="654" t="s">
        <v>7</v>
      </c>
      <c r="T1" s="655"/>
    </row>
    <row r="2" spans="1:20" ht="14.95" customHeight="1" thickBot="1" x14ac:dyDescent="0.3">
      <c r="A2" s="509"/>
      <c r="B2" s="422"/>
      <c r="C2" s="510" t="s">
        <v>51</v>
      </c>
      <c r="D2" s="658" t="s">
        <v>52</v>
      </c>
      <c r="E2" s="659"/>
      <c r="F2" s="64" t="s">
        <v>53</v>
      </c>
      <c r="G2" s="131"/>
      <c r="H2" s="661"/>
      <c r="I2" s="511" t="s">
        <v>4</v>
      </c>
      <c r="J2" s="511" t="s">
        <v>5</v>
      </c>
      <c r="K2" s="512" t="s">
        <v>471</v>
      </c>
      <c r="L2" s="513" t="s">
        <v>472</v>
      </c>
      <c r="M2" s="513" t="s">
        <v>473</v>
      </c>
      <c r="N2" s="514" t="s">
        <v>474</v>
      </c>
      <c r="O2" s="515" t="s">
        <v>67</v>
      </c>
      <c r="P2" s="516" t="s">
        <v>68</v>
      </c>
      <c r="Q2" s="512" t="s">
        <v>4</v>
      </c>
      <c r="R2" s="515" t="s">
        <v>5</v>
      </c>
      <c r="S2" s="512" t="s">
        <v>51</v>
      </c>
      <c r="T2" s="515" t="s">
        <v>52</v>
      </c>
    </row>
    <row r="3" spans="1:20" ht="14.95" customHeight="1" thickBot="1" x14ac:dyDescent="0.3">
      <c r="A3" s="517" t="s">
        <v>35</v>
      </c>
      <c r="B3" s="614">
        <f>sco2021wcyc</f>
        <v>0</v>
      </c>
      <c r="C3" s="304"/>
      <c r="D3" s="65">
        <f>sco2021wcrc</f>
        <v>0</v>
      </c>
      <c r="E3" s="66"/>
      <c r="F3" s="67">
        <f t="shared" ref="F3:F14" si="0">SUM(B3+D3*2)</f>
        <v>0</v>
      </c>
      <c r="H3" s="307" t="s">
        <v>29</v>
      </c>
      <c r="I3" s="519">
        <v>3</v>
      </c>
      <c r="J3" s="519">
        <v>26</v>
      </c>
      <c r="K3" s="519">
        <v>33</v>
      </c>
      <c r="L3" s="519">
        <v>11</v>
      </c>
      <c r="M3" s="519">
        <v>0</v>
      </c>
      <c r="N3" s="519">
        <v>0</v>
      </c>
      <c r="O3" s="520">
        <f t="shared" ref="O3:O14" si="1">SUM(K3:N3)</f>
        <v>44</v>
      </c>
      <c r="P3" s="307">
        <v>0</v>
      </c>
      <c r="Q3" s="521">
        <f t="shared" ref="Q3:Q4" si="2">SUM(I3/O3)*10</f>
        <v>0.68181818181818177</v>
      </c>
      <c r="R3" s="521">
        <f t="shared" ref="R3:R4" si="3">SUM(J3/O3)*10</f>
        <v>5.9090909090909092</v>
      </c>
      <c r="S3" s="522">
        <f>aus2021wcyc</f>
        <v>5</v>
      </c>
      <c r="T3" s="522">
        <f>aus2021wcrccorrect</f>
        <v>2</v>
      </c>
    </row>
    <row r="4" spans="1:20" ht="14.95" customHeight="1" thickBot="1" x14ac:dyDescent="0.3">
      <c r="A4" s="518" t="s">
        <v>38</v>
      </c>
      <c r="B4" s="68">
        <f>can2021wcyc</f>
        <v>1</v>
      </c>
      <c r="C4" s="138" t="s">
        <v>504</v>
      </c>
      <c r="D4" s="65">
        <f>can2021wcrc</f>
        <v>0</v>
      </c>
      <c r="E4" s="66"/>
      <c r="F4" s="67">
        <f t="shared" si="0"/>
        <v>1</v>
      </c>
      <c r="H4" s="523" t="s">
        <v>38</v>
      </c>
      <c r="I4" s="524">
        <v>0</v>
      </c>
      <c r="J4" s="524">
        <v>0</v>
      </c>
      <c r="K4" s="524">
        <v>10</v>
      </c>
      <c r="L4" s="524">
        <v>0</v>
      </c>
      <c r="M4" s="524">
        <v>0</v>
      </c>
      <c r="N4" s="524">
        <v>0</v>
      </c>
      <c r="O4" s="525">
        <f t="shared" si="1"/>
        <v>10</v>
      </c>
      <c r="P4" s="523">
        <v>0</v>
      </c>
      <c r="Q4" s="526">
        <f t="shared" si="2"/>
        <v>0</v>
      </c>
      <c r="R4" s="526">
        <f t="shared" si="3"/>
        <v>0</v>
      </c>
      <c r="S4" s="527">
        <f>can2021wcyc</f>
        <v>1</v>
      </c>
      <c r="T4" s="527">
        <f>can2021wcrc</f>
        <v>0</v>
      </c>
    </row>
    <row r="5" spans="1:20" ht="14.95" customHeight="1" thickBot="1" x14ac:dyDescent="0.3">
      <c r="A5" s="518" t="s">
        <v>34</v>
      </c>
      <c r="B5" s="69">
        <f>fra2021wcyc</f>
        <v>2</v>
      </c>
      <c r="C5" s="269" t="s">
        <v>549</v>
      </c>
      <c r="D5" s="65">
        <f>fra2021wcrc</f>
        <v>0</v>
      </c>
      <c r="E5" s="66"/>
      <c r="F5" s="67">
        <f t="shared" si="0"/>
        <v>2</v>
      </c>
      <c r="H5" s="141" t="s">
        <v>30</v>
      </c>
      <c r="I5" s="528">
        <v>17</v>
      </c>
      <c r="J5" s="528">
        <v>34</v>
      </c>
      <c r="K5" s="528">
        <v>83</v>
      </c>
      <c r="L5" s="528">
        <v>0</v>
      </c>
      <c r="M5" s="528">
        <v>0</v>
      </c>
      <c r="N5" s="528">
        <v>0</v>
      </c>
      <c r="O5" s="529">
        <f t="shared" si="1"/>
        <v>83</v>
      </c>
      <c r="P5" s="141">
        <v>0</v>
      </c>
      <c r="Q5" s="530">
        <f t="shared" ref="Q5:Q14" si="4">SUM(I5/O5)*10</f>
        <v>2.0481927710843371</v>
      </c>
      <c r="R5" s="530">
        <f t="shared" ref="R5:R14" si="5">SUM(J5/O5)*10</f>
        <v>4.0963855421686741</v>
      </c>
      <c r="S5" s="531">
        <f>eng2021wcyc</f>
        <v>3</v>
      </c>
      <c r="T5" s="531">
        <f>eng2021wcrc</f>
        <v>1</v>
      </c>
    </row>
    <row r="6" spans="1:20" ht="14.95" customHeight="1" thickBot="1" x14ac:dyDescent="0.3">
      <c r="A6" s="518" t="s">
        <v>36</v>
      </c>
      <c r="B6" s="68">
        <f>jpn2021wcyc</f>
        <v>2</v>
      </c>
      <c r="C6" s="71" t="s">
        <v>513</v>
      </c>
      <c r="D6" s="65">
        <f>jpn2021wcrc</f>
        <v>0</v>
      </c>
      <c r="E6" s="66"/>
      <c r="F6" s="67">
        <f t="shared" si="0"/>
        <v>2</v>
      </c>
      <c r="H6" s="532" t="s">
        <v>31</v>
      </c>
      <c r="I6" s="533">
        <v>7</v>
      </c>
      <c r="J6" s="533">
        <v>14</v>
      </c>
      <c r="K6" s="533">
        <v>31</v>
      </c>
      <c r="L6" s="533">
        <v>0</v>
      </c>
      <c r="M6" s="533">
        <v>0</v>
      </c>
      <c r="N6" s="533">
        <v>0</v>
      </c>
      <c r="O6" s="534">
        <f t="shared" si="1"/>
        <v>31</v>
      </c>
      <c r="P6" s="532">
        <v>0</v>
      </c>
      <c r="Q6" s="535">
        <f t="shared" si="4"/>
        <v>2.258064516129032</v>
      </c>
      <c r="R6" s="535">
        <f t="shared" si="5"/>
        <v>4.5161290322580641</v>
      </c>
      <c r="S6" s="536">
        <v>3</v>
      </c>
      <c r="T6" s="536">
        <v>1</v>
      </c>
    </row>
    <row r="7" spans="1:20" ht="14.95" customHeight="1" thickBot="1" x14ac:dyDescent="0.3">
      <c r="A7" s="518" t="s">
        <v>33</v>
      </c>
      <c r="B7" s="68">
        <f>ita2021wcyc</f>
        <v>3</v>
      </c>
      <c r="C7" s="71" t="s">
        <v>532</v>
      </c>
      <c r="D7" s="65">
        <f>ita2021wcrc</f>
        <v>0</v>
      </c>
      <c r="E7" s="66"/>
      <c r="F7" s="67">
        <f t="shared" si="0"/>
        <v>3</v>
      </c>
      <c r="H7" s="537" t="s">
        <v>34</v>
      </c>
      <c r="I7" s="538">
        <v>0</v>
      </c>
      <c r="J7" s="538">
        <v>0</v>
      </c>
      <c r="K7" s="538">
        <v>19</v>
      </c>
      <c r="L7" s="538">
        <v>0</v>
      </c>
      <c r="M7" s="538">
        <v>0</v>
      </c>
      <c r="N7" s="538">
        <v>0</v>
      </c>
      <c r="O7" s="539">
        <f t="shared" si="1"/>
        <v>19</v>
      </c>
      <c r="P7" s="537">
        <v>0</v>
      </c>
      <c r="Q7" s="540">
        <f t="shared" si="4"/>
        <v>0</v>
      </c>
      <c r="R7" s="540">
        <f t="shared" si="5"/>
        <v>0</v>
      </c>
      <c r="S7" s="541">
        <f>fra2021wcyc</f>
        <v>2</v>
      </c>
      <c r="T7" s="541">
        <f>fra2021wcrc</f>
        <v>0</v>
      </c>
    </row>
    <row r="8" spans="1:20" ht="14.95" customHeight="1" thickBot="1" x14ac:dyDescent="0.3">
      <c r="A8" s="518" t="s">
        <v>57</v>
      </c>
      <c r="B8" s="68">
        <f>usa2021wcyc</f>
        <v>3</v>
      </c>
      <c r="C8" s="304" t="s">
        <v>535</v>
      </c>
      <c r="D8" s="65">
        <f>usa2021wcrc</f>
        <v>0</v>
      </c>
      <c r="E8" s="66"/>
      <c r="F8" s="67">
        <f t="shared" si="0"/>
        <v>3</v>
      </c>
      <c r="H8" s="542" t="s">
        <v>33</v>
      </c>
      <c r="I8" s="543">
        <v>5</v>
      </c>
      <c r="J8" s="543">
        <v>20</v>
      </c>
      <c r="K8" s="543">
        <v>30</v>
      </c>
      <c r="L8" s="543">
        <v>0</v>
      </c>
      <c r="M8" s="543">
        <v>0</v>
      </c>
      <c r="N8" s="544">
        <v>0</v>
      </c>
      <c r="O8" s="545">
        <f t="shared" si="1"/>
        <v>30</v>
      </c>
      <c r="P8" s="542">
        <v>0</v>
      </c>
      <c r="Q8" s="546">
        <f t="shared" si="4"/>
        <v>1.6666666666666665</v>
      </c>
      <c r="R8" s="546">
        <f t="shared" si="5"/>
        <v>6.6666666666666661</v>
      </c>
      <c r="S8" s="547">
        <f>ita2021wcyc</f>
        <v>3</v>
      </c>
      <c r="T8" s="547">
        <f>ita2021wcrc</f>
        <v>0</v>
      </c>
    </row>
    <row r="9" spans="1:20" ht="14.95" customHeight="1" thickBot="1" x14ac:dyDescent="0.3">
      <c r="A9" s="518" t="s">
        <v>86</v>
      </c>
      <c r="B9" s="68">
        <f>rsa2021wcyc</f>
        <v>4</v>
      </c>
      <c r="C9" s="71" t="s">
        <v>514</v>
      </c>
      <c r="D9" s="65">
        <f>rsa2021wcrc</f>
        <v>0</v>
      </c>
      <c r="E9" s="66"/>
      <c r="F9" s="67">
        <f t="shared" si="0"/>
        <v>4</v>
      </c>
      <c r="H9" s="549" t="s">
        <v>36</v>
      </c>
      <c r="I9" s="550">
        <v>0</v>
      </c>
      <c r="J9" s="550">
        <v>3</v>
      </c>
      <c r="K9" s="550">
        <v>11</v>
      </c>
      <c r="L9" s="550">
        <v>0</v>
      </c>
      <c r="M9" s="550">
        <v>0</v>
      </c>
      <c r="N9" s="550">
        <v>0</v>
      </c>
      <c r="O9" s="551">
        <f t="shared" si="1"/>
        <v>11</v>
      </c>
      <c r="P9" s="549">
        <v>0</v>
      </c>
      <c r="Q9" s="552">
        <f t="shared" si="4"/>
        <v>0</v>
      </c>
      <c r="R9" s="552">
        <f t="shared" si="5"/>
        <v>2.7272727272727271</v>
      </c>
      <c r="S9" s="553">
        <f>jpn2021wcyc</f>
        <v>2</v>
      </c>
      <c r="T9" s="553">
        <f>jpn2021wcrc</f>
        <v>0</v>
      </c>
    </row>
    <row r="10" spans="1:20" ht="14.95" customHeight="1" thickBot="1" x14ac:dyDescent="0.3">
      <c r="A10" s="518" t="s">
        <v>32</v>
      </c>
      <c r="B10" s="68">
        <f>wal2021wcyc</f>
        <v>4</v>
      </c>
      <c r="C10" s="71" t="s">
        <v>533</v>
      </c>
      <c r="D10" s="65">
        <f>wal2021wcrc</f>
        <v>0</v>
      </c>
      <c r="E10" s="66"/>
      <c r="F10" s="67">
        <f t="shared" si="0"/>
        <v>4</v>
      </c>
      <c r="H10" s="365" t="s">
        <v>77</v>
      </c>
      <c r="I10" s="554">
        <v>20</v>
      </c>
      <c r="J10" s="554">
        <v>5</v>
      </c>
      <c r="K10" s="554">
        <v>28</v>
      </c>
      <c r="L10" s="554">
        <v>4</v>
      </c>
      <c r="M10" s="554">
        <v>0</v>
      </c>
      <c r="N10" s="554">
        <v>0</v>
      </c>
      <c r="O10" s="555">
        <f t="shared" si="1"/>
        <v>32</v>
      </c>
      <c r="P10" s="365">
        <v>0</v>
      </c>
      <c r="Q10" s="556">
        <f t="shared" si="4"/>
        <v>6.25</v>
      </c>
      <c r="R10" s="556">
        <f t="shared" si="5"/>
        <v>1.5625</v>
      </c>
      <c r="S10" s="557">
        <f>nzl2021wcyc</f>
        <v>5</v>
      </c>
      <c r="T10" s="557">
        <f>nzl2021wcrc</f>
        <v>0</v>
      </c>
    </row>
    <row r="11" spans="1:20" ht="14.95" customHeight="1" thickBot="1" x14ac:dyDescent="0.3">
      <c r="A11" s="518" t="s">
        <v>77</v>
      </c>
      <c r="B11" s="68">
        <f>nzl2021wcyc</f>
        <v>5</v>
      </c>
      <c r="C11" s="71" t="s">
        <v>548</v>
      </c>
      <c r="D11" s="65">
        <f>nzl2021wcrc</f>
        <v>0</v>
      </c>
      <c r="E11" s="66"/>
      <c r="F11" s="67">
        <f t="shared" si="0"/>
        <v>5</v>
      </c>
      <c r="H11" s="558" t="s">
        <v>35</v>
      </c>
      <c r="I11" s="559">
        <v>0</v>
      </c>
      <c r="J11" s="559">
        <v>0</v>
      </c>
      <c r="K11" s="559">
        <v>0</v>
      </c>
      <c r="L11" s="559">
        <v>0</v>
      </c>
      <c r="M11" s="559">
        <v>0</v>
      </c>
      <c r="N11" s="559">
        <v>0</v>
      </c>
      <c r="O11" s="560">
        <f t="shared" si="1"/>
        <v>0</v>
      </c>
      <c r="P11" s="30">
        <v>0</v>
      </c>
      <c r="Q11" s="561" t="e">
        <f t="shared" si="4"/>
        <v>#DIV/0!</v>
      </c>
      <c r="R11" s="561" t="e">
        <f t="shared" si="5"/>
        <v>#DIV/0!</v>
      </c>
      <c r="S11" s="562">
        <f>sco2021wcyc</f>
        <v>0</v>
      </c>
      <c r="T11" s="563">
        <f>sco2021wcrc</f>
        <v>0</v>
      </c>
    </row>
    <row r="12" spans="1:20" ht="14.95" customHeight="1" thickBot="1" x14ac:dyDescent="0.3">
      <c r="A12" s="518" t="s">
        <v>30</v>
      </c>
      <c r="B12" s="69">
        <f>eng2021wcyc</f>
        <v>3</v>
      </c>
      <c r="C12" s="70" t="s">
        <v>541</v>
      </c>
      <c r="D12" s="65">
        <f>eng2021wcrc</f>
        <v>1</v>
      </c>
      <c r="E12" s="66" t="s">
        <v>550</v>
      </c>
      <c r="F12" s="67">
        <f t="shared" si="0"/>
        <v>5</v>
      </c>
      <c r="H12" s="564" t="s">
        <v>86</v>
      </c>
      <c r="I12" s="565">
        <v>0</v>
      </c>
      <c r="J12" s="565">
        <v>26</v>
      </c>
      <c r="K12" s="565">
        <v>40</v>
      </c>
      <c r="L12" s="565">
        <v>0</v>
      </c>
      <c r="M12" s="565">
        <v>0</v>
      </c>
      <c r="N12" s="565">
        <v>0</v>
      </c>
      <c r="O12" s="566">
        <f t="shared" si="1"/>
        <v>40</v>
      </c>
      <c r="P12" s="385">
        <v>0</v>
      </c>
      <c r="Q12" s="567">
        <f t="shared" si="4"/>
        <v>0</v>
      </c>
      <c r="R12" s="567">
        <f t="shared" si="5"/>
        <v>6.5</v>
      </c>
      <c r="S12" s="568">
        <f>rsa2021wcyc</f>
        <v>4</v>
      </c>
      <c r="T12" s="569">
        <f>rsa2021wcrc</f>
        <v>0</v>
      </c>
    </row>
    <row r="13" spans="1:20" ht="14.95" customHeight="1" thickBot="1" x14ac:dyDescent="0.3">
      <c r="A13" s="548" t="s">
        <v>31</v>
      </c>
      <c r="B13" s="69">
        <v>3</v>
      </c>
      <c r="C13" s="70" t="s">
        <v>512</v>
      </c>
      <c r="D13" s="65">
        <v>1</v>
      </c>
      <c r="E13" s="66" t="s">
        <v>515</v>
      </c>
      <c r="F13" s="67">
        <f t="shared" si="0"/>
        <v>5</v>
      </c>
      <c r="H13" s="615" t="s">
        <v>57</v>
      </c>
      <c r="I13" s="616">
        <v>3</v>
      </c>
      <c r="J13" s="616">
        <v>15</v>
      </c>
      <c r="K13" s="616">
        <v>21</v>
      </c>
      <c r="L13" s="616">
        <v>0</v>
      </c>
      <c r="M13" s="616">
        <v>0</v>
      </c>
      <c r="N13" s="616">
        <v>0</v>
      </c>
      <c r="O13" s="617">
        <f t="shared" si="1"/>
        <v>21</v>
      </c>
      <c r="P13" s="78">
        <v>0</v>
      </c>
      <c r="Q13" s="618">
        <f t="shared" si="4"/>
        <v>1.4285714285714284</v>
      </c>
      <c r="R13" s="618">
        <f t="shared" si="5"/>
        <v>7.1428571428571432</v>
      </c>
      <c r="S13" s="619">
        <f>usa2021wcyc</f>
        <v>3</v>
      </c>
      <c r="T13" s="620">
        <f>usa2021wcrc</f>
        <v>0</v>
      </c>
    </row>
    <row r="14" spans="1:20" ht="14.95" customHeight="1" thickBot="1" x14ac:dyDescent="0.3">
      <c r="A14" s="518" t="s">
        <v>29</v>
      </c>
      <c r="B14" s="68">
        <f>aus2021wcyc</f>
        <v>5</v>
      </c>
      <c r="C14" s="71" t="s">
        <v>534</v>
      </c>
      <c r="D14" s="65">
        <f>aus2021wcrccorrect</f>
        <v>2</v>
      </c>
      <c r="E14" s="66" t="s">
        <v>523</v>
      </c>
      <c r="F14" s="67">
        <f t="shared" si="0"/>
        <v>9</v>
      </c>
      <c r="H14" s="570" t="s">
        <v>32</v>
      </c>
      <c r="I14" s="571">
        <v>3</v>
      </c>
      <c r="J14" s="571">
        <v>20</v>
      </c>
      <c r="K14" s="571">
        <v>38</v>
      </c>
      <c r="L14" s="571">
        <v>2</v>
      </c>
      <c r="M14" s="571">
        <v>0</v>
      </c>
      <c r="N14" s="571">
        <v>0</v>
      </c>
      <c r="O14" s="572">
        <f t="shared" si="1"/>
        <v>40</v>
      </c>
      <c r="P14" s="6">
        <v>0</v>
      </c>
      <c r="Q14" s="573">
        <f t="shared" si="4"/>
        <v>0.75</v>
      </c>
      <c r="R14" s="574">
        <f t="shared" si="5"/>
        <v>5</v>
      </c>
      <c r="S14" s="575">
        <f>wal2021wcyc</f>
        <v>4</v>
      </c>
      <c r="T14" s="576">
        <f>wal2021wcrc</f>
        <v>0</v>
      </c>
    </row>
    <row r="15" spans="1:20" ht="14.95" customHeight="1" thickBot="1" x14ac:dyDescent="0.3">
      <c r="A15" s="518" t="s">
        <v>54</v>
      </c>
      <c r="B15" s="68">
        <f>SUM(B3:B14)</f>
        <v>35</v>
      </c>
      <c r="C15" s="71"/>
      <c r="D15" s="72">
        <v>3</v>
      </c>
      <c r="E15" s="73"/>
      <c r="F15" s="64" t="s">
        <v>55</v>
      </c>
      <c r="H15" s="577" t="s">
        <v>54</v>
      </c>
      <c r="I15" s="578">
        <f t="shared" ref="I15:P15" si="6">SUM(I3:I14)</f>
        <v>58</v>
      </c>
      <c r="J15" s="579">
        <f t="shared" si="6"/>
        <v>163</v>
      </c>
      <c r="K15" s="578">
        <f t="shared" si="6"/>
        <v>344</v>
      </c>
      <c r="L15" s="580">
        <f t="shared" si="6"/>
        <v>17</v>
      </c>
      <c r="M15" s="580">
        <f t="shared" si="6"/>
        <v>0</v>
      </c>
      <c r="N15" s="580">
        <f t="shared" si="6"/>
        <v>0</v>
      </c>
      <c r="O15" s="579">
        <f t="shared" si="6"/>
        <v>361</v>
      </c>
      <c r="P15" s="581">
        <f t="shared" si="6"/>
        <v>0</v>
      </c>
      <c r="Q15" s="582">
        <f t="shared" ref="Q15" si="7">SUM(I15/O15)*10</f>
        <v>1.6066481994459834</v>
      </c>
      <c r="R15" s="583">
        <f t="shared" ref="R15" si="8">SUM(J15/O15)*10</f>
        <v>4.5152354570637119</v>
      </c>
      <c r="S15" s="578">
        <f>SUM(S3:S14)</f>
        <v>35</v>
      </c>
      <c r="T15" s="579">
        <f>SUM(T3:T14)</f>
        <v>4</v>
      </c>
    </row>
    <row r="16" spans="1:20" ht="14.95" customHeight="1" x14ac:dyDescent="0.25">
      <c r="A16" s="647"/>
      <c r="B16" s="648"/>
      <c r="C16" s="648"/>
      <c r="D16" s="75"/>
    </row>
    <row r="17" spans="1:17" ht="14.95" customHeight="1" x14ac:dyDescent="0.25">
      <c r="A17" s="649"/>
      <c r="B17" s="650"/>
      <c r="C17" s="650"/>
      <c r="H17" s="651"/>
      <c r="I17" s="637"/>
      <c r="J17" s="637"/>
    </row>
    <row r="18" spans="1:17" ht="14.95" customHeight="1" x14ac:dyDescent="0.25">
      <c r="A18" s="76" t="s">
        <v>449</v>
      </c>
      <c r="H18" s="76" t="s">
        <v>450</v>
      </c>
    </row>
    <row r="19" spans="1:17" ht="14.95" customHeight="1" thickBot="1" x14ac:dyDescent="0.3">
      <c r="A19" s="651" t="s">
        <v>28</v>
      </c>
      <c r="B19" s="637"/>
      <c r="C19" s="637"/>
      <c r="H19" s="76"/>
    </row>
    <row r="20" spans="1:17" ht="14.95" customHeight="1" thickBot="1" x14ac:dyDescent="0.3">
      <c r="A20" s="14"/>
      <c r="D20" t="s">
        <v>55</v>
      </c>
      <c r="H20" s="652" t="s">
        <v>55</v>
      </c>
      <c r="I20" s="654" t="s">
        <v>63</v>
      </c>
      <c r="J20" s="655"/>
      <c r="K20" s="654" t="s">
        <v>55</v>
      </c>
      <c r="L20" s="657"/>
      <c r="M20" s="657"/>
      <c r="N20" s="657"/>
      <c r="O20" s="655"/>
      <c r="P20" s="654" t="s">
        <v>66</v>
      </c>
      <c r="Q20" s="655"/>
    </row>
    <row r="21" spans="1:17" ht="14.95" customHeight="1" thickBot="1" x14ac:dyDescent="0.3">
      <c r="A21" s="76"/>
      <c r="H21" s="653"/>
      <c r="I21" s="511" t="s">
        <v>4</v>
      </c>
      <c r="J21" s="511" t="s">
        <v>5</v>
      </c>
      <c r="K21" s="512" t="s">
        <v>69</v>
      </c>
      <c r="L21" s="513" t="s">
        <v>70</v>
      </c>
      <c r="M21" s="513" t="s">
        <v>102</v>
      </c>
      <c r="N21" s="514" t="s">
        <v>451</v>
      </c>
      <c r="O21" s="515" t="s">
        <v>67</v>
      </c>
      <c r="P21" s="512" t="s">
        <v>4</v>
      </c>
      <c r="Q21" s="515" t="s">
        <v>5</v>
      </c>
    </row>
    <row r="22" spans="1:17" ht="14.95" customHeight="1" thickBot="1" x14ac:dyDescent="0.3">
      <c r="A22" s="13"/>
      <c r="B22" s="13"/>
      <c r="C22" s="13"/>
      <c r="D22" s="13"/>
      <c r="E22" s="13"/>
      <c r="F22" s="13"/>
      <c r="H22" s="612" t="s">
        <v>29</v>
      </c>
      <c r="I22" s="519">
        <v>0</v>
      </c>
      <c r="J22" s="519">
        <v>0</v>
      </c>
      <c r="K22" s="519">
        <v>10</v>
      </c>
      <c r="L22" s="519">
        <v>0</v>
      </c>
      <c r="M22" s="519">
        <v>0</v>
      </c>
      <c r="N22" s="519">
        <v>0</v>
      </c>
      <c r="O22" s="520">
        <f t="shared" ref="O22:O33" si="9">SUM(K22:N22)</f>
        <v>10</v>
      </c>
      <c r="P22" s="521">
        <f t="shared" ref="P22:P34" si="10">SUM(I22/O22)*10</f>
        <v>0</v>
      </c>
      <c r="Q22" s="521">
        <f t="shared" ref="Q22:Q34" si="11">SUM(J22/O22)*10</f>
        <v>0</v>
      </c>
    </row>
    <row r="23" spans="1:17" ht="14.95" customHeight="1" thickBot="1" x14ac:dyDescent="0.3">
      <c r="A23" s="13"/>
      <c r="B23" s="585"/>
      <c r="C23" s="585"/>
      <c r="D23" s="656"/>
      <c r="E23" s="656"/>
      <c r="F23" s="474"/>
      <c r="G23" s="131"/>
      <c r="H23" s="613" t="s">
        <v>38</v>
      </c>
      <c r="I23" s="524">
        <v>15</v>
      </c>
      <c r="J23" s="524">
        <v>0</v>
      </c>
      <c r="K23" s="524">
        <v>30</v>
      </c>
      <c r="L23" s="524">
        <v>0</v>
      </c>
      <c r="M23" s="524">
        <v>0</v>
      </c>
      <c r="N23" s="524">
        <v>0</v>
      </c>
      <c r="O23" s="525">
        <f t="shared" si="9"/>
        <v>30</v>
      </c>
      <c r="P23" s="526">
        <f t="shared" si="10"/>
        <v>5</v>
      </c>
      <c r="Q23" s="526">
        <f t="shared" si="11"/>
        <v>0</v>
      </c>
    </row>
    <row r="24" spans="1:17" ht="14.95" customHeight="1" thickBot="1" x14ac:dyDescent="0.3">
      <c r="A24" s="584"/>
      <c r="B24" s="586"/>
      <c r="C24" s="587"/>
      <c r="D24" s="588"/>
      <c r="E24" s="588"/>
      <c r="F24" s="473"/>
      <c r="H24" s="141" t="s">
        <v>30</v>
      </c>
      <c r="I24" s="528">
        <v>31</v>
      </c>
      <c r="J24" s="528">
        <v>7</v>
      </c>
      <c r="K24" s="528">
        <v>40</v>
      </c>
      <c r="L24" s="528">
        <v>0</v>
      </c>
      <c r="M24" s="528">
        <v>0</v>
      </c>
      <c r="N24" s="528">
        <v>0</v>
      </c>
      <c r="O24" s="529">
        <f t="shared" si="9"/>
        <v>40</v>
      </c>
      <c r="P24" s="530">
        <f t="shared" si="10"/>
        <v>7.75</v>
      </c>
      <c r="Q24" s="530">
        <f t="shared" si="11"/>
        <v>1.75</v>
      </c>
    </row>
    <row r="25" spans="1:17" ht="14.95" customHeight="1" thickBot="1" x14ac:dyDescent="0.3">
      <c r="A25" s="584"/>
      <c r="B25" s="586"/>
      <c r="C25" s="587"/>
      <c r="D25" s="588"/>
      <c r="E25" s="588"/>
      <c r="F25" s="473"/>
      <c r="H25" s="532" t="s">
        <v>31</v>
      </c>
      <c r="I25" s="533">
        <v>7</v>
      </c>
      <c r="J25" s="533">
        <v>0</v>
      </c>
      <c r="K25" s="533">
        <v>10</v>
      </c>
      <c r="L25" s="533">
        <v>0</v>
      </c>
      <c r="M25" s="533">
        <v>0</v>
      </c>
      <c r="N25" s="533">
        <v>0</v>
      </c>
      <c r="O25" s="534">
        <f t="shared" si="9"/>
        <v>10</v>
      </c>
      <c r="P25" s="535">
        <f t="shared" si="10"/>
        <v>7</v>
      </c>
      <c r="Q25" s="535">
        <f t="shared" si="11"/>
        <v>0</v>
      </c>
    </row>
    <row r="26" spans="1:17" ht="14.95" customHeight="1" thickBot="1" x14ac:dyDescent="0.3">
      <c r="A26" s="584"/>
      <c r="B26" s="586"/>
      <c r="C26" s="473"/>
      <c r="D26" s="588"/>
      <c r="E26" s="588"/>
      <c r="F26" s="473"/>
      <c r="H26" s="537" t="s">
        <v>34</v>
      </c>
      <c r="I26" s="538">
        <v>29</v>
      </c>
      <c r="J26" s="538">
        <v>0</v>
      </c>
      <c r="K26" s="538">
        <v>42</v>
      </c>
      <c r="L26" s="538">
        <v>0</v>
      </c>
      <c r="M26" s="538">
        <v>0</v>
      </c>
      <c r="N26" s="538">
        <v>0</v>
      </c>
      <c r="O26" s="539">
        <f t="shared" si="9"/>
        <v>42</v>
      </c>
      <c r="P26" s="540">
        <f t="shared" si="10"/>
        <v>6.9047619047619051</v>
      </c>
      <c r="Q26" s="540">
        <f t="shared" si="11"/>
        <v>0</v>
      </c>
    </row>
    <row r="27" spans="1:17" ht="14.95" customHeight="1" thickBot="1" x14ac:dyDescent="0.3">
      <c r="A27" s="584"/>
      <c r="B27" s="586"/>
      <c r="C27" s="587"/>
      <c r="D27" s="588"/>
      <c r="E27" s="588"/>
      <c r="F27" s="473"/>
      <c r="H27" s="542" t="s">
        <v>33</v>
      </c>
      <c r="I27" s="543">
        <v>3</v>
      </c>
      <c r="J27" s="543">
        <v>0</v>
      </c>
      <c r="K27" s="543">
        <v>20</v>
      </c>
      <c r="L27" s="543">
        <v>0</v>
      </c>
      <c r="M27" s="543">
        <v>0</v>
      </c>
      <c r="N27" s="544">
        <v>0</v>
      </c>
      <c r="O27" s="545">
        <f t="shared" si="9"/>
        <v>20</v>
      </c>
      <c r="P27" s="546">
        <f t="shared" si="10"/>
        <v>1.5</v>
      </c>
      <c r="Q27" s="546">
        <f t="shared" si="11"/>
        <v>0</v>
      </c>
    </row>
    <row r="28" spans="1:17" ht="14.95" customHeight="1" thickBot="1" x14ac:dyDescent="0.3">
      <c r="A28" s="588"/>
      <c r="B28" s="470"/>
      <c r="C28" s="124"/>
      <c r="D28" s="588"/>
      <c r="E28" s="588"/>
      <c r="F28" s="473"/>
      <c r="H28" s="549" t="s">
        <v>36</v>
      </c>
      <c r="I28" s="550">
        <v>0</v>
      </c>
      <c r="J28" s="550">
        <v>3</v>
      </c>
      <c r="K28" s="550">
        <v>10</v>
      </c>
      <c r="L28" s="550">
        <v>0</v>
      </c>
      <c r="M28" s="550">
        <v>0</v>
      </c>
      <c r="N28" s="550">
        <v>0</v>
      </c>
      <c r="O28" s="551">
        <f t="shared" si="9"/>
        <v>10</v>
      </c>
      <c r="P28" s="589">
        <f t="shared" si="10"/>
        <v>0</v>
      </c>
      <c r="Q28" s="589">
        <f t="shared" si="11"/>
        <v>3</v>
      </c>
    </row>
    <row r="29" spans="1:17" ht="14.95" customHeight="1" thickBot="1" x14ac:dyDescent="0.3">
      <c r="A29" s="584"/>
      <c r="B29" s="470"/>
      <c r="C29" s="124"/>
      <c r="D29" s="588"/>
      <c r="E29" s="588"/>
      <c r="F29" s="473"/>
      <c r="H29" s="365" t="s">
        <v>77</v>
      </c>
      <c r="I29" s="554">
        <v>53</v>
      </c>
      <c r="J29" s="554">
        <v>17</v>
      </c>
      <c r="K29" s="554">
        <v>80</v>
      </c>
      <c r="L29" s="554">
        <v>12</v>
      </c>
      <c r="M29" s="554">
        <v>0</v>
      </c>
      <c r="N29" s="554">
        <v>0</v>
      </c>
      <c r="O29" s="555">
        <f t="shared" si="9"/>
        <v>92</v>
      </c>
      <c r="P29" s="556">
        <f t="shared" si="10"/>
        <v>5.7608695652173916</v>
      </c>
      <c r="Q29" s="556">
        <f t="shared" si="11"/>
        <v>1.8478260869565215</v>
      </c>
    </row>
    <row r="30" spans="1:17" ht="14.95" customHeight="1" thickBot="1" x14ac:dyDescent="0.3">
      <c r="A30" s="588"/>
      <c r="B30" s="470"/>
      <c r="C30" s="124"/>
      <c r="D30" s="588"/>
      <c r="E30" s="588"/>
      <c r="F30" s="473"/>
      <c r="G30" s="13"/>
      <c r="H30" s="558" t="s">
        <v>35</v>
      </c>
      <c r="I30" s="559">
        <v>10</v>
      </c>
      <c r="J30" s="559">
        <v>8</v>
      </c>
      <c r="K30" s="559">
        <v>44</v>
      </c>
      <c r="L30" s="559">
        <v>1</v>
      </c>
      <c r="M30" s="559">
        <v>0</v>
      </c>
      <c r="N30" s="559">
        <v>0</v>
      </c>
      <c r="O30" s="560">
        <f t="shared" si="9"/>
        <v>45</v>
      </c>
      <c r="P30" s="561">
        <f t="shared" si="10"/>
        <v>2.2222222222222223</v>
      </c>
      <c r="Q30" s="561">
        <f t="shared" si="11"/>
        <v>1.7777777777777779</v>
      </c>
    </row>
    <row r="31" spans="1:17" ht="14.95" customHeight="1" thickBot="1" x14ac:dyDescent="0.3">
      <c r="A31" s="588"/>
      <c r="B31" s="470"/>
      <c r="C31" s="473"/>
      <c r="D31" s="588"/>
      <c r="E31" s="588"/>
      <c r="F31" s="473"/>
      <c r="G31" s="456"/>
      <c r="H31" s="564" t="s">
        <v>86</v>
      </c>
      <c r="I31" s="565">
        <v>0</v>
      </c>
      <c r="J31" s="565">
        <v>0</v>
      </c>
      <c r="K31" s="565">
        <v>11</v>
      </c>
      <c r="L31" s="565">
        <v>0</v>
      </c>
      <c r="M31" s="565">
        <v>0</v>
      </c>
      <c r="N31" s="565">
        <v>0</v>
      </c>
      <c r="O31" s="566">
        <f t="shared" si="9"/>
        <v>11</v>
      </c>
      <c r="P31" s="567">
        <f t="shared" si="10"/>
        <v>0</v>
      </c>
      <c r="Q31" s="567">
        <f t="shared" si="11"/>
        <v>0</v>
      </c>
    </row>
    <row r="32" spans="1:17" ht="14.95" customHeight="1" thickBot="1" x14ac:dyDescent="0.3">
      <c r="A32" s="584"/>
      <c r="B32" s="586"/>
      <c r="C32" s="473"/>
      <c r="D32" s="588"/>
      <c r="E32" s="588"/>
      <c r="F32" s="473"/>
      <c r="G32" s="13"/>
      <c r="H32" s="615" t="s">
        <v>57</v>
      </c>
      <c r="I32" s="616">
        <v>5</v>
      </c>
      <c r="J32" s="616">
        <v>5</v>
      </c>
      <c r="K32" s="616">
        <v>11</v>
      </c>
      <c r="L32" s="616">
        <v>0</v>
      </c>
      <c r="M32" s="616">
        <v>0</v>
      </c>
      <c r="N32" s="616">
        <v>0</v>
      </c>
      <c r="O32" s="617">
        <f t="shared" si="9"/>
        <v>11</v>
      </c>
      <c r="P32" s="618">
        <f t="shared" si="10"/>
        <v>4.545454545454545</v>
      </c>
      <c r="Q32" s="618">
        <f t="shared" si="11"/>
        <v>4.545454545454545</v>
      </c>
    </row>
    <row r="33" spans="1:17" ht="14.95" customHeight="1" thickBot="1" x14ac:dyDescent="0.3">
      <c r="A33" s="584"/>
      <c r="B33" s="586"/>
      <c r="C33" s="587"/>
      <c r="D33" s="588"/>
      <c r="E33" s="588"/>
      <c r="F33" s="473"/>
      <c r="G33" s="13"/>
      <c r="H33" s="570" t="s">
        <v>32</v>
      </c>
      <c r="I33" s="571">
        <v>5</v>
      </c>
      <c r="J33" s="571">
        <v>13</v>
      </c>
      <c r="K33" s="571">
        <v>16</v>
      </c>
      <c r="L33" s="571">
        <v>4</v>
      </c>
      <c r="M33" s="571">
        <v>0</v>
      </c>
      <c r="N33" s="571">
        <v>0</v>
      </c>
      <c r="O33" s="572">
        <f t="shared" si="9"/>
        <v>20</v>
      </c>
      <c r="P33" s="590">
        <f t="shared" si="10"/>
        <v>2.5</v>
      </c>
      <c r="Q33" s="590">
        <f t="shared" si="11"/>
        <v>6.5</v>
      </c>
    </row>
    <row r="34" spans="1:17" ht="14.95" customHeight="1" thickBot="1" x14ac:dyDescent="0.3">
      <c r="A34" s="584"/>
      <c r="B34" s="470"/>
      <c r="C34" s="124"/>
      <c r="D34" s="470"/>
      <c r="E34" s="588"/>
      <c r="F34" s="473"/>
      <c r="G34" s="13"/>
      <c r="H34" s="577" t="s">
        <v>54</v>
      </c>
      <c r="I34" s="578">
        <f t="shared" ref="I34:O34" si="12">SUM(I22:I33)</f>
        <v>158</v>
      </c>
      <c r="J34" s="579">
        <f t="shared" si="12"/>
        <v>53</v>
      </c>
      <c r="K34" s="578">
        <f t="shared" si="12"/>
        <v>324</v>
      </c>
      <c r="L34" s="580">
        <f t="shared" si="12"/>
        <v>17</v>
      </c>
      <c r="M34" s="580">
        <f t="shared" si="12"/>
        <v>0</v>
      </c>
      <c r="N34" s="580">
        <f t="shared" si="12"/>
        <v>0</v>
      </c>
      <c r="O34" s="579">
        <f t="shared" si="12"/>
        <v>341</v>
      </c>
      <c r="P34" s="583">
        <f t="shared" si="10"/>
        <v>4.6334310850439877</v>
      </c>
      <c r="Q34" s="583">
        <f t="shared" si="11"/>
        <v>1.5542521994134897</v>
      </c>
    </row>
    <row r="35" spans="1:17" ht="14.95" customHeight="1" x14ac:dyDescent="0.25">
      <c r="A35" s="584"/>
      <c r="B35" s="586"/>
      <c r="C35" s="587"/>
      <c r="D35" s="588"/>
      <c r="E35" s="588"/>
      <c r="F35" s="473"/>
      <c r="G35" s="13"/>
      <c r="H35" s="591" t="s">
        <v>55</v>
      </c>
      <c r="I35" s="75"/>
    </row>
    <row r="36" spans="1:17" ht="14.95" customHeight="1" x14ac:dyDescent="0.25">
      <c r="A36" s="584"/>
      <c r="B36" s="586"/>
      <c r="C36" s="587"/>
      <c r="D36" s="470"/>
      <c r="E36" s="470"/>
      <c r="F36" s="474"/>
      <c r="G36" s="13"/>
      <c r="H36" s="592" t="s">
        <v>452</v>
      </c>
    </row>
    <row r="37" spans="1:17" ht="14.95" customHeight="1" x14ac:dyDescent="0.25">
      <c r="G37" s="13"/>
      <c r="H37" s="76">
        <v>14</v>
      </c>
      <c r="I37" t="s">
        <v>490</v>
      </c>
    </row>
    <row r="38" spans="1:17" ht="14.95" customHeight="1" x14ac:dyDescent="0.25">
      <c r="A38" s="14"/>
      <c r="G38" s="13"/>
      <c r="H38" s="76"/>
    </row>
    <row r="39" spans="1:17" ht="14.95" customHeight="1" x14ac:dyDescent="0.25">
      <c r="A39" s="14"/>
      <c r="G39" s="13"/>
      <c r="H39" s="76"/>
    </row>
    <row r="40" spans="1:17" ht="14.95" customHeight="1" x14ac:dyDescent="0.25">
      <c r="A40" s="14"/>
      <c r="G40" s="13"/>
      <c r="H40" s="76"/>
    </row>
    <row r="41" spans="1:17" ht="14.95" customHeight="1" x14ac:dyDescent="0.25">
      <c r="A41" s="14"/>
      <c r="G41" s="13"/>
      <c r="H41" s="76"/>
    </row>
    <row r="42" spans="1:17" ht="14.95" customHeight="1" x14ac:dyDescent="0.25">
      <c r="A42" s="14"/>
      <c r="G42" s="13"/>
      <c r="H42" s="76"/>
    </row>
    <row r="43" spans="1:17" ht="14.95" customHeight="1" x14ac:dyDescent="0.25">
      <c r="A43" s="14"/>
      <c r="G43" s="13"/>
      <c r="H43" s="592" t="s">
        <v>470</v>
      </c>
    </row>
    <row r="44" spans="1:17" ht="14.95" customHeight="1" x14ac:dyDescent="0.25">
      <c r="A44" s="14"/>
      <c r="G44" s="456"/>
      <c r="H44" s="76">
        <v>7</v>
      </c>
      <c r="I44" t="s">
        <v>491</v>
      </c>
    </row>
    <row r="45" spans="1:17" ht="14.95" customHeight="1" x14ac:dyDescent="0.25">
      <c r="A45" s="14" t="s">
        <v>55</v>
      </c>
    </row>
    <row r="46" spans="1:17" ht="14.95" customHeight="1" x14ac:dyDescent="0.25"/>
    <row r="47" spans="1:17" ht="14.95" customHeight="1" x14ac:dyDescent="0.25"/>
    <row r="48" spans="1:17" ht="14.95" customHeight="1" x14ac:dyDescent="0.25"/>
    <row r="49" spans="1:10" ht="14.95" customHeight="1" x14ac:dyDescent="0.25"/>
    <row r="50" spans="1:10" ht="14.95" customHeight="1" x14ac:dyDescent="0.25">
      <c r="H50" s="651" t="s">
        <v>28</v>
      </c>
      <c r="I50" s="637"/>
      <c r="J50" s="637"/>
    </row>
    <row r="51" spans="1:10" ht="14.95" customHeight="1" x14ac:dyDescent="0.25"/>
    <row r="52" spans="1:10" ht="14.95" customHeight="1" x14ac:dyDescent="0.25"/>
    <row r="53" spans="1:10" x14ac:dyDescent="0.25">
      <c r="A53" s="14" t="s">
        <v>55</v>
      </c>
    </row>
  </sheetData>
  <sortState xmlns:xlrd2="http://schemas.microsoft.com/office/spreadsheetml/2017/richdata2" ref="A3:F14">
    <sortCondition ref="F3:F14"/>
    <sortCondition ref="D3:D14"/>
    <sortCondition ref="B3:B14"/>
    <sortCondition ref="A3:A14"/>
  </sortState>
  <mergeCells count="16">
    <mergeCell ref="S1:T1"/>
    <mergeCell ref="P20:Q20"/>
    <mergeCell ref="D23:E23"/>
    <mergeCell ref="H50:J50"/>
    <mergeCell ref="H17:J17"/>
    <mergeCell ref="K20:O20"/>
    <mergeCell ref="D2:E2"/>
    <mergeCell ref="H1:H2"/>
    <mergeCell ref="I1:J1"/>
    <mergeCell ref="K1:O1"/>
    <mergeCell ref="Q1:R1"/>
    <mergeCell ref="A16:C16"/>
    <mergeCell ref="A17:C17"/>
    <mergeCell ref="A19:C19"/>
    <mergeCell ref="H20:H21"/>
    <mergeCell ref="I20:J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C11E-E8F2-47D6-862B-5E9DD056F8AD}">
  <dimension ref="A1:H15"/>
  <sheetViews>
    <sheetView workbookViewId="0">
      <selection activeCell="L24" sqref="L24"/>
    </sheetView>
  </sheetViews>
  <sheetFormatPr defaultRowHeight="14.3" x14ac:dyDescent="0.25"/>
  <cols>
    <col min="1" max="1" width="18.75" customWidth="1"/>
    <col min="2" max="2" width="4.75" customWidth="1"/>
    <col min="3" max="3" width="18.75" customWidth="1"/>
    <col min="4" max="4" width="4.75" customWidth="1"/>
    <col min="5" max="5" width="18.75" customWidth="1"/>
    <col min="6" max="6" width="4.75" customWidth="1"/>
    <col min="7" max="7" width="18.75" customWidth="1"/>
    <col min="8" max="8" width="4.75" customWidth="1"/>
  </cols>
  <sheetData>
    <row r="1" spans="1:8" ht="14.95" customHeight="1" thickBot="1" x14ac:dyDescent="0.3">
      <c r="A1" s="593" t="s">
        <v>80</v>
      </c>
      <c r="B1" s="594"/>
      <c r="C1" s="595" t="s">
        <v>453</v>
      </c>
      <c r="D1" s="595"/>
      <c r="E1" s="596" t="s">
        <v>454</v>
      </c>
      <c r="F1" s="596"/>
      <c r="G1" s="597" t="s">
        <v>455</v>
      </c>
      <c r="H1" s="597"/>
    </row>
    <row r="2" spans="1:8" ht="14.95" customHeight="1" thickBot="1" x14ac:dyDescent="0.3">
      <c r="A2" s="598" t="s">
        <v>77</v>
      </c>
      <c r="B2" s="437">
        <v>44</v>
      </c>
      <c r="C2" s="599" t="s">
        <v>38</v>
      </c>
      <c r="D2" s="599">
        <f>can2021wcpooltbscored</f>
        <v>3</v>
      </c>
      <c r="E2" s="601" t="s">
        <v>34</v>
      </c>
      <c r="F2" s="601">
        <v>5</v>
      </c>
      <c r="G2" s="602" t="s">
        <v>38</v>
      </c>
      <c r="H2" s="602">
        <f>can2021wctbcon</f>
        <v>0</v>
      </c>
    </row>
    <row r="3" spans="1:8" ht="14.95" customHeight="1" thickBot="1" x14ac:dyDescent="0.3">
      <c r="A3" s="598" t="s">
        <v>30</v>
      </c>
      <c r="B3" s="437">
        <v>43</v>
      </c>
      <c r="C3" s="599" t="s">
        <v>77</v>
      </c>
      <c r="D3" s="599">
        <v>3</v>
      </c>
      <c r="E3" s="601" t="s">
        <v>33</v>
      </c>
      <c r="F3" s="601">
        <v>12</v>
      </c>
      <c r="G3" s="602" t="s">
        <v>30</v>
      </c>
      <c r="H3" s="602">
        <f>eng2021wctbcon</f>
        <v>0</v>
      </c>
    </row>
    <row r="4" spans="1:8" ht="14.95" customHeight="1" thickBot="1" x14ac:dyDescent="0.3">
      <c r="A4" s="598" t="s">
        <v>34</v>
      </c>
      <c r="B4" s="437">
        <v>27</v>
      </c>
      <c r="C4" s="599" t="s">
        <v>30</v>
      </c>
      <c r="D4" s="599">
        <f>eng2021wcpooltbscored</f>
        <v>2</v>
      </c>
      <c r="E4" s="601" t="s">
        <v>77</v>
      </c>
      <c r="F4" s="601">
        <v>13</v>
      </c>
      <c r="G4" s="602" t="s">
        <v>34</v>
      </c>
      <c r="H4" s="602">
        <f>fra2021wctbcon</f>
        <v>0</v>
      </c>
    </row>
    <row r="5" spans="1:8" ht="14.95" customHeight="1" thickBot="1" x14ac:dyDescent="0.3">
      <c r="A5" s="598" t="s">
        <v>38</v>
      </c>
      <c r="B5" s="437">
        <v>23</v>
      </c>
      <c r="C5" s="599" t="s">
        <v>34</v>
      </c>
      <c r="D5" s="599">
        <f>fra2021wcpooltbscored</f>
        <v>2</v>
      </c>
      <c r="E5" s="600" t="s">
        <v>35</v>
      </c>
      <c r="F5" s="601">
        <f>sco2021wcpooltriesconceded</f>
        <v>13</v>
      </c>
      <c r="G5" s="602" t="s">
        <v>77</v>
      </c>
      <c r="H5" s="602">
        <f>nzl2021wctbcon</f>
        <v>0</v>
      </c>
    </row>
    <row r="6" spans="1:8" ht="14.95" customHeight="1" thickBot="1" x14ac:dyDescent="0.3">
      <c r="A6" s="603" t="s">
        <v>57</v>
      </c>
      <c r="B6" s="437">
        <v>9</v>
      </c>
      <c r="C6" s="599" t="s">
        <v>33</v>
      </c>
      <c r="D6" s="599">
        <f>ita2021wcpooltbscored</f>
        <v>1</v>
      </c>
      <c r="E6" s="601" t="s">
        <v>36</v>
      </c>
      <c r="F6" s="601">
        <f>jpn2021wcpooltriesconceded</f>
        <v>13</v>
      </c>
      <c r="G6" s="605" t="s">
        <v>35</v>
      </c>
      <c r="H6" s="602">
        <f>sco2021wctbcon</f>
        <v>1</v>
      </c>
    </row>
    <row r="7" spans="1:8" ht="14.95" customHeight="1" thickBot="1" x14ac:dyDescent="0.3">
      <c r="A7" s="598" t="s">
        <v>33</v>
      </c>
      <c r="B7" s="437">
        <f>ita2021wcpooltriesscored</f>
        <v>8</v>
      </c>
      <c r="C7" s="604" t="s">
        <v>57</v>
      </c>
      <c r="D7" s="599">
        <f>usa2021wcpooltbscored</f>
        <v>1</v>
      </c>
      <c r="E7" s="601" t="s">
        <v>30</v>
      </c>
      <c r="F7" s="601">
        <v>14</v>
      </c>
      <c r="G7" s="602" t="s">
        <v>33</v>
      </c>
      <c r="H7" s="602">
        <f>ita2021wctbcon</f>
        <v>1</v>
      </c>
    </row>
    <row r="8" spans="1:8" ht="14.95" customHeight="1" thickBot="1" x14ac:dyDescent="0.3">
      <c r="A8" s="598" t="s">
        <v>29</v>
      </c>
      <c r="B8" s="437">
        <v>7</v>
      </c>
      <c r="C8" s="599" t="s">
        <v>29</v>
      </c>
      <c r="D8" s="599">
        <v>0</v>
      </c>
      <c r="E8" s="601" t="s">
        <v>38</v>
      </c>
      <c r="F8" s="601">
        <v>14</v>
      </c>
      <c r="G8" s="605" t="s">
        <v>32</v>
      </c>
      <c r="H8" s="602">
        <f>wal2021wctbcon</f>
        <v>1</v>
      </c>
    </row>
    <row r="9" spans="1:8" ht="14.95" customHeight="1" thickBot="1" x14ac:dyDescent="0.3">
      <c r="A9" s="598" t="s">
        <v>31</v>
      </c>
      <c r="B9" s="437">
        <f>fij2021wcpooltriesscored</f>
        <v>6</v>
      </c>
      <c r="C9" s="599" t="s">
        <v>31</v>
      </c>
      <c r="D9" s="599">
        <f>fij2021wcpooltbscored</f>
        <v>0</v>
      </c>
      <c r="E9" s="600" t="s">
        <v>57</v>
      </c>
      <c r="F9" s="601">
        <v>16</v>
      </c>
      <c r="G9" s="602" t="s">
        <v>29</v>
      </c>
      <c r="H9" s="602">
        <f>aus2021wctbcon</f>
        <v>1</v>
      </c>
    </row>
    <row r="10" spans="1:8" ht="14.95" customHeight="1" thickBot="1" x14ac:dyDescent="0.3">
      <c r="A10" s="603" t="s">
        <v>35</v>
      </c>
      <c r="B10" s="437">
        <f>sco2021wcpooltriesscored</f>
        <v>5</v>
      </c>
      <c r="C10" s="599" t="s">
        <v>36</v>
      </c>
      <c r="D10" s="599">
        <f>jpn2021wcpooltbscored</f>
        <v>0</v>
      </c>
      <c r="E10" s="601" t="s">
        <v>29</v>
      </c>
      <c r="F10" s="601">
        <v>17</v>
      </c>
      <c r="G10" s="602" t="s">
        <v>31</v>
      </c>
      <c r="H10" s="602">
        <f>fij2021wctbcon</f>
        <v>2</v>
      </c>
    </row>
    <row r="11" spans="1:8" ht="14.95" customHeight="1" thickBot="1" x14ac:dyDescent="0.3">
      <c r="A11" s="603" t="s">
        <v>32</v>
      </c>
      <c r="B11" s="437">
        <f>wal2021wcpooltriesscored</f>
        <v>5</v>
      </c>
      <c r="C11" s="604" t="s">
        <v>86</v>
      </c>
      <c r="D11" s="599">
        <f>rsa2021wcpooltbscored</f>
        <v>0</v>
      </c>
      <c r="E11" s="600" t="s">
        <v>86</v>
      </c>
      <c r="F11" s="601">
        <f>rsa2021wcpooltriesconceded</f>
        <v>22</v>
      </c>
      <c r="G11" s="605" t="s">
        <v>86</v>
      </c>
      <c r="H11" s="602">
        <f>rsa2021wctbcon</f>
        <v>2</v>
      </c>
    </row>
    <row r="12" spans="1:8" ht="14.95" customHeight="1" thickBot="1" x14ac:dyDescent="0.3">
      <c r="A12" s="598" t="s">
        <v>36</v>
      </c>
      <c r="B12" s="437">
        <f>jpn2021wcpooltriesscored</f>
        <v>5</v>
      </c>
      <c r="C12" s="604" t="s">
        <v>35</v>
      </c>
      <c r="D12" s="599">
        <f>sco2021wcpooltbscored</f>
        <v>0</v>
      </c>
      <c r="E12" s="600" t="s">
        <v>32</v>
      </c>
      <c r="F12" s="601">
        <v>23</v>
      </c>
      <c r="G12" s="605" t="s">
        <v>57</v>
      </c>
      <c r="H12" s="602">
        <f>usa2021wctbcon</f>
        <v>2</v>
      </c>
    </row>
    <row r="13" spans="1:8" ht="14.95" customHeight="1" thickBot="1" x14ac:dyDescent="0.3">
      <c r="A13" s="603" t="s">
        <v>86</v>
      </c>
      <c r="B13" s="437">
        <f>rsa2021wcpooltriesscored</f>
        <v>3</v>
      </c>
      <c r="C13" s="604" t="s">
        <v>32</v>
      </c>
      <c r="D13" s="599">
        <f>wal2021wcpooltbscored</f>
        <v>0</v>
      </c>
      <c r="E13" s="601" t="s">
        <v>31</v>
      </c>
      <c r="F13" s="601">
        <f>fij2021wcpooltriesconceded</f>
        <v>23</v>
      </c>
      <c r="G13" s="602" t="s">
        <v>36</v>
      </c>
      <c r="H13" s="602">
        <f>jpn2021wctbcon</f>
        <v>2</v>
      </c>
    </row>
    <row r="14" spans="1:8" x14ac:dyDescent="0.25">
      <c r="A14" s="606" t="s">
        <v>55</v>
      </c>
      <c r="B14">
        <f>SUM(B2:B13)</f>
        <v>185</v>
      </c>
      <c r="D14">
        <f>SUM(D2:D13)</f>
        <v>12</v>
      </c>
      <c r="F14">
        <f>SUM(F2:F13)</f>
        <v>185</v>
      </c>
      <c r="H14">
        <f>SUM(H2:H13)</f>
        <v>12</v>
      </c>
    </row>
    <row r="15" spans="1:8" x14ac:dyDescent="0.25">
      <c r="A15" s="258" t="s">
        <v>28</v>
      </c>
    </row>
  </sheetData>
  <sortState xmlns:xlrd2="http://schemas.microsoft.com/office/spreadsheetml/2017/richdata2" ref="G2:H13">
    <sortCondition ref="H2:H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U34" sqref="U34"/>
    </sheetView>
  </sheetViews>
  <sheetFormatPr defaultRowHeight="14.3" x14ac:dyDescent="0.25"/>
  <cols>
    <col min="1" max="2" width="4.75" customWidth="1"/>
    <col min="4" max="7" width="4.75" customWidth="1"/>
    <col min="8" max="10" width="6.75" customWidth="1"/>
    <col min="11" max="16" width="4.75" customWidth="1"/>
  </cols>
  <sheetData>
    <row r="1" spans="1:17" ht="14.95" thickBot="1" x14ac:dyDescent="0.3">
      <c r="A1" s="112" t="s">
        <v>44</v>
      </c>
      <c r="B1" s="113" t="s">
        <v>45</v>
      </c>
      <c r="C1" s="52"/>
      <c r="D1" s="52" t="s">
        <v>0</v>
      </c>
      <c r="E1" s="53" t="s">
        <v>1</v>
      </c>
      <c r="F1" s="52" t="s">
        <v>2</v>
      </c>
      <c r="G1" s="52" t="s">
        <v>3</v>
      </c>
      <c r="H1" s="52" t="s">
        <v>4</v>
      </c>
      <c r="I1" s="52" t="s">
        <v>5</v>
      </c>
      <c r="J1" s="53" t="s">
        <v>46</v>
      </c>
      <c r="K1" s="52" t="s">
        <v>21</v>
      </c>
      <c r="L1" s="52" t="s">
        <v>22</v>
      </c>
      <c r="M1" s="52" t="s">
        <v>61</v>
      </c>
      <c r="N1" s="52" t="s">
        <v>49</v>
      </c>
      <c r="O1" s="52" t="s">
        <v>50</v>
      </c>
      <c r="P1" s="53" t="s">
        <v>47</v>
      </c>
    </row>
    <row r="2" spans="1:17" ht="14.95" thickBot="1" x14ac:dyDescent="0.3">
      <c r="A2" s="161">
        <v>1</v>
      </c>
      <c r="B2" s="139" t="s">
        <v>48</v>
      </c>
      <c r="C2" s="110" t="s">
        <v>30</v>
      </c>
      <c r="D2" s="54">
        <f>Englandplayed</f>
        <v>5</v>
      </c>
      <c r="E2" s="55">
        <f>Englandwon</f>
        <v>5</v>
      </c>
      <c r="F2" s="54">
        <f>Englanddrawn</f>
        <v>0</v>
      </c>
      <c r="G2" s="54">
        <f>Englandlost</f>
        <v>0</v>
      </c>
      <c r="H2" s="54">
        <f>Englandptsscored</f>
        <v>282</v>
      </c>
      <c r="I2" s="54">
        <f>Englandptsagainst</f>
        <v>22</v>
      </c>
      <c r="J2" s="56">
        <f t="shared" ref="J2:J7" si="0">SUM(H2-I2)</f>
        <v>260</v>
      </c>
      <c r="K2" s="57">
        <f>Englandtrybonus</f>
        <v>4</v>
      </c>
      <c r="L2" s="57">
        <f>Englandlosingbonus</f>
        <v>0</v>
      </c>
      <c r="M2" s="57">
        <v>0</v>
      </c>
      <c r="N2" s="54">
        <f>Englandtriesscored</f>
        <v>45</v>
      </c>
      <c r="O2" s="54">
        <f>Englandtriesagainst</f>
        <v>4</v>
      </c>
      <c r="P2" s="56">
        <f t="shared" ref="P2:P7" si="1">SUM(E2*4)+(F2*2)+K2+L2+M2</f>
        <v>24</v>
      </c>
    </row>
    <row r="3" spans="1:17" ht="14.95" thickBot="1" x14ac:dyDescent="0.3">
      <c r="A3" s="114">
        <v>2</v>
      </c>
      <c r="B3" s="182" t="s">
        <v>48</v>
      </c>
      <c r="C3" s="109" t="s">
        <v>34</v>
      </c>
      <c r="D3" s="57">
        <f>Franceplayed</f>
        <v>5</v>
      </c>
      <c r="E3" s="56">
        <f>Francewon</f>
        <v>4</v>
      </c>
      <c r="F3" s="57">
        <f>Francedrawn</f>
        <v>0</v>
      </c>
      <c r="G3" s="57">
        <f>Francelost</f>
        <v>1</v>
      </c>
      <c r="H3" s="57">
        <f>Franceptsscored</f>
        <v>152</v>
      </c>
      <c r="I3" s="57">
        <f>Franceptsagainst</f>
        <v>48</v>
      </c>
      <c r="J3" s="56">
        <f t="shared" si="0"/>
        <v>104</v>
      </c>
      <c r="K3" s="57">
        <f>Francetrybonus</f>
        <v>4</v>
      </c>
      <c r="L3" s="57">
        <f>Francelosingbonus</f>
        <v>0</v>
      </c>
      <c r="M3" s="57">
        <v>0</v>
      </c>
      <c r="N3" s="57">
        <f>Francetriesscored</f>
        <v>22</v>
      </c>
      <c r="O3" s="57">
        <f>Francetriesagainst</f>
        <v>6</v>
      </c>
      <c r="P3" s="56">
        <f t="shared" si="1"/>
        <v>20</v>
      </c>
    </row>
    <row r="4" spans="1:17" ht="14.95" thickBot="1" x14ac:dyDescent="0.3">
      <c r="A4" s="114">
        <v>3</v>
      </c>
      <c r="B4" s="182" t="s">
        <v>48</v>
      </c>
      <c r="C4" s="61" t="s">
        <v>32</v>
      </c>
      <c r="D4" s="57">
        <f>Walesplayed</f>
        <v>5</v>
      </c>
      <c r="E4" s="56">
        <f>Waleswon</f>
        <v>2</v>
      </c>
      <c r="F4" s="57">
        <f>Walesdrawn</f>
        <v>0</v>
      </c>
      <c r="G4" s="57">
        <f>Waleslost</f>
        <v>3</v>
      </c>
      <c r="H4" s="57">
        <f>Walesptsscored</f>
        <v>69</v>
      </c>
      <c r="I4" s="57">
        <f>Walesptsagainst</f>
        <v>139</v>
      </c>
      <c r="J4" s="56">
        <f t="shared" si="0"/>
        <v>-70</v>
      </c>
      <c r="K4" s="57">
        <f>Walestrybonus</f>
        <v>2</v>
      </c>
      <c r="L4" s="57">
        <f>Waleslosingbonus</f>
        <v>1</v>
      </c>
      <c r="M4" s="57">
        <v>0</v>
      </c>
      <c r="N4" s="57">
        <f>Walestriesscored</f>
        <v>12</v>
      </c>
      <c r="O4" s="57">
        <f>Walestriesagainst</f>
        <v>22</v>
      </c>
      <c r="P4" s="56">
        <f t="shared" si="1"/>
        <v>11</v>
      </c>
    </row>
    <row r="5" spans="1:17" ht="14.95" thickBot="1" x14ac:dyDescent="0.3">
      <c r="A5" s="114">
        <v>4</v>
      </c>
      <c r="B5" s="182" t="s">
        <v>48</v>
      </c>
      <c r="C5" s="62" t="s">
        <v>37</v>
      </c>
      <c r="D5" s="57">
        <f>Irelandplayed</f>
        <v>5</v>
      </c>
      <c r="E5" s="56">
        <f>Irelandwon</f>
        <v>2</v>
      </c>
      <c r="F5" s="57">
        <f>Irelanddrawn</f>
        <v>0</v>
      </c>
      <c r="G5" s="57">
        <f>Irelandlost</f>
        <v>3</v>
      </c>
      <c r="H5" s="57">
        <f>Irelandptsscored</f>
        <v>68</v>
      </c>
      <c r="I5" s="57">
        <f>Irelandptsagainst</f>
        <v>158</v>
      </c>
      <c r="J5" s="56">
        <f t="shared" si="0"/>
        <v>-90</v>
      </c>
      <c r="K5" s="57">
        <f>Irelandtrybonus</f>
        <v>1</v>
      </c>
      <c r="L5" s="57">
        <f>Irelandlosingbonus</f>
        <v>0</v>
      </c>
      <c r="M5" s="57">
        <v>0</v>
      </c>
      <c r="N5" s="57">
        <f>Irelandtriesscored</f>
        <v>11</v>
      </c>
      <c r="O5" s="57">
        <f>Irelandtriesagainst</f>
        <v>24</v>
      </c>
      <c r="P5" s="56">
        <f t="shared" si="1"/>
        <v>9</v>
      </c>
    </row>
    <row r="6" spans="1:17" ht="14.95" thickBot="1" x14ac:dyDescent="0.3">
      <c r="A6" s="114">
        <v>5</v>
      </c>
      <c r="B6" s="182" t="s">
        <v>48</v>
      </c>
      <c r="C6" s="107" t="s">
        <v>33</v>
      </c>
      <c r="D6" s="57">
        <f>Italyplayed</f>
        <v>5</v>
      </c>
      <c r="E6" s="56">
        <f>Italywon</f>
        <v>2</v>
      </c>
      <c r="F6" s="57">
        <f>Italydrawn</f>
        <v>0</v>
      </c>
      <c r="G6" s="57">
        <f>Italylost</f>
        <v>3</v>
      </c>
      <c r="H6" s="57">
        <f>Italyptsscored</f>
        <v>44</v>
      </c>
      <c r="I6" s="57">
        <f>Italyptsagainst</f>
        <v>163</v>
      </c>
      <c r="J6" s="56">
        <f t="shared" si="0"/>
        <v>-119</v>
      </c>
      <c r="K6" s="57">
        <f>Italytrybonus</f>
        <v>0</v>
      </c>
      <c r="L6" s="57">
        <f>Italylosingbonus</f>
        <v>0</v>
      </c>
      <c r="M6" s="57">
        <v>0</v>
      </c>
      <c r="N6" s="57">
        <f>Italytriesscored</f>
        <v>4</v>
      </c>
      <c r="O6" s="57">
        <f>Italytriesagainst</f>
        <v>24</v>
      </c>
      <c r="P6" s="56">
        <f t="shared" si="1"/>
        <v>8</v>
      </c>
    </row>
    <row r="7" spans="1:17" ht="14.95" thickBot="1" x14ac:dyDescent="0.3">
      <c r="A7" s="114">
        <v>6</v>
      </c>
      <c r="B7" s="182" t="s">
        <v>48</v>
      </c>
      <c r="C7" s="302" t="s">
        <v>35</v>
      </c>
      <c r="D7" s="57">
        <f>Scotlandplayed</f>
        <v>5</v>
      </c>
      <c r="E7" s="56">
        <f>Scotlandwon</f>
        <v>0</v>
      </c>
      <c r="F7" s="57">
        <f>Scotlanddrawn</f>
        <v>0</v>
      </c>
      <c r="G7" s="57">
        <f>Scotlandlost</f>
        <v>5</v>
      </c>
      <c r="H7" s="57">
        <f>Scotlandptsscored</f>
        <v>59</v>
      </c>
      <c r="I7" s="57">
        <f>Scotlandptsagainst</f>
        <v>144</v>
      </c>
      <c r="J7" s="56">
        <f t="shared" si="0"/>
        <v>-85</v>
      </c>
      <c r="K7" s="57">
        <f>Scotlandtrybonus</f>
        <v>0</v>
      </c>
      <c r="L7" s="57">
        <f>Scotlandlosingbonus</f>
        <v>3</v>
      </c>
      <c r="M7" s="57">
        <v>0</v>
      </c>
      <c r="N7" s="57">
        <f>Scotlandtriesscored</f>
        <v>7</v>
      </c>
      <c r="O7" s="57">
        <f>Scotlandtriesagainst</f>
        <v>21</v>
      </c>
      <c r="P7" s="56">
        <f t="shared" si="1"/>
        <v>3</v>
      </c>
    </row>
    <row r="8" spans="1:17" x14ac:dyDescent="0.25">
      <c r="A8" s="58"/>
      <c r="B8" s="59"/>
      <c r="C8" s="63"/>
      <c r="D8" s="60"/>
      <c r="E8" s="60"/>
      <c r="F8" s="60"/>
      <c r="G8" s="60"/>
      <c r="H8" s="60">
        <f>SUM(H2:H7)</f>
        <v>674</v>
      </c>
      <c r="I8" s="60">
        <f>SUM(I2:I7)</f>
        <v>674</v>
      </c>
      <c r="J8" s="60"/>
      <c r="K8" s="60"/>
      <c r="L8" s="60"/>
      <c r="M8" s="60"/>
      <c r="N8" s="60">
        <f t="shared" ref="N8:O8" si="2">SUM(N2:N7)</f>
        <v>101</v>
      </c>
      <c r="O8" s="60">
        <f t="shared" si="2"/>
        <v>101</v>
      </c>
      <c r="P8" s="60"/>
      <c r="Q8" s="60" t="s">
        <v>55</v>
      </c>
    </row>
    <row r="9" spans="1:17" x14ac:dyDescent="0.25">
      <c r="A9" t="s">
        <v>62</v>
      </c>
    </row>
    <row r="10" spans="1:17" ht="15.8" customHeight="1" x14ac:dyDescent="0.25">
      <c r="A10" s="76" t="s">
        <v>87</v>
      </c>
    </row>
    <row r="11" spans="1:17" ht="15.8" customHeight="1" x14ac:dyDescent="0.25">
      <c r="A11" t="s">
        <v>88</v>
      </c>
    </row>
    <row r="12" spans="1:17" ht="15.8" customHeight="1" x14ac:dyDescent="0.25">
      <c r="A12" t="s">
        <v>80</v>
      </c>
    </row>
    <row r="13" spans="1:17" ht="15.8" customHeight="1" x14ac:dyDescent="0.25">
      <c r="A13" t="s">
        <v>89</v>
      </c>
    </row>
    <row r="14" spans="1:17" ht="15.8" customHeight="1" x14ac:dyDescent="0.25"/>
    <row r="15" spans="1:17" ht="15.8" customHeight="1" x14ac:dyDescent="0.25">
      <c r="A15" s="76" t="s">
        <v>238</v>
      </c>
    </row>
    <row r="16" spans="1:17" ht="15.8" customHeight="1" thickBot="1" x14ac:dyDescent="0.3"/>
    <row r="17" spans="1:16" ht="15.8" customHeight="1" thickBot="1" x14ac:dyDescent="0.3">
      <c r="A17" s="112" t="s">
        <v>44</v>
      </c>
      <c r="B17" s="113" t="s">
        <v>45</v>
      </c>
      <c r="C17" s="113"/>
      <c r="D17" s="113" t="s">
        <v>0</v>
      </c>
      <c r="E17" s="294" t="s">
        <v>1</v>
      </c>
      <c r="F17" s="113" t="s">
        <v>2</v>
      </c>
      <c r="G17" s="113" t="s">
        <v>3</v>
      </c>
      <c r="H17" s="113" t="s">
        <v>4</v>
      </c>
      <c r="I17" s="113" t="s">
        <v>5</v>
      </c>
      <c r="J17" s="294" t="s">
        <v>46</v>
      </c>
      <c r="K17" s="113" t="s">
        <v>21</v>
      </c>
      <c r="L17" s="113" t="s">
        <v>22</v>
      </c>
      <c r="M17" s="113" t="s">
        <v>61</v>
      </c>
      <c r="N17" s="113" t="s">
        <v>49</v>
      </c>
      <c r="O17" s="113" t="s">
        <v>50</v>
      </c>
      <c r="P17" s="294" t="s">
        <v>47</v>
      </c>
    </row>
    <row r="18" spans="1:16" ht="15.8" customHeight="1" thickBot="1" x14ac:dyDescent="0.3">
      <c r="A18" s="295">
        <v>1</v>
      </c>
      <c r="B18" s="139" t="s">
        <v>48</v>
      </c>
      <c r="C18" s="296" t="s">
        <v>30</v>
      </c>
      <c r="D18" s="297">
        <v>4</v>
      </c>
      <c r="E18" s="298">
        <v>4</v>
      </c>
      <c r="F18" s="297">
        <v>0</v>
      </c>
      <c r="G18" s="297">
        <v>0</v>
      </c>
      <c r="H18" s="297">
        <v>258</v>
      </c>
      <c r="I18" s="297">
        <v>10</v>
      </c>
      <c r="J18" s="298">
        <v>248</v>
      </c>
      <c r="K18" s="297">
        <v>4</v>
      </c>
      <c r="L18" s="297">
        <v>0</v>
      </c>
      <c r="M18" s="297">
        <v>0</v>
      </c>
      <c r="N18" s="297">
        <v>42</v>
      </c>
      <c r="O18" s="297">
        <v>2</v>
      </c>
      <c r="P18" s="298">
        <v>20</v>
      </c>
    </row>
    <row r="19" spans="1:16" ht="15.8" customHeight="1" thickBot="1" x14ac:dyDescent="0.3">
      <c r="A19" s="295">
        <v>2</v>
      </c>
      <c r="B19" s="139" t="s">
        <v>48</v>
      </c>
      <c r="C19" s="109" t="s">
        <v>34</v>
      </c>
      <c r="D19" s="297">
        <v>4</v>
      </c>
      <c r="E19" s="298">
        <v>4</v>
      </c>
      <c r="F19" s="297">
        <v>0</v>
      </c>
      <c r="G19" s="297">
        <v>0</v>
      </c>
      <c r="H19" s="297">
        <v>140</v>
      </c>
      <c r="I19" s="297">
        <v>24</v>
      </c>
      <c r="J19" s="298">
        <v>116</v>
      </c>
      <c r="K19" s="297">
        <v>4</v>
      </c>
      <c r="L19" s="297">
        <v>0</v>
      </c>
      <c r="M19" s="297">
        <v>0</v>
      </c>
      <c r="N19" s="297">
        <v>20</v>
      </c>
      <c r="O19" s="297">
        <v>3</v>
      </c>
      <c r="P19" s="298">
        <v>20</v>
      </c>
    </row>
    <row r="20" spans="1:16" ht="15.8" customHeight="1" thickBot="1" x14ac:dyDescent="0.3">
      <c r="A20" s="295">
        <v>3</v>
      </c>
      <c r="B20" s="139" t="s">
        <v>48</v>
      </c>
      <c r="C20" s="299" t="s">
        <v>32</v>
      </c>
      <c r="D20" s="297">
        <v>4</v>
      </c>
      <c r="E20" s="298">
        <v>2</v>
      </c>
      <c r="F20" s="297">
        <v>0</v>
      </c>
      <c r="G20" s="297">
        <v>2</v>
      </c>
      <c r="H20" s="297">
        <v>61</v>
      </c>
      <c r="I20" s="297">
        <v>129</v>
      </c>
      <c r="J20" s="298">
        <v>-68</v>
      </c>
      <c r="K20" s="297">
        <v>2</v>
      </c>
      <c r="L20" s="297">
        <v>0</v>
      </c>
      <c r="M20" s="297">
        <v>0</v>
      </c>
      <c r="N20" s="297">
        <v>11</v>
      </c>
      <c r="O20" s="297">
        <v>21</v>
      </c>
      <c r="P20" s="298">
        <v>10</v>
      </c>
    </row>
    <row r="21" spans="1:16" ht="15.8" customHeight="1" thickBot="1" x14ac:dyDescent="0.3">
      <c r="A21" s="295">
        <v>4</v>
      </c>
      <c r="B21" s="139" t="s">
        <v>48</v>
      </c>
      <c r="C21" s="300" t="s">
        <v>37</v>
      </c>
      <c r="D21" s="297">
        <v>4</v>
      </c>
      <c r="E21" s="298">
        <v>1</v>
      </c>
      <c r="F21" s="297">
        <v>0</v>
      </c>
      <c r="G21" s="297">
        <v>3</v>
      </c>
      <c r="H21" s="297">
        <v>53</v>
      </c>
      <c r="I21" s="297">
        <v>144</v>
      </c>
      <c r="J21" s="298">
        <v>-91</v>
      </c>
      <c r="K21" s="297">
        <v>1</v>
      </c>
      <c r="L21" s="297">
        <v>0</v>
      </c>
      <c r="M21" s="297">
        <v>0</v>
      </c>
      <c r="N21" s="297">
        <v>9</v>
      </c>
      <c r="O21" s="297">
        <v>23</v>
      </c>
      <c r="P21" s="298">
        <v>5</v>
      </c>
    </row>
    <row r="22" spans="1:16" ht="15.8" customHeight="1" thickBot="1" x14ac:dyDescent="0.3">
      <c r="A22" s="295">
        <v>5</v>
      </c>
      <c r="B22" s="139" t="s">
        <v>187</v>
      </c>
      <c r="C22" s="107" t="s">
        <v>33</v>
      </c>
      <c r="D22" s="297">
        <v>4</v>
      </c>
      <c r="E22" s="298">
        <v>1</v>
      </c>
      <c r="F22" s="297">
        <v>0</v>
      </c>
      <c r="G22" s="297">
        <v>3</v>
      </c>
      <c r="H22" s="297">
        <v>34</v>
      </c>
      <c r="I22" s="297">
        <v>155</v>
      </c>
      <c r="J22" s="298">
        <v>-121</v>
      </c>
      <c r="K22" s="297">
        <v>0</v>
      </c>
      <c r="L22" s="297">
        <v>0</v>
      </c>
      <c r="M22" s="297">
        <v>0</v>
      </c>
      <c r="N22" s="297">
        <v>3</v>
      </c>
      <c r="O22" s="297">
        <v>23</v>
      </c>
      <c r="P22" s="298">
        <v>4</v>
      </c>
    </row>
    <row r="23" spans="1:16" ht="15.8" customHeight="1" thickBot="1" x14ac:dyDescent="0.3">
      <c r="A23" s="295">
        <v>6</v>
      </c>
      <c r="B23" s="139" t="s">
        <v>188</v>
      </c>
      <c r="C23" s="301" t="s">
        <v>35</v>
      </c>
      <c r="D23" s="297">
        <v>4</v>
      </c>
      <c r="E23" s="298">
        <v>0</v>
      </c>
      <c r="F23" s="297">
        <v>0</v>
      </c>
      <c r="G23" s="297">
        <v>4</v>
      </c>
      <c r="H23" s="297">
        <v>45</v>
      </c>
      <c r="I23" s="297">
        <v>129</v>
      </c>
      <c r="J23" s="298">
        <v>-84</v>
      </c>
      <c r="K23" s="297">
        <v>0</v>
      </c>
      <c r="L23" s="297">
        <v>2</v>
      </c>
      <c r="M23" s="297">
        <v>0</v>
      </c>
      <c r="N23" s="297">
        <v>6</v>
      </c>
      <c r="O23" s="297">
        <v>19</v>
      </c>
      <c r="P23" s="298">
        <v>2</v>
      </c>
    </row>
    <row r="24" spans="1:16" ht="15.8" customHeight="1" x14ac:dyDescent="0.25"/>
    <row r="25" spans="1:16" ht="15.8" customHeight="1" x14ac:dyDescent="0.25">
      <c r="A25" s="76" t="s">
        <v>219</v>
      </c>
    </row>
    <row r="26" spans="1:16" ht="15.8" customHeight="1" thickBot="1" x14ac:dyDescent="0.3"/>
    <row r="27" spans="1:16" ht="15.8" customHeight="1" thickBot="1" x14ac:dyDescent="0.3">
      <c r="A27" s="112" t="s">
        <v>44</v>
      </c>
      <c r="B27" s="113" t="s">
        <v>45</v>
      </c>
      <c r="C27" s="113"/>
      <c r="D27" s="113" t="s">
        <v>0</v>
      </c>
      <c r="E27" s="294" t="s">
        <v>1</v>
      </c>
      <c r="F27" s="113" t="s">
        <v>2</v>
      </c>
      <c r="G27" s="113" t="s">
        <v>3</v>
      </c>
      <c r="H27" s="113" t="s">
        <v>4</v>
      </c>
      <c r="I27" s="113" t="s">
        <v>5</v>
      </c>
      <c r="J27" s="294" t="s">
        <v>46</v>
      </c>
      <c r="K27" s="113" t="s">
        <v>21</v>
      </c>
      <c r="L27" s="113" t="s">
        <v>22</v>
      </c>
      <c r="M27" s="113" t="s">
        <v>61</v>
      </c>
      <c r="N27" s="113" t="s">
        <v>49</v>
      </c>
      <c r="O27" s="113" t="s">
        <v>50</v>
      </c>
      <c r="P27" s="294" t="s">
        <v>47</v>
      </c>
    </row>
    <row r="28" spans="1:16" ht="15.8" customHeight="1" thickBot="1" x14ac:dyDescent="0.3">
      <c r="A28" s="295">
        <v>1</v>
      </c>
      <c r="B28" s="139" t="s">
        <v>48</v>
      </c>
      <c r="C28" s="296" t="s">
        <v>30</v>
      </c>
      <c r="D28" s="297">
        <v>3</v>
      </c>
      <c r="E28" s="298">
        <v>3</v>
      </c>
      <c r="F28" s="297">
        <v>0</v>
      </c>
      <c r="G28" s="297">
        <v>0</v>
      </c>
      <c r="H28" s="297">
        <v>189</v>
      </c>
      <c r="I28" s="297">
        <v>10</v>
      </c>
      <c r="J28" s="298">
        <v>179</v>
      </c>
      <c r="K28" s="297">
        <v>3</v>
      </c>
      <c r="L28" s="297">
        <v>0</v>
      </c>
      <c r="M28" s="297">
        <v>0</v>
      </c>
      <c r="N28" s="297">
        <v>31</v>
      </c>
      <c r="O28" s="297">
        <v>2</v>
      </c>
      <c r="P28" s="298">
        <v>15</v>
      </c>
    </row>
    <row r="29" spans="1:16" ht="15.8" customHeight="1" thickBot="1" x14ac:dyDescent="0.3">
      <c r="A29" s="295">
        <v>2</v>
      </c>
      <c r="B29" s="139" t="s">
        <v>48</v>
      </c>
      <c r="C29" s="109" t="s">
        <v>34</v>
      </c>
      <c r="D29" s="297">
        <v>3</v>
      </c>
      <c r="E29" s="298">
        <v>3</v>
      </c>
      <c r="F29" s="297">
        <v>0</v>
      </c>
      <c r="G29" s="297">
        <v>0</v>
      </c>
      <c r="H29" s="297">
        <v>107</v>
      </c>
      <c r="I29" s="297">
        <v>19</v>
      </c>
      <c r="J29" s="298">
        <v>88</v>
      </c>
      <c r="K29" s="297">
        <v>3</v>
      </c>
      <c r="L29" s="297">
        <v>0</v>
      </c>
      <c r="M29" s="297">
        <v>0</v>
      </c>
      <c r="N29" s="297">
        <v>15</v>
      </c>
      <c r="O29" s="297">
        <v>2</v>
      </c>
      <c r="P29" s="298">
        <v>15</v>
      </c>
    </row>
    <row r="30" spans="1:16" ht="15.8" customHeight="1" thickBot="1" x14ac:dyDescent="0.3">
      <c r="A30" s="295">
        <v>3</v>
      </c>
      <c r="B30" s="139" t="s">
        <v>48</v>
      </c>
      <c r="C30" s="299" t="s">
        <v>32</v>
      </c>
      <c r="D30" s="297">
        <v>3</v>
      </c>
      <c r="E30" s="298">
        <v>2</v>
      </c>
      <c r="F30" s="297">
        <v>0</v>
      </c>
      <c r="G30" s="297">
        <v>1</v>
      </c>
      <c r="H30" s="297">
        <v>56</v>
      </c>
      <c r="I30" s="297">
        <v>96</v>
      </c>
      <c r="J30" s="298">
        <v>-40</v>
      </c>
      <c r="K30" s="297">
        <v>2</v>
      </c>
      <c r="L30" s="297">
        <v>0</v>
      </c>
      <c r="M30" s="297">
        <v>0</v>
      </c>
      <c r="N30" s="297">
        <v>10</v>
      </c>
      <c r="O30" s="297">
        <v>16</v>
      </c>
      <c r="P30" s="298">
        <v>10</v>
      </c>
    </row>
    <row r="31" spans="1:16" ht="15.8" customHeight="1" thickBot="1" x14ac:dyDescent="0.3">
      <c r="A31" s="295">
        <v>4</v>
      </c>
      <c r="B31" s="139" t="s">
        <v>187</v>
      </c>
      <c r="C31" s="300" t="s">
        <v>37</v>
      </c>
      <c r="D31" s="297">
        <v>3</v>
      </c>
      <c r="E31" s="298">
        <v>1</v>
      </c>
      <c r="F31" s="297">
        <v>0</v>
      </c>
      <c r="G31" s="297">
        <v>2</v>
      </c>
      <c r="H31" s="297">
        <v>53</v>
      </c>
      <c r="I31" s="297">
        <v>75</v>
      </c>
      <c r="J31" s="298">
        <v>-22</v>
      </c>
      <c r="K31" s="297">
        <v>1</v>
      </c>
      <c r="L31" s="297">
        <v>0</v>
      </c>
      <c r="M31" s="297">
        <v>0</v>
      </c>
      <c r="N31" s="297">
        <v>9</v>
      </c>
      <c r="O31" s="297">
        <v>12</v>
      </c>
      <c r="P31" s="298">
        <v>5</v>
      </c>
    </row>
    <row r="32" spans="1:16" ht="15.8" customHeight="1" thickBot="1" x14ac:dyDescent="0.3">
      <c r="A32" s="295">
        <v>5</v>
      </c>
      <c r="B32" s="139" t="s">
        <v>188</v>
      </c>
      <c r="C32" s="301" t="s">
        <v>35</v>
      </c>
      <c r="D32" s="297">
        <v>3</v>
      </c>
      <c r="E32" s="298">
        <v>0</v>
      </c>
      <c r="F32" s="297">
        <v>0</v>
      </c>
      <c r="G32" s="297">
        <v>3</v>
      </c>
      <c r="H32" s="297">
        <v>32</v>
      </c>
      <c r="I32" s="297">
        <v>109</v>
      </c>
      <c r="J32" s="298">
        <v>-77</v>
      </c>
      <c r="K32" s="297">
        <v>0</v>
      </c>
      <c r="L32" s="297">
        <v>1</v>
      </c>
      <c r="M32" s="297">
        <v>0</v>
      </c>
      <c r="N32" s="297">
        <v>5</v>
      </c>
      <c r="O32" s="297">
        <v>17</v>
      </c>
      <c r="P32" s="298">
        <v>1</v>
      </c>
    </row>
    <row r="33" spans="1:16" ht="15.8" customHeight="1" thickBot="1" x14ac:dyDescent="0.3">
      <c r="A33" s="295">
        <v>6</v>
      </c>
      <c r="B33" s="139" t="s">
        <v>48</v>
      </c>
      <c r="C33" s="107" t="s">
        <v>33</v>
      </c>
      <c r="D33" s="297">
        <v>3</v>
      </c>
      <c r="E33" s="298">
        <v>0</v>
      </c>
      <c r="F33" s="297">
        <v>0</v>
      </c>
      <c r="G33" s="297">
        <v>3</v>
      </c>
      <c r="H33" s="297">
        <v>14</v>
      </c>
      <c r="I33" s="297">
        <v>142</v>
      </c>
      <c r="J33" s="298">
        <v>-128</v>
      </c>
      <c r="K33" s="297">
        <v>0</v>
      </c>
      <c r="L33" s="297">
        <v>0</v>
      </c>
      <c r="M33" s="297">
        <v>0</v>
      </c>
      <c r="N33" s="297">
        <v>1</v>
      </c>
      <c r="O33" s="297">
        <v>22</v>
      </c>
      <c r="P33" s="298">
        <v>0</v>
      </c>
    </row>
    <row r="34" spans="1:16" ht="15.8" customHeight="1" x14ac:dyDescent="0.25"/>
    <row r="35" spans="1:16" ht="15.8" customHeight="1" x14ac:dyDescent="0.25">
      <c r="A35" s="76" t="s">
        <v>204</v>
      </c>
    </row>
    <row r="36" spans="1:16" ht="15.8" customHeight="1" thickBot="1" x14ac:dyDescent="0.3"/>
    <row r="37" spans="1:16" ht="15.8" customHeight="1" thickBot="1" x14ac:dyDescent="0.3">
      <c r="A37" s="112" t="s">
        <v>44</v>
      </c>
      <c r="B37" s="113" t="s">
        <v>45</v>
      </c>
      <c r="C37" s="52"/>
      <c r="D37" s="52" t="s">
        <v>0</v>
      </c>
      <c r="E37" s="53" t="s">
        <v>1</v>
      </c>
      <c r="F37" s="52" t="s">
        <v>2</v>
      </c>
      <c r="G37" s="52" t="s">
        <v>3</v>
      </c>
      <c r="H37" s="52" t="s">
        <v>4</v>
      </c>
      <c r="I37" s="52" t="s">
        <v>5</v>
      </c>
      <c r="J37" s="53" t="s">
        <v>46</v>
      </c>
      <c r="K37" s="52" t="s">
        <v>21</v>
      </c>
      <c r="L37" s="52" t="s">
        <v>22</v>
      </c>
      <c r="M37" s="52" t="s">
        <v>61</v>
      </c>
      <c r="N37" s="52" t="s">
        <v>49</v>
      </c>
      <c r="O37" s="52" t="s">
        <v>50</v>
      </c>
      <c r="P37" s="53" t="s">
        <v>47</v>
      </c>
    </row>
    <row r="38" spans="1:16" ht="15.8" customHeight="1" thickBot="1" x14ac:dyDescent="0.3">
      <c r="A38" s="161">
        <v>1</v>
      </c>
      <c r="B38" s="139" t="s">
        <v>48</v>
      </c>
      <c r="C38" s="110" t="s">
        <v>30</v>
      </c>
      <c r="D38" s="54">
        <v>2</v>
      </c>
      <c r="E38" s="55">
        <v>2</v>
      </c>
      <c r="F38" s="54">
        <v>0</v>
      </c>
      <c r="G38" s="54">
        <v>0</v>
      </c>
      <c r="H38" s="54">
        <v>131</v>
      </c>
      <c r="I38" s="54">
        <v>5</v>
      </c>
      <c r="J38" s="56">
        <v>126</v>
      </c>
      <c r="K38" s="57">
        <v>2</v>
      </c>
      <c r="L38" s="57">
        <v>0</v>
      </c>
      <c r="M38" s="57">
        <v>0</v>
      </c>
      <c r="N38" s="54">
        <v>21</v>
      </c>
      <c r="O38" s="54">
        <v>1</v>
      </c>
      <c r="P38" s="56">
        <v>10</v>
      </c>
    </row>
    <row r="39" spans="1:16" ht="15.8" customHeight="1" thickBot="1" x14ac:dyDescent="0.3">
      <c r="A39" s="114">
        <v>2</v>
      </c>
      <c r="B39" s="182" t="s">
        <v>48</v>
      </c>
      <c r="C39" s="109" t="s">
        <v>34</v>
      </c>
      <c r="D39" s="57">
        <v>2</v>
      </c>
      <c r="E39" s="56">
        <v>2</v>
      </c>
      <c r="F39" s="57">
        <v>0</v>
      </c>
      <c r="G39" s="57">
        <v>0</v>
      </c>
      <c r="H39" s="57">
        <v>79</v>
      </c>
      <c r="I39" s="57">
        <v>11</v>
      </c>
      <c r="J39" s="56">
        <v>68</v>
      </c>
      <c r="K39" s="57">
        <v>2</v>
      </c>
      <c r="L39" s="57">
        <v>0</v>
      </c>
      <c r="M39" s="57">
        <v>0</v>
      </c>
      <c r="N39" s="57">
        <v>11</v>
      </c>
      <c r="O39" s="57">
        <v>1</v>
      </c>
      <c r="P39" s="56">
        <v>10</v>
      </c>
    </row>
    <row r="40" spans="1:16" ht="15.8" customHeight="1" thickBot="1" x14ac:dyDescent="0.3">
      <c r="A40" s="114">
        <v>3</v>
      </c>
      <c r="B40" s="139" t="s">
        <v>48</v>
      </c>
      <c r="C40" s="61" t="s">
        <v>32</v>
      </c>
      <c r="D40" s="57">
        <v>2</v>
      </c>
      <c r="E40" s="56">
        <v>2</v>
      </c>
      <c r="F40" s="57">
        <v>0</v>
      </c>
      <c r="G40" s="57">
        <v>0</v>
      </c>
      <c r="H40" s="57">
        <v>51</v>
      </c>
      <c r="I40" s="57">
        <v>38</v>
      </c>
      <c r="J40" s="56">
        <v>13</v>
      </c>
      <c r="K40" s="57">
        <v>2</v>
      </c>
      <c r="L40" s="57">
        <v>0</v>
      </c>
      <c r="M40" s="57">
        <v>0</v>
      </c>
      <c r="N40" s="57">
        <v>9</v>
      </c>
      <c r="O40" s="57">
        <v>6</v>
      </c>
      <c r="P40" s="56">
        <v>10</v>
      </c>
    </row>
    <row r="41" spans="1:16" ht="15.8" customHeight="1" thickBot="1" x14ac:dyDescent="0.3">
      <c r="A41" s="114">
        <v>4</v>
      </c>
      <c r="B41" s="182" t="s">
        <v>186</v>
      </c>
      <c r="C41" s="302" t="s">
        <v>35</v>
      </c>
      <c r="D41" s="57">
        <v>2</v>
      </c>
      <c r="E41" s="56">
        <v>0</v>
      </c>
      <c r="F41" s="57">
        <v>0</v>
      </c>
      <c r="G41" s="57">
        <v>2</v>
      </c>
      <c r="H41" s="57">
        <v>24</v>
      </c>
      <c r="I41" s="57">
        <v>81</v>
      </c>
      <c r="J41" s="56">
        <v>-57</v>
      </c>
      <c r="K41" s="57">
        <v>0</v>
      </c>
      <c r="L41" s="57">
        <v>1</v>
      </c>
      <c r="M41" s="57">
        <v>0</v>
      </c>
      <c r="N41" s="57">
        <v>4</v>
      </c>
      <c r="O41" s="57">
        <v>13</v>
      </c>
      <c r="P41" s="56">
        <v>1</v>
      </c>
    </row>
    <row r="42" spans="1:16" ht="15.8" customHeight="1" thickBot="1" x14ac:dyDescent="0.3">
      <c r="A42" s="114">
        <v>5</v>
      </c>
      <c r="B42" s="182" t="s">
        <v>187</v>
      </c>
      <c r="C42" s="62" t="s">
        <v>37</v>
      </c>
      <c r="D42" s="57">
        <v>2</v>
      </c>
      <c r="E42" s="56">
        <v>0</v>
      </c>
      <c r="F42" s="57">
        <v>0</v>
      </c>
      <c r="G42" s="57">
        <v>2</v>
      </c>
      <c r="H42" s="57">
        <v>24</v>
      </c>
      <c r="I42" s="57">
        <v>67</v>
      </c>
      <c r="J42" s="56">
        <v>-43</v>
      </c>
      <c r="K42" s="57">
        <v>0</v>
      </c>
      <c r="L42" s="57">
        <v>0</v>
      </c>
      <c r="M42" s="57">
        <v>0</v>
      </c>
      <c r="N42" s="57">
        <v>4</v>
      </c>
      <c r="O42" s="57">
        <v>11</v>
      </c>
      <c r="P42" s="56">
        <v>0</v>
      </c>
    </row>
    <row r="43" spans="1:16" ht="15.8" customHeight="1" thickBot="1" x14ac:dyDescent="0.3">
      <c r="A43" s="114">
        <v>6</v>
      </c>
      <c r="B43" s="182" t="s">
        <v>188</v>
      </c>
      <c r="C43" s="107" t="s">
        <v>33</v>
      </c>
      <c r="D43" s="57">
        <v>2</v>
      </c>
      <c r="E43" s="56">
        <v>0</v>
      </c>
      <c r="F43" s="57">
        <v>0</v>
      </c>
      <c r="G43" s="57">
        <v>2</v>
      </c>
      <c r="H43" s="57">
        <v>6</v>
      </c>
      <c r="I43" s="57">
        <v>113</v>
      </c>
      <c r="J43" s="56">
        <v>-107</v>
      </c>
      <c r="K43" s="57">
        <v>0</v>
      </c>
      <c r="L43" s="57">
        <v>0</v>
      </c>
      <c r="M43" s="57">
        <v>0</v>
      </c>
      <c r="N43" s="57">
        <v>0</v>
      </c>
      <c r="O43" s="57">
        <v>17</v>
      </c>
      <c r="P43" s="56">
        <v>0</v>
      </c>
    </row>
    <row r="44" spans="1:16" ht="15.8" customHeight="1" x14ac:dyDescent="0.25"/>
    <row r="45" spans="1:16" x14ac:dyDescent="0.25">
      <c r="A45" s="76" t="s">
        <v>189</v>
      </c>
    </row>
    <row r="46" spans="1:16" ht="14.95" thickBot="1" x14ac:dyDescent="0.3"/>
    <row r="47" spans="1:16" ht="14.95" thickBot="1" x14ac:dyDescent="0.3">
      <c r="A47" s="112" t="s">
        <v>44</v>
      </c>
      <c r="B47" s="113" t="s">
        <v>45</v>
      </c>
      <c r="C47" s="113"/>
      <c r="D47" s="113" t="s">
        <v>0</v>
      </c>
      <c r="E47" s="294" t="s">
        <v>1</v>
      </c>
      <c r="F47" s="113" t="s">
        <v>2</v>
      </c>
      <c r="G47" s="113" t="s">
        <v>3</v>
      </c>
      <c r="H47" s="113" t="s">
        <v>4</v>
      </c>
      <c r="I47" s="113" t="s">
        <v>5</v>
      </c>
      <c r="J47" s="294" t="s">
        <v>46</v>
      </c>
      <c r="K47" s="113" t="s">
        <v>21</v>
      </c>
      <c r="L47" s="113" t="s">
        <v>22</v>
      </c>
      <c r="M47" s="113" t="s">
        <v>61</v>
      </c>
      <c r="N47" s="113" t="s">
        <v>49</v>
      </c>
      <c r="O47" s="113" t="s">
        <v>50</v>
      </c>
      <c r="P47" s="294" t="s">
        <v>47</v>
      </c>
    </row>
    <row r="48" spans="1:16" ht="14.95" thickBot="1" x14ac:dyDescent="0.3">
      <c r="A48" s="295">
        <v>1</v>
      </c>
      <c r="B48" s="139" t="s">
        <v>48</v>
      </c>
      <c r="C48" s="296" t="s">
        <v>30</v>
      </c>
      <c r="D48" s="297">
        <v>1</v>
      </c>
      <c r="E48" s="298">
        <v>1</v>
      </c>
      <c r="F48" s="297">
        <v>0</v>
      </c>
      <c r="G48" s="297">
        <v>0</v>
      </c>
      <c r="H48" s="297">
        <v>57</v>
      </c>
      <c r="I48" s="297">
        <v>5</v>
      </c>
      <c r="J48" s="298">
        <v>52</v>
      </c>
      <c r="K48" s="297">
        <v>1</v>
      </c>
      <c r="L48" s="297">
        <v>0</v>
      </c>
      <c r="M48" s="297">
        <v>0</v>
      </c>
      <c r="N48" s="297">
        <v>9</v>
      </c>
      <c r="O48" s="297">
        <v>1</v>
      </c>
      <c r="P48" s="298">
        <v>5</v>
      </c>
    </row>
    <row r="49" spans="1:16" ht="14.95" thickBot="1" x14ac:dyDescent="0.3">
      <c r="A49" s="295">
        <v>2</v>
      </c>
      <c r="B49" s="139" t="s">
        <v>48</v>
      </c>
      <c r="C49" s="109" t="s">
        <v>34</v>
      </c>
      <c r="D49" s="297">
        <v>1</v>
      </c>
      <c r="E49" s="298">
        <v>1</v>
      </c>
      <c r="F49" s="297">
        <v>0</v>
      </c>
      <c r="G49" s="297">
        <v>0</v>
      </c>
      <c r="H49" s="297">
        <v>39</v>
      </c>
      <c r="I49" s="297">
        <v>6</v>
      </c>
      <c r="J49" s="298">
        <v>33</v>
      </c>
      <c r="K49" s="297">
        <v>1</v>
      </c>
      <c r="L49" s="297">
        <v>0</v>
      </c>
      <c r="M49" s="297">
        <v>0</v>
      </c>
      <c r="N49" s="297">
        <v>5</v>
      </c>
      <c r="O49" s="297">
        <v>0</v>
      </c>
      <c r="P49" s="298">
        <v>5</v>
      </c>
    </row>
    <row r="50" spans="1:16" ht="14.95" thickBot="1" x14ac:dyDescent="0.3">
      <c r="A50" s="295">
        <v>3</v>
      </c>
      <c r="B50" s="139" t="s">
        <v>48</v>
      </c>
      <c r="C50" s="299" t="s">
        <v>32</v>
      </c>
      <c r="D50" s="297">
        <v>1</v>
      </c>
      <c r="E50" s="298">
        <v>1</v>
      </c>
      <c r="F50" s="297">
        <v>0</v>
      </c>
      <c r="G50" s="297">
        <v>0</v>
      </c>
      <c r="H50" s="297">
        <v>27</v>
      </c>
      <c r="I50" s="297">
        <v>19</v>
      </c>
      <c r="J50" s="298">
        <v>8</v>
      </c>
      <c r="K50" s="297">
        <v>1</v>
      </c>
      <c r="L50" s="297">
        <v>0</v>
      </c>
      <c r="M50" s="297">
        <v>0</v>
      </c>
      <c r="N50" s="297">
        <v>5</v>
      </c>
      <c r="O50" s="297">
        <v>3</v>
      </c>
      <c r="P50" s="298">
        <v>5</v>
      </c>
    </row>
    <row r="51" spans="1:16" ht="14.95" thickBot="1" x14ac:dyDescent="0.3">
      <c r="A51" s="295">
        <v>4</v>
      </c>
      <c r="B51" s="139" t="s">
        <v>48</v>
      </c>
      <c r="C51" s="300" t="s">
        <v>37</v>
      </c>
      <c r="D51" s="297">
        <v>1</v>
      </c>
      <c r="E51" s="298">
        <v>0</v>
      </c>
      <c r="F51" s="297">
        <v>0</v>
      </c>
      <c r="G51" s="297">
        <v>1</v>
      </c>
      <c r="H51" s="297">
        <v>19</v>
      </c>
      <c r="I51" s="297">
        <v>27</v>
      </c>
      <c r="J51" s="298">
        <v>-8</v>
      </c>
      <c r="K51" s="297">
        <v>0</v>
      </c>
      <c r="L51" s="297">
        <v>0</v>
      </c>
      <c r="M51" s="297">
        <v>0</v>
      </c>
      <c r="N51" s="297">
        <v>3</v>
      </c>
      <c r="O51" s="297">
        <v>5</v>
      </c>
      <c r="P51" s="298">
        <v>0</v>
      </c>
    </row>
    <row r="52" spans="1:16" ht="14.95" thickBot="1" x14ac:dyDescent="0.3">
      <c r="A52" s="295">
        <v>5</v>
      </c>
      <c r="B52" s="139" t="s">
        <v>48</v>
      </c>
      <c r="C52" s="107" t="s">
        <v>33</v>
      </c>
      <c r="D52" s="297">
        <v>1</v>
      </c>
      <c r="E52" s="298">
        <v>0</v>
      </c>
      <c r="F52" s="297">
        <v>0</v>
      </c>
      <c r="G52" s="297">
        <v>1</v>
      </c>
      <c r="H52" s="297">
        <v>6</v>
      </c>
      <c r="I52" s="297">
        <v>39</v>
      </c>
      <c r="J52" s="298">
        <v>-33</v>
      </c>
      <c r="K52" s="297">
        <v>0</v>
      </c>
      <c r="L52" s="297">
        <v>0</v>
      </c>
      <c r="M52" s="297">
        <v>0</v>
      </c>
      <c r="N52" s="297">
        <v>0</v>
      </c>
      <c r="O52" s="297">
        <v>5</v>
      </c>
      <c r="P52" s="298">
        <v>0</v>
      </c>
    </row>
    <row r="53" spans="1:16" ht="14.95" thickBot="1" x14ac:dyDescent="0.3">
      <c r="A53" s="295">
        <v>6</v>
      </c>
      <c r="B53" s="139" t="s">
        <v>48</v>
      </c>
      <c r="C53" s="301" t="s">
        <v>35</v>
      </c>
      <c r="D53" s="297">
        <v>1</v>
      </c>
      <c r="E53" s="298">
        <v>0</v>
      </c>
      <c r="F53" s="297">
        <v>0</v>
      </c>
      <c r="G53" s="297">
        <v>1</v>
      </c>
      <c r="H53" s="297">
        <v>5</v>
      </c>
      <c r="I53" s="297">
        <v>57</v>
      </c>
      <c r="J53" s="298">
        <v>-52</v>
      </c>
      <c r="K53" s="297">
        <v>0</v>
      </c>
      <c r="L53" s="297">
        <v>0</v>
      </c>
      <c r="M53" s="297">
        <v>0</v>
      </c>
      <c r="N53" s="297">
        <v>1</v>
      </c>
      <c r="O53" s="297">
        <v>9</v>
      </c>
      <c r="P53" s="298">
        <v>0</v>
      </c>
    </row>
    <row r="54" spans="1:16" x14ac:dyDescent="0.25">
      <c r="A54" s="160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  <sortCondition ref="C2:C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workbookViewId="0">
      <selection activeCell="R18" sqref="R18"/>
    </sheetView>
  </sheetViews>
  <sheetFormatPr defaultRowHeight="14.3" x14ac:dyDescent="0.25"/>
  <cols>
    <col min="1" max="1" width="10.75" bestFit="1" customWidth="1"/>
    <col min="2" max="2" width="6" customWidth="1"/>
    <col min="3" max="5" width="3.75" customWidth="1"/>
    <col min="6" max="6" width="5" bestFit="1" customWidth="1"/>
    <col min="7" max="7" width="2.75" customWidth="1"/>
    <col min="8" max="11" width="3.75" customWidth="1"/>
    <col min="12" max="15" width="7.75" customWidth="1"/>
  </cols>
  <sheetData>
    <row r="1" spans="1:15" x14ac:dyDescent="0.25">
      <c r="B1" s="76" t="s">
        <v>163</v>
      </c>
      <c r="F1" s="667">
        <v>2022</v>
      </c>
      <c r="G1" s="668"/>
      <c r="H1" s="668"/>
    </row>
    <row r="2" spans="1:15" x14ac:dyDescent="0.25">
      <c r="A2" s="261">
        <v>44646</v>
      </c>
      <c r="B2" s="291">
        <v>12</v>
      </c>
      <c r="C2" s="664" t="s">
        <v>35</v>
      </c>
      <c r="D2" s="665"/>
      <c r="E2" s="665"/>
      <c r="F2" s="262">
        <v>5</v>
      </c>
      <c r="G2" s="263" t="s">
        <v>152</v>
      </c>
      <c r="H2" s="265">
        <v>57</v>
      </c>
      <c r="I2" s="666" t="s">
        <v>30</v>
      </c>
      <c r="J2" s="671"/>
      <c r="K2" s="671"/>
      <c r="L2" s="664" t="s">
        <v>153</v>
      </c>
      <c r="M2" s="664"/>
      <c r="N2" s="664"/>
      <c r="O2" s="637"/>
    </row>
    <row r="3" spans="1:15" x14ac:dyDescent="0.25">
      <c r="A3" s="261">
        <v>44646</v>
      </c>
      <c r="B3" s="291">
        <v>16.45</v>
      </c>
      <c r="C3" s="662" t="s">
        <v>37</v>
      </c>
      <c r="D3" s="662"/>
      <c r="E3" s="662"/>
      <c r="F3" s="262">
        <v>19</v>
      </c>
      <c r="G3" s="263" t="s">
        <v>152</v>
      </c>
      <c r="H3" s="265">
        <v>27</v>
      </c>
      <c r="I3" s="262" t="s">
        <v>32</v>
      </c>
      <c r="J3" s="262"/>
      <c r="K3" s="262"/>
      <c r="L3" s="669" t="s">
        <v>155</v>
      </c>
      <c r="M3" s="669"/>
      <c r="N3" s="669"/>
      <c r="O3" s="670"/>
    </row>
    <row r="4" spans="1:15" x14ac:dyDescent="0.25">
      <c r="A4" s="261">
        <v>44646</v>
      </c>
      <c r="B4" s="291">
        <v>15</v>
      </c>
      <c r="C4" s="662" t="s">
        <v>34</v>
      </c>
      <c r="D4" s="662"/>
      <c r="E4" s="662"/>
      <c r="F4" s="262">
        <v>39</v>
      </c>
      <c r="G4" s="263" t="s">
        <v>152</v>
      </c>
      <c r="H4" s="265">
        <v>6</v>
      </c>
      <c r="I4" s="663" t="s">
        <v>33</v>
      </c>
      <c r="J4" s="663"/>
      <c r="K4" s="663"/>
      <c r="L4" s="662" t="s">
        <v>162</v>
      </c>
      <c r="M4" s="662"/>
      <c r="N4" s="662"/>
      <c r="O4" s="637"/>
    </row>
    <row r="5" spans="1:15" x14ac:dyDescent="0.25">
      <c r="A5" s="261">
        <v>44653</v>
      </c>
      <c r="B5" s="291">
        <v>14.15</v>
      </c>
      <c r="C5" s="664" t="s">
        <v>34</v>
      </c>
      <c r="D5" s="665"/>
      <c r="E5" s="665"/>
      <c r="F5" s="262">
        <v>40</v>
      </c>
      <c r="G5" s="263" t="s">
        <v>152</v>
      </c>
      <c r="H5" s="265">
        <v>5</v>
      </c>
      <c r="I5" s="262" t="s">
        <v>37</v>
      </c>
      <c r="J5" s="262"/>
      <c r="K5" s="262"/>
      <c r="L5" s="662" t="s">
        <v>170</v>
      </c>
      <c r="M5" s="662"/>
      <c r="N5" s="662"/>
      <c r="O5" s="637"/>
    </row>
    <row r="6" spans="1:15" x14ac:dyDescent="0.25">
      <c r="A6" s="261">
        <v>44653</v>
      </c>
      <c r="B6" s="291">
        <v>16.45</v>
      </c>
      <c r="C6" s="662" t="s">
        <v>32</v>
      </c>
      <c r="D6" s="662"/>
      <c r="E6" s="662"/>
      <c r="F6" s="262">
        <v>24</v>
      </c>
      <c r="G6" s="263" t="s">
        <v>152</v>
      </c>
      <c r="H6" s="265">
        <v>19</v>
      </c>
      <c r="I6" s="262" t="s">
        <v>35</v>
      </c>
      <c r="J6" s="262"/>
      <c r="K6" s="262"/>
      <c r="L6" s="662" t="s">
        <v>178</v>
      </c>
      <c r="M6" s="662"/>
      <c r="N6" s="662"/>
      <c r="O6" s="637"/>
    </row>
    <row r="7" spans="1:15" x14ac:dyDescent="0.25">
      <c r="A7" s="261">
        <v>44654</v>
      </c>
      <c r="B7" s="291">
        <v>15</v>
      </c>
      <c r="C7" s="664" t="s">
        <v>33</v>
      </c>
      <c r="D7" s="665"/>
      <c r="E7" s="665"/>
      <c r="F7" s="262">
        <v>0</v>
      </c>
      <c r="G7" s="263" t="s">
        <v>152</v>
      </c>
      <c r="H7" s="265">
        <v>74</v>
      </c>
      <c r="I7" s="262" t="s">
        <v>30</v>
      </c>
      <c r="J7" s="262"/>
      <c r="K7" s="262"/>
      <c r="L7" s="662" t="s">
        <v>179</v>
      </c>
      <c r="M7" s="662"/>
      <c r="N7" s="662"/>
      <c r="O7" s="637"/>
    </row>
    <row r="8" spans="1:15" x14ac:dyDescent="0.25">
      <c r="A8" s="261">
        <v>44660</v>
      </c>
      <c r="B8" s="291">
        <v>16.45</v>
      </c>
      <c r="C8" s="662" t="s">
        <v>30</v>
      </c>
      <c r="D8" s="662"/>
      <c r="E8" s="662"/>
      <c r="F8" s="262">
        <v>58</v>
      </c>
      <c r="G8" s="263" t="s">
        <v>152</v>
      </c>
      <c r="H8" s="265">
        <v>5</v>
      </c>
      <c r="I8" s="262" t="s">
        <v>32</v>
      </c>
      <c r="J8" s="262"/>
      <c r="K8" s="262"/>
      <c r="L8" s="662" t="s">
        <v>190</v>
      </c>
      <c r="M8" s="662"/>
      <c r="N8" s="662"/>
      <c r="O8" s="637"/>
    </row>
    <row r="9" spans="1:15" x14ac:dyDescent="0.25">
      <c r="A9" s="261">
        <v>44661</v>
      </c>
      <c r="B9" s="291">
        <v>13</v>
      </c>
      <c r="C9" s="664" t="s">
        <v>35</v>
      </c>
      <c r="D9" s="665"/>
      <c r="E9" s="665"/>
      <c r="F9" s="262">
        <v>8</v>
      </c>
      <c r="G9" s="263" t="s">
        <v>152</v>
      </c>
      <c r="H9" s="265">
        <v>28</v>
      </c>
      <c r="I9" s="262" t="s">
        <v>34</v>
      </c>
      <c r="J9" s="262"/>
      <c r="K9" s="262"/>
      <c r="L9" s="664" t="s">
        <v>191</v>
      </c>
      <c r="M9" s="665"/>
      <c r="N9" s="665"/>
      <c r="O9" s="637"/>
    </row>
    <row r="10" spans="1:15" x14ac:dyDescent="0.25">
      <c r="A10" s="261">
        <v>44661</v>
      </c>
      <c r="B10" s="291">
        <v>17</v>
      </c>
      <c r="C10" s="662" t="s">
        <v>37</v>
      </c>
      <c r="D10" s="662"/>
      <c r="E10" s="662"/>
      <c r="F10" s="262">
        <v>29</v>
      </c>
      <c r="G10" s="263" t="s">
        <v>152</v>
      </c>
      <c r="H10" s="265">
        <v>8</v>
      </c>
      <c r="I10" s="663" t="s">
        <v>33</v>
      </c>
      <c r="J10" s="663"/>
      <c r="K10" s="663"/>
      <c r="L10" s="664" t="s">
        <v>192</v>
      </c>
      <c r="M10" s="664"/>
      <c r="N10" s="664"/>
      <c r="O10" s="637"/>
    </row>
    <row r="11" spans="1:15" x14ac:dyDescent="0.25">
      <c r="A11" s="261">
        <v>37368</v>
      </c>
      <c r="B11" s="291">
        <v>20</v>
      </c>
      <c r="C11" s="662" t="s">
        <v>32</v>
      </c>
      <c r="D11" s="662"/>
      <c r="E11" s="662"/>
      <c r="F11" s="262">
        <v>5</v>
      </c>
      <c r="G11" s="263" t="s">
        <v>152</v>
      </c>
      <c r="H11" s="265">
        <v>33</v>
      </c>
      <c r="I11" s="262" t="s">
        <v>34</v>
      </c>
      <c r="J11" s="262"/>
      <c r="K11" s="262"/>
      <c r="L11" s="662" t="s">
        <v>178</v>
      </c>
      <c r="M11" s="662"/>
      <c r="N11" s="662"/>
      <c r="O11" s="637"/>
    </row>
    <row r="12" spans="1:15" x14ac:dyDescent="0.25">
      <c r="A12" s="261">
        <v>44674</v>
      </c>
      <c r="B12" s="291">
        <v>19.2</v>
      </c>
      <c r="C12" s="664" t="s">
        <v>33</v>
      </c>
      <c r="D12" s="665"/>
      <c r="E12" s="665"/>
      <c r="F12" s="262">
        <v>20</v>
      </c>
      <c r="G12" s="263" t="s">
        <v>152</v>
      </c>
      <c r="H12" s="265">
        <v>13</v>
      </c>
      <c r="I12" s="262" t="s">
        <v>35</v>
      </c>
      <c r="J12" s="262"/>
      <c r="K12" s="262"/>
      <c r="L12" s="662" t="s">
        <v>179</v>
      </c>
      <c r="M12" s="662"/>
      <c r="N12" s="662"/>
      <c r="O12" s="637"/>
    </row>
    <row r="13" spans="1:15" x14ac:dyDescent="0.25">
      <c r="A13" s="261">
        <v>44675</v>
      </c>
      <c r="B13" s="291">
        <v>12</v>
      </c>
      <c r="C13" s="662" t="s">
        <v>30</v>
      </c>
      <c r="D13" s="662"/>
      <c r="E13" s="662"/>
      <c r="F13" s="262">
        <v>69</v>
      </c>
      <c r="G13" s="263" t="s">
        <v>152</v>
      </c>
      <c r="H13" s="265">
        <v>0</v>
      </c>
      <c r="I13" s="666" t="s">
        <v>37</v>
      </c>
      <c r="J13" s="637"/>
      <c r="K13" s="637"/>
      <c r="L13" s="664" t="s">
        <v>206</v>
      </c>
      <c r="M13" s="665"/>
      <c r="N13" s="665"/>
      <c r="O13" s="637"/>
    </row>
    <row r="14" spans="1:15" x14ac:dyDescent="0.25">
      <c r="A14" s="261">
        <v>44681</v>
      </c>
      <c r="B14" s="291">
        <v>12</v>
      </c>
      <c r="C14" s="662" t="s">
        <v>32</v>
      </c>
      <c r="D14" s="662"/>
      <c r="E14" s="662"/>
      <c r="F14" s="262">
        <v>8</v>
      </c>
      <c r="G14" s="263" t="s">
        <v>152</v>
      </c>
      <c r="H14" s="265">
        <v>10</v>
      </c>
      <c r="I14" s="663" t="s">
        <v>33</v>
      </c>
      <c r="J14" s="663"/>
      <c r="K14" s="663"/>
      <c r="L14" s="662" t="s">
        <v>178</v>
      </c>
      <c r="M14" s="662"/>
      <c r="N14" s="662"/>
      <c r="O14" s="637"/>
    </row>
    <row r="15" spans="1:15" x14ac:dyDescent="0.25">
      <c r="A15" s="261">
        <v>44681</v>
      </c>
      <c r="B15" s="291">
        <v>14.15</v>
      </c>
      <c r="C15" s="664" t="s">
        <v>34</v>
      </c>
      <c r="D15" s="665"/>
      <c r="E15" s="665"/>
      <c r="F15" s="262">
        <v>12</v>
      </c>
      <c r="G15" s="263" t="s">
        <v>152</v>
      </c>
      <c r="H15" s="265">
        <v>24</v>
      </c>
      <c r="I15" s="262" t="s">
        <v>30</v>
      </c>
      <c r="J15" s="262"/>
      <c r="K15" s="262"/>
      <c r="L15" s="662" t="s">
        <v>227</v>
      </c>
      <c r="M15" s="662"/>
      <c r="N15" s="662"/>
      <c r="O15" s="637"/>
    </row>
    <row r="16" spans="1:15" x14ac:dyDescent="0.25">
      <c r="A16" s="261">
        <v>44681</v>
      </c>
      <c r="B16" s="291">
        <v>20</v>
      </c>
      <c r="C16" s="662" t="s">
        <v>37</v>
      </c>
      <c r="D16" s="662"/>
      <c r="E16" s="662"/>
      <c r="F16" s="262">
        <v>15</v>
      </c>
      <c r="G16" s="263" t="s">
        <v>152</v>
      </c>
      <c r="H16" s="265">
        <v>14</v>
      </c>
      <c r="I16" s="262" t="s">
        <v>35</v>
      </c>
      <c r="J16" s="262"/>
      <c r="K16" s="262"/>
      <c r="L16" s="662" t="s">
        <v>233</v>
      </c>
      <c r="M16" s="662"/>
      <c r="N16" s="662"/>
      <c r="O16" s="637"/>
    </row>
    <row r="18" spans="1:1" x14ac:dyDescent="0.25">
      <c r="A18" s="160" t="s">
        <v>28</v>
      </c>
    </row>
  </sheetData>
  <mergeCells count="36">
    <mergeCell ref="C13:E13"/>
    <mergeCell ref="I13:K13"/>
    <mergeCell ref="L13:O13"/>
    <mergeCell ref="F1:H1"/>
    <mergeCell ref="L2:O2"/>
    <mergeCell ref="L3:O3"/>
    <mergeCell ref="L4:O4"/>
    <mergeCell ref="L6:O6"/>
    <mergeCell ref="L7:O7"/>
    <mergeCell ref="L8:O8"/>
    <mergeCell ref="L9:O9"/>
    <mergeCell ref="L10:O10"/>
    <mergeCell ref="L11:O11"/>
    <mergeCell ref="L12:O12"/>
    <mergeCell ref="I2:K2"/>
    <mergeCell ref="C2:E2"/>
    <mergeCell ref="C3:E3"/>
    <mergeCell ref="C11:E11"/>
    <mergeCell ref="C12:E12"/>
    <mergeCell ref="C5:E5"/>
    <mergeCell ref="C7:E7"/>
    <mergeCell ref="L5:O5"/>
    <mergeCell ref="C4:E4"/>
    <mergeCell ref="I4:K4"/>
    <mergeCell ref="C9:E9"/>
    <mergeCell ref="C10:E10"/>
    <mergeCell ref="I10:K10"/>
    <mergeCell ref="C8:E8"/>
    <mergeCell ref="C6:E6"/>
    <mergeCell ref="C16:E16"/>
    <mergeCell ref="L16:O16"/>
    <mergeCell ref="C14:E14"/>
    <mergeCell ref="I14:K14"/>
    <mergeCell ref="L14:O14"/>
    <mergeCell ref="L15:O15"/>
    <mergeCell ref="C15:E1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workbookViewId="0">
      <selection activeCell="I38" sqref="I38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75" customWidth="1"/>
    <col min="5" max="5" width="10.25" bestFit="1" customWidth="1"/>
  </cols>
  <sheetData>
    <row r="1" spans="1:18" ht="14.95" thickBot="1" x14ac:dyDescent="0.3"/>
    <row r="2" spans="1:18" ht="14.95" customHeight="1" thickBot="1" x14ac:dyDescent="0.3">
      <c r="A2" s="51"/>
      <c r="B2" s="677" t="s">
        <v>51</v>
      </c>
      <c r="C2" s="678"/>
      <c r="D2" s="658" t="s">
        <v>52</v>
      </c>
      <c r="E2" s="659"/>
      <c r="F2" s="64" t="s">
        <v>53</v>
      </c>
      <c r="H2" s="674" t="s">
        <v>55</v>
      </c>
      <c r="I2" s="672" t="s">
        <v>63</v>
      </c>
      <c r="J2" s="673"/>
      <c r="K2" s="672" t="s">
        <v>64</v>
      </c>
      <c r="L2" s="676"/>
      <c r="M2" s="676"/>
      <c r="N2" s="676"/>
      <c r="O2" s="673"/>
      <c r="P2" s="92" t="s">
        <v>65</v>
      </c>
      <c r="Q2" s="672" t="s">
        <v>66</v>
      </c>
      <c r="R2" s="673"/>
    </row>
    <row r="3" spans="1:18" ht="14.95" customHeight="1" thickBot="1" x14ac:dyDescent="0.3">
      <c r="A3" s="115" t="s">
        <v>30</v>
      </c>
      <c r="B3" s="292">
        <v>1</v>
      </c>
      <c r="C3" s="269" t="s">
        <v>231</v>
      </c>
      <c r="D3" s="65">
        <v>0</v>
      </c>
      <c r="E3" s="66"/>
      <c r="F3" s="67">
        <f t="shared" ref="F3:F8" si="0">SUM(B3+D3*2)</f>
        <v>1</v>
      </c>
      <c r="H3" s="675"/>
      <c r="I3" s="93" t="s">
        <v>4</v>
      </c>
      <c r="J3" s="93" t="s">
        <v>5</v>
      </c>
      <c r="K3" s="94" t="s">
        <v>223</v>
      </c>
      <c r="L3" s="95" t="s">
        <v>224</v>
      </c>
      <c r="M3" s="95" t="s">
        <v>225</v>
      </c>
      <c r="N3" s="96" t="s">
        <v>226</v>
      </c>
      <c r="O3" s="97" t="s">
        <v>67</v>
      </c>
      <c r="P3" s="98" t="s">
        <v>68</v>
      </c>
      <c r="Q3" s="94" t="s">
        <v>4</v>
      </c>
      <c r="R3" s="97" t="s">
        <v>5</v>
      </c>
    </row>
    <row r="4" spans="1:18" ht="14.95" customHeight="1" thickBot="1" x14ac:dyDescent="0.3">
      <c r="A4" s="35" t="s">
        <v>35</v>
      </c>
      <c r="B4" s="69">
        <v>1</v>
      </c>
      <c r="C4" s="70" t="s">
        <v>177</v>
      </c>
      <c r="D4" s="65">
        <f>Scotlandred</f>
        <v>0</v>
      </c>
      <c r="E4" s="66"/>
      <c r="F4" s="67">
        <f t="shared" si="0"/>
        <v>1</v>
      </c>
      <c r="H4" s="111" t="s">
        <v>30</v>
      </c>
      <c r="I4" s="99">
        <v>0</v>
      </c>
      <c r="J4" s="99">
        <v>0</v>
      </c>
      <c r="K4" s="99">
        <v>10</v>
      </c>
      <c r="L4" s="99">
        <v>0</v>
      </c>
      <c r="M4" s="99">
        <v>0</v>
      </c>
      <c r="N4" s="99">
        <v>0</v>
      </c>
      <c r="O4" s="100">
        <f t="shared" ref="O4:O9" si="1">SUM(K4:N4)</f>
        <v>10</v>
      </c>
      <c r="P4" s="99">
        <v>0</v>
      </c>
      <c r="Q4" s="181">
        <f t="shared" ref="Q4" si="2">SUM(I4/O4)*10</f>
        <v>0</v>
      </c>
      <c r="R4" s="180">
        <f t="shared" ref="R4" si="3">SUM(J4/O4)*10</f>
        <v>0</v>
      </c>
    </row>
    <row r="5" spans="1:18" ht="14.95" customHeight="1" thickBot="1" x14ac:dyDescent="0.3">
      <c r="A5" s="116" t="s">
        <v>33</v>
      </c>
      <c r="B5" s="68">
        <v>2</v>
      </c>
      <c r="C5" s="304" t="s">
        <v>203</v>
      </c>
      <c r="D5" s="65">
        <v>0</v>
      </c>
      <c r="E5" s="66"/>
      <c r="F5" s="67">
        <f t="shared" si="0"/>
        <v>2</v>
      </c>
      <c r="H5" s="83" t="s">
        <v>34</v>
      </c>
      <c r="I5" s="99">
        <v>5</v>
      </c>
      <c r="J5" s="99">
        <v>5</v>
      </c>
      <c r="K5" s="99">
        <v>21</v>
      </c>
      <c r="L5" s="99">
        <v>0</v>
      </c>
      <c r="M5" s="99">
        <v>0</v>
      </c>
      <c r="N5" s="99">
        <v>0</v>
      </c>
      <c r="O5" s="100">
        <f t="shared" si="1"/>
        <v>21</v>
      </c>
      <c r="P5" s="99">
        <v>0</v>
      </c>
      <c r="Q5" s="181">
        <f t="shared" ref="Q5" si="4">SUM(I5/O5)*10</f>
        <v>2.3809523809523809</v>
      </c>
      <c r="R5" s="180">
        <f t="shared" ref="R5" si="5">SUM(J5/O5)*10</f>
        <v>2.3809523809523809</v>
      </c>
    </row>
    <row r="6" spans="1:18" ht="14.95" customHeight="1" thickBot="1" x14ac:dyDescent="0.3">
      <c r="A6" s="84" t="s">
        <v>34</v>
      </c>
      <c r="B6" s="68">
        <v>3</v>
      </c>
      <c r="C6" s="138" t="s">
        <v>232</v>
      </c>
      <c r="D6" s="65">
        <v>0</v>
      </c>
      <c r="E6" s="66"/>
      <c r="F6" s="67">
        <f t="shared" si="0"/>
        <v>3</v>
      </c>
      <c r="H6" s="21" t="s">
        <v>37</v>
      </c>
      <c r="I6" s="99">
        <v>5</v>
      </c>
      <c r="J6" s="99">
        <v>36</v>
      </c>
      <c r="K6" s="99">
        <v>44</v>
      </c>
      <c r="L6" s="99">
        <v>0</v>
      </c>
      <c r="M6" s="99">
        <v>0</v>
      </c>
      <c r="N6" s="99">
        <v>0</v>
      </c>
      <c r="O6" s="100">
        <f t="shared" si="1"/>
        <v>44</v>
      </c>
      <c r="P6" s="99">
        <v>0</v>
      </c>
      <c r="Q6" s="181">
        <f t="shared" ref="Q6" si="6">SUM(I6/O6)*10</f>
        <v>1.1363636363636362</v>
      </c>
      <c r="R6" s="180">
        <f t="shared" ref="R6" si="7">SUM(J6/O6)*10</f>
        <v>8.1818181818181817</v>
      </c>
    </row>
    <row r="7" spans="1:18" ht="14.95" customHeight="1" thickBot="1" x14ac:dyDescent="0.3">
      <c r="A7" s="9" t="s">
        <v>32</v>
      </c>
      <c r="B7" s="69">
        <v>4</v>
      </c>
      <c r="C7" s="70" t="s">
        <v>222</v>
      </c>
      <c r="D7" s="65">
        <f>Walesred</f>
        <v>0</v>
      </c>
      <c r="E7" s="66"/>
      <c r="F7" s="67">
        <f t="shared" si="0"/>
        <v>4</v>
      </c>
      <c r="H7" s="108" t="s">
        <v>33</v>
      </c>
      <c r="I7" s="99">
        <v>0</v>
      </c>
      <c r="J7" s="99">
        <v>24</v>
      </c>
      <c r="K7" s="99">
        <v>20</v>
      </c>
      <c r="L7" s="99">
        <v>0</v>
      </c>
      <c r="M7" s="99">
        <v>0</v>
      </c>
      <c r="N7" s="99">
        <v>0</v>
      </c>
      <c r="O7" s="100">
        <f t="shared" si="1"/>
        <v>20</v>
      </c>
      <c r="P7" s="99">
        <v>0</v>
      </c>
      <c r="Q7" s="181">
        <f t="shared" ref="Q7" si="8">SUM(I7/O7)*10</f>
        <v>0</v>
      </c>
      <c r="R7" s="180">
        <f t="shared" ref="R7" si="9">SUM(J7/O7)*10</f>
        <v>12</v>
      </c>
    </row>
    <row r="8" spans="1:18" ht="14.95" customHeight="1" thickBot="1" x14ac:dyDescent="0.3">
      <c r="A8" s="22" t="s">
        <v>37</v>
      </c>
      <c r="B8" s="68">
        <v>3</v>
      </c>
      <c r="C8" s="138" t="s">
        <v>216</v>
      </c>
      <c r="D8" s="65">
        <f>Irelandred</f>
        <v>1</v>
      </c>
      <c r="E8" s="66" t="s">
        <v>217</v>
      </c>
      <c r="F8" s="67">
        <f t="shared" si="0"/>
        <v>5</v>
      </c>
      <c r="H8" s="34" t="s">
        <v>35</v>
      </c>
      <c r="I8" s="99">
        <v>0</v>
      </c>
      <c r="J8" s="99">
        <v>7</v>
      </c>
      <c r="K8" s="99">
        <v>10</v>
      </c>
      <c r="L8" s="99">
        <v>0</v>
      </c>
      <c r="M8" s="99">
        <v>0</v>
      </c>
      <c r="N8" s="99">
        <v>0</v>
      </c>
      <c r="O8" s="100">
        <f t="shared" si="1"/>
        <v>10</v>
      </c>
      <c r="P8" s="99">
        <v>0</v>
      </c>
      <c r="Q8" s="181">
        <f t="shared" ref="Q8" si="10">SUM(I8/O8)*10</f>
        <v>0</v>
      </c>
      <c r="R8" s="180">
        <f t="shared" ref="R8" si="11">SUM(J8/O8)*10</f>
        <v>7</v>
      </c>
    </row>
    <row r="9" spans="1:18" ht="14.95" customHeight="1" thickBot="1" x14ac:dyDescent="0.3">
      <c r="A9" s="117" t="s">
        <v>54</v>
      </c>
      <c r="B9" s="68">
        <f>SUM(B3:B8)</f>
        <v>14</v>
      </c>
      <c r="C9" s="71"/>
      <c r="D9" s="72">
        <f>SUM(D3:D8)</f>
        <v>1</v>
      </c>
      <c r="E9" s="73"/>
      <c r="F9" s="64" t="s">
        <v>55</v>
      </c>
      <c r="H9" s="8" t="s">
        <v>32</v>
      </c>
      <c r="I9" s="99">
        <v>12</v>
      </c>
      <c r="J9" s="99">
        <v>17</v>
      </c>
      <c r="K9" s="99">
        <v>28</v>
      </c>
      <c r="L9" s="99">
        <v>4</v>
      </c>
      <c r="M9" s="99">
        <v>0</v>
      </c>
      <c r="N9" s="99">
        <v>0</v>
      </c>
      <c r="O9" s="100">
        <f t="shared" si="1"/>
        <v>32</v>
      </c>
      <c r="P9" s="99">
        <v>0</v>
      </c>
      <c r="Q9" s="181">
        <f t="shared" ref="Q9" si="12">SUM(I9/O9)*10</f>
        <v>3.75</v>
      </c>
      <c r="R9" s="180">
        <f t="shared" ref="R9" si="13">SUM(J9/O9)*10</f>
        <v>5.3125</v>
      </c>
    </row>
    <row r="10" spans="1:18" ht="14.95" thickBot="1" x14ac:dyDescent="0.3">
      <c r="D10" s="74"/>
      <c r="E10" s="75"/>
      <c r="H10" s="106" t="s">
        <v>54</v>
      </c>
      <c r="I10" s="101">
        <f>SUM(I4:I9)</f>
        <v>22</v>
      </c>
      <c r="J10" s="101">
        <f>SUM(J4:J9)</f>
        <v>89</v>
      </c>
      <c r="K10" s="101">
        <f t="shared" ref="K10:P10" si="14">SUM(K4:K9)</f>
        <v>133</v>
      </c>
      <c r="L10" s="101">
        <f t="shared" si="14"/>
        <v>4</v>
      </c>
      <c r="M10" s="101">
        <f t="shared" si="14"/>
        <v>0</v>
      </c>
      <c r="N10" s="101">
        <f t="shared" si="14"/>
        <v>0</v>
      </c>
      <c r="O10" s="101">
        <f t="shared" si="14"/>
        <v>137</v>
      </c>
      <c r="P10" s="101">
        <f t="shared" si="14"/>
        <v>0</v>
      </c>
      <c r="Q10" s="104">
        <f t="shared" ref="Q10" si="15">SUM(I10/O10)*10</f>
        <v>1.6058394160583942</v>
      </c>
      <c r="R10" s="105">
        <f t="shared" ref="R10" si="16">SUM(J10/O10)*10</f>
        <v>6.4963503649635035</v>
      </c>
    </row>
    <row r="11" spans="1:18" x14ac:dyDescent="0.25">
      <c r="A11" s="76" t="s">
        <v>56</v>
      </c>
      <c r="B11" s="76"/>
    </row>
    <row r="12" spans="1:18" x14ac:dyDescent="0.25">
      <c r="A12" s="651" t="s">
        <v>234</v>
      </c>
      <c r="B12" s="651"/>
      <c r="C12" s="637"/>
      <c r="D12" s="637"/>
      <c r="H12" s="76" t="s">
        <v>100</v>
      </c>
    </row>
    <row r="13" spans="1:18" ht="14.95" thickBot="1" x14ac:dyDescent="0.3">
      <c r="A13" s="160"/>
      <c r="B13" s="14"/>
      <c r="E13" t="s">
        <v>55</v>
      </c>
      <c r="I13" s="76"/>
    </row>
    <row r="14" spans="1:18" ht="14.95" thickBot="1" x14ac:dyDescent="0.3">
      <c r="H14" s="674" t="s">
        <v>55</v>
      </c>
      <c r="I14" s="672" t="s">
        <v>63</v>
      </c>
      <c r="J14" s="673"/>
      <c r="K14" s="672" t="s">
        <v>55</v>
      </c>
      <c r="L14" s="676"/>
      <c r="M14" s="676"/>
      <c r="N14" s="676"/>
      <c r="O14" s="673"/>
      <c r="P14" s="672" t="s">
        <v>66</v>
      </c>
      <c r="Q14" s="673"/>
    </row>
    <row r="15" spans="1:18" ht="14.95" thickBot="1" x14ac:dyDescent="0.3">
      <c r="H15" s="675"/>
      <c r="I15" s="93" t="s">
        <v>4</v>
      </c>
      <c r="J15" s="93" t="s">
        <v>5</v>
      </c>
      <c r="K15" s="94" t="s">
        <v>69</v>
      </c>
      <c r="L15" s="95" t="s">
        <v>70</v>
      </c>
      <c r="M15" s="95" t="s">
        <v>102</v>
      </c>
      <c r="N15" s="96"/>
      <c r="O15" s="97" t="s">
        <v>67</v>
      </c>
      <c r="P15" s="94" t="s">
        <v>4</v>
      </c>
      <c r="Q15" s="97" t="s">
        <v>5</v>
      </c>
    </row>
    <row r="16" spans="1:18" ht="14.95" thickBot="1" x14ac:dyDescent="0.3">
      <c r="H16" s="111" t="s">
        <v>30</v>
      </c>
      <c r="I16" s="99">
        <v>41</v>
      </c>
      <c r="J16" s="99">
        <v>5</v>
      </c>
      <c r="K16" s="99">
        <v>54</v>
      </c>
      <c r="L16" s="99">
        <v>0</v>
      </c>
      <c r="M16" s="99">
        <v>0</v>
      </c>
      <c r="N16" s="99">
        <v>0</v>
      </c>
      <c r="O16" s="100">
        <f t="shared" ref="O16:O21" si="17">SUM(K16:N16)</f>
        <v>54</v>
      </c>
      <c r="P16" s="181">
        <f t="shared" ref="P16" si="18">SUM(I16/O16)*10</f>
        <v>7.5925925925925934</v>
      </c>
      <c r="Q16" s="180">
        <f t="shared" ref="Q16" si="19">SUM(J16/O16)*10</f>
        <v>0.92592592592592582</v>
      </c>
    </row>
    <row r="17" spans="8:17" ht="14.95" thickBot="1" x14ac:dyDescent="0.3">
      <c r="H17" s="83" t="s">
        <v>34</v>
      </c>
      <c r="I17" s="99">
        <v>0</v>
      </c>
      <c r="J17" s="99">
        <v>0</v>
      </c>
      <c r="K17" s="99">
        <v>10</v>
      </c>
      <c r="L17" s="99">
        <v>0</v>
      </c>
      <c r="M17" s="99">
        <v>0</v>
      </c>
      <c r="N17" s="99">
        <v>0</v>
      </c>
      <c r="O17" s="100">
        <f t="shared" si="17"/>
        <v>10</v>
      </c>
      <c r="P17" s="181">
        <f t="shared" ref="P17" si="20">SUM(I17/O17)*10</f>
        <v>0</v>
      </c>
      <c r="Q17" s="180">
        <f t="shared" ref="Q17" si="21">SUM(J17/O17)*10</f>
        <v>0</v>
      </c>
    </row>
    <row r="18" spans="8:17" ht="14.95" thickBot="1" x14ac:dyDescent="0.3">
      <c r="H18" s="21" t="s">
        <v>37</v>
      </c>
      <c r="I18" s="99">
        <v>12</v>
      </c>
      <c r="J18" s="99">
        <v>0</v>
      </c>
      <c r="K18" s="99">
        <v>11</v>
      </c>
      <c r="L18" s="99">
        <v>0</v>
      </c>
      <c r="M18" s="99">
        <v>0</v>
      </c>
      <c r="N18" s="99">
        <v>0</v>
      </c>
      <c r="O18" s="100">
        <f t="shared" si="17"/>
        <v>11</v>
      </c>
      <c r="P18" s="181">
        <f t="shared" ref="P18" si="22">SUM(I18/O18)*10</f>
        <v>10.909090909090908</v>
      </c>
      <c r="Q18" s="180">
        <f t="shared" ref="Q18" si="23">SUM(J18/O18)*10</f>
        <v>0</v>
      </c>
    </row>
    <row r="19" spans="8:17" ht="14.95" thickBot="1" x14ac:dyDescent="0.3">
      <c r="H19" s="108" t="s">
        <v>33</v>
      </c>
      <c r="I19" s="99">
        <v>12</v>
      </c>
      <c r="J19" s="99">
        <v>5</v>
      </c>
      <c r="K19" s="99">
        <v>18</v>
      </c>
      <c r="L19" s="99">
        <v>4</v>
      </c>
      <c r="M19" s="99">
        <v>0</v>
      </c>
      <c r="N19" s="99">
        <v>0</v>
      </c>
      <c r="O19" s="100">
        <f t="shared" si="17"/>
        <v>22</v>
      </c>
      <c r="P19" s="181">
        <f t="shared" ref="P19" si="24">SUM(I19/O19)*10</f>
        <v>5.4545454545454541</v>
      </c>
      <c r="Q19" s="180">
        <f t="shared" ref="Q19" si="25">SUM(J19/O19)*10</f>
        <v>2.2727272727272725</v>
      </c>
    </row>
    <row r="20" spans="8:17" ht="14.95" thickBot="1" x14ac:dyDescent="0.3">
      <c r="H20" s="34" t="s">
        <v>35</v>
      </c>
      <c r="I20" s="99">
        <v>10</v>
      </c>
      <c r="J20" s="99">
        <v>7</v>
      </c>
      <c r="K20" s="99">
        <v>20</v>
      </c>
      <c r="L20" s="99">
        <v>0</v>
      </c>
      <c r="M20" s="99">
        <v>0</v>
      </c>
      <c r="N20" s="99">
        <v>0</v>
      </c>
      <c r="O20" s="100">
        <f t="shared" si="17"/>
        <v>20</v>
      </c>
      <c r="P20" s="181">
        <f t="shared" ref="P20" si="26">SUM(I20/O20)*10</f>
        <v>5</v>
      </c>
      <c r="Q20" s="180">
        <f t="shared" ref="Q20" si="27">SUM(J20/O20)*10</f>
        <v>3.5</v>
      </c>
    </row>
    <row r="21" spans="8:17" ht="14.95" thickBot="1" x14ac:dyDescent="0.3">
      <c r="H21" s="8" t="s">
        <v>32</v>
      </c>
      <c r="I21" s="99">
        <v>14</v>
      </c>
      <c r="J21" s="99">
        <v>0</v>
      </c>
      <c r="K21" s="99">
        <v>20</v>
      </c>
      <c r="L21" s="99">
        <v>0</v>
      </c>
      <c r="M21" s="99">
        <v>0</v>
      </c>
      <c r="N21" s="99">
        <v>0</v>
      </c>
      <c r="O21" s="100">
        <f t="shared" si="17"/>
        <v>20</v>
      </c>
      <c r="P21" s="181">
        <f t="shared" ref="P21" si="28">SUM(I21/O21)*10</f>
        <v>7</v>
      </c>
      <c r="Q21" s="180">
        <f t="shared" ref="Q21" si="29">SUM(J21/O21)*10</f>
        <v>0</v>
      </c>
    </row>
    <row r="22" spans="8:17" ht="14.95" thickBot="1" x14ac:dyDescent="0.3">
      <c r="H22" s="106" t="s">
        <v>54</v>
      </c>
      <c r="I22" s="101">
        <f t="shared" ref="I22:O22" si="30">SUM(I16:I21)</f>
        <v>89</v>
      </c>
      <c r="J22" s="102">
        <f t="shared" si="30"/>
        <v>17</v>
      </c>
      <c r="K22" s="101">
        <f t="shared" si="30"/>
        <v>133</v>
      </c>
      <c r="L22" s="103">
        <f t="shared" si="30"/>
        <v>4</v>
      </c>
      <c r="M22" s="103">
        <f t="shared" si="30"/>
        <v>0</v>
      </c>
      <c r="N22" s="103">
        <f t="shared" si="30"/>
        <v>0</v>
      </c>
      <c r="O22" s="102">
        <f t="shared" si="30"/>
        <v>137</v>
      </c>
      <c r="P22" s="104">
        <f t="shared" ref="P22" si="31">SUM(I22/O22)*10</f>
        <v>6.4963503649635035</v>
      </c>
      <c r="Q22" s="105">
        <f t="shared" ref="Q22" si="32">SUM(J22/O22)*10</f>
        <v>1.2408759124087592</v>
      </c>
    </row>
    <row r="23" spans="8:17" x14ac:dyDescent="0.25">
      <c r="H23" t="s">
        <v>55</v>
      </c>
    </row>
    <row r="24" spans="8:17" x14ac:dyDescent="0.25">
      <c r="H24" s="76" t="s">
        <v>103</v>
      </c>
      <c r="I24" s="76"/>
      <c r="J24" s="76"/>
      <c r="K24" s="76"/>
    </row>
    <row r="25" spans="8:17" x14ac:dyDescent="0.25">
      <c r="H25" t="s">
        <v>218</v>
      </c>
      <c r="I25" s="76"/>
      <c r="J25" s="76"/>
      <c r="K25" s="76"/>
    </row>
    <row r="26" spans="8:17" x14ac:dyDescent="0.25">
      <c r="H26" s="133"/>
      <c r="I26" s="76"/>
      <c r="J26" s="76"/>
      <c r="K26" s="76"/>
    </row>
    <row r="27" spans="8:17" x14ac:dyDescent="0.25">
      <c r="I27" s="76"/>
      <c r="J27" s="76"/>
      <c r="K27" s="76"/>
    </row>
    <row r="28" spans="8:17" x14ac:dyDescent="0.25">
      <c r="J28" s="76"/>
      <c r="K28" s="76"/>
      <c r="L28" s="76"/>
    </row>
    <row r="29" spans="8:17" x14ac:dyDescent="0.25">
      <c r="J29" s="76"/>
      <c r="K29" s="76"/>
      <c r="L29" s="76"/>
    </row>
    <row r="30" spans="8:17" x14ac:dyDescent="0.25">
      <c r="H30" s="76" t="s">
        <v>185</v>
      </c>
      <c r="J30" s="76"/>
      <c r="K30" s="76"/>
      <c r="L30" s="76"/>
    </row>
    <row r="31" spans="8:17" x14ac:dyDescent="0.25">
      <c r="J31" s="76"/>
      <c r="K31" s="76"/>
      <c r="L31" s="76"/>
    </row>
    <row r="33" spans="1:1" x14ac:dyDescent="0.25">
      <c r="A33" s="160" t="s">
        <v>28</v>
      </c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Q2:R2"/>
    <mergeCell ref="H14:H15"/>
    <mergeCell ref="I14:J14"/>
    <mergeCell ref="K14:O14"/>
    <mergeCell ref="P14:Q1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D3E2-5623-4590-83BC-7F75786EB9F2}">
  <dimension ref="A1:AN32"/>
  <sheetViews>
    <sheetView workbookViewId="0">
      <selection activeCell="A14" sqref="A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2.125" bestFit="1" customWidth="1"/>
    <col min="22" max="22" width="17.5" bestFit="1" customWidth="1"/>
    <col min="23" max="23" width="23.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695" t="s">
        <v>240</v>
      </c>
      <c r="B1" s="696"/>
      <c r="C1" s="696"/>
      <c r="D1" s="305"/>
      <c r="E1" s="697" t="s">
        <v>24</v>
      </c>
      <c r="F1" s="698"/>
      <c r="G1" s="699"/>
      <c r="H1" s="697" t="s">
        <v>81</v>
      </c>
      <c r="I1" s="699"/>
      <c r="J1" s="700" t="s">
        <v>6</v>
      </c>
      <c r="K1" s="701"/>
      <c r="L1" s="701"/>
      <c r="M1" s="702"/>
      <c r="N1" s="700" t="s">
        <v>7</v>
      </c>
      <c r="O1" s="702"/>
      <c r="P1" s="700" t="s">
        <v>25</v>
      </c>
      <c r="Q1" s="701"/>
      <c r="R1" s="702"/>
      <c r="S1" s="306" t="s">
        <v>8</v>
      </c>
      <c r="T1" s="306" t="s">
        <v>9</v>
      </c>
      <c r="U1" s="307" t="s">
        <v>10</v>
      </c>
      <c r="V1" s="307" t="s">
        <v>11</v>
      </c>
      <c r="W1" s="307" t="s">
        <v>26</v>
      </c>
      <c r="X1" s="307" t="s">
        <v>27</v>
      </c>
      <c r="Y1" s="689" t="s">
        <v>20</v>
      </c>
      <c r="Z1" s="690"/>
      <c r="AA1" s="690"/>
      <c r="AB1" s="691"/>
      <c r="AC1" s="689" t="s">
        <v>58</v>
      </c>
      <c r="AD1" s="690"/>
      <c r="AE1" s="690"/>
      <c r="AF1" s="691"/>
      <c r="AG1" s="689" t="s">
        <v>59</v>
      </c>
      <c r="AH1" s="690"/>
      <c r="AI1" s="690"/>
      <c r="AJ1" s="691"/>
      <c r="AK1" s="689" t="s">
        <v>60</v>
      </c>
      <c r="AL1" s="690"/>
      <c r="AM1" s="690"/>
      <c r="AN1" s="691"/>
    </row>
    <row r="2" spans="1:40" ht="14.95" customHeight="1" thickBot="1" x14ac:dyDescent="0.3">
      <c r="A2" s="308" t="s">
        <v>19</v>
      </c>
      <c r="B2" s="309" t="s">
        <v>18</v>
      </c>
      <c r="C2" s="310" t="s">
        <v>17</v>
      </c>
      <c r="D2" s="310" t="s">
        <v>39</v>
      </c>
      <c r="E2" s="311" t="s">
        <v>16</v>
      </c>
      <c r="F2" s="311" t="s">
        <v>4</v>
      </c>
      <c r="G2" s="311" t="s">
        <v>5</v>
      </c>
      <c r="H2" s="312" t="s">
        <v>12</v>
      </c>
      <c r="I2" s="312" t="s">
        <v>3</v>
      </c>
      <c r="J2" s="312" t="s">
        <v>12</v>
      </c>
      <c r="K2" s="312" t="s">
        <v>13</v>
      </c>
      <c r="L2" s="312" t="s">
        <v>2</v>
      </c>
      <c r="M2" s="312" t="s">
        <v>14</v>
      </c>
      <c r="N2" s="312" t="s">
        <v>15</v>
      </c>
      <c r="O2" s="312" t="s">
        <v>16</v>
      </c>
      <c r="P2" s="312" t="s">
        <v>21</v>
      </c>
      <c r="Q2" s="312" t="s">
        <v>22</v>
      </c>
      <c r="R2" s="312" t="s">
        <v>12</v>
      </c>
      <c r="S2" s="313"/>
      <c r="T2" s="314"/>
      <c r="U2" s="315"/>
      <c r="V2" s="313"/>
      <c r="W2" s="307"/>
      <c r="X2" s="316"/>
      <c r="Y2" s="317" t="s">
        <v>0</v>
      </c>
      <c r="Z2" s="317" t="s">
        <v>1</v>
      </c>
      <c r="AA2" s="317" t="s">
        <v>2</v>
      </c>
      <c r="AB2" s="317" t="s">
        <v>3</v>
      </c>
      <c r="AC2" s="317" t="s">
        <v>0</v>
      </c>
      <c r="AD2" s="317" t="s">
        <v>1</v>
      </c>
      <c r="AE2" s="317" t="s">
        <v>2</v>
      </c>
      <c r="AF2" s="317" t="s">
        <v>3</v>
      </c>
      <c r="AG2" s="317" t="s">
        <v>0</v>
      </c>
      <c r="AH2" s="317" t="s">
        <v>1</v>
      </c>
      <c r="AI2" s="317" t="s">
        <v>2</v>
      </c>
      <c r="AJ2" s="317" t="s">
        <v>3</v>
      </c>
      <c r="AK2" s="317" t="s">
        <v>0</v>
      </c>
      <c r="AL2" s="317" t="s">
        <v>1</v>
      </c>
      <c r="AM2" s="317" t="s">
        <v>2</v>
      </c>
      <c r="AN2" s="317" t="s">
        <v>3</v>
      </c>
    </row>
    <row r="3" spans="1:40" ht="14.95" customHeight="1" thickBot="1" x14ac:dyDescent="0.35">
      <c r="A3" s="203">
        <v>44687</v>
      </c>
      <c r="B3" s="204" t="s">
        <v>246</v>
      </c>
      <c r="C3" s="204" t="s">
        <v>31</v>
      </c>
      <c r="D3" s="204" t="s">
        <v>254</v>
      </c>
      <c r="E3" s="205" t="s">
        <v>1</v>
      </c>
      <c r="F3" s="205">
        <v>36</v>
      </c>
      <c r="G3" s="205">
        <v>19</v>
      </c>
      <c r="H3" s="205" t="s">
        <v>72</v>
      </c>
      <c r="I3" s="205" t="s">
        <v>72</v>
      </c>
      <c r="J3" s="205">
        <v>6</v>
      </c>
      <c r="K3" s="205">
        <v>2</v>
      </c>
      <c r="L3" s="205">
        <v>0</v>
      </c>
      <c r="M3" s="205">
        <v>0</v>
      </c>
      <c r="N3" s="205">
        <v>0</v>
      </c>
      <c r="O3" s="205">
        <v>0</v>
      </c>
      <c r="P3" s="205" t="s">
        <v>72</v>
      </c>
      <c r="Q3" s="205" t="s">
        <v>72</v>
      </c>
      <c r="R3" s="205">
        <v>3</v>
      </c>
      <c r="S3" s="206"/>
      <c r="T3" s="215" t="s">
        <v>256</v>
      </c>
      <c r="U3" s="208" t="s">
        <v>214</v>
      </c>
      <c r="V3" s="206" t="s">
        <v>257</v>
      </c>
      <c r="W3" s="209" t="s">
        <v>258</v>
      </c>
      <c r="X3" s="210" t="s">
        <v>249</v>
      </c>
      <c r="Y3" s="211">
        <v>1</v>
      </c>
      <c r="Z3" s="211">
        <v>1</v>
      </c>
      <c r="AA3" s="211">
        <v>0</v>
      </c>
      <c r="AB3" s="212">
        <v>0</v>
      </c>
      <c r="AC3" s="211">
        <v>1</v>
      </c>
      <c r="AD3" s="211">
        <v>1</v>
      </c>
      <c r="AE3" s="211">
        <v>0</v>
      </c>
      <c r="AF3" s="212">
        <v>0</v>
      </c>
      <c r="AG3" s="211">
        <v>0</v>
      </c>
      <c r="AH3" s="211">
        <v>0</v>
      </c>
      <c r="AI3" s="211">
        <v>0</v>
      </c>
      <c r="AJ3" s="212">
        <v>0</v>
      </c>
      <c r="AK3" s="211">
        <v>0</v>
      </c>
      <c r="AL3" s="211">
        <v>0</v>
      </c>
      <c r="AM3" s="211">
        <v>0</v>
      </c>
      <c r="AN3" s="212">
        <v>0</v>
      </c>
    </row>
    <row r="4" spans="1:40" ht="14.95" customHeight="1" thickBot="1" x14ac:dyDescent="0.3">
      <c r="A4" s="203">
        <v>44691</v>
      </c>
      <c r="B4" s="204" t="s">
        <v>246</v>
      </c>
      <c r="C4" s="204" t="s">
        <v>36</v>
      </c>
      <c r="D4" s="204" t="s">
        <v>247</v>
      </c>
      <c r="E4" s="205" t="s">
        <v>3</v>
      </c>
      <c r="F4" s="205">
        <v>10</v>
      </c>
      <c r="G4" s="205">
        <v>12</v>
      </c>
      <c r="H4" s="205" t="s">
        <v>72</v>
      </c>
      <c r="I4" s="205" t="s">
        <v>72</v>
      </c>
      <c r="J4" s="205">
        <v>2</v>
      </c>
      <c r="K4" s="205">
        <v>0</v>
      </c>
      <c r="L4" s="205">
        <v>0</v>
      </c>
      <c r="M4" s="205">
        <v>0</v>
      </c>
      <c r="N4" s="205">
        <v>0</v>
      </c>
      <c r="O4" s="205">
        <v>0</v>
      </c>
      <c r="P4" s="205" t="s">
        <v>72</v>
      </c>
      <c r="Q4" s="205" t="s">
        <v>72</v>
      </c>
      <c r="R4" s="205">
        <v>2</v>
      </c>
      <c r="S4" s="206"/>
      <c r="T4" s="376" t="s">
        <v>263</v>
      </c>
      <c r="U4" s="208" t="s">
        <v>207</v>
      </c>
      <c r="V4" s="206" t="s">
        <v>229</v>
      </c>
      <c r="W4" s="208" t="s">
        <v>214</v>
      </c>
      <c r="X4" s="209" t="s">
        <v>258</v>
      </c>
      <c r="Y4" s="211">
        <v>1</v>
      </c>
      <c r="Z4" s="211">
        <v>0</v>
      </c>
      <c r="AA4" s="211">
        <v>0</v>
      </c>
      <c r="AB4" s="212">
        <v>1</v>
      </c>
      <c r="AC4" s="211">
        <v>1</v>
      </c>
      <c r="AD4" s="211">
        <v>0</v>
      </c>
      <c r="AE4" s="211">
        <v>0</v>
      </c>
      <c r="AF4" s="212">
        <v>1</v>
      </c>
      <c r="AG4" s="211">
        <v>0</v>
      </c>
      <c r="AH4" s="211">
        <v>0</v>
      </c>
      <c r="AI4" s="211">
        <v>0</v>
      </c>
      <c r="AJ4" s="212">
        <v>0</v>
      </c>
      <c r="AK4" s="211">
        <v>0</v>
      </c>
      <c r="AL4" s="211">
        <v>0</v>
      </c>
      <c r="AM4" s="211">
        <v>0</v>
      </c>
      <c r="AN4" s="212">
        <v>0</v>
      </c>
    </row>
    <row r="5" spans="1:40" ht="14.95" customHeight="1" thickBot="1" x14ac:dyDescent="0.35">
      <c r="A5" s="184">
        <v>44718</v>
      </c>
      <c r="B5" s="186" t="s">
        <v>269</v>
      </c>
      <c r="C5" s="186" t="s">
        <v>77</v>
      </c>
      <c r="D5" s="186" t="s">
        <v>272</v>
      </c>
      <c r="E5" s="187" t="s">
        <v>3</v>
      </c>
      <c r="F5" s="187">
        <v>10</v>
      </c>
      <c r="G5" s="187">
        <v>23</v>
      </c>
      <c r="H5" s="187">
        <v>0</v>
      </c>
      <c r="I5" s="187">
        <v>0</v>
      </c>
      <c r="J5" s="187">
        <v>1</v>
      </c>
      <c r="K5" s="187">
        <v>1</v>
      </c>
      <c r="L5" s="187">
        <v>0</v>
      </c>
      <c r="M5" s="187">
        <v>1</v>
      </c>
      <c r="N5" s="187">
        <v>0</v>
      </c>
      <c r="O5" s="187">
        <v>0</v>
      </c>
      <c r="P5" s="187">
        <v>1</v>
      </c>
      <c r="Q5" s="187">
        <v>0</v>
      </c>
      <c r="R5" s="187">
        <v>4</v>
      </c>
      <c r="S5" s="191"/>
      <c r="T5" s="293" t="s">
        <v>281</v>
      </c>
      <c r="U5" s="193" t="s">
        <v>165</v>
      </c>
      <c r="V5" s="191" t="s">
        <v>166</v>
      </c>
      <c r="W5" s="193" t="s">
        <v>280</v>
      </c>
      <c r="X5" s="188" t="s">
        <v>207</v>
      </c>
      <c r="Y5" s="189">
        <v>1</v>
      </c>
      <c r="Z5" s="189">
        <v>0</v>
      </c>
      <c r="AA5" s="189">
        <v>0</v>
      </c>
      <c r="AB5" s="190">
        <v>1</v>
      </c>
      <c r="AC5" s="189">
        <v>0</v>
      </c>
      <c r="AD5" s="189">
        <v>0</v>
      </c>
      <c r="AE5" s="189">
        <v>0</v>
      </c>
      <c r="AF5" s="190">
        <v>0</v>
      </c>
      <c r="AG5" s="189">
        <v>1</v>
      </c>
      <c r="AH5" s="189">
        <v>0</v>
      </c>
      <c r="AI5" s="189">
        <v>0</v>
      </c>
      <c r="AJ5" s="190">
        <v>1</v>
      </c>
      <c r="AK5" s="189">
        <v>0</v>
      </c>
      <c r="AL5" s="189">
        <v>0</v>
      </c>
      <c r="AM5" s="189">
        <v>0</v>
      </c>
      <c r="AN5" s="190">
        <v>0</v>
      </c>
    </row>
    <row r="6" spans="1:40" ht="14.95" customHeight="1" thickBot="1" x14ac:dyDescent="0.3">
      <c r="A6" s="226">
        <v>44724</v>
      </c>
      <c r="B6" s="227" t="s">
        <v>269</v>
      </c>
      <c r="C6" s="227" t="s">
        <v>57</v>
      </c>
      <c r="D6" s="227" t="s">
        <v>79</v>
      </c>
      <c r="E6" s="223" t="s">
        <v>3</v>
      </c>
      <c r="F6" s="223">
        <v>14</v>
      </c>
      <c r="G6" s="223">
        <v>16</v>
      </c>
      <c r="H6" s="223">
        <v>0</v>
      </c>
      <c r="I6" s="223">
        <v>1</v>
      </c>
      <c r="J6" s="223">
        <v>2</v>
      </c>
      <c r="K6" s="223">
        <v>1</v>
      </c>
      <c r="L6" s="223">
        <v>0</v>
      </c>
      <c r="M6" s="223">
        <v>0</v>
      </c>
      <c r="N6" s="223">
        <v>1</v>
      </c>
      <c r="O6" s="223">
        <v>0</v>
      </c>
      <c r="P6" s="223">
        <v>0</v>
      </c>
      <c r="Q6" s="223">
        <v>0</v>
      </c>
      <c r="R6" s="223">
        <v>1</v>
      </c>
      <c r="S6" s="228"/>
      <c r="T6" s="240" t="s">
        <v>284</v>
      </c>
      <c r="U6" s="229" t="s">
        <v>207</v>
      </c>
      <c r="V6" s="228" t="s">
        <v>229</v>
      </c>
      <c r="W6" s="225" t="s">
        <v>194</v>
      </c>
      <c r="X6" s="230" t="s">
        <v>166</v>
      </c>
      <c r="Y6" s="155">
        <v>1</v>
      </c>
      <c r="Z6" s="155">
        <v>0</v>
      </c>
      <c r="AA6" s="155">
        <v>0</v>
      </c>
      <c r="AB6" s="224">
        <v>1</v>
      </c>
      <c r="AC6" s="155">
        <v>0</v>
      </c>
      <c r="AD6" s="155">
        <v>0</v>
      </c>
      <c r="AE6" s="155">
        <v>0</v>
      </c>
      <c r="AF6" s="224">
        <v>0</v>
      </c>
      <c r="AG6" s="155">
        <v>0</v>
      </c>
      <c r="AH6" s="155">
        <v>0</v>
      </c>
      <c r="AI6" s="155">
        <v>0</v>
      </c>
      <c r="AJ6" s="224">
        <v>0</v>
      </c>
      <c r="AK6" s="155">
        <v>1</v>
      </c>
      <c r="AL6" s="155">
        <v>0</v>
      </c>
      <c r="AM6" s="155">
        <v>0</v>
      </c>
      <c r="AN6" s="224">
        <v>1</v>
      </c>
    </row>
    <row r="7" spans="1:40" ht="14.95" customHeight="1" thickBot="1" x14ac:dyDescent="0.35">
      <c r="A7" s="226">
        <v>44730</v>
      </c>
      <c r="B7" s="227" t="s">
        <v>269</v>
      </c>
      <c r="C7" s="227" t="s">
        <v>38</v>
      </c>
      <c r="D7" s="227" t="s">
        <v>140</v>
      </c>
      <c r="E7" s="223" t="s">
        <v>3</v>
      </c>
      <c r="F7" s="223">
        <v>10</v>
      </c>
      <c r="G7" s="223">
        <v>22</v>
      </c>
      <c r="H7" s="223">
        <v>0</v>
      </c>
      <c r="I7" s="223">
        <v>0</v>
      </c>
      <c r="J7" s="223">
        <v>1</v>
      </c>
      <c r="K7" s="223">
        <v>1</v>
      </c>
      <c r="L7" s="223">
        <v>0</v>
      </c>
      <c r="M7" s="223">
        <v>1</v>
      </c>
      <c r="N7" s="223">
        <v>1</v>
      </c>
      <c r="O7" s="223">
        <v>0</v>
      </c>
      <c r="P7" s="223">
        <v>0</v>
      </c>
      <c r="Q7" s="223">
        <v>0</v>
      </c>
      <c r="R7" s="223">
        <v>3</v>
      </c>
      <c r="S7" s="228"/>
      <c r="T7" s="396" t="s">
        <v>289</v>
      </c>
      <c r="U7" s="229" t="s">
        <v>211</v>
      </c>
      <c r="V7" s="228" t="s">
        <v>229</v>
      </c>
      <c r="W7" s="225" t="s">
        <v>165</v>
      </c>
      <c r="X7" s="230" t="s">
        <v>207</v>
      </c>
      <c r="Y7" s="155">
        <v>1</v>
      </c>
      <c r="Z7" s="155">
        <v>0</v>
      </c>
      <c r="AA7" s="155">
        <v>0</v>
      </c>
      <c r="AB7" s="224">
        <v>1</v>
      </c>
      <c r="AC7" s="155">
        <v>0</v>
      </c>
      <c r="AD7" s="155">
        <v>0</v>
      </c>
      <c r="AE7" s="155">
        <v>0</v>
      </c>
      <c r="AF7" s="224">
        <v>0</v>
      </c>
      <c r="AG7" s="155">
        <v>0</v>
      </c>
      <c r="AH7" s="155">
        <v>0</v>
      </c>
      <c r="AI7" s="155">
        <v>0</v>
      </c>
      <c r="AJ7" s="224">
        <v>0</v>
      </c>
      <c r="AK7" s="155">
        <v>1</v>
      </c>
      <c r="AL7" s="155">
        <v>0</v>
      </c>
      <c r="AM7" s="155">
        <v>0</v>
      </c>
      <c r="AN7" s="224">
        <v>1</v>
      </c>
    </row>
    <row r="8" spans="1:40" ht="14.95" customHeight="1" thickBot="1" x14ac:dyDescent="0.3">
      <c r="A8" s="184">
        <v>44793</v>
      </c>
      <c r="B8" s="186" t="s">
        <v>301</v>
      </c>
      <c r="C8" s="186" t="s">
        <v>77</v>
      </c>
      <c r="D8" s="186" t="s">
        <v>358</v>
      </c>
      <c r="E8" s="187" t="s">
        <v>3</v>
      </c>
      <c r="F8" s="187">
        <v>5</v>
      </c>
      <c r="G8" s="187">
        <v>52</v>
      </c>
      <c r="H8" s="187" t="s">
        <v>72</v>
      </c>
      <c r="I8" s="187" t="s">
        <v>72</v>
      </c>
      <c r="J8" s="187">
        <v>1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 t="s">
        <v>72</v>
      </c>
      <c r="Q8" s="187" t="s">
        <v>72</v>
      </c>
      <c r="R8" s="187">
        <v>8</v>
      </c>
      <c r="S8" s="191"/>
      <c r="T8" s="195" t="s">
        <v>173</v>
      </c>
      <c r="U8" s="193" t="s">
        <v>207</v>
      </c>
      <c r="V8" s="191" t="s">
        <v>229</v>
      </c>
      <c r="W8" s="191" t="s">
        <v>214</v>
      </c>
      <c r="X8" s="194" t="s">
        <v>258</v>
      </c>
      <c r="Y8" s="189">
        <v>1</v>
      </c>
      <c r="Z8" s="189">
        <v>0</v>
      </c>
      <c r="AA8" s="189">
        <v>0</v>
      </c>
      <c r="AB8" s="190">
        <v>1</v>
      </c>
      <c r="AC8" s="189">
        <v>0</v>
      </c>
      <c r="AD8" s="189">
        <v>0</v>
      </c>
      <c r="AE8" s="189">
        <v>0</v>
      </c>
      <c r="AF8" s="190">
        <v>0</v>
      </c>
      <c r="AG8" s="189">
        <v>1</v>
      </c>
      <c r="AH8" s="189">
        <v>0</v>
      </c>
      <c r="AI8" s="189">
        <v>0</v>
      </c>
      <c r="AJ8" s="190">
        <v>1</v>
      </c>
      <c r="AK8" s="189">
        <v>0</v>
      </c>
      <c r="AL8" s="189">
        <v>0</v>
      </c>
      <c r="AM8" s="189">
        <v>0</v>
      </c>
      <c r="AN8" s="190">
        <v>0</v>
      </c>
    </row>
    <row r="9" spans="1:40" ht="14.95" customHeight="1" thickBot="1" x14ac:dyDescent="0.3">
      <c r="A9" s="203">
        <v>44800</v>
      </c>
      <c r="B9" s="204" t="s">
        <v>301</v>
      </c>
      <c r="C9" s="204" t="s">
        <v>77</v>
      </c>
      <c r="D9" s="204" t="s">
        <v>362</v>
      </c>
      <c r="E9" s="205" t="s">
        <v>3</v>
      </c>
      <c r="F9" s="205">
        <v>14</v>
      </c>
      <c r="G9" s="205">
        <v>22</v>
      </c>
      <c r="H9" s="205" t="s">
        <v>72</v>
      </c>
      <c r="I9" s="205" t="s">
        <v>72</v>
      </c>
      <c r="J9" s="205">
        <v>2</v>
      </c>
      <c r="K9" s="205">
        <v>2</v>
      </c>
      <c r="L9" s="205">
        <v>0</v>
      </c>
      <c r="M9" s="205">
        <v>0</v>
      </c>
      <c r="N9" s="205">
        <v>1</v>
      </c>
      <c r="O9" s="205">
        <v>0</v>
      </c>
      <c r="P9" s="205" t="s">
        <v>72</v>
      </c>
      <c r="Q9" s="205" t="s">
        <v>72</v>
      </c>
      <c r="R9" s="205">
        <v>3</v>
      </c>
      <c r="S9" s="206"/>
      <c r="T9" s="207" t="s">
        <v>290</v>
      </c>
      <c r="U9" s="208" t="s">
        <v>214</v>
      </c>
      <c r="V9" s="206" t="s">
        <v>229</v>
      </c>
      <c r="W9" s="206" t="s">
        <v>207</v>
      </c>
      <c r="X9" s="210" t="s">
        <v>258</v>
      </c>
      <c r="Y9" s="211">
        <v>1</v>
      </c>
      <c r="Z9" s="211">
        <v>0</v>
      </c>
      <c r="AA9" s="211">
        <v>0</v>
      </c>
      <c r="AB9" s="212">
        <v>1</v>
      </c>
      <c r="AC9" s="211">
        <v>1</v>
      </c>
      <c r="AD9" s="211">
        <v>0</v>
      </c>
      <c r="AE9" s="211">
        <v>0</v>
      </c>
      <c r="AF9" s="212">
        <v>1</v>
      </c>
      <c r="AG9" s="211">
        <v>0</v>
      </c>
      <c r="AH9" s="211">
        <v>0</v>
      </c>
      <c r="AI9" s="211">
        <v>0</v>
      </c>
      <c r="AJ9" s="212">
        <v>0</v>
      </c>
      <c r="AK9" s="211">
        <v>0</v>
      </c>
      <c r="AL9" s="211">
        <v>0</v>
      </c>
      <c r="AM9" s="211">
        <v>0</v>
      </c>
      <c r="AN9" s="212">
        <v>0</v>
      </c>
    </row>
    <row r="10" spans="1:40" ht="14.95" customHeight="1" thickBot="1" x14ac:dyDescent="0.35">
      <c r="A10" s="184">
        <v>44842</v>
      </c>
      <c r="B10" s="186" t="s">
        <v>139</v>
      </c>
      <c r="C10" s="186" t="s">
        <v>77</v>
      </c>
      <c r="D10" s="186" t="s">
        <v>144</v>
      </c>
      <c r="E10" s="187" t="s">
        <v>3</v>
      </c>
      <c r="F10" s="187">
        <v>17</v>
      </c>
      <c r="G10" s="187">
        <v>41</v>
      </c>
      <c r="H10" s="187">
        <v>0</v>
      </c>
      <c r="I10" s="187">
        <v>0</v>
      </c>
      <c r="J10" s="187">
        <v>3</v>
      </c>
      <c r="K10" s="187">
        <v>1</v>
      </c>
      <c r="L10" s="187">
        <v>0</v>
      </c>
      <c r="M10" s="187">
        <v>0</v>
      </c>
      <c r="N10" s="187">
        <v>2</v>
      </c>
      <c r="O10" s="187">
        <v>0</v>
      </c>
      <c r="P10" s="187">
        <v>1</v>
      </c>
      <c r="Q10" s="187">
        <v>0</v>
      </c>
      <c r="R10" s="187">
        <v>7</v>
      </c>
      <c r="S10" s="191"/>
      <c r="T10" s="293" t="s">
        <v>475</v>
      </c>
      <c r="U10" s="621" t="s">
        <v>476</v>
      </c>
      <c r="V10" s="191" t="s">
        <v>117</v>
      </c>
      <c r="W10" s="191" t="s">
        <v>478</v>
      </c>
      <c r="X10" s="194" t="s">
        <v>182</v>
      </c>
      <c r="Y10" s="189">
        <v>1</v>
      </c>
      <c r="Z10" s="189">
        <v>0</v>
      </c>
      <c r="AA10" s="189">
        <v>0</v>
      </c>
      <c r="AB10" s="190">
        <v>1</v>
      </c>
      <c r="AC10" s="189">
        <v>0</v>
      </c>
      <c r="AD10" s="189">
        <v>0</v>
      </c>
      <c r="AE10" s="189">
        <v>0</v>
      </c>
      <c r="AF10" s="190">
        <v>0</v>
      </c>
      <c r="AG10" s="189">
        <v>0</v>
      </c>
      <c r="AH10" s="189">
        <v>0</v>
      </c>
      <c r="AI10" s="189">
        <v>0</v>
      </c>
      <c r="AJ10" s="190">
        <v>0</v>
      </c>
      <c r="AK10" s="189">
        <v>1</v>
      </c>
      <c r="AL10" s="189">
        <v>0</v>
      </c>
      <c r="AM10" s="189">
        <v>0</v>
      </c>
      <c r="AN10" s="190">
        <v>1</v>
      </c>
    </row>
    <row r="11" spans="1:40" ht="14.95" customHeight="1" thickBot="1" x14ac:dyDescent="0.3">
      <c r="A11" s="226">
        <v>44849</v>
      </c>
      <c r="B11" s="227" t="s">
        <v>139</v>
      </c>
      <c r="C11" s="227" t="s">
        <v>35</v>
      </c>
      <c r="D11" s="227" t="s">
        <v>140</v>
      </c>
      <c r="E11" s="223" t="s">
        <v>1</v>
      </c>
      <c r="F11" s="223">
        <v>14</v>
      </c>
      <c r="G11" s="223">
        <v>12</v>
      </c>
      <c r="H11" s="223">
        <v>0</v>
      </c>
      <c r="I11" s="223">
        <v>0</v>
      </c>
      <c r="J11" s="223">
        <v>2</v>
      </c>
      <c r="K11" s="223">
        <v>2</v>
      </c>
      <c r="L11" s="223">
        <v>0</v>
      </c>
      <c r="M11" s="223">
        <v>0</v>
      </c>
      <c r="N11" s="223">
        <v>1</v>
      </c>
      <c r="O11" s="223">
        <v>2</v>
      </c>
      <c r="P11" s="223">
        <v>0</v>
      </c>
      <c r="Q11" s="223">
        <v>1</v>
      </c>
      <c r="R11" s="223">
        <v>2</v>
      </c>
      <c r="S11" s="228"/>
      <c r="T11" s="259" t="s">
        <v>498</v>
      </c>
      <c r="U11" s="229" t="s">
        <v>211</v>
      </c>
      <c r="V11" s="228" t="s">
        <v>229</v>
      </c>
      <c r="W11" s="228" t="s">
        <v>476</v>
      </c>
      <c r="X11" s="230" t="s">
        <v>477</v>
      </c>
      <c r="Y11" s="155">
        <v>1</v>
      </c>
      <c r="Z11" s="155">
        <v>1</v>
      </c>
      <c r="AA11" s="155">
        <v>0</v>
      </c>
      <c r="AB11" s="224">
        <v>0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1</v>
      </c>
      <c r="AM11" s="155">
        <v>0</v>
      </c>
      <c r="AN11" s="224">
        <v>0</v>
      </c>
    </row>
    <row r="12" spans="1:40" ht="14.95" customHeight="1" thickBot="1" x14ac:dyDescent="0.35">
      <c r="A12" s="226">
        <v>44856</v>
      </c>
      <c r="B12" s="227" t="s">
        <v>139</v>
      </c>
      <c r="C12" s="227" t="s">
        <v>32</v>
      </c>
      <c r="D12" s="227" t="s">
        <v>140</v>
      </c>
      <c r="E12" s="223" t="s">
        <v>1</v>
      </c>
      <c r="F12" s="223">
        <v>13</v>
      </c>
      <c r="G12" s="223">
        <v>7</v>
      </c>
      <c r="H12" s="223">
        <v>0</v>
      </c>
      <c r="I12" s="223">
        <v>0</v>
      </c>
      <c r="J12" s="223">
        <v>1</v>
      </c>
      <c r="K12" s="223">
        <v>1</v>
      </c>
      <c r="L12" s="223">
        <v>0</v>
      </c>
      <c r="M12" s="223">
        <v>2</v>
      </c>
      <c r="N12" s="223">
        <v>1</v>
      </c>
      <c r="O12" s="223">
        <v>0</v>
      </c>
      <c r="P12" s="223">
        <v>0</v>
      </c>
      <c r="Q12" s="223">
        <v>1</v>
      </c>
      <c r="R12" s="223">
        <v>1</v>
      </c>
      <c r="S12" s="290"/>
      <c r="T12" s="231" t="s">
        <v>289</v>
      </c>
      <c r="U12" s="229" t="s">
        <v>165</v>
      </c>
      <c r="V12" s="228" t="s">
        <v>117</v>
      </c>
      <c r="W12" s="228" t="s">
        <v>194</v>
      </c>
      <c r="X12" s="628" t="s">
        <v>209</v>
      </c>
      <c r="Y12" s="155">
        <v>1</v>
      </c>
      <c r="Z12" s="155">
        <v>1</v>
      </c>
      <c r="AA12" s="155">
        <v>0</v>
      </c>
      <c r="AB12" s="224">
        <v>0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1</v>
      </c>
      <c r="AM12" s="155">
        <v>0</v>
      </c>
      <c r="AN12" s="224">
        <v>0</v>
      </c>
    </row>
    <row r="13" spans="1:40" ht="14.95" customHeight="1" thickBot="1" x14ac:dyDescent="0.3">
      <c r="A13" s="226">
        <v>44864</v>
      </c>
      <c r="B13" s="227" t="s">
        <v>109</v>
      </c>
      <c r="C13" s="227" t="s">
        <v>30</v>
      </c>
      <c r="D13" s="227" t="s">
        <v>79</v>
      </c>
      <c r="E13" s="223" t="s">
        <v>3</v>
      </c>
      <c r="F13" s="223">
        <v>5</v>
      </c>
      <c r="G13" s="223">
        <v>41</v>
      </c>
      <c r="H13" s="223" t="s">
        <v>525</v>
      </c>
      <c r="I13" s="223" t="s">
        <v>72</v>
      </c>
      <c r="J13" s="223">
        <v>1</v>
      </c>
      <c r="K13" s="223">
        <v>0</v>
      </c>
      <c r="L13" s="223">
        <v>0</v>
      </c>
      <c r="M13" s="223">
        <v>0</v>
      </c>
      <c r="N13" s="223">
        <v>1</v>
      </c>
      <c r="O13" s="223">
        <v>0</v>
      </c>
      <c r="P13" s="223" t="s">
        <v>72</v>
      </c>
      <c r="Q13" s="223" t="s">
        <v>72</v>
      </c>
      <c r="R13" s="223">
        <v>7</v>
      </c>
      <c r="S13" s="290"/>
      <c r="T13" s="240" t="s">
        <v>529</v>
      </c>
      <c r="U13" s="229" t="s">
        <v>207</v>
      </c>
      <c r="V13" s="625" t="s">
        <v>198</v>
      </c>
      <c r="W13" s="229" t="s">
        <v>211</v>
      </c>
      <c r="X13" s="228" t="s">
        <v>477</v>
      </c>
      <c r="Y13" s="155">
        <v>1</v>
      </c>
      <c r="Z13" s="155">
        <v>0</v>
      </c>
      <c r="AA13" s="155">
        <v>0</v>
      </c>
      <c r="AB13" s="224">
        <v>1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0</v>
      </c>
      <c r="AM13" s="155">
        <v>0</v>
      </c>
      <c r="AN13" s="224">
        <v>1</v>
      </c>
    </row>
    <row r="14" spans="1:40" ht="14.95" customHeight="1" thickBot="1" x14ac:dyDescent="0.35">
      <c r="A14" s="226">
        <v>44870</v>
      </c>
      <c r="B14" s="227" t="s">
        <v>387</v>
      </c>
      <c r="C14" s="227"/>
      <c r="D14" s="227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90"/>
      <c r="T14" s="231"/>
      <c r="U14" s="229"/>
      <c r="V14" s="228"/>
      <c r="W14" s="225"/>
      <c r="X14" s="230"/>
      <c r="Y14" s="155"/>
      <c r="Z14" s="155"/>
      <c r="AA14" s="155"/>
      <c r="AB14" s="224"/>
      <c r="AC14" s="155"/>
      <c r="AD14" s="155"/>
      <c r="AE14" s="155"/>
      <c r="AF14" s="224"/>
      <c r="AG14" s="155"/>
      <c r="AH14" s="155"/>
      <c r="AI14" s="155"/>
      <c r="AJ14" s="224"/>
      <c r="AK14" s="155"/>
      <c r="AL14" s="155"/>
      <c r="AM14" s="155"/>
      <c r="AN14" s="224"/>
    </row>
    <row r="15" spans="1:40" ht="14.95" customHeight="1" thickBot="1" x14ac:dyDescent="0.35">
      <c r="A15" s="226">
        <v>44877</v>
      </c>
      <c r="B15" s="227" t="s">
        <v>388</v>
      </c>
      <c r="C15" s="227"/>
      <c r="D15" s="227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90"/>
      <c r="T15" s="231"/>
      <c r="U15" s="229"/>
      <c r="V15" s="228"/>
      <c r="W15" s="225"/>
      <c r="X15" s="230"/>
      <c r="Y15" s="155"/>
      <c r="Z15" s="155"/>
      <c r="AA15" s="155"/>
      <c r="AB15" s="224"/>
      <c r="AC15" s="155"/>
      <c r="AD15" s="155"/>
      <c r="AE15" s="155"/>
      <c r="AF15" s="224"/>
      <c r="AG15" s="155"/>
      <c r="AH15" s="155"/>
      <c r="AI15" s="155"/>
      <c r="AJ15" s="224"/>
      <c r="AK15" s="155"/>
      <c r="AL15" s="155"/>
      <c r="AM15" s="155"/>
      <c r="AN15" s="224"/>
    </row>
    <row r="16" spans="1:40" ht="14.95" thickBot="1" x14ac:dyDescent="0.3">
      <c r="A16" s="123"/>
      <c r="B16" s="124"/>
      <c r="C16" s="692" t="s">
        <v>241</v>
      </c>
      <c r="D16" s="693"/>
      <c r="E16" s="694"/>
      <c r="F16" s="122">
        <f t="shared" ref="F16:R16" si="0">SUM(F5:F7)</f>
        <v>34</v>
      </c>
      <c r="G16" s="122">
        <f t="shared" si="0"/>
        <v>61</v>
      </c>
      <c r="H16" s="122">
        <f t="shared" si="0"/>
        <v>0</v>
      </c>
      <c r="I16" s="122">
        <f t="shared" si="0"/>
        <v>1</v>
      </c>
      <c r="J16" s="122">
        <f t="shared" si="0"/>
        <v>4</v>
      </c>
      <c r="K16" s="122">
        <f t="shared" si="0"/>
        <v>3</v>
      </c>
      <c r="L16" s="122">
        <f t="shared" si="0"/>
        <v>0</v>
      </c>
      <c r="M16" s="122">
        <f t="shared" si="0"/>
        <v>2</v>
      </c>
      <c r="N16" s="122">
        <f t="shared" si="0"/>
        <v>2</v>
      </c>
      <c r="O16" s="122">
        <f t="shared" si="0"/>
        <v>0</v>
      </c>
      <c r="P16" s="122">
        <f t="shared" si="0"/>
        <v>1</v>
      </c>
      <c r="Q16" s="122">
        <f t="shared" si="0"/>
        <v>0</v>
      </c>
      <c r="R16" s="122">
        <f t="shared" si="0"/>
        <v>8</v>
      </c>
      <c r="S16" s="76"/>
      <c r="T16" s="76"/>
      <c r="U16" s="76"/>
      <c r="V16" s="76"/>
      <c r="W16" s="119"/>
      <c r="X16" s="158" t="s">
        <v>241</v>
      </c>
      <c r="Y16" s="122">
        <f t="shared" ref="Y16:AN16" si="1">SUM(Y5:Y7)</f>
        <v>3</v>
      </c>
      <c r="Z16" s="122">
        <f t="shared" si="1"/>
        <v>0</v>
      </c>
      <c r="AA16" s="122">
        <f t="shared" si="1"/>
        <v>0</v>
      </c>
      <c r="AB16" s="122">
        <f t="shared" si="1"/>
        <v>3</v>
      </c>
      <c r="AC16" s="120">
        <f t="shared" si="1"/>
        <v>0</v>
      </c>
      <c r="AD16" s="120">
        <f t="shared" si="1"/>
        <v>0</v>
      </c>
      <c r="AE16" s="120">
        <f t="shared" si="1"/>
        <v>0</v>
      </c>
      <c r="AF16" s="120">
        <f t="shared" si="1"/>
        <v>0</v>
      </c>
      <c r="AG16" s="121">
        <f t="shared" si="1"/>
        <v>1</v>
      </c>
      <c r="AH16" s="121">
        <f t="shared" si="1"/>
        <v>0</v>
      </c>
      <c r="AI16" s="121">
        <f t="shared" si="1"/>
        <v>0</v>
      </c>
      <c r="AJ16" s="121">
        <f t="shared" si="1"/>
        <v>1</v>
      </c>
      <c r="AK16" s="122">
        <f t="shared" si="1"/>
        <v>2</v>
      </c>
      <c r="AL16" s="122">
        <f t="shared" si="1"/>
        <v>0</v>
      </c>
      <c r="AM16" s="122">
        <f t="shared" si="1"/>
        <v>0</v>
      </c>
      <c r="AN16" s="122">
        <f t="shared" si="1"/>
        <v>2</v>
      </c>
    </row>
    <row r="17" spans="1:40" ht="14.95" customHeight="1" thickBot="1" x14ac:dyDescent="0.3">
      <c r="A17" s="123"/>
      <c r="B17" s="124"/>
      <c r="C17" s="679" t="s">
        <v>467</v>
      </c>
      <c r="D17" s="680"/>
      <c r="E17" s="681"/>
      <c r="F17" s="414">
        <f>SUM(F10:F12)</f>
        <v>44</v>
      </c>
      <c r="G17" s="414">
        <f t="shared" ref="G17:R17" si="2">SUM(G10:G12)</f>
        <v>60</v>
      </c>
      <c r="H17" s="414">
        <f t="shared" si="2"/>
        <v>0</v>
      </c>
      <c r="I17" s="414">
        <f t="shared" si="2"/>
        <v>0</v>
      </c>
      <c r="J17" s="414">
        <f t="shared" si="2"/>
        <v>6</v>
      </c>
      <c r="K17" s="414">
        <f t="shared" si="2"/>
        <v>4</v>
      </c>
      <c r="L17" s="414">
        <f t="shared" si="2"/>
        <v>0</v>
      </c>
      <c r="M17" s="414">
        <f t="shared" si="2"/>
        <v>2</v>
      </c>
      <c r="N17" s="414">
        <f t="shared" si="2"/>
        <v>4</v>
      </c>
      <c r="O17" s="414">
        <f t="shared" si="2"/>
        <v>2</v>
      </c>
      <c r="P17" s="414">
        <f t="shared" si="2"/>
        <v>1</v>
      </c>
      <c r="Q17" s="414">
        <f t="shared" si="2"/>
        <v>2</v>
      </c>
      <c r="R17" s="414">
        <f t="shared" si="2"/>
        <v>10</v>
      </c>
      <c r="S17" s="415"/>
      <c r="T17" s="415"/>
      <c r="U17" s="415"/>
      <c r="V17" s="415"/>
      <c r="W17" s="416"/>
      <c r="X17" s="417" t="s">
        <v>467</v>
      </c>
      <c r="Y17" s="414">
        <f t="shared" ref="Y17:AN17" si="3">SUM(Y10:Y12)</f>
        <v>3</v>
      </c>
      <c r="Z17" s="414">
        <f t="shared" si="3"/>
        <v>2</v>
      </c>
      <c r="AA17" s="414">
        <f t="shared" si="3"/>
        <v>0</v>
      </c>
      <c r="AB17" s="414">
        <f t="shared" si="3"/>
        <v>1</v>
      </c>
      <c r="AC17" s="418">
        <f t="shared" si="3"/>
        <v>0</v>
      </c>
      <c r="AD17" s="418">
        <f t="shared" si="3"/>
        <v>0</v>
      </c>
      <c r="AE17" s="418">
        <f t="shared" si="3"/>
        <v>0</v>
      </c>
      <c r="AF17" s="418">
        <f t="shared" si="3"/>
        <v>0</v>
      </c>
      <c r="AG17" s="419">
        <f t="shared" si="3"/>
        <v>0</v>
      </c>
      <c r="AH17" s="419">
        <f t="shared" si="3"/>
        <v>0</v>
      </c>
      <c r="AI17" s="419">
        <f t="shared" si="3"/>
        <v>0</v>
      </c>
      <c r="AJ17" s="419">
        <f t="shared" si="3"/>
        <v>0</v>
      </c>
      <c r="AK17" s="414">
        <f t="shared" si="3"/>
        <v>3</v>
      </c>
      <c r="AL17" s="414">
        <f t="shared" si="3"/>
        <v>2</v>
      </c>
      <c r="AM17" s="414">
        <f t="shared" si="3"/>
        <v>0</v>
      </c>
      <c r="AN17" s="414">
        <f t="shared" si="3"/>
        <v>1</v>
      </c>
    </row>
    <row r="18" spans="1:40" ht="14.95" customHeight="1" thickBot="1" x14ac:dyDescent="0.3">
      <c r="A18" s="123"/>
      <c r="B18" s="124"/>
      <c r="C18" s="679" t="s">
        <v>468</v>
      </c>
      <c r="D18" s="680"/>
      <c r="E18" s="681"/>
      <c r="F18" s="414">
        <f>SUM(F13:F15)</f>
        <v>5</v>
      </c>
      <c r="G18" s="414">
        <f>SUM(G13:G15)</f>
        <v>41</v>
      </c>
      <c r="H18" s="414">
        <v>0</v>
      </c>
      <c r="I18" s="414">
        <v>0</v>
      </c>
      <c r="J18" s="414">
        <f t="shared" ref="J18:O18" si="4">SUM(J13:J15)</f>
        <v>1</v>
      </c>
      <c r="K18" s="414">
        <f t="shared" si="4"/>
        <v>0</v>
      </c>
      <c r="L18" s="414">
        <f t="shared" si="4"/>
        <v>0</v>
      </c>
      <c r="M18" s="414">
        <f t="shared" si="4"/>
        <v>0</v>
      </c>
      <c r="N18" s="414">
        <f t="shared" si="4"/>
        <v>1</v>
      </c>
      <c r="O18" s="414">
        <f t="shared" si="4"/>
        <v>0</v>
      </c>
      <c r="P18" s="414">
        <v>0</v>
      </c>
      <c r="Q18" s="414">
        <v>0</v>
      </c>
      <c r="R18" s="414">
        <f>SUM(R13:R15)</f>
        <v>7</v>
      </c>
      <c r="S18" s="415"/>
      <c r="T18" s="415"/>
      <c r="U18" s="415"/>
      <c r="V18" s="415"/>
      <c r="W18" s="416"/>
      <c r="X18" s="417" t="s">
        <v>468</v>
      </c>
      <c r="Y18" s="414">
        <f t="shared" ref="Y18:AN18" si="5">SUM(Y13:Y15)</f>
        <v>1</v>
      </c>
      <c r="Z18" s="414">
        <f t="shared" si="5"/>
        <v>0</v>
      </c>
      <c r="AA18" s="414">
        <f t="shared" si="5"/>
        <v>0</v>
      </c>
      <c r="AB18" s="414">
        <f t="shared" si="5"/>
        <v>1</v>
      </c>
      <c r="AC18" s="418">
        <f t="shared" si="5"/>
        <v>0</v>
      </c>
      <c r="AD18" s="418">
        <f t="shared" si="5"/>
        <v>0</v>
      </c>
      <c r="AE18" s="418">
        <f t="shared" si="5"/>
        <v>0</v>
      </c>
      <c r="AF18" s="418">
        <f t="shared" si="5"/>
        <v>0</v>
      </c>
      <c r="AG18" s="419">
        <f t="shared" si="5"/>
        <v>0</v>
      </c>
      <c r="AH18" s="419">
        <f t="shared" si="5"/>
        <v>0</v>
      </c>
      <c r="AI18" s="419">
        <f t="shared" si="5"/>
        <v>0</v>
      </c>
      <c r="AJ18" s="419">
        <f t="shared" si="5"/>
        <v>0</v>
      </c>
      <c r="AK18" s="414">
        <f t="shared" si="5"/>
        <v>1</v>
      </c>
      <c r="AL18" s="414">
        <f t="shared" si="5"/>
        <v>0</v>
      </c>
      <c r="AM18" s="414">
        <f t="shared" si="5"/>
        <v>0</v>
      </c>
      <c r="AN18" s="414">
        <f t="shared" si="5"/>
        <v>1</v>
      </c>
    </row>
    <row r="19" spans="1:40" ht="14.95" customHeight="1" thickBot="1" x14ac:dyDescent="0.3">
      <c r="A19" s="123"/>
      <c r="B19" s="124"/>
      <c r="C19" s="679" t="s">
        <v>469</v>
      </c>
      <c r="D19" s="680"/>
      <c r="E19" s="681"/>
      <c r="F19" s="414">
        <f>SUM(F17+F18)</f>
        <v>49</v>
      </c>
      <c r="G19" s="414">
        <f t="shared" ref="G19:R19" si="6">SUM(G17+G18)</f>
        <v>101</v>
      </c>
      <c r="H19" s="414">
        <f t="shared" si="6"/>
        <v>0</v>
      </c>
      <c r="I19" s="414">
        <f t="shared" si="6"/>
        <v>0</v>
      </c>
      <c r="J19" s="414">
        <f t="shared" si="6"/>
        <v>7</v>
      </c>
      <c r="K19" s="414">
        <f t="shared" si="6"/>
        <v>4</v>
      </c>
      <c r="L19" s="414">
        <f t="shared" si="6"/>
        <v>0</v>
      </c>
      <c r="M19" s="414">
        <f t="shared" si="6"/>
        <v>2</v>
      </c>
      <c r="N19" s="414">
        <f t="shared" si="6"/>
        <v>5</v>
      </c>
      <c r="O19" s="414">
        <f t="shared" si="6"/>
        <v>2</v>
      </c>
      <c r="P19" s="414">
        <f t="shared" si="6"/>
        <v>1</v>
      </c>
      <c r="Q19" s="414">
        <f t="shared" si="6"/>
        <v>2</v>
      </c>
      <c r="R19" s="414">
        <f t="shared" si="6"/>
        <v>17</v>
      </c>
      <c r="S19" s="415"/>
      <c r="T19" s="415"/>
      <c r="U19" s="415"/>
      <c r="V19" s="415"/>
      <c r="W19" s="416"/>
      <c r="X19" s="417" t="s">
        <v>469</v>
      </c>
      <c r="Y19" s="414">
        <f t="shared" ref="Y19:AN19" si="7">SUM(Y17+Y18)</f>
        <v>4</v>
      </c>
      <c r="Z19" s="414">
        <f t="shared" si="7"/>
        <v>2</v>
      </c>
      <c r="AA19" s="414">
        <f t="shared" si="7"/>
        <v>0</v>
      </c>
      <c r="AB19" s="414">
        <f t="shared" si="7"/>
        <v>2</v>
      </c>
      <c r="AC19" s="418">
        <f t="shared" si="7"/>
        <v>0</v>
      </c>
      <c r="AD19" s="418">
        <f t="shared" si="7"/>
        <v>0</v>
      </c>
      <c r="AE19" s="418">
        <f t="shared" si="7"/>
        <v>0</v>
      </c>
      <c r="AF19" s="418">
        <f t="shared" si="7"/>
        <v>0</v>
      </c>
      <c r="AG19" s="419">
        <f t="shared" si="7"/>
        <v>0</v>
      </c>
      <c r="AH19" s="419">
        <f t="shared" si="7"/>
        <v>0</v>
      </c>
      <c r="AI19" s="419">
        <f t="shared" si="7"/>
        <v>0</v>
      </c>
      <c r="AJ19" s="419">
        <f t="shared" si="7"/>
        <v>0</v>
      </c>
      <c r="AK19" s="414">
        <f t="shared" si="7"/>
        <v>4</v>
      </c>
      <c r="AL19" s="414">
        <f t="shared" si="7"/>
        <v>2</v>
      </c>
      <c r="AM19" s="414">
        <f t="shared" si="7"/>
        <v>0</v>
      </c>
      <c r="AN19" s="414">
        <f t="shared" si="7"/>
        <v>2</v>
      </c>
    </row>
    <row r="20" spans="1:40" ht="14.95" thickBot="1" x14ac:dyDescent="0.3">
      <c r="A20" s="123"/>
      <c r="B20" s="124"/>
      <c r="C20" s="686" t="s">
        <v>83</v>
      </c>
      <c r="D20" s="687"/>
      <c r="E20" s="688"/>
      <c r="F20" s="244">
        <f>SUM(F3+F4+F8+F9)</f>
        <v>65</v>
      </c>
      <c r="G20" s="244">
        <f>SUM(G3+G4+G8+G9)</f>
        <v>105</v>
      </c>
      <c r="H20" s="244" t="s">
        <v>72</v>
      </c>
      <c r="I20" s="244" t="s">
        <v>72</v>
      </c>
      <c r="J20" s="244">
        <f t="shared" ref="J20:O20" si="8">SUM(J3+J4+J8+J9)</f>
        <v>11</v>
      </c>
      <c r="K20" s="244">
        <f t="shared" si="8"/>
        <v>4</v>
      </c>
      <c r="L20" s="244">
        <f t="shared" si="8"/>
        <v>0</v>
      </c>
      <c r="M20" s="244">
        <f t="shared" si="8"/>
        <v>0</v>
      </c>
      <c r="N20" s="244">
        <f t="shared" si="8"/>
        <v>1</v>
      </c>
      <c r="O20" s="244">
        <f t="shared" si="8"/>
        <v>0</v>
      </c>
      <c r="P20" s="244" t="s">
        <v>72</v>
      </c>
      <c r="Q20" s="244" t="s">
        <v>72</v>
      </c>
      <c r="R20" s="244">
        <f>SUM(R3+R4+R8+R9)</f>
        <v>16</v>
      </c>
      <c r="S20" s="252"/>
      <c r="T20" s="252"/>
      <c r="U20" s="252"/>
      <c r="V20" s="252"/>
      <c r="W20" s="242"/>
      <c r="X20" s="249" t="s">
        <v>83</v>
      </c>
      <c r="Y20" s="244">
        <f t="shared" ref="Y20:AN20" si="9">SUM(Y3+Y4+Y8+Y9)</f>
        <v>4</v>
      </c>
      <c r="Z20" s="244">
        <f t="shared" si="9"/>
        <v>1</v>
      </c>
      <c r="AA20" s="244">
        <f t="shared" si="9"/>
        <v>0</v>
      </c>
      <c r="AB20" s="244">
        <f t="shared" si="9"/>
        <v>3</v>
      </c>
      <c r="AC20" s="245">
        <f t="shared" si="9"/>
        <v>3</v>
      </c>
      <c r="AD20" s="245">
        <f t="shared" si="9"/>
        <v>1</v>
      </c>
      <c r="AE20" s="245">
        <f t="shared" si="9"/>
        <v>0</v>
      </c>
      <c r="AF20" s="245">
        <f t="shared" si="9"/>
        <v>2</v>
      </c>
      <c r="AG20" s="246">
        <f t="shared" si="9"/>
        <v>1</v>
      </c>
      <c r="AH20" s="246">
        <f t="shared" si="9"/>
        <v>0</v>
      </c>
      <c r="AI20" s="246">
        <f t="shared" si="9"/>
        <v>0</v>
      </c>
      <c r="AJ20" s="246">
        <f t="shared" si="9"/>
        <v>1</v>
      </c>
      <c r="AK20" s="244">
        <f t="shared" si="9"/>
        <v>0</v>
      </c>
      <c r="AL20" s="244">
        <f t="shared" si="9"/>
        <v>0</v>
      </c>
      <c r="AM20" s="244">
        <f t="shared" si="9"/>
        <v>0</v>
      </c>
      <c r="AN20" s="244">
        <f t="shared" si="9"/>
        <v>0</v>
      </c>
    </row>
    <row r="21" spans="1:40" ht="14.95" thickBot="1" x14ac:dyDescent="0.3">
      <c r="A21" s="123"/>
      <c r="B21" s="124"/>
      <c r="C21" s="682" t="s">
        <v>73</v>
      </c>
      <c r="D21" s="683"/>
      <c r="E21" s="684"/>
      <c r="F21" s="150">
        <f t="shared" ref="F21:R21" si="10">SUM(F3:F15)</f>
        <v>148</v>
      </c>
      <c r="G21" s="150">
        <f t="shared" si="10"/>
        <v>267</v>
      </c>
      <c r="H21" s="150">
        <f t="shared" si="10"/>
        <v>0</v>
      </c>
      <c r="I21" s="150">
        <f t="shared" si="10"/>
        <v>1</v>
      </c>
      <c r="J21" s="150">
        <f t="shared" si="10"/>
        <v>22</v>
      </c>
      <c r="K21" s="150">
        <f t="shared" si="10"/>
        <v>11</v>
      </c>
      <c r="L21" s="150">
        <f t="shared" si="10"/>
        <v>0</v>
      </c>
      <c r="M21" s="150">
        <f t="shared" si="10"/>
        <v>4</v>
      </c>
      <c r="N21" s="150">
        <f t="shared" si="10"/>
        <v>8</v>
      </c>
      <c r="O21" s="150">
        <f t="shared" si="10"/>
        <v>2</v>
      </c>
      <c r="P21" s="150">
        <f t="shared" si="10"/>
        <v>2</v>
      </c>
      <c r="Q21" s="150">
        <f t="shared" si="10"/>
        <v>2</v>
      </c>
      <c r="R21" s="150">
        <f t="shared" si="10"/>
        <v>41</v>
      </c>
      <c r="S21" s="237"/>
      <c r="T21" s="237"/>
      <c r="U21" s="237"/>
      <c r="V21" s="237"/>
      <c r="W21" s="12"/>
      <c r="X21" s="155" t="s">
        <v>73</v>
      </c>
      <c r="Y21" s="150">
        <f t="shared" ref="Y21:AN21" si="11">SUM(Y3:Y15)</f>
        <v>11</v>
      </c>
      <c r="Z21" s="150">
        <f t="shared" si="11"/>
        <v>3</v>
      </c>
      <c r="AA21" s="150">
        <f t="shared" si="11"/>
        <v>0</v>
      </c>
      <c r="AB21" s="150">
        <f t="shared" si="11"/>
        <v>8</v>
      </c>
      <c r="AC21" s="148">
        <f t="shared" si="11"/>
        <v>3</v>
      </c>
      <c r="AD21" s="148">
        <f t="shared" si="11"/>
        <v>1</v>
      </c>
      <c r="AE21" s="148">
        <f t="shared" si="11"/>
        <v>0</v>
      </c>
      <c r="AF21" s="148">
        <f t="shared" si="11"/>
        <v>2</v>
      </c>
      <c r="AG21" s="149">
        <f t="shared" si="11"/>
        <v>2</v>
      </c>
      <c r="AH21" s="149">
        <f t="shared" si="11"/>
        <v>0</v>
      </c>
      <c r="AI21" s="149">
        <f t="shared" si="11"/>
        <v>0</v>
      </c>
      <c r="AJ21" s="149">
        <f t="shared" si="11"/>
        <v>2</v>
      </c>
      <c r="AK21" s="150">
        <f t="shared" si="11"/>
        <v>6</v>
      </c>
      <c r="AL21" s="150">
        <f t="shared" si="11"/>
        <v>2</v>
      </c>
      <c r="AM21" s="150">
        <f t="shared" si="11"/>
        <v>0</v>
      </c>
      <c r="AN21" s="150">
        <f t="shared" si="11"/>
        <v>4</v>
      </c>
    </row>
    <row r="22" spans="1:40" x14ac:dyDescent="0.25">
      <c r="A22" s="685" t="s">
        <v>242</v>
      </c>
      <c r="B22" s="637"/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</row>
    <row r="23" spans="1:40" x14ac:dyDescent="0.25">
      <c r="A23" s="258" t="s">
        <v>262</v>
      </c>
    </row>
    <row r="24" spans="1:40" x14ac:dyDescent="0.25">
      <c r="A24" t="s">
        <v>294</v>
      </c>
    </row>
    <row r="25" spans="1:40" x14ac:dyDescent="0.25">
      <c r="A25" t="s">
        <v>145</v>
      </c>
    </row>
    <row r="26" spans="1:40" x14ac:dyDescent="0.25">
      <c r="A26" t="s">
        <v>363</v>
      </c>
    </row>
    <row r="28" spans="1:40" x14ac:dyDescent="0.25">
      <c r="A28" t="s">
        <v>261</v>
      </c>
    </row>
    <row r="29" spans="1:40" x14ac:dyDescent="0.25">
      <c r="A29" s="238"/>
      <c r="B29" s="76" t="s">
        <v>42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x14ac:dyDescent="0.25">
      <c r="A30" s="140"/>
      <c r="B30" s="76" t="s">
        <v>40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x14ac:dyDescent="0.25">
      <c r="A31" s="239"/>
      <c r="B31" s="76" t="s">
        <v>41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  <row r="32" spans="1:40" x14ac:dyDescent="0.25">
      <c r="A32" s="258" t="s">
        <v>28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</row>
  </sheetData>
  <mergeCells count="17">
    <mergeCell ref="Y1:AB1"/>
    <mergeCell ref="AC1:AF1"/>
    <mergeCell ref="AG1:AJ1"/>
    <mergeCell ref="AK1:AN1"/>
    <mergeCell ref="C16:E16"/>
    <mergeCell ref="A1:C1"/>
    <mergeCell ref="E1:G1"/>
    <mergeCell ref="H1:I1"/>
    <mergeCell ref="J1:M1"/>
    <mergeCell ref="N1:O1"/>
    <mergeCell ref="P1:R1"/>
    <mergeCell ref="C17:E17"/>
    <mergeCell ref="C18:E18"/>
    <mergeCell ref="C19:E19"/>
    <mergeCell ref="C21:E21"/>
    <mergeCell ref="A22:AN22"/>
    <mergeCell ref="C20:E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66D-ABE5-4E54-AB28-2B516A652F9D}">
  <dimension ref="A1:AN31"/>
  <sheetViews>
    <sheetView zoomScaleNormal="100" workbookViewId="0">
      <selection activeCell="S14" sqref="S14:X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6.25" bestFit="1" customWidth="1"/>
    <col min="22" max="22" width="18" bestFit="1" customWidth="1"/>
    <col min="23" max="23" width="22.125" bestFit="1" customWidth="1"/>
    <col min="24" max="24" width="22.75" bestFit="1" customWidth="1"/>
    <col min="25" max="40" width="3.75" customWidth="1"/>
  </cols>
  <sheetData>
    <row r="1" spans="1:40" ht="14.95" customHeight="1" thickBot="1" x14ac:dyDescent="0.3">
      <c r="A1" s="706" t="s">
        <v>268</v>
      </c>
      <c r="B1" s="707"/>
      <c r="C1" s="707"/>
      <c r="D1" s="345"/>
      <c r="E1" s="708" t="s">
        <v>24</v>
      </c>
      <c r="F1" s="709"/>
      <c r="G1" s="710"/>
      <c r="H1" s="708" t="s">
        <v>81</v>
      </c>
      <c r="I1" s="710"/>
      <c r="J1" s="711" t="s">
        <v>6</v>
      </c>
      <c r="K1" s="712"/>
      <c r="L1" s="712"/>
      <c r="M1" s="713"/>
      <c r="N1" s="711" t="s">
        <v>7</v>
      </c>
      <c r="O1" s="713"/>
      <c r="P1" s="711" t="s">
        <v>25</v>
      </c>
      <c r="Q1" s="712"/>
      <c r="R1" s="713"/>
      <c r="S1" s="346" t="s">
        <v>8</v>
      </c>
      <c r="T1" s="346" t="s">
        <v>9</v>
      </c>
      <c r="U1" s="347" t="s">
        <v>10</v>
      </c>
      <c r="V1" s="347" t="s">
        <v>11</v>
      </c>
      <c r="W1" s="347" t="s">
        <v>26</v>
      </c>
      <c r="X1" s="347" t="s">
        <v>27</v>
      </c>
      <c r="Y1" s="703" t="s">
        <v>20</v>
      </c>
      <c r="Z1" s="704"/>
      <c r="AA1" s="704"/>
      <c r="AB1" s="705"/>
      <c r="AC1" s="703" t="s">
        <v>58</v>
      </c>
      <c r="AD1" s="704"/>
      <c r="AE1" s="704"/>
      <c r="AF1" s="705"/>
      <c r="AG1" s="703" t="s">
        <v>59</v>
      </c>
      <c r="AH1" s="704"/>
      <c r="AI1" s="704"/>
      <c r="AJ1" s="705"/>
      <c r="AK1" s="703" t="s">
        <v>60</v>
      </c>
      <c r="AL1" s="704"/>
      <c r="AM1" s="704"/>
      <c r="AN1" s="705"/>
    </row>
    <row r="2" spans="1:40" ht="14.95" customHeight="1" thickBot="1" x14ac:dyDescent="0.3">
      <c r="A2" s="348" t="s">
        <v>19</v>
      </c>
      <c r="B2" s="349" t="s">
        <v>18</v>
      </c>
      <c r="C2" s="350" t="s">
        <v>17</v>
      </c>
      <c r="D2" s="350" t="s">
        <v>39</v>
      </c>
      <c r="E2" s="351" t="s">
        <v>16</v>
      </c>
      <c r="F2" s="351" t="s">
        <v>4</v>
      </c>
      <c r="G2" s="351" t="s">
        <v>5</v>
      </c>
      <c r="H2" s="352" t="s">
        <v>12</v>
      </c>
      <c r="I2" s="352" t="s">
        <v>3</v>
      </c>
      <c r="J2" s="352" t="s">
        <v>12</v>
      </c>
      <c r="K2" s="352" t="s">
        <v>13</v>
      </c>
      <c r="L2" s="352" t="s">
        <v>2</v>
      </c>
      <c r="M2" s="352" t="s">
        <v>14</v>
      </c>
      <c r="N2" s="352" t="s">
        <v>15</v>
      </c>
      <c r="O2" s="352" t="s">
        <v>16</v>
      </c>
      <c r="P2" s="352" t="s">
        <v>21</v>
      </c>
      <c r="Q2" s="352" t="s">
        <v>22</v>
      </c>
      <c r="R2" s="352" t="s">
        <v>12</v>
      </c>
      <c r="S2" s="353"/>
      <c r="T2" s="354"/>
      <c r="U2" s="355"/>
      <c r="V2" s="353"/>
      <c r="W2" s="347"/>
      <c r="X2" s="356"/>
      <c r="Y2" s="357" t="s">
        <v>0</v>
      </c>
      <c r="Z2" s="357" t="s">
        <v>1</v>
      </c>
      <c r="AA2" s="357" t="s">
        <v>2</v>
      </c>
      <c r="AB2" s="357" t="s">
        <v>3</v>
      </c>
      <c r="AC2" s="357" t="s">
        <v>0</v>
      </c>
      <c r="AD2" s="357" t="s">
        <v>1</v>
      </c>
      <c r="AE2" s="357" t="s">
        <v>2</v>
      </c>
      <c r="AF2" s="357" t="s">
        <v>3</v>
      </c>
      <c r="AG2" s="357" t="s">
        <v>0</v>
      </c>
      <c r="AH2" s="357" t="s">
        <v>1</v>
      </c>
      <c r="AI2" s="357" t="s">
        <v>2</v>
      </c>
      <c r="AJ2" s="357" t="s">
        <v>3</v>
      </c>
      <c r="AK2" s="357" t="s">
        <v>0</v>
      </c>
      <c r="AL2" s="357" t="s">
        <v>1</v>
      </c>
      <c r="AM2" s="357" t="s">
        <v>2</v>
      </c>
      <c r="AN2" s="357" t="s">
        <v>3</v>
      </c>
    </row>
    <row r="3" spans="1:40" ht="14.95" customHeight="1" thickBot="1" x14ac:dyDescent="0.35">
      <c r="A3" s="226">
        <v>44718</v>
      </c>
      <c r="B3" s="227" t="s">
        <v>269</v>
      </c>
      <c r="C3" s="227" t="s">
        <v>57</v>
      </c>
      <c r="D3" s="227" t="s">
        <v>272</v>
      </c>
      <c r="E3" s="223" t="s">
        <v>1</v>
      </c>
      <c r="F3" s="223">
        <v>36</v>
      </c>
      <c r="G3" s="223">
        <v>5</v>
      </c>
      <c r="H3" s="223">
        <v>1</v>
      </c>
      <c r="I3" s="223">
        <v>0</v>
      </c>
      <c r="J3" s="223">
        <v>6</v>
      </c>
      <c r="K3" s="223">
        <v>3</v>
      </c>
      <c r="L3" s="223">
        <v>0</v>
      </c>
      <c r="M3" s="223">
        <v>0</v>
      </c>
      <c r="N3" s="223">
        <v>0</v>
      </c>
      <c r="O3" s="223">
        <v>0</v>
      </c>
      <c r="P3" s="223">
        <v>0</v>
      </c>
      <c r="Q3" s="223">
        <v>0</v>
      </c>
      <c r="R3" s="223">
        <v>1</v>
      </c>
      <c r="S3" s="228"/>
      <c r="T3" s="231" t="s">
        <v>274</v>
      </c>
      <c r="U3" s="229" t="s">
        <v>211</v>
      </c>
      <c r="V3" s="228" t="s">
        <v>229</v>
      </c>
      <c r="W3" s="229" t="s">
        <v>214</v>
      </c>
      <c r="X3" s="225" t="s">
        <v>258</v>
      </c>
      <c r="Y3" s="155">
        <v>1</v>
      </c>
      <c r="Z3" s="155">
        <v>1</v>
      </c>
      <c r="AA3" s="155">
        <v>0</v>
      </c>
      <c r="AB3" s="224">
        <v>0</v>
      </c>
      <c r="AC3" s="155">
        <v>0</v>
      </c>
      <c r="AD3" s="155">
        <v>0</v>
      </c>
      <c r="AE3" s="155">
        <v>0</v>
      </c>
      <c r="AF3" s="224">
        <v>0</v>
      </c>
      <c r="AG3" s="155">
        <v>0</v>
      </c>
      <c r="AH3" s="155">
        <v>0</v>
      </c>
      <c r="AI3" s="155">
        <v>0</v>
      </c>
      <c r="AJ3" s="224">
        <v>0</v>
      </c>
      <c r="AK3" s="155">
        <v>1</v>
      </c>
      <c r="AL3" s="155">
        <v>1</v>
      </c>
      <c r="AM3" s="155">
        <v>0</v>
      </c>
      <c r="AN3" s="224">
        <v>0</v>
      </c>
    </row>
    <row r="4" spans="1:40" ht="14.95" customHeight="1" thickBot="1" x14ac:dyDescent="0.3">
      <c r="A4" s="184">
        <v>44724</v>
      </c>
      <c r="B4" s="186" t="s">
        <v>269</v>
      </c>
      <c r="C4" s="186" t="s">
        <v>77</v>
      </c>
      <c r="D4" s="186" t="s">
        <v>79</v>
      </c>
      <c r="E4" s="187" t="s">
        <v>3</v>
      </c>
      <c r="F4" s="187">
        <v>0</v>
      </c>
      <c r="G4" s="187">
        <v>28</v>
      </c>
      <c r="H4" s="187">
        <v>0</v>
      </c>
      <c r="I4" s="187">
        <v>0</v>
      </c>
      <c r="J4" s="187">
        <v>0</v>
      </c>
      <c r="K4" s="187">
        <v>0</v>
      </c>
      <c r="L4" s="187">
        <v>0</v>
      </c>
      <c r="M4" s="187">
        <v>0</v>
      </c>
      <c r="N4" s="187">
        <v>0</v>
      </c>
      <c r="O4" s="187">
        <v>0</v>
      </c>
      <c r="P4" s="187">
        <v>1</v>
      </c>
      <c r="Q4" s="187">
        <v>0</v>
      </c>
      <c r="R4" s="187">
        <v>4</v>
      </c>
      <c r="S4" s="191"/>
      <c r="T4" s="195" t="s">
        <v>285</v>
      </c>
      <c r="U4" s="193" t="s">
        <v>214</v>
      </c>
      <c r="V4" s="191" t="s">
        <v>165</v>
      </c>
      <c r="W4" s="188" t="s">
        <v>211</v>
      </c>
      <c r="X4" s="194" t="s">
        <v>258</v>
      </c>
      <c r="Y4" s="189">
        <v>1</v>
      </c>
      <c r="Z4" s="189">
        <v>0</v>
      </c>
      <c r="AA4" s="189">
        <v>0</v>
      </c>
      <c r="AB4" s="190">
        <v>1</v>
      </c>
      <c r="AC4" s="189">
        <v>0</v>
      </c>
      <c r="AD4" s="189">
        <v>0</v>
      </c>
      <c r="AE4" s="189">
        <v>0</v>
      </c>
      <c r="AF4" s="190">
        <v>0</v>
      </c>
      <c r="AG4" s="189">
        <v>1</v>
      </c>
      <c r="AH4" s="189">
        <v>0</v>
      </c>
      <c r="AI4" s="189">
        <v>0</v>
      </c>
      <c r="AJ4" s="190">
        <v>1</v>
      </c>
      <c r="AK4" s="189">
        <v>0</v>
      </c>
      <c r="AL4" s="189">
        <v>0</v>
      </c>
      <c r="AM4" s="189">
        <v>0</v>
      </c>
      <c r="AN4" s="190">
        <v>0</v>
      </c>
    </row>
    <row r="5" spans="1:40" ht="14.95" customHeight="1" thickBot="1" x14ac:dyDescent="0.3">
      <c r="A5" s="226">
        <v>44730</v>
      </c>
      <c r="B5" s="227" t="s">
        <v>269</v>
      </c>
      <c r="C5" s="227" t="s">
        <v>29</v>
      </c>
      <c r="D5" s="227" t="s">
        <v>140</v>
      </c>
      <c r="E5" s="223" t="s">
        <v>1</v>
      </c>
      <c r="F5" s="223">
        <v>22</v>
      </c>
      <c r="G5" s="223">
        <v>10</v>
      </c>
      <c r="H5" s="223">
        <v>0</v>
      </c>
      <c r="I5" s="223">
        <v>0</v>
      </c>
      <c r="J5" s="223">
        <v>3</v>
      </c>
      <c r="K5" s="223">
        <v>2</v>
      </c>
      <c r="L5" s="223">
        <v>0</v>
      </c>
      <c r="M5" s="223">
        <v>1</v>
      </c>
      <c r="N5" s="223">
        <v>0</v>
      </c>
      <c r="O5" s="223">
        <v>0</v>
      </c>
      <c r="P5" s="223">
        <v>0</v>
      </c>
      <c r="Q5" s="223">
        <v>0</v>
      </c>
      <c r="R5" s="223">
        <v>1</v>
      </c>
      <c r="S5" s="228"/>
      <c r="T5" s="259" t="s">
        <v>290</v>
      </c>
      <c r="U5" s="229" t="s">
        <v>211</v>
      </c>
      <c r="V5" s="228" t="s">
        <v>229</v>
      </c>
      <c r="W5" s="225" t="s">
        <v>165</v>
      </c>
      <c r="X5" s="230" t="s">
        <v>207</v>
      </c>
      <c r="Y5" s="155">
        <v>1</v>
      </c>
      <c r="Z5" s="155">
        <v>1</v>
      </c>
      <c r="AA5" s="155">
        <v>0</v>
      </c>
      <c r="AB5" s="224">
        <v>0</v>
      </c>
      <c r="AC5" s="155">
        <v>0</v>
      </c>
      <c r="AD5" s="155">
        <v>0</v>
      </c>
      <c r="AE5" s="155">
        <v>0</v>
      </c>
      <c r="AF5" s="224">
        <v>0</v>
      </c>
      <c r="AG5" s="155">
        <v>0</v>
      </c>
      <c r="AH5" s="155">
        <v>0</v>
      </c>
      <c r="AI5" s="155">
        <v>0</v>
      </c>
      <c r="AJ5" s="224">
        <v>0</v>
      </c>
      <c r="AK5" s="155">
        <v>1</v>
      </c>
      <c r="AL5" s="155">
        <v>1</v>
      </c>
      <c r="AM5" s="155">
        <v>0</v>
      </c>
      <c r="AN5" s="224">
        <v>0</v>
      </c>
    </row>
    <row r="6" spans="1:40" ht="14.95" customHeight="1" thickBot="1" x14ac:dyDescent="0.3">
      <c r="A6" s="203">
        <v>44766</v>
      </c>
      <c r="B6" s="204" t="s">
        <v>246</v>
      </c>
      <c r="C6" s="204" t="s">
        <v>33</v>
      </c>
      <c r="D6" s="204" t="s">
        <v>320</v>
      </c>
      <c r="E6" s="205" t="s">
        <v>1</v>
      </c>
      <c r="F6" s="205">
        <v>34</v>
      </c>
      <c r="G6" s="205">
        <v>24</v>
      </c>
      <c r="H6" s="205" t="s">
        <v>72</v>
      </c>
      <c r="I6" s="205" t="s">
        <v>72</v>
      </c>
      <c r="J6" s="205">
        <v>5</v>
      </c>
      <c r="K6" s="205">
        <v>3</v>
      </c>
      <c r="L6" s="205">
        <v>0</v>
      </c>
      <c r="M6" s="205">
        <v>1</v>
      </c>
      <c r="N6" s="205">
        <v>0</v>
      </c>
      <c r="O6" s="205">
        <v>0</v>
      </c>
      <c r="P6" s="205" t="s">
        <v>72</v>
      </c>
      <c r="Q6" s="205" t="s">
        <v>72</v>
      </c>
      <c r="R6" s="205">
        <v>4</v>
      </c>
      <c r="S6" s="206"/>
      <c r="T6" s="399" t="s">
        <v>321</v>
      </c>
      <c r="U6" s="208" t="s">
        <v>165</v>
      </c>
      <c r="V6" s="206" t="s">
        <v>166</v>
      </c>
      <c r="W6" s="206" t="s">
        <v>194</v>
      </c>
      <c r="X6" s="210" t="s">
        <v>118</v>
      </c>
      <c r="Y6" s="211">
        <v>1</v>
      </c>
      <c r="Z6" s="211">
        <v>1</v>
      </c>
      <c r="AA6" s="211">
        <v>0</v>
      </c>
      <c r="AB6" s="212">
        <v>0</v>
      </c>
      <c r="AC6" s="211">
        <v>1</v>
      </c>
      <c r="AD6" s="211">
        <v>1</v>
      </c>
      <c r="AE6" s="211">
        <v>0</v>
      </c>
      <c r="AF6" s="212">
        <v>0</v>
      </c>
      <c r="AG6" s="211">
        <v>0</v>
      </c>
      <c r="AH6" s="211">
        <v>0</v>
      </c>
      <c r="AI6" s="211">
        <v>0</v>
      </c>
      <c r="AJ6" s="212">
        <v>0</v>
      </c>
      <c r="AK6" s="211">
        <v>0</v>
      </c>
      <c r="AL6" s="211">
        <v>0</v>
      </c>
      <c r="AM6" s="211">
        <v>0</v>
      </c>
      <c r="AN6" s="212">
        <v>0</v>
      </c>
    </row>
    <row r="7" spans="1:40" ht="14.95" customHeight="1" thickBot="1" x14ac:dyDescent="0.35">
      <c r="A7" s="203">
        <v>44800</v>
      </c>
      <c r="B7" s="204" t="s">
        <v>246</v>
      </c>
      <c r="C7" s="204" t="s">
        <v>32</v>
      </c>
      <c r="D7" s="204" t="s">
        <v>364</v>
      </c>
      <c r="E7" s="205" t="s">
        <v>1</v>
      </c>
      <c r="F7" s="205">
        <v>31</v>
      </c>
      <c r="G7" s="205">
        <v>3</v>
      </c>
      <c r="H7" s="205" t="s">
        <v>72</v>
      </c>
      <c r="I7" s="205" t="s">
        <v>72</v>
      </c>
      <c r="J7" s="205">
        <v>5</v>
      </c>
      <c r="K7" s="205">
        <v>3</v>
      </c>
      <c r="L7" s="205">
        <v>0</v>
      </c>
      <c r="M7" s="205">
        <v>0</v>
      </c>
      <c r="N7" s="205">
        <v>0</v>
      </c>
      <c r="O7" s="205">
        <v>0</v>
      </c>
      <c r="P7" s="205" t="s">
        <v>72</v>
      </c>
      <c r="Q7" s="205" t="s">
        <v>72</v>
      </c>
      <c r="R7" s="205">
        <v>0</v>
      </c>
      <c r="S7" s="206"/>
      <c r="T7" s="215" t="s">
        <v>383</v>
      </c>
      <c r="U7" s="208" t="s">
        <v>167</v>
      </c>
      <c r="V7" s="206" t="s">
        <v>166</v>
      </c>
      <c r="W7" s="206" t="s">
        <v>194</v>
      </c>
      <c r="X7" s="210" t="s">
        <v>118</v>
      </c>
      <c r="Y7" s="211">
        <v>1</v>
      </c>
      <c r="Z7" s="211">
        <v>1</v>
      </c>
      <c r="AA7" s="211">
        <v>0</v>
      </c>
      <c r="AB7" s="212">
        <v>0</v>
      </c>
      <c r="AC7" s="211">
        <v>1</v>
      </c>
      <c r="AD7" s="211">
        <v>1</v>
      </c>
      <c r="AE7" s="211">
        <v>0</v>
      </c>
      <c r="AF7" s="212">
        <v>0</v>
      </c>
      <c r="AG7" s="211">
        <v>0</v>
      </c>
      <c r="AH7" s="211">
        <v>0</v>
      </c>
      <c r="AI7" s="211">
        <v>0</v>
      </c>
      <c r="AJ7" s="212">
        <v>0</v>
      </c>
      <c r="AK7" s="211">
        <v>0</v>
      </c>
      <c r="AL7" s="211">
        <v>0</v>
      </c>
      <c r="AM7" s="211">
        <v>0</v>
      </c>
      <c r="AN7" s="212">
        <v>0</v>
      </c>
    </row>
    <row r="8" spans="1:40" ht="14.95" customHeight="1" thickBot="1" x14ac:dyDescent="0.3">
      <c r="A8" s="184">
        <v>44827</v>
      </c>
      <c r="B8" s="186" t="s">
        <v>246</v>
      </c>
      <c r="C8" s="186" t="s">
        <v>31</v>
      </c>
      <c r="D8" s="186" t="s">
        <v>407</v>
      </c>
      <c r="E8" s="187" t="s">
        <v>1</v>
      </c>
      <c r="F8" s="187">
        <v>24</v>
      </c>
      <c r="G8" s="187">
        <v>7</v>
      </c>
      <c r="H8" s="187" t="s">
        <v>72</v>
      </c>
      <c r="I8" s="187" t="s">
        <v>72</v>
      </c>
      <c r="J8" s="187">
        <v>4</v>
      </c>
      <c r="K8" s="187">
        <v>2</v>
      </c>
      <c r="L8" s="187">
        <v>0</v>
      </c>
      <c r="M8" s="187">
        <v>0</v>
      </c>
      <c r="N8" s="187">
        <v>0</v>
      </c>
      <c r="O8" s="187">
        <v>0</v>
      </c>
      <c r="P8" s="187" t="s">
        <v>72</v>
      </c>
      <c r="Q8" s="187" t="s">
        <v>72</v>
      </c>
      <c r="R8" s="187">
        <v>1</v>
      </c>
      <c r="S8" s="191"/>
      <c r="T8" s="331" t="s">
        <v>263</v>
      </c>
      <c r="U8" s="193"/>
      <c r="V8" s="191"/>
      <c r="W8" s="191"/>
      <c r="X8" s="194"/>
      <c r="Y8" s="189">
        <v>1</v>
      </c>
      <c r="Z8" s="189">
        <v>1</v>
      </c>
      <c r="AA8" s="189">
        <v>0</v>
      </c>
      <c r="AB8" s="190">
        <v>0</v>
      </c>
      <c r="AC8" s="189">
        <v>0</v>
      </c>
      <c r="AD8" s="189">
        <v>0</v>
      </c>
      <c r="AE8" s="189">
        <v>0</v>
      </c>
      <c r="AF8" s="190">
        <v>0</v>
      </c>
      <c r="AG8" s="189">
        <v>1</v>
      </c>
      <c r="AH8" s="189">
        <v>1</v>
      </c>
      <c r="AI8" s="189">
        <v>0</v>
      </c>
      <c r="AJ8" s="190">
        <v>0</v>
      </c>
      <c r="AK8" s="189">
        <v>0</v>
      </c>
      <c r="AL8" s="189">
        <v>0</v>
      </c>
      <c r="AM8" s="189">
        <v>0</v>
      </c>
      <c r="AN8" s="190">
        <v>0</v>
      </c>
    </row>
    <row r="9" spans="1:40" ht="14.95" customHeight="1" thickBot="1" x14ac:dyDescent="0.35">
      <c r="A9" s="226">
        <v>44843</v>
      </c>
      <c r="B9" s="227" t="s">
        <v>139</v>
      </c>
      <c r="C9" s="227" t="s">
        <v>36</v>
      </c>
      <c r="D9" s="227" t="s">
        <v>140</v>
      </c>
      <c r="E9" s="223" t="s">
        <v>1</v>
      </c>
      <c r="F9" s="223">
        <v>41</v>
      </c>
      <c r="G9" s="223">
        <v>5</v>
      </c>
      <c r="H9" s="223">
        <v>1</v>
      </c>
      <c r="I9" s="223">
        <v>0</v>
      </c>
      <c r="J9" s="223">
        <v>7</v>
      </c>
      <c r="K9" s="223">
        <v>3</v>
      </c>
      <c r="L9" s="223">
        <v>0</v>
      </c>
      <c r="M9" s="223">
        <v>0</v>
      </c>
      <c r="N9" s="223">
        <v>0</v>
      </c>
      <c r="O9" s="223">
        <v>0</v>
      </c>
      <c r="P9" s="223">
        <v>0</v>
      </c>
      <c r="Q9" s="223">
        <v>0</v>
      </c>
      <c r="R9" s="223">
        <v>1</v>
      </c>
      <c r="S9" s="228"/>
      <c r="T9" s="231" t="s">
        <v>479</v>
      </c>
      <c r="U9" s="229" t="s">
        <v>147</v>
      </c>
      <c r="V9" s="228" t="s">
        <v>229</v>
      </c>
      <c r="W9" s="228" t="s">
        <v>214</v>
      </c>
      <c r="X9" s="230" t="s">
        <v>182</v>
      </c>
      <c r="Y9" s="155">
        <v>1</v>
      </c>
      <c r="Z9" s="155">
        <v>1</v>
      </c>
      <c r="AA9" s="155">
        <v>0</v>
      </c>
      <c r="AB9" s="224">
        <v>0</v>
      </c>
      <c r="AC9" s="155">
        <v>0</v>
      </c>
      <c r="AD9" s="155">
        <v>0</v>
      </c>
      <c r="AE9" s="155">
        <v>0</v>
      </c>
      <c r="AF9" s="224">
        <v>0</v>
      </c>
      <c r="AG9" s="155">
        <v>0</v>
      </c>
      <c r="AH9" s="155">
        <v>0</v>
      </c>
      <c r="AI9" s="155">
        <v>0</v>
      </c>
      <c r="AJ9" s="224">
        <v>0</v>
      </c>
      <c r="AK9" s="155">
        <v>1</v>
      </c>
      <c r="AL9" s="155">
        <v>1</v>
      </c>
      <c r="AM9" s="155">
        <v>0</v>
      </c>
      <c r="AN9" s="224">
        <v>0</v>
      </c>
    </row>
    <row r="10" spans="1:40" ht="14.95" customHeight="1" thickBot="1" x14ac:dyDescent="0.35">
      <c r="A10" s="226">
        <v>44850</v>
      </c>
      <c r="B10" s="227" t="s">
        <v>139</v>
      </c>
      <c r="C10" s="227" t="s">
        <v>33</v>
      </c>
      <c r="D10" s="227" t="s">
        <v>79</v>
      </c>
      <c r="E10" s="223" t="s">
        <v>1</v>
      </c>
      <c r="F10" s="223">
        <v>22</v>
      </c>
      <c r="G10" s="223">
        <v>12</v>
      </c>
      <c r="H10" s="223">
        <v>1</v>
      </c>
      <c r="I10" s="223">
        <v>0</v>
      </c>
      <c r="J10" s="223">
        <v>4</v>
      </c>
      <c r="K10" s="223">
        <v>1</v>
      </c>
      <c r="L10" s="223">
        <v>0</v>
      </c>
      <c r="M10" s="223">
        <v>0</v>
      </c>
      <c r="N10" s="223">
        <v>1</v>
      </c>
      <c r="O10" s="223">
        <v>0</v>
      </c>
      <c r="P10" s="223">
        <v>0</v>
      </c>
      <c r="Q10" s="223">
        <v>0</v>
      </c>
      <c r="R10" s="223">
        <v>2</v>
      </c>
      <c r="S10" s="228"/>
      <c r="T10" s="231" t="s">
        <v>329</v>
      </c>
      <c r="U10" s="229" t="s">
        <v>165</v>
      </c>
      <c r="V10" s="228" t="s">
        <v>229</v>
      </c>
      <c r="W10" s="228" t="s">
        <v>149</v>
      </c>
      <c r="X10" s="230" t="s">
        <v>182</v>
      </c>
      <c r="Y10" s="155">
        <v>1</v>
      </c>
      <c r="Z10" s="155">
        <v>1</v>
      </c>
      <c r="AA10" s="155">
        <v>0</v>
      </c>
      <c r="AB10" s="224">
        <v>0</v>
      </c>
      <c r="AC10" s="155">
        <v>0</v>
      </c>
      <c r="AD10" s="155">
        <v>0</v>
      </c>
      <c r="AE10" s="155">
        <v>0</v>
      </c>
      <c r="AF10" s="224">
        <v>0</v>
      </c>
      <c r="AG10" s="155">
        <v>0</v>
      </c>
      <c r="AH10" s="155">
        <v>0</v>
      </c>
      <c r="AI10" s="155">
        <v>0</v>
      </c>
      <c r="AJ10" s="224">
        <v>0</v>
      </c>
      <c r="AK10" s="155">
        <v>1</v>
      </c>
      <c r="AL10" s="155">
        <v>1</v>
      </c>
      <c r="AM10" s="155">
        <v>0</v>
      </c>
      <c r="AN10" s="224">
        <v>0</v>
      </c>
    </row>
    <row r="11" spans="1:40" ht="14.95" customHeight="1" thickBot="1" x14ac:dyDescent="0.35">
      <c r="A11" s="226">
        <v>44857</v>
      </c>
      <c r="B11" s="227" t="s">
        <v>139</v>
      </c>
      <c r="C11" s="227" t="s">
        <v>57</v>
      </c>
      <c r="D11" s="227" t="s">
        <v>79</v>
      </c>
      <c r="E11" s="223" t="s">
        <v>1</v>
      </c>
      <c r="F11" s="223">
        <v>29</v>
      </c>
      <c r="G11" s="223">
        <v>14</v>
      </c>
      <c r="H11" s="223">
        <v>1</v>
      </c>
      <c r="I11" s="223">
        <v>0</v>
      </c>
      <c r="J11" s="223">
        <v>5</v>
      </c>
      <c r="K11" s="223">
        <v>2</v>
      </c>
      <c r="L11" s="223"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v>0</v>
      </c>
      <c r="R11" s="223">
        <v>2</v>
      </c>
      <c r="S11" s="290"/>
      <c r="T11" s="231" t="s">
        <v>508</v>
      </c>
      <c r="U11" s="229" t="s">
        <v>167</v>
      </c>
      <c r="V11" s="228" t="s">
        <v>117</v>
      </c>
      <c r="W11" s="228" t="s">
        <v>147</v>
      </c>
      <c r="X11" s="255" t="s">
        <v>182</v>
      </c>
      <c r="Y11" s="155">
        <v>1</v>
      </c>
      <c r="Z11" s="155">
        <v>1</v>
      </c>
      <c r="AA11" s="155">
        <v>0</v>
      </c>
      <c r="AB11" s="224">
        <v>0</v>
      </c>
      <c r="AC11" s="155">
        <v>0</v>
      </c>
      <c r="AD11" s="155">
        <v>0</v>
      </c>
      <c r="AE11" s="155">
        <v>0</v>
      </c>
      <c r="AF11" s="224">
        <v>0</v>
      </c>
      <c r="AG11" s="155">
        <v>0</v>
      </c>
      <c r="AH11" s="155">
        <v>0</v>
      </c>
      <c r="AI11" s="155">
        <v>0</v>
      </c>
      <c r="AJ11" s="224">
        <v>0</v>
      </c>
      <c r="AK11" s="155">
        <v>1</v>
      </c>
      <c r="AL11" s="155">
        <v>1</v>
      </c>
      <c r="AM11" s="155">
        <v>0</v>
      </c>
      <c r="AN11" s="224">
        <v>0</v>
      </c>
    </row>
    <row r="12" spans="1:40" ht="14.95" customHeight="1" thickBot="1" x14ac:dyDescent="0.35">
      <c r="A12" s="226">
        <v>44864</v>
      </c>
      <c r="B12" s="227" t="s">
        <v>109</v>
      </c>
      <c r="C12" s="227" t="s">
        <v>57</v>
      </c>
      <c r="D12" s="227" t="s">
        <v>79</v>
      </c>
      <c r="E12" s="223" t="s">
        <v>1</v>
      </c>
      <c r="F12" s="223">
        <v>32</v>
      </c>
      <c r="G12" s="223">
        <v>11</v>
      </c>
      <c r="H12" s="223" t="s">
        <v>525</v>
      </c>
      <c r="I12" s="223" t="s">
        <v>72</v>
      </c>
      <c r="J12" s="223">
        <v>4</v>
      </c>
      <c r="K12" s="223">
        <v>3</v>
      </c>
      <c r="L12" s="223">
        <v>0</v>
      </c>
      <c r="M12" s="223">
        <v>2</v>
      </c>
      <c r="N12" s="223">
        <v>0</v>
      </c>
      <c r="O12" s="223">
        <v>0</v>
      </c>
      <c r="P12" s="223" t="s">
        <v>72</v>
      </c>
      <c r="Q12" s="223" t="s">
        <v>72</v>
      </c>
      <c r="R12" s="223">
        <v>1</v>
      </c>
      <c r="S12" s="290"/>
      <c r="T12" s="231" t="s">
        <v>530</v>
      </c>
      <c r="U12" s="229" t="s">
        <v>147</v>
      </c>
      <c r="V12" s="228" t="s">
        <v>117</v>
      </c>
      <c r="W12" s="229" t="s">
        <v>165</v>
      </c>
      <c r="X12" s="228" t="s">
        <v>236</v>
      </c>
      <c r="Y12" s="155">
        <v>1</v>
      </c>
      <c r="Z12" s="155">
        <v>1</v>
      </c>
      <c r="AA12" s="155">
        <v>0</v>
      </c>
      <c r="AB12" s="224">
        <v>0</v>
      </c>
      <c r="AC12" s="155">
        <v>0</v>
      </c>
      <c r="AD12" s="155">
        <v>0</v>
      </c>
      <c r="AE12" s="155">
        <v>0</v>
      </c>
      <c r="AF12" s="224">
        <v>0</v>
      </c>
      <c r="AG12" s="155">
        <v>0</v>
      </c>
      <c r="AH12" s="155">
        <v>0</v>
      </c>
      <c r="AI12" s="155">
        <v>0</v>
      </c>
      <c r="AJ12" s="224">
        <v>0</v>
      </c>
      <c r="AK12" s="155">
        <v>1</v>
      </c>
      <c r="AL12" s="155">
        <v>1</v>
      </c>
      <c r="AM12" s="155">
        <v>0</v>
      </c>
      <c r="AN12" s="224">
        <v>0</v>
      </c>
    </row>
    <row r="13" spans="1:40" ht="14.95" customHeight="1" thickBot="1" x14ac:dyDescent="0.3">
      <c r="A13" s="226">
        <v>44870</v>
      </c>
      <c r="B13" s="227" t="s">
        <v>387</v>
      </c>
      <c r="C13" s="227" t="s">
        <v>30</v>
      </c>
      <c r="D13" s="227" t="s">
        <v>144</v>
      </c>
      <c r="E13" s="223" t="s">
        <v>3</v>
      </c>
      <c r="F13" s="223">
        <v>19</v>
      </c>
      <c r="G13" s="223">
        <v>26</v>
      </c>
      <c r="H13" s="223" t="s">
        <v>72</v>
      </c>
      <c r="I13" s="223" t="s">
        <v>72</v>
      </c>
      <c r="J13" s="223">
        <v>3</v>
      </c>
      <c r="K13" s="223">
        <v>2</v>
      </c>
      <c r="L13" s="223">
        <v>0</v>
      </c>
      <c r="M13" s="223">
        <v>0</v>
      </c>
      <c r="N13" s="223">
        <v>0</v>
      </c>
      <c r="O13" s="223">
        <v>0</v>
      </c>
      <c r="P13" s="223" t="s">
        <v>525</v>
      </c>
      <c r="Q13" s="223" t="s">
        <v>72</v>
      </c>
      <c r="R13" s="223">
        <v>3</v>
      </c>
      <c r="S13" s="290"/>
      <c r="T13" s="240" t="s">
        <v>536</v>
      </c>
      <c r="U13" s="229" t="s">
        <v>167</v>
      </c>
      <c r="V13" s="625" t="s">
        <v>198</v>
      </c>
      <c r="W13" s="225" t="s">
        <v>149</v>
      </c>
      <c r="X13" s="230" t="s">
        <v>207</v>
      </c>
      <c r="Y13" s="155">
        <v>1</v>
      </c>
      <c r="Z13" s="155">
        <v>0</v>
      </c>
      <c r="AA13" s="155">
        <v>0</v>
      </c>
      <c r="AB13" s="224">
        <v>1</v>
      </c>
      <c r="AC13" s="155">
        <v>0</v>
      </c>
      <c r="AD13" s="155">
        <v>0</v>
      </c>
      <c r="AE13" s="155">
        <v>0</v>
      </c>
      <c r="AF13" s="224">
        <v>0</v>
      </c>
      <c r="AG13" s="155">
        <v>0</v>
      </c>
      <c r="AH13" s="155">
        <v>0</v>
      </c>
      <c r="AI13" s="155">
        <v>0</v>
      </c>
      <c r="AJ13" s="224">
        <v>0</v>
      </c>
      <c r="AK13" s="155">
        <v>1</v>
      </c>
      <c r="AL13" s="155">
        <v>0</v>
      </c>
      <c r="AM13" s="155">
        <v>0</v>
      </c>
      <c r="AN13" s="224">
        <v>1</v>
      </c>
    </row>
    <row r="14" spans="1:40" ht="14.95" customHeight="1" thickBot="1" x14ac:dyDescent="0.3">
      <c r="A14" s="226">
        <v>44877</v>
      </c>
      <c r="B14" s="227" t="s">
        <v>539</v>
      </c>
      <c r="C14" s="227" t="s">
        <v>34</v>
      </c>
      <c r="D14" s="227" t="s">
        <v>144</v>
      </c>
      <c r="E14" s="223" t="s">
        <v>3</v>
      </c>
      <c r="F14" s="223">
        <v>0</v>
      </c>
      <c r="G14" s="223">
        <v>36</v>
      </c>
      <c r="H14" s="223" t="s">
        <v>72</v>
      </c>
      <c r="I14" s="223" t="s">
        <v>72</v>
      </c>
      <c r="J14" s="223">
        <v>0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223" t="s">
        <v>72</v>
      </c>
      <c r="Q14" s="223" t="s">
        <v>72</v>
      </c>
      <c r="R14" s="223">
        <v>5</v>
      </c>
      <c r="S14" s="290"/>
      <c r="T14" s="240" t="s">
        <v>542</v>
      </c>
      <c r="U14" s="229" t="s">
        <v>165</v>
      </c>
      <c r="V14" s="228" t="s">
        <v>117</v>
      </c>
      <c r="W14" s="225" t="s">
        <v>147</v>
      </c>
      <c r="X14" s="230" t="s">
        <v>211</v>
      </c>
      <c r="Y14" s="155">
        <v>1</v>
      </c>
      <c r="Z14" s="155">
        <v>0</v>
      </c>
      <c r="AA14" s="155">
        <v>0</v>
      </c>
      <c r="AB14" s="224">
        <v>1</v>
      </c>
      <c r="AC14" s="155">
        <v>0</v>
      </c>
      <c r="AD14" s="155">
        <v>0</v>
      </c>
      <c r="AE14" s="155">
        <v>0</v>
      </c>
      <c r="AF14" s="224">
        <v>0</v>
      </c>
      <c r="AG14" s="155">
        <v>0</v>
      </c>
      <c r="AH14" s="155">
        <v>0</v>
      </c>
      <c r="AI14" s="155">
        <v>0</v>
      </c>
      <c r="AJ14" s="224">
        <v>0</v>
      </c>
      <c r="AK14" s="155">
        <v>1</v>
      </c>
      <c r="AL14" s="155">
        <v>0</v>
      </c>
      <c r="AM14" s="155">
        <v>0</v>
      </c>
      <c r="AN14" s="224">
        <v>1</v>
      </c>
    </row>
    <row r="15" spans="1:40" ht="14.95" customHeight="1" thickBot="1" x14ac:dyDescent="0.3">
      <c r="A15" s="123"/>
      <c r="B15" s="124"/>
      <c r="C15" s="692" t="s">
        <v>241</v>
      </c>
      <c r="D15" s="693"/>
      <c r="E15" s="694"/>
      <c r="F15" s="122">
        <f t="shared" ref="F15:R15" si="0">SUM(F3:F5)</f>
        <v>58</v>
      </c>
      <c r="G15" s="122">
        <f t="shared" si="0"/>
        <v>43</v>
      </c>
      <c r="H15" s="122">
        <f t="shared" si="0"/>
        <v>1</v>
      </c>
      <c r="I15" s="122">
        <f t="shared" si="0"/>
        <v>0</v>
      </c>
      <c r="J15" s="122">
        <f t="shared" si="0"/>
        <v>9</v>
      </c>
      <c r="K15" s="122">
        <f t="shared" si="0"/>
        <v>5</v>
      </c>
      <c r="L15" s="122">
        <f t="shared" si="0"/>
        <v>0</v>
      </c>
      <c r="M15" s="122">
        <f t="shared" si="0"/>
        <v>1</v>
      </c>
      <c r="N15" s="122">
        <f t="shared" si="0"/>
        <v>0</v>
      </c>
      <c r="O15" s="122">
        <f t="shared" si="0"/>
        <v>0</v>
      </c>
      <c r="P15" s="122">
        <f t="shared" si="0"/>
        <v>1</v>
      </c>
      <c r="Q15" s="122">
        <f t="shared" si="0"/>
        <v>0</v>
      </c>
      <c r="R15" s="122">
        <f t="shared" si="0"/>
        <v>6</v>
      </c>
      <c r="S15" s="76"/>
      <c r="T15" s="76"/>
      <c r="U15" s="76"/>
      <c r="V15" s="76"/>
      <c r="W15" s="119"/>
      <c r="X15" s="158" t="s">
        <v>241</v>
      </c>
      <c r="Y15" s="122">
        <f t="shared" ref="Y15:AN15" si="1">SUM(Y3:Y5)</f>
        <v>3</v>
      </c>
      <c r="Z15" s="122">
        <f t="shared" si="1"/>
        <v>2</v>
      </c>
      <c r="AA15" s="122">
        <f t="shared" si="1"/>
        <v>0</v>
      </c>
      <c r="AB15" s="122">
        <f t="shared" si="1"/>
        <v>1</v>
      </c>
      <c r="AC15" s="120">
        <f t="shared" si="1"/>
        <v>0</v>
      </c>
      <c r="AD15" s="120">
        <f t="shared" si="1"/>
        <v>0</v>
      </c>
      <c r="AE15" s="120">
        <f t="shared" si="1"/>
        <v>0</v>
      </c>
      <c r="AF15" s="120">
        <f t="shared" si="1"/>
        <v>0</v>
      </c>
      <c r="AG15" s="121">
        <f t="shared" si="1"/>
        <v>1</v>
      </c>
      <c r="AH15" s="121">
        <f t="shared" si="1"/>
        <v>0</v>
      </c>
      <c r="AI15" s="121">
        <f t="shared" si="1"/>
        <v>0</v>
      </c>
      <c r="AJ15" s="121">
        <f t="shared" si="1"/>
        <v>1</v>
      </c>
      <c r="AK15" s="122">
        <f t="shared" si="1"/>
        <v>2</v>
      </c>
      <c r="AL15" s="122">
        <f t="shared" si="1"/>
        <v>2</v>
      </c>
      <c r="AM15" s="122">
        <f t="shared" si="1"/>
        <v>0</v>
      </c>
      <c r="AN15" s="122">
        <f t="shared" si="1"/>
        <v>0</v>
      </c>
    </row>
    <row r="16" spans="1:40" ht="14.95" customHeight="1" thickBot="1" x14ac:dyDescent="0.3">
      <c r="A16" s="123"/>
      <c r="B16" s="124"/>
      <c r="C16" s="679" t="s">
        <v>467</v>
      </c>
      <c r="D16" s="680"/>
      <c r="E16" s="681"/>
      <c r="F16" s="414">
        <f>SUM(F9:F11)</f>
        <v>92</v>
      </c>
      <c r="G16" s="414">
        <f t="shared" ref="G16:R16" si="2">SUM(G9:G11)</f>
        <v>31</v>
      </c>
      <c r="H16" s="414">
        <f t="shared" si="2"/>
        <v>3</v>
      </c>
      <c r="I16" s="414">
        <f t="shared" si="2"/>
        <v>0</v>
      </c>
      <c r="J16" s="414">
        <f t="shared" si="2"/>
        <v>16</v>
      </c>
      <c r="K16" s="414">
        <f t="shared" si="2"/>
        <v>6</v>
      </c>
      <c r="L16" s="414">
        <f t="shared" si="2"/>
        <v>0</v>
      </c>
      <c r="M16" s="414">
        <f t="shared" si="2"/>
        <v>0</v>
      </c>
      <c r="N16" s="414">
        <f t="shared" si="2"/>
        <v>1</v>
      </c>
      <c r="O16" s="414">
        <f t="shared" si="2"/>
        <v>0</v>
      </c>
      <c r="P16" s="414">
        <f t="shared" si="2"/>
        <v>0</v>
      </c>
      <c r="Q16" s="414">
        <f t="shared" si="2"/>
        <v>0</v>
      </c>
      <c r="R16" s="414">
        <f t="shared" si="2"/>
        <v>5</v>
      </c>
      <c r="S16" s="415"/>
      <c r="T16" s="415"/>
      <c r="U16" s="415"/>
      <c r="V16" s="415"/>
      <c r="W16" s="416"/>
      <c r="X16" s="417" t="s">
        <v>467</v>
      </c>
      <c r="Y16" s="414">
        <f t="shared" ref="Y16:AN16" si="3">SUM(Y9:Y11)</f>
        <v>3</v>
      </c>
      <c r="Z16" s="414">
        <f t="shared" si="3"/>
        <v>3</v>
      </c>
      <c r="AA16" s="414">
        <f t="shared" si="3"/>
        <v>0</v>
      </c>
      <c r="AB16" s="414">
        <f t="shared" si="3"/>
        <v>0</v>
      </c>
      <c r="AC16" s="418">
        <f t="shared" si="3"/>
        <v>0</v>
      </c>
      <c r="AD16" s="418">
        <f t="shared" si="3"/>
        <v>0</v>
      </c>
      <c r="AE16" s="418">
        <f t="shared" si="3"/>
        <v>0</v>
      </c>
      <c r="AF16" s="418">
        <f t="shared" si="3"/>
        <v>0</v>
      </c>
      <c r="AG16" s="419">
        <f t="shared" si="3"/>
        <v>0</v>
      </c>
      <c r="AH16" s="419">
        <f t="shared" si="3"/>
        <v>0</v>
      </c>
      <c r="AI16" s="419">
        <f t="shared" si="3"/>
        <v>0</v>
      </c>
      <c r="AJ16" s="419">
        <f t="shared" si="3"/>
        <v>0</v>
      </c>
      <c r="AK16" s="414">
        <f t="shared" si="3"/>
        <v>3</v>
      </c>
      <c r="AL16" s="414">
        <f t="shared" si="3"/>
        <v>3</v>
      </c>
      <c r="AM16" s="414">
        <f t="shared" si="3"/>
        <v>0</v>
      </c>
      <c r="AN16" s="414">
        <f t="shared" si="3"/>
        <v>0</v>
      </c>
    </row>
    <row r="17" spans="1:40" ht="14.95" customHeight="1" thickBot="1" x14ac:dyDescent="0.3">
      <c r="A17" s="123"/>
      <c r="B17" s="124"/>
      <c r="C17" s="679" t="s">
        <v>468</v>
      </c>
      <c r="D17" s="680"/>
      <c r="E17" s="681"/>
      <c r="F17" s="414">
        <f>SUM(F12:F14)</f>
        <v>51</v>
      </c>
      <c r="G17" s="414">
        <f>SUM(G12:G14)</f>
        <v>73</v>
      </c>
      <c r="H17" s="414">
        <v>0</v>
      </c>
      <c r="I17" s="414">
        <v>0</v>
      </c>
      <c r="J17" s="414">
        <f t="shared" ref="J17:O17" si="4">SUM(J12:J14)</f>
        <v>7</v>
      </c>
      <c r="K17" s="414">
        <f t="shared" si="4"/>
        <v>5</v>
      </c>
      <c r="L17" s="414">
        <f t="shared" si="4"/>
        <v>0</v>
      </c>
      <c r="M17" s="414">
        <f t="shared" si="4"/>
        <v>2</v>
      </c>
      <c r="N17" s="414">
        <f t="shared" si="4"/>
        <v>0</v>
      </c>
      <c r="O17" s="414">
        <f t="shared" si="4"/>
        <v>0</v>
      </c>
      <c r="P17" s="414">
        <v>0</v>
      </c>
      <c r="Q17" s="414">
        <v>0</v>
      </c>
      <c r="R17" s="414">
        <f>SUM(R12:R14)</f>
        <v>9</v>
      </c>
      <c r="S17" s="415"/>
      <c r="T17" s="415"/>
      <c r="U17" s="415"/>
      <c r="V17" s="415"/>
      <c r="W17" s="416"/>
      <c r="X17" s="417" t="s">
        <v>468</v>
      </c>
      <c r="Y17" s="414">
        <f t="shared" ref="Y17:AN17" si="5">SUM(Y12:Y14)</f>
        <v>3</v>
      </c>
      <c r="Z17" s="414">
        <f t="shared" si="5"/>
        <v>1</v>
      </c>
      <c r="AA17" s="414">
        <f t="shared" si="5"/>
        <v>0</v>
      </c>
      <c r="AB17" s="414">
        <f t="shared" si="5"/>
        <v>2</v>
      </c>
      <c r="AC17" s="418">
        <f t="shared" si="5"/>
        <v>0</v>
      </c>
      <c r="AD17" s="418">
        <f t="shared" si="5"/>
        <v>0</v>
      </c>
      <c r="AE17" s="418">
        <f t="shared" si="5"/>
        <v>0</v>
      </c>
      <c r="AF17" s="418">
        <f t="shared" si="5"/>
        <v>0</v>
      </c>
      <c r="AG17" s="419">
        <f t="shared" si="5"/>
        <v>0</v>
      </c>
      <c r="AH17" s="419">
        <f t="shared" si="5"/>
        <v>0</v>
      </c>
      <c r="AI17" s="419">
        <f t="shared" si="5"/>
        <v>0</v>
      </c>
      <c r="AJ17" s="419">
        <f t="shared" si="5"/>
        <v>0</v>
      </c>
      <c r="AK17" s="414">
        <f t="shared" si="5"/>
        <v>3</v>
      </c>
      <c r="AL17" s="414">
        <f t="shared" si="5"/>
        <v>1</v>
      </c>
      <c r="AM17" s="414">
        <f t="shared" si="5"/>
        <v>0</v>
      </c>
      <c r="AN17" s="414">
        <f t="shared" si="5"/>
        <v>2</v>
      </c>
    </row>
    <row r="18" spans="1:40" ht="14.95" customHeight="1" thickBot="1" x14ac:dyDescent="0.3">
      <c r="A18" s="123"/>
      <c r="B18" s="124"/>
      <c r="C18" s="679" t="s">
        <v>469</v>
      </c>
      <c r="D18" s="680"/>
      <c r="E18" s="681"/>
      <c r="F18" s="414">
        <f>SUM(F16+F17)</f>
        <v>143</v>
      </c>
      <c r="G18" s="414">
        <f t="shared" ref="G18:R18" si="6">SUM(G16+G17)</f>
        <v>104</v>
      </c>
      <c r="H18" s="414">
        <f t="shared" si="6"/>
        <v>3</v>
      </c>
      <c r="I18" s="414">
        <f t="shared" si="6"/>
        <v>0</v>
      </c>
      <c r="J18" s="414">
        <f t="shared" si="6"/>
        <v>23</v>
      </c>
      <c r="K18" s="414">
        <f t="shared" si="6"/>
        <v>11</v>
      </c>
      <c r="L18" s="414">
        <f t="shared" si="6"/>
        <v>0</v>
      </c>
      <c r="M18" s="414">
        <f t="shared" si="6"/>
        <v>2</v>
      </c>
      <c r="N18" s="414">
        <f t="shared" si="6"/>
        <v>1</v>
      </c>
      <c r="O18" s="414">
        <f t="shared" si="6"/>
        <v>0</v>
      </c>
      <c r="P18" s="414">
        <f t="shared" si="6"/>
        <v>0</v>
      </c>
      <c r="Q18" s="414">
        <f t="shared" si="6"/>
        <v>0</v>
      </c>
      <c r="R18" s="414">
        <f t="shared" si="6"/>
        <v>14</v>
      </c>
      <c r="S18" s="415"/>
      <c r="T18" s="415"/>
      <c r="U18" s="415"/>
      <c r="V18" s="415"/>
      <c r="W18" s="416"/>
      <c r="X18" s="417" t="s">
        <v>469</v>
      </c>
      <c r="Y18" s="414">
        <f t="shared" ref="Y18:AN18" si="7">SUM(Y16+Y17)</f>
        <v>6</v>
      </c>
      <c r="Z18" s="414">
        <f t="shared" si="7"/>
        <v>4</v>
      </c>
      <c r="AA18" s="414">
        <f t="shared" si="7"/>
        <v>0</v>
      </c>
      <c r="AB18" s="414">
        <f t="shared" si="7"/>
        <v>2</v>
      </c>
      <c r="AC18" s="418">
        <f t="shared" si="7"/>
        <v>0</v>
      </c>
      <c r="AD18" s="418">
        <f t="shared" si="7"/>
        <v>0</v>
      </c>
      <c r="AE18" s="418">
        <f t="shared" si="7"/>
        <v>0</v>
      </c>
      <c r="AF18" s="418">
        <f t="shared" si="7"/>
        <v>0</v>
      </c>
      <c r="AG18" s="419">
        <f t="shared" si="7"/>
        <v>0</v>
      </c>
      <c r="AH18" s="419">
        <f t="shared" si="7"/>
        <v>0</v>
      </c>
      <c r="AI18" s="419">
        <f t="shared" si="7"/>
        <v>0</v>
      </c>
      <c r="AJ18" s="419">
        <f t="shared" si="7"/>
        <v>0</v>
      </c>
      <c r="AK18" s="414">
        <f t="shared" si="7"/>
        <v>6</v>
      </c>
      <c r="AL18" s="414">
        <f t="shared" si="7"/>
        <v>4</v>
      </c>
      <c r="AM18" s="414">
        <f t="shared" si="7"/>
        <v>0</v>
      </c>
      <c r="AN18" s="414">
        <f t="shared" si="7"/>
        <v>2</v>
      </c>
    </row>
    <row r="19" spans="1:40" ht="14.95" customHeight="1" thickBot="1" x14ac:dyDescent="0.3">
      <c r="A19" s="123"/>
      <c r="B19" s="124"/>
      <c r="C19" s="686" t="s">
        <v>83</v>
      </c>
      <c r="D19" s="687"/>
      <c r="E19" s="688"/>
      <c r="F19" s="244">
        <f>SUM(F6:F8)</f>
        <v>89</v>
      </c>
      <c r="G19" s="244">
        <f>SUM(G6:G8)</f>
        <v>34</v>
      </c>
      <c r="H19" s="244" t="s">
        <v>72</v>
      </c>
      <c r="I19" s="244" t="s">
        <v>72</v>
      </c>
      <c r="J19" s="244">
        <f t="shared" ref="J19:O19" si="8">SUM(J6:J8)</f>
        <v>14</v>
      </c>
      <c r="K19" s="244">
        <f t="shared" si="8"/>
        <v>8</v>
      </c>
      <c r="L19" s="244">
        <f t="shared" si="8"/>
        <v>0</v>
      </c>
      <c r="M19" s="244">
        <f t="shared" si="8"/>
        <v>1</v>
      </c>
      <c r="N19" s="244">
        <f t="shared" si="8"/>
        <v>0</v>
      </c>
      <c r="O19" s="244">
        <f t="shared" si="8"/>
        <v>0</v>
      </c>
      <c r="P19" s="244" t="s">
        <v>72</v>
      </c>
      <c r="Q19" s="244" t="s">
        <v>72</v>
      </c>
      <c r="R19" s="244">
        <f>SUM(R6:R8)</f>
        <v>5</v>
      </c>
      <c r="S19" s="252"/>
      <c r="T19" s="252"/>
      <c r="U19" s="252"/>
      <c r="V19" s="252"/>
      <c r="W19" s="242"/>
      <c r="X19" s="249" t="s">
        <v>83</v>
      </c>
      <c r="Y19" s="244">
        <f t="shared" ref="Y19:AN19" si="9">SUM(Y6:Y8)</f>
        <v>3</v>
      </c>
      <c r="Z19" s="244">
        <f t="shared" si="9"/>
        <v>3</v>
      </c>
      <c r="AA19" s="244">
        <f t="shared" si="9"/>
        <v>0</v>
      </c>
      <c r="AB19" s="244">
        <f t="shared" si="9"/>
        <v>0</v>
      </c>
      <c r="AC19" s="245">
        <f t="shared" si="9"/>
        <v>2</v>
      </c>
      <c r="AD19" s="245">
        <f t="shared" si="9"/>
        <v>2</v>
      </c>
      <c r="AE19" s="245">
        <f t="shared" si="9"/>
        <v>0</v>
      </c>
      <c r="AF19" s="245">
        <f t="shared" si="9"/>
        <v>0</v>
      </c>
      <c r="AG19" s="246">
        <f t="shared" si="9"/>
        <v>1</v>
      </c>
      <c r="AH19" s="246">
        <f t="shared" si="9"/>
        <v>1</v>
      </c>
      <c r="AI19" s="246">
        <f t="shared" si="9"/>
        <v>0</v>
      </c>
      <c r="AJ19" s="246">
        <f t="shared" si="9"/>
        <v>0</v>
      </c>
      <c r="AK19" s="244">
        <f t="shared" si="9"/>
        <v>0</v>
      </c>
      <c r="AL19" s="244">
        <f t="shared" si="9"/>
        <v>0</v>
      </c>
      <c r="AM19" s="244">
        <f t="shared" si="9"/>
        <v>0</v>
      </c>
      <c r="AN19" s="244">
        <f t="shared" si="9"/>
        <v>0</v>
      </c>
    </row>
    <row r="20" spans="1:40" ht="14.95" customHeight="1" thickBot="1" x14ac:dyDescent="0.3">
      <c r="A20" s="123"/>
      <c r="B20" s="124"/>
      <c r="C20" s="682" t="s">
        <v>73</v>
      </c>
      <c r="D20" s="683"/>
      <c r="E20" s="684"/>
      <c r="F20" s="150">
        <f t="shared" ref="F20:R20" si="10">SUM(F3:F14)</f>
        <v>290</v>
      </c>
      <c r="G20" s="150">
        <f t="shared" si="10"/>
        <v>181</v>
      </c>
      <c r="H20" s="150">
        <f t="shared" si="10"/>
        <v>4</v>
      </c>
      <c r="I20" s="150">
        <f t="shared" si="10"/>
        <v>0</v>
      </c>
      <c r="J20" s="150">
        <f t="shared" si="10"/>
        <v>46</v>
      </c>
      <c r="K20" s="150">
        <f t="shared" si="10"/>
        <v>24</v>
      </c>
      <c r="L20" s="150">
        <f t="shared" si="10"/>
        <v>0</v>
      </c>
      <c r="M20" s="150">
        <f t="shared" si="10"/>
        <v>4</v>
      </c>
      <c r="N20" s="150">
        <f t="shared" si="10"/>
        <v>1</v>
      </c>
      <c r="O20" s="150">
        <f t="shared" si="10"/>
        <v>0</v>
      </c>
      <c r="P20" s="150">
        <f t="shared" si="10"/>
        <v>1</v>
      </c>
      <c r="Q20" s="150">
        <f t="shared" si="10"/>
        <v>0</v>
      </c>
      <c r="R20" s="150">
        <f t="shared" si="10"/>
        <v>25</v>
      </c>
      <c r="S20" s="237"/>
      <c r="T20" s="237"/>
      <c r="U20" s="237"/>
      <c r="V20" s="237"/>
      <c r="W20" s="12"/>
      <c r="X20" s="155" t="s">
        <v>73</v>
      </c>
      <c r="Y20" s="150">
        <f t="shared" ref="Y20:AN20" si="11">SUM(Y3:Y14)</f>
        <v>12</v>
      </c>
      <c r="Z20" s="150">
        <f t="shared" si="11"/>
        <v>9</v>
      </c>
      <c r="AA20" s="150">
        <f t="shared" si="11"/>
        <v>0</v>
      </c>
      <c r="AB20" s="150">
        <f t="shared" si="11"/>
        <v>3</v>
      </c>
      <c r="AC20" s="148">
        <f t="shared" si="11"/>
        <v>2</v>
      </c>
      <c r="AD20" s="148">
        <f t="shared" si="11"/>
        <v>2</v>
      </c>
      <c r="AE20" s="148">
        <f t="shared" si="11"/>
        <v>0</v>
      </c>
      <c r="AF20" s="148">
        <f t="shared" si="11"/>
        <v>0</v>
      </c>
      <c r="AG20" s="149">
        <f t="shared" si="11"/>
        <v>2</v>
      </c>
      <c r="AH20" s="149">
        <f t="shared" si="11"/>
        <v>1</v>
      </c>
      <c r="AI20" s="149">
        <f t="shared" si="11"/>
        <v>0</v>
      </c>
      <c r="AJ20" s="149">
        <f t="shared" si="11"/>
        <v>1</v>
      </c>
      <c r="AK20" s="150">
        <f t="shared" si="11"/>
        <v>8</v>
      </c>
      <c r="AL20" s="150">
        <f t="shared" si="11"/>
        <v>6</v>
      </c>
      <c r="AM20" s="150">
        <f t="shared" si="11"/>
        <v>0</v>
      </c>
      <c r="AN20" s="150">
        <f t="shared" si="11"/>
        <v>2</v>
      </c>
    </row>
    <row r="21" spans="1:40" ht="14.95" customHeight="1" x14ac:dyDescent="0.25">
      <c r="A21" s="685" t="s">
        <v>242</v>
      </c>
      <c r="B21" s="637"/>
      <c r="C21" s="637"/>
      <c r="D21" s="637"/>
      <c r="E21" s="637"/>
      <c r="F21" s="637"/>
      <c r="G21" s="637"/>
      <c r="H21" s="637"/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</row>
    <row r="22" spans="1:40" ht="14.95" customHeight="1" x14ac:dyDescent="0.25">
      <c r="A22" s="258" t="s">
        <v>294</v>
      </c>
    </row>
    <row r="23" spans="1:40" ht="14.95" customHeight="1" x14ac:dyDescent="0.25">
      <c r="A23" t="s">
        <v>365</v>
      </c>
    </row>
    <row r="24" spans="1:40" ht="14.95" customHeight="1" x14ac:dyDescent="0.25">
      <c r="A24" t="s">
        <v>411</v>
      </c>
    </row>
    <row r="25" spans="1:40" ht="14.95" customHeight="1" x14ac:dyDescent="0.25">
      <c r="A25" t="s">
        <v>276</v>
      </c>
    </row>
    <row r="27" spans="1:40" x14ac:dyDescent="0.25">
      <c r="A27" t="s">
        <v>261</v>
      </c>
    </row>
    <row r="28" spans="1:40" x14ac:dyDescent="0.25">
      <c r="A28" s="238"/>
      <c r="B28" s="76" t="s">
        <v>42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</row>
    <row r="29" spans="1:40" x14ac:dyDescent="0.25">
      <c r="A29" s="140"/>
      <c r="B29" s="76" t="s">
        <v>40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</row>
    <row r="30" spans="1:40" x14ac:dyDescent="0.25">
      <c r="A30" s="239"/>
      <c r="B30" s="76" t="s">
        <v>41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</row>
    <row r="31" spans="1:40" x14ac:dyDescent="0.25">
      <c r="A31" s="258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</row>
  </sheetData>
  <mergeCells count="17">
    <mergeCell ref="Y1:AB1"/>
    <mergeCell ref="AC1:AF1"/>
    <mergeCell ref="AG1:AJ1"/>
    <mergeCell ref="AK1:AN1"/>
    <mergeCell ref="C15:E15"/>
    <mergeCell ref="A1:C1"/>
    <mergeCell ref="E1:G1"/>
    <mergeCell ref="H1:I1"/>
    <mergeCell ref="J1:M1"/>
    <mergeCell ref="N1:O1"/>
    <mergeCell ref="P1:R1"/>
    <mergeCell ref="C18:E18"/>
    <mergeCell ref="C16:E16"/>
    <mergeCell ref="C17:E17"/>
    <mergeCell ref="A21:AN21"/>
    <mergeCell ref="C20:E20"/>
    <mergeCell ref="C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279</vt:i4>
      </vt:variant>
    </vt:vector>
  </HeadingPairs>
  <TitlesOfParts>
    <vt:vector size="299" baseType="lpstr">
      <vt:lpstr>Results</vt:lpstr>
      <vt:lpstr>WC Res &amp; Tabs</vt:lpstr>
      <vt:lpstr>WC Cards</vt:lpstr>
      <vt:lpstr>WC Stats</vt:lpstr>
      <vt:lpstr>6N Tab</vt:lpstr>
      <vt:lpstr>6N Res</vt:lpstr>
      <vt:lpstr>6N Cds</vt:lpstr>
      <vt:lpstr>AUS</vt:lpstr>
      <vt:lpstr>CAN</vt:lpstr>
      <vt:lpstr>ENG</vt:lpstr>
      <vt:lpstr>FIJ</vt:lpstr>
      <vt:lpstr>FRA</vt:lpstr>
      <vt:lpstr>IRE</vt:lpstr>
      <vt:lpstr>ITA</vt:lpstr>
      <vt:lpstr>JPN</vt:lpstr>
      <vt:lpstr>NZL</vt:lpstr>
      <vt:lpstr>SCO</vt:lpstr>
      <vt:lpstr>RSA</vt:lpstr>
      <vt:lpstr>USA</vt:lpstr>
      <vt:lpstr>WAL</vt:lpstr>
      <vt:lpstr>aus2021wcpooldrawn</vt:lpstr>
      <vt:lpstr>aus2021wcpoollbscored</vt:lpstr>
      <vt:lpstr>aus2021wcpoollost</vt:lpstr>
      <vt:lpstr>aus2021wcpoolplayed</vt:lpstr>
      <vt:lpstr>aus2021wcpoolpointsagainst</vt:lpstr>
      <vt:lpstr>aus2021wcpoolpointsscored</vt:lpstr>
      <vt:lpstr>Aus2021wcpooltbscored</vt:lpstr>
      <vt:lpstr>aus2021wcpooltriesconceded</vt:lpstr>
      <vt:lpstr>aus2021wcpooltriesscored</vt:lpstr>
      <vt:lpstr>aus2021wcpoolwon</vt:lpstr>
      <vt:lpstr>aus2021wcrc</vt:lpstr>
      <vt:lpstr>aus2021wcrccorrect</vt:lpstr>
      <vt:lpstr>aus2021wctbcon</vt:lpstr>
      <vt:lpstr>aus2021wcyc</vt:lpstr>
      <vt:lpstr>can2021wcpooldrawn</vt:lpstr>
      <vt:lpstr>can2021wcpoollbscored</vt:lpstr>
      <vt:lpstr>can2021wcpoollost</vt:lpstr>
      <vt:lpstr>can2021wcpoolplayed</vt:lpstr>
      <vt:lpstr>can2021wcpoolpointsagainst</vt:lpstr>
      <vt:lpstr>can2021wcpoolpointsscored</vt:lpstr>
      <vt:lpstr>can2021wcpooltbscored</vt:lpstr>
      <vt:lpstr>can2021wcpooltriesconceded</vt:lpstr>
      <vt:lpstr>can2021wcpooltriesscored</vt:lpstr>
      <vt:lpstr>can2021wcpoolwon</vt:lpstr>
      <vt:lpstr>can2021wcrc</vt:lpstr>
      <vt:lpstr>can2021wctbcon</vt:lpstr>
      <vt:lpstr>can2021wcyc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eng2021wcpooldrawn</vt:lpstr>
      <vt:lpstr>eng2021wcpoollbscored</vt:lpstr>
      <vt:lpstr>eng2021wcpoollost</vt:lpstr>
      <vt:lpstr>eng2021wcpoolplayed</vt:lpstr>
      <vt:lpstr>eng2021wcpoolpointsagainst</vt:lpstr>
      <vt:lpstr>eng2021wcpoolpointsscored</vt:lpstr>
      <vt:lpstr>eng2021wcpooltbscored</vt:lpstr>
      <vt:lpstr>eng2021wcpooltriesconceded</vt:lpstr>
      <vt:lpstr>eng2021wcpooltriesscored</vt:lpstr>
      <vt:lpstr>eng2021wcpoolwon</vt:lpstr>
      <vt:lpstr>eng2021wcrc</vt:lpstr>
      <vt:lpstr>eng2021wctbcon</vt:lpstr>
      <vt:lpstr>eng2021wcyc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Englandtriesagainst</vt:lpstr>
      <vt:lpstr>Englandtriesscored</vt:lpstr>
      <vt:lpstr>Englandtrybonus</vt:lpstr>
      <vt:lpstr>Englandwon</vt:lpstr>
      <vt:lpstr>Englandyellow</vt:lpstr>
      <vt:lpstr>fij2021wcpooldrawn</vt:lpstr>
      <vt:lpstr>fij2021wcpoollbscored</vt:lpstr>
      <vt:lpstr>fij2021wcpoollost</vt:lpstr>
      <vt:lpstr>fij2021wcpoolplayed</vt:lpstr>
      <vt:lpstr>fij2021wcpoolpointsagainst</vt:lpstr>
      <vt:lpstr>fij2021wcpoolpointsscored</vt:lpstr>
      <vt:lpstr>fij2021wcpooltbscored</vt:lpstr>
      <vt:lpstr>fij2021wcpooltriesconceded</vt:lpstr>
      <vt:lpstr>fij2021wcpooltriesscored</vt:lpstr>
      <vt:lpstr>fij2021wcpoolwon</vt:lpstr>
      <vt:lpstr>fij2021wcrc</vt:lpstr>
      <vt:lpstr>fij2021wctbcon</vt:lpstr>
      <vt:lpstr>fij2021wcyc</vt:lpstr>
      <vt:lpstr>fij2021wcyccorrect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fra2021wcpooldrawn</vt:lpstr>
      <vt:lpstr>fra2021wcpoollbscored</vt:lpstr>
      <vt:lpstr>fra2021wcpoollost</vt:lpstr>
      <vt:lpstr>fra2021wcpoolplayed</vt:lpstr>
      <vt:lpstr>fra2021wcpoolpointsagainst</vt:lpstr>
      <vt:lpstr>fra2021wcpoolpointsscored</vt:lpstr>
      <vt:lpstr>fra2021wcpooltbscored</vt:lpstr>
      <vt:lpstr>fra2021wcpooltriesconceded</vt:lpstr>
      <vt:lpstr>fra2021wcpooltriesscored</vt:lpstr>
      <vt:lpstr>fra2021wcpoolwon</vt:lpstr>
      <vt:lpstr>fra2021wcrc</vt:lpstr>
      <vt:lpstr>fra2021wctbcon</vt:lpstr>
      <vt:lpstr>fra2021wcyc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Francetriesagainst</vt:lpstr>
      <vt:lpstr>Francetriesscored</vt:lpstr>
      <vt:lpstr>Francetrybonus</vt:lpstr>
      <vt:lpstr>Francewon</vt:lpstr>
      <vt:lpstr>FRanceyellow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ita2021wcpooldrawn</vt:lpstr>
      <vt:lpstr>ita2021wcpoollbscored</vt:lpstr>
      <vt:lpstr>ita2021wcpoollbscoredcorrect</vt:lpstr>
      <vt:lpstr>ita2021wcpoollost</vt:lpstr>
      <vt:lpstr>ita2021wcpoolplayed</vt:lpstr>
      <vt:lpstr>ita2021wcpoolpointsagainst</vt:lpstr>
      <vt:lpstr>ita2021wcpoolpointsscored</vt:lpstr>
      <vt:lpstr>ita2021wcpooltbscored</vt:lpstr>
      <vt:lpstr>ita2021wcpooltriesconceded</vt:lpstr>
      <vt:lpstr>ita2021wcpooltriesscored</vt:lpstr>
      <vt:lpstr>ita2021wcpoolwon</vt:lpstr>
      <vt:lpstr>ita2021wcrc</vt:lpstr>
      <vt:lpstr>ita2021wctbcon</vt:lpstr>
      <vt:lpstr>ita2021wcyc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Italytriesagainst</vt:lpstr>
      <vt:lpstr>Italytriesscored</vt:lpstr>
      <vt:lpstr>Italytrybonus</vt:lpstr>
      <vt:lpstr>Italywon</vt:lpstr>
      <vt:lpstr>Italyyellow</vt:lpstr>
      <vt:lpstr>jpn2021wcpooldrawn</vt:lpstr>
      <vt:lpstr>jpn2021wcpoollbscored</vt:lpstr>
      <vt:lpstr>jpn2021wcpoollost</vt:lpstr>
      <vt:lpstr>jpn2021wcpoolplayed</vt:lpstr>
      <vt:lpstr>jpn2021wcpoolpointsagainst</vt:lpstr>
      <vt:lpstr>jpn2021wcpoolpointsscored</vt:lpstr>
      <vt:lpstr>jpn2021wcpooltbscored</vt:lpstr>
      <vt:lpstr>jpn2021wcpooltriesconceded</vt:lpstr>
      <vt:lpstr>jpn2021wcpooltriesscored</vt:lpstr>
      <vt:lpstr>jpn2021wcpoolwon</vt:lpstr>
      <vt:lpstr>jpn2021wcrc</vt:lpstr>
      <vt:lpstr>jpn2021wctbcon</vt:lpstr>
      <vt:lpstr>jpn2021wcyc</vt:lpstr>
      <vt:lpstr>nzl2021wcpooldrawn</vt:lpstr>
      <vt:lpstr>nzl2021wcpoollbscored</vt:lpstr>
      <vt:lpstr>nzl2021wcpoollost</vt:lpstr>
      <vt:lpstr>nzl2021wcpoolplayed</vt:lpstr>
      <vt:lpstr>nzl2021wcpoolpointsagainst</vt:lpstr>
      <vt:lpstr>nzl2021wcpoolpointsscored</vt:lpstr>
      <vt:lpstr>nzl2021wcpooltbscored</vt:lpstr>
      <vt:lpstr>nzl2021wcpooltriesconceded</vt:lpstr>
      <vt:lpstr>nzl2021wcpooltriesscored</vt:lpstr>
      <vt:lpstr>nzl2021wcpoolwon</vt:lpstr>
      <vt:lpstr>nzl2021wcrc</vt:lpstr>
      <vt:lpstr>nzl2021wctbcon</vt:lpstr>
      <vt:lpstr>nzl2021wcyc</vt:lpstr>
      <vt:lpstr>rsa2021wcpooldrawn</vt:lpstr>
      <vt:lpstr>rsa2021wcpoollbscored</vt:lpstr>
      <vt:lpstr>rsa2021wcpoollost</vt:lpstr>
      <vt:lpstr>rsa2021wcpoolplayed</vt:lpstr>
      <vt:lpstr>rsa2021wcpoolpointsagainst</vt:lpstr>
      <vt:lpstr>rsa2021wcpoolpointsscored</vt:lpstr>
      <vt:lpstr>rsa2021wcpooltbscored</vt:lpstr>
      <vt:lpstr>rsa2021wcpooltriesconceded</vt:lpstr>
      <vt:lpstr>rsa2021wcpooltriesscored</vt:lpstr>
      <vt:lpstr>rsa2021wcpoolwon</vt:lpstr>
      <vt:lpstr>rsa2021wcrc</vt:lpstr>
      <vt:lpstr>rsa2021wctbcon</vt:lpstr>
      <vt:lpstr>rsa2021wcyc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sco2021wcpooldrawn</vt:lpstr>
      <vt:lpstr>sco2021wcpoollbscored</vt:lpstr>
      <vt:lpstr>sco2021wcpoollost</vt:lpstr>
      <vt:lpstr>sco2021wcpoolplayed</vt:lpstr>
      <vt:lpstr>sco2021wcpoolpointsagainst</vt:lpstr>
      <vt:lpstr>sco2021wcpoolpointsscored</vt:lpstr>
      <vt:lpstr>sco2021wcpooltbscored</vt:lpstr>
      <vt:lpstr>sco2021wcpooltriesconceded</vt:lpstr>
      <vt:lpstr>sco2021wcpooltriesscored</vt:lpstr>
      <vt:lpstr>sco2021wcpoolwon</vt:lpstr>
      <vt:lpstr>sco2021wcrc</vt:lpstr>
      <vt:lpstr>sco2021wctbcon</vt:lpstr>
      <vt:lpstr>sco2021wcyc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Scotlandtriesagainst</vt:lpstr>
      <vt:lpstr>Scotlandtriesscored</vt:lpstr>
      <vt:lpstr>Scotlandtrybonus</vt:lpstr>
      <vt:lpstr>Scotlandwon</vt:lpstr>
      <vt:lpstr>Scotlandyellow</vt:lpstr>
      <vt:lpstr>usa2021wcpooldrawn</vt:lpstr>
      <vt:lpstr>usa2021wcpoollbscored</vt:lpstr>
      <vt:lpstr>usa2021wcpoollost</vt:lpstr>
      <vt:lpstr>usa2021wcpoolplayed</vt:lpstr>
      <vt:lpstr>usa2021wcpoolpointsagainst</vt:lpstr>
      <vt:lpstr>usa2021wcpoolpointsscored</vt:lpstr>
      <vt:lpstr>usa2021wcpooltbscored</vt:lpstr>
      <vt:lpstr>usa2021wcpooltriesconceded</vt:lpstr>
      <vt:lpstr>usa2021wcpooltriesscored</vt:lpstr>
      <vt:lpstr>usa2021wcpoolwon</vt:lpstr>
      <vt:lpstr>usa2021wcrc</vt:lpstr>
      <vt:lpstr>usa2021wctbcon</vt:lpstr>
      <vt:lpstr>usa2021wcyc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wal2021wcpooldrawn</vt:lpstr>
      <vt:lpstr>wal2021wcpoollbscored</vt:lpstr>
      <vt:lpstr>wal2021wcpoollost</vt:lpstr>
      <vt:lpstr>wal2021wcpoolplayed</vt:lpstr>
      <vt:lpstr>wal2021wcpoolpointsagainst</vt:lpstr>
      <vt:lpstr>wal2021wcpoolpointsscored</vt:lpstr>
      <vt:lpstr>wal2021wcpooltbscored</vt:lpstr>
      <vt:lpstr>wal2021wcpooltriesconceded</vt:lpstr>
      <vt:lpstr>wal2021wcpooltriesscored</vt:lpstr>
      <vt:lpstr>wal2021wcpoolwon</vt:lpstr>
      <vt:lpstr>wal2021wcrc</vt:lpstr>
      <vt:lpstr>wal2021wctbcon</vt:lpstr>
      <vt:lpstr>wal2021wcyc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2025-07-18T10:32:43Z</dcterms:modified>
</cp:coreProperties>
</file>