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97d62a7607d3ee9b/Hillsport Media/INTERNATIONAL MEN'S RUGBY/2026/"/>
    </mc:Choice>
  </mc:AlternateContent>
  <xr:revisionPtr revIDLastSave="1096" documentId="8_{739F8B75-6CF4-4BE7-8DBA-A790FAF710AD}" xr6:coauthVersionLast="47" xr6:coauthVersionMax="47" xr10:uidLastSave="{63953329-A76A-4CF9-B488-81E0ED3AC2A9}"/>
  <bookViews>
    <workbookView xWindow="-109" yWindow="-109" windowWidth="26301" windowHeight="14169" tabRatio="939" xr2:uid="{00000000-000D-0000-FFFF-FFFF00000000}"/>
  </bookViews>
  <sheets>
    <sheet name="6N" sheetId="22" r:id="rId1"/>
    <sheet name="TIER 1" sheetId="23" r:id="rId2"/>
    <sheet name="ARG" sheetId="1" r:id="rId3"/>
    <sheet name="AUS" sheetId="2" r:id="rId4"/>
    <sheet name="CAN" sheetId="3" r:id="rId5"/>
    <sheet name="CHI" sheetId="24" r:id="rId6"/>
    <sheet name="ENG" sheetId="4" r:id="rId7"/>
    <sheet name="FIJ" sheetId="5" r:id="rId8"/>
    <sheet name="FRA" sheetId="6" r:id="rId9"/>
    <sheet name="GEO" sheetId="12" r:id="rId10"/>
    <sheet name="IRE" sheetId="8" r:id="rId11"/>
    <sheet name="ITA" sheetId="9" r:id="rId12"/>
    <sheet name="JPN" sheetId="10" r:id="rId13"/>
    <sheet name="NAM" sheetId="11" r:id="rId14"/>
    <sheet name="NZL" sheetId="7" r:id="rId15"/>
    <sheet name="POR" sheetId="25" r:id="rId16"/>
    <sheet name="ROM" sheetId="14" r:id="rId17"/>
    <sheet name="SAM" sheetId="15" r:id="rId18"/>
    <sheet name="SCO" sheetId="16" r:id="rId19"/>
    <sheet name="RSA" sheetId="17" r:id="rId20"/>
    <sheet name="ESP" sheetId="27" r:id="rId21"/>
    <sheet name="TGA" sheetId="18" r:id="rId22"/>
    <sheet name="USA" sheetId="19" r:id="rId23"/>
    <sheet name="URU" sheetId="20" r:id="rId24"/>
    <sheet name="WAL" sheetId="21" r:id="rId25"/>
    <sheet name="RC" sheetId="26" r:id="rId26"/>
  </sheets>
  <definedNames>
    <definedName name="A_Wallerpts">ITA!#REF!</definedName>
    <definedName name="A_Wallertries">ITA!#REF!</definedName>
    <definedName name="Abbottjakepts">GEO!#REF!</definedName>
    <definedName name="Abbottjaketries">GEO!#REF!</definedName>
    <definedName name="Abendanonnickpts">ARG!#REF!</definedName>
    <definedName name="Abendanonnicktries">ARG!#REF!</definedName>
    <definedName name="AdamsWAL6NPTS">WAL!$F$3</definedName>
    <definedName name="AdamsWAL6NTRIES">WAL!$B$3</definedName>
    <definedName name="ADAMSWALINTPTS">WAL!$G$3</definedName>
    <definedName name="ADAMSWALINTTRIES">WAL!$C$3</definedName>
    <definedName name="Addisonsalpts">JPN!#REF!</definedName>
    <definedName name="Addisonsaltries">JPN!#REF!</definedName>
    <definedName name="Afoaglopts">CAN!#REF!</definedName>
    <definedName name="Afoaglotries">CAN!#REF!</definedName>
    <definedName name="Agullabatpts">ARG!#REF!</definedName>
    <definedName name="Agullabattries">ARG!#REF!</definedName>
    <definedName name="Agullapts">ARG!#REF!</definedName>
    <definedName name="Agullatries">ARG!#REF!</definedName>
    <definedName name="Aholeleiwelshpts">GEO!#REF!</definedName>
    <definedName name="Aholeleiwelshtries">GEO!#REF!</definedName>
    <definedName name="Akiire6npts">IRE!$F$3</definedName>
    <definedName name="akiireintpts">IRE!$G$3</definedName>
    <definedName name="akiireinttries">IRE!$C$3</definedName>
    <definedName name="Akiiretries">IRE!$B$3</definedName>
    <definedName name="alaalatoaausintpts">AUS!$G$3</definedName>
    <definedName name="alaalatoaausinttries">AUS!$C$3</definedName>
    <definedName name="ALBORNOZARGINTPTS">ARG!$G$3</definedName>
    <definedName name="ALBORNOZARGINTTRIES">ARG!$C$3</definedName>
    <definedName name="Albornozargpts">ARG!#REF!</definedName>
    <definedName name="Albornozargrcatt">ARG!$K$13</definedName>
    <definedName name="Albornozargrcgls">ARG!$J$13</definedName>
    <definedName name="Albornozargrctries">ARG!#REF!</definedName>
    <definedName name="Albornozargtrcpts">ARG!$F$3</definedName>
    <definedName name="Albornozargtrctries">ARG!$B$3</definedName>
    <definedName name="Albornozargyratt">ARG!$K$4</definedName>
    <definedName name="Albornozargyrgls">ARG!$J$4</definedName>
    <definedName name="Alemannoargintpts">ARG!$G$4</definedName>
    <definedName name="Alemannoarginttries">ARG!$C$4</definedName>
    <definedName name="Alemannoargrcpts">ARG!$F$4</definedName>
    <definedName name="Alemannoargrctries">ARG!$B$4</definedName>
    <definedName name="Allanita6natt">ITA!$K$16</definedName>
    <definedName name="Allanita6ngls">ITA!$J$16</definedName>
    <definedName name="allanita6npts">ITA!$F$3</definedName>
    <definedName name="allanita6ntries">ITA!$B$3</definedName>
    <definedName name="allanitaintpts">ITA!$G$3</definedName>
    <definedName name="allanitainttries">ITA!$C$3</definedName>
    <definedName name="Allanitayrgls">ITA!$J$4</definedName>
    <definedName name="allanitsyratt">ITA!$K$4</definedName>
    <definedName name="Alldrittfra6npts">FRA!$F$3</definedName>
    <definedName name="Alldrittfra6ntries">FRA!$B$3</definedName>
    <definedName name="Alldrittfraintpts">FRA!$G$3</definedName>
    <definedName name="Alldrittfrainttries">FRA!$C$3</definedName>
    <definedName name="Allenanthonypts">FIJ!#REF!</definedName>
    <definedName name="Allenanthonytries">FIJ!#REF!</definedName>
    <definedName name="allinsonliatt">FRA!#REF!</definedName>
    <definedName name="allinsonligoals">FRA!#REF!</definedName>
    <definedName name="Allinsonlipts">FRA!#REF!</definedName>
    <definedName name="Allinsonlitries">FRA!#REF!</definedName>
    <definedName name="Allinsonpts">FRA!#REF!</definedName>
    <definedName name="Allinsontries">FRA!#REF!</definedName>
    <definedName name="Amrsaintpts">RSA!$F$3</definedName>
    <definedName name="Amrsainttries">RSA!$B$3</definedName>
    <definedName name="Amrsarcpts">RSA!#REF!</definedName>
    <definedName name="Amrsarctries">RSA!#REF!</definedName>
    <definedName name="anscombewal6natt">WAL!$K$16</definedName>
    <definedName name="Anscombewal6ngls">WAL!$J$16</definedName>
    <definedName name="Anscombewal6npts">WAL!$F$4</definedName>
    <definedName name="Anscombewal6ntries">WAL!$B$4</definedName>
    <definedName name="Anscombewalattcorrect">WAL!$K$4</definedName>
    <definedName name="ANSCOMBEWALINTPTS">WAL!$G$4</definedName>
    <definedName name="anscombewalinttries">WAL!$C$4</definedName>
    <definedName name="ANSCOMBEWALYRATT">WAL!#REF!</definedName>
    <definedName name="AnscombeWALYRGLS">WAL!#REF!</definedName>
    <definedName name="Anscombewalyrglscorrect">WAL!$J$4</definedName>
    <definedName name="arendsersaintpts">RSA!#REF!</definedName>
    <definedName name="Arendsersaintptscorrect">RSA!$F$4</definedName>
    <definedName name="arendsersainttries">RSA!#REF!</definedName>
    <definedName name="Arendsersainttriescorrect">RSA!$B$4</definedName>
    <definedName name="Arendsersarcpts">RSA!$G$4</definedName>
    <definedName name="Arendsersarctries">RSA!$C$4</definedName>
    <definedName name="Arendsersatrcpts">RSA!$G$4</definedName>
    <definedName name="Arendsersatrctries">RSA!$C$4</definedName>
    <definedName name="Armanddonpts">AUS!#REF!</definedName>
    <definedName name="Armanddontries">AUS!#REF!</definedName>
    <definedName name="Armitageguytries">FRA!#REF!</definedName>
    <definedName name="Armtageguypts">FRA!#REF!</definedName>
    <definedName name="Arnottexepts">AUS!#REF!</definedName>
    <definedName name="Arnottexetries">AUS!#REF!</definedName>
    <definedName name="Arscottbatpts">ARG!#REF!</definedName>
    <definedName name="Arscottbattries">ARG!#REF!</definedName>
    <definedName name="Arscottlukepts">AUS!#REF!</definedName>
    <definedName name="Arscottluketries">AUS!#REF!</definedName>
    <definedName name="Arscottsalpts">JPN!#REF!</definedName>
    <definedName name="Arscottsaltries">JPN!#REF!</definedName>
    <definedName name="arscotttomatt">JPN!#REF!</definedName>
    <definedName name="arscotttomgoals">JPN!#REF!</definedName>
    <definedName name="Arscotttompts">JPN!#REF!</definedName>
    <definedName name="Arscotttomptscorrect">JPN!#REF!</definedName>
    <definedName name="Arscotttomtries">JPN!#REF!</definedName>
    <definedName name="Arundelleng6npts">ENG!#REF!</definedName>
    <definedName name="Arundelleng6nptscorrect">ENG!$G$3</definedName>
    <definedName name="Arundelleng6ntries">ENG!#REF!</definedName>
    <definedName name="Arundelleng6ntriescorrect">ENG!$C$3</definedName>
    <definedName name="Arundellengijnttries">ENG!$B$3</definedName>
    <definedName name="arundellengintpts">ENG!#REF!</definedName>
    <definedName name="Arundellengintptscorrect">ENG!$F$3</definedName>
    <definedName name="arundellenginttries">ENG!#REF!</definedName>
    <definedName name="Arundellenginttriescorrect">ENG!$B$3</definedName>
    <definedName name="Ashmansco6npts">SCO!$F$3</definedName>
    <definedName name="Ashmansco6ntries">SCO!$B$3</definedName>
    <definedName name="ashmanscointpts">SCO!$G$3</definedName>
    <definedName name="ashmanscointtries">SCO!$C$3</definedName>
    <definedName name="Ashtonchrisptscorrect">NAM!#REF!</definedName>
    <definedName name="Ashtonchristriescorrect">NAM!#REF!</definedName>
    <definedName name="Ashtonpts">NAM!#REF!</definedName>
    <definedName name="ashtontries">NAM!#REF!</definedName>
    <definedName name="Atkinson_Cengyratt">ENG!$K$4</definedName>
    <definedName name="Atkinson_Cengyrgls">ENG!$J$4</definedName>
    <definedName name="Atkinson_Sengintpts">ENG!$F$5</definedName>
    <definedName name="Atkinson_Senginttries">ENG!$B$5</definedName>
    <definedName name="Atkinsonglopts">CAN!#REF!</definedName>
    <definedName name="Atkinsonglotries">CAN!#REF!</definedName>
    <definedName name="Atoniofra6npts">FRA!$F$5</definedName>
    <definedName name="Atoniofra6ntries">FRA!$B$5</definedName>
    <definedName name="atoniofraintpts">FRA!$G$5</definedName>
    <definedName name="atoniofrainttries">FRA!$C$5</definedName>
    <definedName name="Attissogbefra6npts">FRA!$F$6</definedName>
    <definedName name="Attissogbefra6ntries">FRA!$B$6</definedName>
    <definedName name="attissoghefraintpts">FRA!$G$6</definedName>
    <definedName name="attissoghefrainttries">FRA!$C$6</definedName>
    <definedName name="Attwooddavepts">ARG!#REF!</definedName>
    <definedName name="Attwooddavetries">ARG!#REF!</definedName>
    <definedName name="Attwoodpts">ARG!#REF!</definedName>
    <definedName name="attwoodtries">ARG!#REF!</definedName>
    <definedName name="Aulikalipts">FRA!#REF!</definedName>
    <definedName name="Aulikalitries">FRA!#REF!</definedName>
    <definedName name="Autagavaiafaatoinapts">ITA!#REF!</definedName>
    <definedName name="Autagavaiafaatoinatries">ITA!#REF!</definedName>
    <definedName name="Auteracnicbatpts">ARG!#REF!</definedName>
    <definedName name="auteracnicbattries">ARG!#REF!</definedName>
    <definedName name="Awcockalanpts">GEO!#REF!</definedName>
    <definedName name="Awcockalantries">GEO!#REF!</definedName>
    <definedName name="Ayerzaleipts">FIJ!#REF!</definedName>
    <definedName name="Ayerzaleitries">FIJ!#REF!</definedName>
    <definedName name="Baileipts">FIJ!#REF!</definedName>
    <definedName name="Baileitries">FIJ!#REF!</definedName>
    <definedName name="BailleFRA6NPTS">FRA!$F$7</definedName>
    <definedName name="BailleFRA6NTRIES">FRA!$B$7</definedName>
    <definedName name="baillefraintpts">FRA!$G$7</definedName>
    <definedName name="baillefrainttries">FRA!$C$7</definedName>
    <definedName name="Bainessalpts">JPN!#REF!</definedName>
    <definedName name="Bainessaltries">JPN!#REF!</definedName>
    <definedName name="Bairdire6npts">IRE!$F$4</definedName>
    <definedName name="Bairdire6ntries">IRE!$B$4</definedName>
    <definedName name="bairdireintpts">IRE!$G$4</definedName>
    <definedName name="bairdireinttries">IRE!$C$4</definedName>
    <definedName name="Balmainleipts">FIJ!#REF!</definedName>
    <definedName name="Balmainleitries">FIJ!#REF!</definedName>
    <definedName name="Baloucouneire6npts">IRE!$F$5</definedName>
    <definedName name="Baloucouneire6ntries">IRE!$B$5</definedName>
    <definedName name="baloucouneireintpts">IRE!#REF!</definedName>
    <definedName name="Baloucouneireintptscorrect">IRE!$G$5</definedName>
    <definedName name="baloucouneireinttries">IRE!#REF!</definedName>
    <definedName name="Baloucouneireinttriescorrect">IRE!$C$5</definedName>
    <definedName name="banahanbatatt">ARG!#REF!</definedName>
    <definedName name="banahanbatgoals">ARG!#REF!</definedName>
    <definedName name="Banahanmatttries">ARG!#REF!</definedName>
    <definedName name="Banahanpts2">ARG!#REF!</definedName>
    <definedName name="Banahanptscorrect">ARG!#REF!</definedName>
    <definedName name="Banahantries">ARG!#REF!</definedName>
    <definedName name="banahantries2">ARG!#REF!</definedName>
    <definedName name="Banahantriescorrect">ARG!#REF!</definedName>
    <definedName name="banhanpts">ARG!#REF!</definedName>
    <definedName name="Barassifra6npts">FRA!$F$8</definedName>
    <definedName name="Barassifra6ntries">FRA!$B$8</definedName>
    <definedName name="Barassifraintpts">FRA!$G$8</definedName>
    <definedName name="Barassifrainttries">FRA!$C$8</definedName>
    <definedName name="Barbierileipts">FIJ!#REF!</definedName>
    <definedName name="Barbierileitries">FIJ!#REF!</definedName>
    <definedName name="Barkleyollypts">GEO!#REF!</definedName>
    <definedName name="Barkleyollytries">GEO!#REF!</definedName>
    <definedName name="barkleywelatt">GEO!#REF!</definedName>
    <definedName name="barkleywelgoals">GEO!#REF!</definedName>
    <definedName name="Barnesnewpts">IRE!#REF!</definedName>
    <definedName name="Barnesnewtries">IRE!#REF!</definedName>
    <definedName name="barrefra6npts">FRA!$F$9</definedName>
    <definedName name="barrefra6ntries">FRA!$B$9</definedName>
    <definedName name="barrefraintpts">FRA!$G$9</definedName>
    <definedName name="barrefrainttries">FRA!$C$9</definedName>
    <definedName name="barretjnzlyratt">NZL!$K$5</definedName>
    <definedName name="Barrett_Bnzlintpts">NZL!$F$3</definedName>
    <definedName name="Barrett_Bnzlinttries">NZL!$B$3</definedName>
    <definedName name="Barrett_Bnzlrcatt">NZL!$K$12</definedName>
    <definedName name="Barrett_Bnzlrcgls">NZL!$J$12</definedName>
    <definedName name="Barrett_Bnzlrcpts">NZL!$G$3</definedName>
    <definedName name="Barrett_Bnzlrctries">NZL!$C$3</definedName>
    <definedName name="Barrett_Bnzlyrgls">NZL!$J$4</definedName>
    <definedName name="Barrett_JNZLINTPTS">NZL!$F$4</definedName>
    <definedName name="Barrett_JNZLINTTRIES">NZL!$B$4</definedName>
    <definedName name="Barrett_Jnzlpts">NZL!$G$4</definedName>
    <definedName name="Barrett_Jnzlrcatt">NZL!$K$13</definedName>
    <definedName name="Barrett_Jnzlrcgls">NZL!$J$13</definedName>
    <definedName name="Barrett_JNZLRCPTS">NZL!$G$4</definedName>
    <definedName name="Barrett_Jnzltries">NZL!$C$4</definedName>
    <definedName name="Barrett_Jnzlyrgls">NZL!$J$5</definedName>
    <definedName name="Barrett_Snzlrcpts">NZL!$G$5</definedName>
    <definedName name="Barrett_Snzlrctries">NZL!$C$5</definedName>
    <definedName name="barrettbnzlintpts">NZL!#REF!</definedName>
    <definedName name="barrettbnzlinttries">NZL!#REF!</definedName>
    <definedName name="barrettbnzlyratt">NZL!$K$4</definedName>
    <definedName name="barrettjnzlintpts">NZL!#REF!</definedName>
    <definedName name="barrettjnzlinttries">NZL!#REF!</definedName>
    <definedName name="barrettsnzlintpts">NZL!#REF!</definedName>
    <definedName name="BARRETTSNZLINTTRIES">NZL!#REF!</definedName>
    <definedName name="Barringtonrichardpts">NAM!#REF!</definedName>
    <definedName name="Barringtonrichardtries">NAM!#REF!</definedName>
    <definedName name="Barrittbradpts">NAM!#REF!</definedName>
    <definedName name="Barrittbradtries">NAM!#REF!</definedName>
    <definedName name="Barrownewpts">IRE!#REF!</definedName>
    <definedName name="Barrownewtries">IRE!#REF!</definedName>
    <definedName name="BashamWAL6NPTS">WAL!$F$5</definedName>
    <definedName name="BashamWAL6NTRIES">WAL!$B$5</definedName>
    <definedName name="bassettjoshtries">NZL!#REF!</definedName>
    <definedName name="Bassettpts">NZL!#REF!</definedName>
    <definedName name="bassetttries">NZL!#REF!</definedName>
    <definedName name="Bassettwaspts">NZL!#REF!</definedName>
    <definedName name="Bassettwastries">NZL!#REF!</definedName>
    <definedName name="Batemangregpts">AUS!#REF!</definedName>
    <definedName name="Batemangregtries">AUS!#REF!</definedName>
    <definedName name="bathpentries">ARG!#REF!</definedName>
    <definedName name="bathpentriespts">ARG!#REF!</definedName>
    <definedName name="bathpentriesptscorrect">ARG!#REF!</definedName>
    <definedName name="bathpentriesptsthisone">ARG!#REF!</definedName>
    <definedName name="bathpentriestriescorrect">ARG!#REF!</definedName>
    <definedName name="bathpentriestriesthisone">ARG!#REF!</definedName>
    <definedName name="bathscorers">ARG!$A$4:$H$7</definedName>
    <definedName name="Battyrosspts">ARG!#REF!</definedName>
    <definedName name="Battyrosstries">ARG!#REF!</definedName>
    <definedName name="baxtereng6npts">ENG!$G$6</definedName>
    <definedName name="baxtereng6ntries">ENG!$C$6</definedName>
    <definedName name="Baxterengintpts">ENG!$F$6</definedName>
    <definedName name="Baxterenginttries">ENG!$B$6</definedName>
    <definedName name="baylissscointpts">SCO!$G$4</definedName>
    <definedName name="baylissscointtries">SCO!$C$4</definedName>
    <definedName name="Bealhamire6npts">IRE!$F$6</definedName>
    <definedName name="Bealhamire6ntries">IRE!$B$6</definedName>
    <definedName name="Beaumontsalpts">JPN!#REF!</definedName>
    <definedName name="Beaumontsaltries">JPN!#REF!</definedName>
    <definedName name="Beechcharliepts">ARG!#REF!</definedName>
    <definedName name="Beechcharlietries">ARG!#REF!</definedName>
    <definedName name="BEIRNEIRE6NPTS">IRE!$F$7</definedName>
    <definedName name="BEIRNEIRE6NTRIES">IRE!$B$7</definedName>
    <definedName name="BEIRNEIREINTPTS">IRE!$G$7</definedName>
    <definedName name="BEIRNEIREINTTRIES">IRE!$C$7</definedName>
    <definedName name="Bell_C">NZL!#REF!</definedName>
    <definedName name="Bellausintpts">AUS!$G$4</definedName>
    <definedName name="Bellausinttries">AUS!$C$4</definedName>
    <definedName name="Bellausrcpts">AUS!$F$4</definedName>
    <definedName name="Bellausrctries">AUS!$B$4</definedName>
    <definedName name="Bellchrispts">NZL!#REF!</definedName>
    <definedName name="Bellchristries">NZL!#REF!</definedName>
    <definedName name="bellleiatt">FIJ!#REF!</definedName>
    <definedName name="Bellleigoals">FIJ!#REF!</definedName>
    <definedName name="Bellleipts">FIJ!#REF!</definedName>
    <definedName name="Bellleitries">FIJ!#REF!</definedName>
    <definedName name="Bellnzlintpts">NZL!$F$6</definedName>
    <definedName name="Bellnzlinttries">NZL!$B$6</definedName>
    <definedName name="belloargintpts">ARG!$G$6</definedName>
    <definedName name="belloarginttries">ARG!$C$6</definedName>
    <definedName name="Belltommypts">NZL!#REF!</definedName>
    <definedName name="Belltommytries">NZL!#REF!</definedName>
    <definedName name="Benjaminleipts">FIJ!#REF!</definedName>
    <definedName name="Benjaminleitries">FIJ!#REF!</definedName>
    <definedName name="Benjaminmilespts">FIJ!#REF!</definedName>
    <definedName name="Benjaminmilestries">FIJ!#REF!</definedName>
    <definedName name="bennettscointpts">SCO!$G$5</definedName>
    <definedName name="bennettscointtries">SCO!$C$5</definedName>
    <definedName name="Bentleyjonnypts">CAN!#REF!</definedName>
    <definedName name="berdeufraintpts">FRA!$G$10</definedName>
    <definedName name="berdeufrainttries">FRA!$C$10</definedName>
    <definedName name="Berdeufrayratt">FRA!$K$5</definedName>
    <definedName name="Berdeufrayrgls">FRA!$J$5</definedName>
    <definedName name="bertranouargintpts">ARG!$G$7</definedName>
    <definedName name="bertranouarginttries">ARG!$C$7</definedName>
    <definedName name="Bertranouargrcpts">ARG!$F$7</definedName>
    <definedName name="Bertranouargrctries">ARG!$B$7</definedName>
    <definedName name="Bettysampts">GEO!#REF!</definedName>
    <definedName name="Bettysamtries">GEO!#REF!</definedName>
    <definedName name="bevanwalintpts">WAL!$G$7</definedName>
    <definedName name="bevanwalinttries">WAL!$C$7</definedName>
    <definedName name="Bezyfra6natt">FRA!#REF!</definedName>
    <definedName name="Bezyfra6ngoals">FRA!#REF!</definedName>
    <definedName name="bezyfraatt">FRA!#REF!</definedName>
    <definedName name="Bezyfragoals">FRA!#REF!</definedName>
    <definedName name="biellebiarreyfra6npts">FRA!$F$11</definedName>
    <definedName name="biellebiarreyfra6ntries">FRA!$B$11</definedName>
    <definedName name="biellebiarreyfraintpts">FRA!$G$11</definedName>
    <definedName name="biellebiarreyfrainttries">FRA!$C$11</definedName>
    <definedName name="Biggarwal6natt">WAL!#REF!</definedName>
    <definedName name="biggarwal6nattcorrect">WAL!#REF!</definedName>
    <definedName name="Biggarwal6nglscorrect">WAL!#REF!</definedName>
    <definedName name="Biggarwal6ngoals">WAL!#REF!</definedName>
    <definedName name="Biggarwal6npts">WAL!$F$8</definedName>
    <definedName name="Biggarwal6ntries">WAL!$B$8</definedName>
    <definedName name="biggarwalatt">WAL!#REF!</definedName>
    <definedName name="Biggarwalgls">WAL!#REF!</definedName>
    <definedName name="biggarwalintpts">WAL!$G$8</definedName>
    <definedName name="biggarwalpts">WAL!$H$8</definedName>
    <definedName name="biggarwaltries">WAL!$D$8</definedName>
    <definedName name="Biggstompts">ARG!#REF!</definedName>
    <definedName name="Biggstomtries">ARG!#REF!</definedName>
    <definedName name="Blairnewpts">IRE!#REF!</definedName>
    <definedName name="Blairpts">IRE!#REF!</definedName>
    <definedName name="Blairtries">IRE!#REF!</definedName>
    <definedName name="Bodillyexepts">AUS!#REF!</definedName>
    <definedName name="Bodillyexetries">AUS!#REF!</definedName>
    <definedName name="boffelliargintpts">ARG!$G$8</definedName>
    <definedName name="boffelliarginttries">ARG!$C$8</definedName>
    <definedName name="Boffelliargrcpts">ARG!$F$8</definedName>
    <definedName name="Boffelliargrctries">ARG!$B$8</definedName>
    <definedName name="boffelliargtrcatt">ARG!$K$14</definedName>
    <definedName name="Boffelliargtrcgls">ARG!$J$14</definedName>
    <definedName name="boffelliargyratt">ARG!$K$5</definedName>
    <definedName name="Boffelliargyrgls">ARG!$J$5</definedName>
    <definedName name="bogadoargintpts">ARG!$G$9</definedName>
    <definedName name="bogadoarginttries">ARG!$C$9</definedName>
    <definedName name="boltonireintpts">IRE!$G$8</definedName>
    <definedName name="boltonireinttries">IRE!$C$8</definedName>
    <definedName name="boschatt">NAM!$M$19</definedName>
    <definedName name="Boschgoals">NAM!$L$19</definedName>
    <definedName name="Boschmarcelopts">NAM!#REF!</definedName>
    <definedName name="Boschmarcelotries">NAM!#REF!</definedName>
    <definedName name="Bothaexepts">AUS!#REF!</definedName>
    <definedName name="Bothaexetries">AUS!#REF!</definedName>
    <definedName name="Bothamouritzpts">NAM!#REF!</definedName>
    <definedName name="Bothamouritztries">NAM!#REF!</definedName>
    <definedName name="bothamwalintpts">WAL!$G$8</definedName>
    <definedName name="bothamwalinttries">WAL!$C$8</definedName>
    <definedName name="boticaatt">ENG!#REF!</definedName>
    <definedName name="Boticabentries">ENG!#REF!</definedName>
    <definedName name="boticagoals">ENG!#REF!</definedName>
    <definedName name="Boticaharpts">ENG!#REF!</definedName>
    <definedName name="Boticapts">ENG!#REF!</definedName>
    <definedName name="Boudehent__Paulfra6npts">FRA!$F$12</definedName>
    <definedName name="Boudehent__Paulfra6ntries">FRA!$B$12</definedName>
    <definedName name="boudehentpaulfraintpts">FRA!$G$12</definedName>
    <definedName name="boudehentpaulfrainttries">FRA!$C$12</definedName>
    <definedName name="bourgaritfraintpts">FRA!$G$13</definedName>
    <definedName name="Bourgaritfrainttries">FRA!$C$13</definedName>
    <definedName name="Bowdendanpts">FIJ!#REF!</definedName>
    <definedName name="Bowdendantries">FIJ!#REF!</definedName>
    <definedName name="Bowdenpts">FIJ!#REF!</definedName>
    <definedName name="bowdentries">FIJ!#REF!</definedName>
    <definedName name="Bowernzlintpts">NZL!$F$7</definedName>
    <definedName name="Bowernzlinttries">NZL!$B$7</definedName>
    <definedName name="Bowernzlrctries">NZL!$B$7</definedName>
    <definedName name="Bowernzlrctriescorrect">NZL!$C$7</definedName>
    <definedName name="Bowernzltcpts">NZL!$G$7</definedName>
    <definedName name="Bradytompts">JPN!#REF!</definedName>
    <definedName name="Bradytomtries">JPN!#REF!</definedName>
    <definedName name="Braiddanpts">JPN!#REF!</definedName>
    <definedName name="Braiddantries">JPN!#REF!</definedName>
    <definedName name="Braidpts">JPN!#REF!</definedName>
    <definedName name="Braidtries">JPN!#REF!</definedName>
    <definedName name="Braleyglopts">CAN!#REF!</definedName>
    <definedName name="Braleyglotries">CAN!#REF!</definedName>
    <definedName name="Braleyita6npts">ITA!#REF!</definedName>
    <definedName name="Braleyita6ntries">ITA!#REF!</definedName>
    <definedName name="Brau_Boiriefra6npts">FRA!$F$14</definedName>
    <definedName name="Brau_Boiriefra6ntries">FRA!$B$14</definedName>
    <definedName name="Brau_Boiriefraintpts">FRA!$G$14</definedName>
    <definedName name="Brau_Boiriefrainttries">FRA!$C$14</definedName>
    <definedName name="brennanfraintpts">FRA!$G$15</definedName>
    <definedName name="brennanfrainttries">FRA!$C$15</definedName>
    <definedName name="Brexita6ntries">ITA!$B$5</definedName>
    <definedName name="brexitaintpts">ITA!$G$5</definedName>
    <definedName name="brexitainttries">ITA!$C$5</definedName>
    <definedName name="Brexits6npts">ITA!$F$5</definedName>
    <definedName name="Briggsleipts">FIJ!#REF!</definedName>
    <definedName name="Briggsleitries">FIJ!#REF!</definedName>
    <definedName name="Bristowleipts">FIJ!#REF!</definedName>
    <definedName name="Bristowleitries">FIJ!#REF!</definedName>
    <definedName name="Britspts">NAM!#REF!</definedName>
    <definedName name="britstris">NAM!#REF!</definedName>
    <definedName name="Brittonwelpts">GEO!#REF!</definedName>
    <definedName name="Brittonweltries">GEO!#REF!</definedName>
    <definedName name="Brookesnewpts">IRE!#REF!</definedName>
    <definedName name="Brookesnewtries">IRE!#REF!</definedName>
    <definedName name="Brophy_Clewslirpts">FRA!#REF!</definedName>
    <definedName name="Brophy_Clewslirtries">FRA!#REF!</definedName>
    <definedName name="Brown">ENG!#REF!</definedName>
    <definedName name="brown2">ENG!#REF!</definedName>
    <definedName name="Brownedanielpts">GEO!#REF!</definedName>
    <definedName name="Brownedanieltries">GEO!#REF!</definedName>
    <definedName name="Brownepetepts">GEO!#REF!</definedName>
    <definedName name="Brownepetetries">GEO!#REF!</definedName>
    <definedName name="brownexepts">AUS!#REF!</definedName>
    <definedName name="brownexetries">AUS!#REF!</definedName>
    <definedName name="brownkellypts">NAM!#REF!</definedName>
    <definedName name="brownkellytries">NAM!#REF!</definedName>
    <definedName name="brownmikepts2">ENG!#REF!</definedName>
    <definedName name="brownmikeries">ENG!#REF!</definedName>
    <definedName name="Brownmiketries">ENG!#REF!</definedName>
    <definedName name="brownmiketriescorrect">ENG!#REF!</definedName>
    <definedName name="brownsarpts">NAM!#REF!</definedName>
    <definedName name="brownsartries">NAM!#REF!</definedName>
    <definedName name="Brunoita6ntries">ITA!$B$6</definedName>
    <definedName name="brunoitaintpts">ITA!$G$6</definedName>
    <definedName name="brunoitainttries">ITA!$C$6</definedName>
    <definedName name="Brunoits6npts">ITA!$F$6</definedName>
    <definedName name="Buchananpts">ENG!#REF!</definedName>
    <definedName name="buchanantries">ENG!#REF!</definedName>
    <definedName name="Buckleysalpts">JPN!#REF!</definedName>
    <definedName name="Buckleysaltries">JPN!#REF!</definedName>
    <definedName name="Burgerjacquespts">NAM!#REF!</definedName>
    <definedName name="Burgerjacquestries">NAM!#REF!</definedName>
    <definedName name="Burgesssampts">ARG!#REF!</definedName>
    <definedName name="Burgesssamtries">ARG!#REF!</definedName>
    <definedName name="Burkesco6npts">SCO!$F$6</definedName>
    <definedName name="Burkesco6ntries">SCO!$B$6</definedName>
    <definedName name="Burkescointpts">SCO!$G$6</definedName>
    <definedName name="Burkescointtries">SCO!$C$6</definedName>
    <definedName name="Burkescoyratt">SCO!$K$4</definedName>
    <definedName name="Burkescoyrgls">SCO!$J$4</definedName>
    <definedName name="Burnsbillypts">CAN!#REF!</definedName>
    <definedName name="Burnsbillytries">CAN!#REF!</definedName>
    <definedName name="burnsfreddieatt">CAN!$N$14</definedName>
    <definedName name="burnsfreddiegoals">CAN!$M$14</definedName>
    <definedName name="Burnsfreddiepts">CAN!#REF!</definedName>
    <definedName name="Burnsfreddietries">CAN!#REF!</definedName>
    <definedName name="burnsgloatt">CAN!#REF!</definedName>
    <definedName name="burnsglogoals">CAN!#REF!</definedName>
    <definedName name="Burnsharpts">ENG!#REF!</definedName>
    <definedName name="Burnshartries">ENG!#REF!</definedName>
    <definedName name="burnsleiatt">FIJ!#REF!</definedName>
    <definedName name="burnsleigoals">FIJ!#REF!</definedName>
    <definedName name="Burnsleipts">FIJ!#REF!</definedName>
    <definedName name="Burnsleitries">FIJ!#REF!</definedName>
    <definedName name="burosfraintpts">FRA!$G$16</definedName>
    <definedName name="burosfrainttries">FRA!$C$16</definedName>
    <definedName name="Burrelllutherpts">ITA!#REF!</definedName>
    <definedName name="Burrellpts">ITA!#REF!</definedName>
    <definedName name="Burrelltries">ITA!#REF!</definedName>
    <definedName name="Burrelltriescorrect">ITA!#REF!</definedName>
    <definedName name="Buthelezirsaintpts">RSA!$F$5</definedName>
    <definedName name="Buthelezirsainttries">RSA!$B$5</definedName>
    <definedName name="Byrne_Hire6ngls">IRE!$J$17</definedName>
    <definedName name="Byrne_Hireyrgls">IRE!$J$5</definedName>
    <definedName name="Byrne_Rire6ngls">IRE!$J$18</definedName>
    <definedName name="Byrne_RIRE6NPTS">IRE!$F$10</definedName>
    <definedName name="Byrne_RIRE6NTRIES">IRE!$B$10</definedName>
    <definedName name="Byrne_Rireintgls">IRE!$J$6</definedName>
    <definedName name="byrnehire6natt">IRE!$K$17</definedName>
    <definedName name="byrnehire6npts">IRE!$F$9</definedName>
    <definedName name="byrnehire6ntries">IRE!$B$9</definedName>
    <definedName name="byrnehireyratt">IRE!$K$5</definedName>
    <definedName name="byrnerire6natt">IRE!$K$18</definedName>
    <definedName name="byrnerireintatt">IRE!$K$6</definedName>
    <definedName name="byrnerireirepts">IRE!$G$10</definedName>
    <definedName name="caarberyire6ngls">IRE!#REF!</definedName>
    <definedName name="Cahillshanepts">GEO!#REF!</definedName>
    <definedName name="Cahillshanetries">GEO!#REF!</definedName>
    <definedName name="Caldwellexepts">AUS!#REF!</definedName>
    <definedName name="Caldwellexetries">AUS!#REF!</definedName>
    <definedName name="Camacholeipts">FIJ!#REF!</definedName>
    <definedName name="Camacholeitries">FIJ!#REF!</definedName>
    <definedName name="campbellausintpts">AUS!#REF!</definedName>
    <definedName name="campellausinttries">AUS!#REF!</definedName>
    <definedName name="Canenzlintpts">NZL!#REF!</definedName>
    <definedName name="Canenzlinttries">NZL!#REF!</definedName>
    <definedName name="Canenzlrcpts">NZL!$G$6</definedName>
    <definedName name="Canenzlrctries">NZL!$C$6</definedName>
    <definedName name="Cannaita6natt">ITA!#REF!</definedName>
    <definedName name="Cannaita6ngoals">ITA!#REF!</definedName>
    <definedName name="cannoncenitaintpts">ITA!$G$8</definedName>
    <definedName name="Cannone_Litaintpts">ITA!$E$7</definedName>
    <definedName name="cannonelitaintptscorrect">ITA!$G$7</definedName>
    <definedName name="cannonelitainttries">ITA!$C$7</definedName>
    <definedName name="Cannonwaspts">NZL!#REF!</definedName>
    <definedName name="Cannonwastries">NZL!#REF!</definedName>
    <definedName name="canonenitainttries">ITA!$C$8</definedName>
    <definedName name="Capuozzoita6npts">ITA!$F$9</definedName>
    <definedName name="Capuozzoita6ntries">ITA!$B$9</definedName>
    <definedName name="capuozzoitaintpts">ITA!$G$9</definedName>
    <definedName name="capuozzoitainttries">ITA!$C$9</definedName>
    <definedName name="carberyiireintpts">IRE!$G$11</definedName>
    <definedName name="carberyire6natt">IRE!#REF!</definedName>
    <definedName name="Carberyire6ngls">IRE!#REF!</definedName>
    <definedName name="Carberyire6npts">IRE!$F$11</definedName>
    <definedName name="Carberyire6ntries">IRE!$B$11</definedName>
    <definedName name="carberyireatt">IRE!$K$7</definedName>
    <definedName name="Carberyiregls">IRE!$J$7</definedName>
    <definedName name="Care" comment="constant">ENG!#REF!</definedName>
    <definedName name="Carepts">ENG!#REF!</definedName>
    <definedName name="caretries" comment="constant">ENG!#REF!</definedName>
    <definedName name="carlisleatt">NZL!#REF!</definedName>
    <definedName name="carlislegoals">NZL!#REF!</definedName>
    <definedName name="Carlislejoetries">NZL!#REF!</definedName>
    <definedName name="Carlislepts">NZL!#REF!</definedName>
    <definedName name="Carreras_Margtrcpts">ARG!$F$10</definedName>
    <definedName name="Carreras_Margtrctries">ARG!$B$10</definedName>
    <definedName name="Carreras_Sargtrcgls">ARG!$J$15</definedName>
    <definedName name="Carreras_Sargtrctries">ARG!$B$11</definedName>
    <definedName name="Carreras_Sargyrgls">ARG!$J$6</definedName>
    <definedName name="carrerasmargintpts">ARG!$G$10</definedName>
    <definedName name="carrerasmarginttries">ARG!$C$10</definedName>
    <definedName name="carrerassarggtrcpts">ARG!$F$11</definedName>
    <definedName name="carrerassargintpts">ARG!$G$11</definedName>
    <definedName name="carrerassarginttries">ARG!$C$11</definedName>
    <definedName name="carrerassargtrcatt">ARG!$K$15</definedName>
    <definedName name="carrerassargyratt">ARG!$K$6</definedName>
    <definedName name="Carrewal6npts">WAL!$F$9</definedName>
    <definedName name="Carrewal6ntries">WAL!$B$9</definedName>
    <definedName name="Carrewalintpys">WAL!$G$9</definedName>
    <definedName name="Carrewalinttries">WAL!$C$9</definedName>
    <definedName name="Carrick_Smithexepts">AUS!#REF!</definedName>
    <definedName name="Carrick_Smithexetries">AUS!#REF!</definedName>
    <definedName name="Carternzlintpts">NZL!$F$8</definedName>
    <definedName name="Carternzlinttries">NZL!$B$8</definedName>
    <definedName name="Carternzlrcpts">NZL!$G$8</definedName>
    <definedName name="Carternzlrctries">NZL!$C$8</definedName>
    <definedName name="caseyireintpts">IRE!$G$11</definedName>
    <definedName name="caseyireinttries">IRE!$C$11</definedName>
    <definedName name="Cassonharpts">ENG!#REF!</definedName>
    <definedName name="Cassonhartries">ENG!#REF!</definedName>
    <definedName name="Catonewpts">IRE!#REF!</definedName>
    <definedName name="Catonoahpts">IRE!#REF!</definedName>
    <definedName name="Catonoahtries">IRE!#REF!</definedName>
    <definedName name="catterickatt">IRE!#REF!</definedName>
    <definedName name="catterickgoals">IRE!#REF!</definedName>
    <definedName name="Cattericknewtries">IRE!#REF!</definedName>
    <definedName name="Catterickpts">IRE!#REF!</definedName>
    <definedName name="Cattericktries">IRE!#REF!</definedName>
    <definedName name="Cattnathanpts">ARG!#REF!</definedName>
    <definedName name="Cattnathantries">ARG!#REF!</definedName>
    <definedName name="cherryscointpts">SCO!#REF!</definedName>
    <definedName name="cherryscointtries">SCO!#REF!</definedName>
    <definedName name="Chessum_Oeng6npts">ENG!$G$7</definedName>
    <definedName name="Chessum_Oeng6ntries">ENG!$C$7</definedName>
    <definedName name="chessumengintpts">ENG!#REF!</definedName>
    <definedName name="chessumenginttries">ENG!#REF!</definedName>
    <definedName name="Chisholm_Jharpts">ENG!#REF!</definedName>
    <definedName name="Chisholm_Jhartries">ENG!#REF!</definedName>
    <definedName name="Chisholm_Rharpts">ENG!#REF!</definedName>
    <definedName name="Chisholm_Rhartries">ENG!#REF!</definedName>
    <definedName name="Chocobaresargintpts">ARG!$G$12</definedName>
    <definedName name="Chocobaresarginttries">ARG!$C$12</definedName>
    <definedName name="Chocobaresargrcpts">ARG!$F$12</definedName>
    <definedName name="Chocobaresargrctries">ARG!$B$12</definedName>
    <definedName name="Chudleyexepts">AUS!#REF!</definedName>
    <definedName name="Chudleyexetries">AUS!#REF!</definedName>
    <definedName name="Cintiargintpts">ARG!$G$13</definedName>
    <definedName name="Cintiarginttries">ARG!$C$13</definedName>
    <definedName name="Cintiargtrcpts">ARG!$F$13</definedName>
    <definedName name="Cintiargtrctries">ARG!$B$13</definedName>
    <definedName name="ciprianiatt">JPN!$N$17</definedName>
    <definedName name="Ciprianidannytries">JPN!#REF!</definedName>
    <definedName name="ciprianigoals">JPN!$M$17</definedName>
    <definedName name="Ciprianipts">JPN!#REF!</definedName>
    <definedName name="Ciprianisalpts">JPN!#REF!</definedName>
    <definedName name="ciprianitries">JPN!#REF!</definedName>
    <definedName name="Ciprianitriescorrect">JPN!#REF!</definedName>
    <definedName name="Cittadiniwaspts">NZL!#REF!</definedName>
    <definedName name="Cittadiniwastries">NZL!#REF!</definedName>
    <definedName name="Clarkcalumpts">ITA!#REF!</definedName>
    <definedName name="Clarkcalumtries">ITA!#REF!</definedName>
    <definedName name="clarkenzlintpts">NZL!#REF!</definedName>
    <definedName name="clarkenzlintptscorrect">NZL!$F$9</definedName>
    <definedName name="clarkenzlinttries">NZL!#REF!</definedName>
    <definedName name="clarkenzlinttriescorrect">NZL!$B$9</definedName>
    <definedName name="Clarkenzlrcpts">NZL!$G$9</definedName>
    <definedName name="Clarkenzlrctries">NZL!$C$9</definedName>
    <definedName name="clarksonireintpts">IRE!$G$12</definedName>
    <definedName name="clarksonireinttries">IRE!$C$12</definedName>
    <definedName name="cleggatt">IRE!#REF!</definedName>
    <definedName name="clegggoals">IRE!#REF!</definedName>
    <definedName name="Cleggnewpts">IRE!#REF!</definedName>
    <definedName name="Cleggpts">IRE!#REF!</definedName>
    <definedName name="cleggrorytries">IRE!#REF!</definedName>
    <definedName name="Cliffordharpts">ENG!#REF!</definedName>
    <definedName name="Cliffordhartries">ENG!#REF!</definedName>
    <definedName name="Cliffordjackpts">ENG!#REF!</definedName>
    <definedName name="Cliffordjacktries">ENG!#REF!</definedName>
    <definedName name="Cliffsalpts">JPN!#REF!</definedName>
    <definedName name="Cliffsaltries">JPN!#REF!</definedName>
    <definedName name="Cobilassalpts">JPN!#REF!</definedName>
    <definedName name="Cobilassaltries">JPN!#REF!</definedName>
    <definedName name="Cochraneneilpts">NZL!#REF!</definedName>
    <definedName name="Cochraneneiltries">NZL!#REF!</definedName>
    <definedName name="cokanasigaengintpts">ENG!#REF!</definedName>
    <definedName name="cokanasigaenginttries">ENG!#REF!</definedName>
    <definedName name="Coleleipts">FIJ!#REF!</definedName>
    <definedName name="Coleleitries">FIJ!#REF!</definedName>
    <definedName name="ColesNZLTRCPTS">NZL!$G$10</definedName>
    <definedName name="ColesNZLTRCTRIES">NZL!$C$10</definedName>
    <definedName name="Collierharpts">ENG!#REF!</definedName>
    <definedName name="Collierhartries">ENG!#REF!</definedName>
    <definedName name="Collinstompts">ITA!#REF!</definedName>
    <definedName name="Collinstomtries">ITA!#REF!</definedName>
    <definedName name="colombesfra6npts">FRA!$F$17</definedName>
    <definedName name="colombesfra6ntries">FRA!$B$17</definedName>
    <definedName name="Conanire6npts">IRE!$F$13</definedName>
    <definedName name="Conanire6ntries">IRE!$B$13</definedName>
    <definedName name="conanireintpts">IRE!$G$13</definedName>
    <definedName name="conanireinttries">IRE!$C$13</definedName>
    <definedName name="Conlonexepts">AUS!#REF!</definedName>
    <definedName name="Conlonexetries">AUS!#REF!</definedName>
    <definedName name="Conlonjoelpts">AUS!#REF!</definedName>
    <definedName name="Conlonjoeltries">AUS!#REF!</definedName>
    <definedName name="Conwayire6npts">IRE!#REF!</definedName>
    <definedName name="Conwayire6ntries">IRE!#REF!</definedName>
    <definedName name="cookatt">CAN!#REF!</definedName>
    <definedName name="Cookchrispts">ARG!#REF!</definedName>
    <definedName name="Cookchristries">ARG!#REF!</definedName>
    <definedName name="Cookgoals">CAN!#REF!</definedName>
    <definedName name="Cookpts">CAN!#REF!</definedName>
    <definedName name="Cooktries">CAN!#REF!</definedName>
    <definedName name="Cooper_Woolleypts">NZL!#REF!</definedName>
    <definedName name="Cooper_Woolleytries">NZL!#REF!</definedName>
    <definedName name="Cooper_Woolleywaspts">NZL!#REF!</definedName>
    <definedName name="Cooper_Woolleywastries">NZL!#REF!</definedName>
    <definedName name="cooperausintpts">AUS!$G$5</definedName>
    <definedName name="cooperausinttriies">AUS!$C$5</definedName>
    <definedName name="Cooperausrcpts">AUS!$F$5</definedName>
    <definedName name="Cooperaustrcatt">AUS!#REF!</definedName>
    <definedName name="Cooperaustrcgls">AUS!#REF!</definedName>
    <definedName name="Cooperaustrctries">AUS!$B$5</definedName>
    <definedName name="cooperausyratt">AUS!#REF!</definedName>
    <definedName name="Cooperausyrgls">AUS!#REF!</definedName>
    <definedName name="Cooperwelpts">GEO!#REF!</definedName>
    <definedName name="Cooperweltries">GEO!#REF!</definedName>
    <definedName name="Corbisieronorpts">ITA!#REF!</definedName>
    <definedName name="Corbisieronortries">ITA!#REF!</definedName>
    <definedName name="Corbisieropts">ITA!#REF!</definedName>
    <definedName name="Corbisierotries">ITA!#REF!</definedName>
    <definedName name="corderoargintpts">ARG!$G$14</definedName>
    <definedName name="corderoarginttries">ARG!$C$14</definedName>
    <definedName name="Corkermattpts">GEO!#REF!</definedName>
    <definedName name="Corkermatttries">GEO!#REF!</definedName>
    <definedName name="costellowwalintpts">WAL!$G$10</definedName>
    <definedName name="costellowwalinttries">WAL!$C$10</definedName>
    <definedName name="Costelowwal6natt">WAL!$K$17</definedName>
    <definedName name="Costelowwal6ngls">WAL!$J$17</definedName>
    <definedName name="costelowwal6npts">WAL!$F$10</definedName>
    <definedName name="costelowwal6ntries">WAL!$B$10</definedName>
    <definedName name="Costelowwalintpts">WAL!#REF!</definedName>
    <definedName name="Costelowwalinttries">WAL!#REF!</definedName>
    <definedName name="Costelowwalyratt">WAL!$K$5</definedName>
    <definedName name="Costelowwalyrgls">WAL!$J$5</definedName>
    <definedName name="COUILLOUDFRAINTPTS">FRA!$G$17</definedName>
    <definedName name="couilloudfraintptscorrect">FRA!$G$18</definedName>
    <definedName name="COUILLOUDFRAINTTRIES">FRA!$C$17</definedName>
    <definedName name="couilloudfrainttriescorrect">FRA!$C$18</definedName>
    <definedName name="Courtlipts">FRA!#REF!</definedName>
    <definedName name="Courtlitries">FRA!#REF!</definedName>
    <definedName name="Cowan_Dickie_Lukepts">AUS!#REF!</definedName>
    <definedName name="Cowan_Dickie_Luketries">AUS!#REF!</definedName>
    <definedName name="Cowan_Dickieengintpts">ENG!$F$8</definedName>
    <definedName name="Cowan_Dickieenginttries">ENG!$B$8</definedName>
    <definedName name="Cowanblairtries">FRA!#REF!</definedName>
    <definedName name="Cowanjimmypts">CAN!#REF!</definedName>
    <definedName name="Cowanjimmytries">CAN!#REF!</definedName>
    <definedName name="Cowanlipts">FRA!#REF!</definedName>
    <definedName name="Cowanpts">FRA!#REF!</definedName>
    <definedName name="Cowantries">FRA!#REF!</definedName>
    <definedName name="Coxlipts">FRA!#REF!</definedName>
    <definedName name="Coxlitries">FRA!#REF!</definedName>
    <definedName name="Coxmattpts">CAN!#REF!</definedName>
    <definedName name="Coxmatttries">CAN!#REF!</definedName>
    <definedName name="Craignorpts">ITA!#REF!</definedName>
    <definedName name="Craignortries">ITA!#REF!</definedName>
    <definedName name="craneleiatt">FIJ!#REF!</definedName>
    <definedName name="craneleigoals">FIJ!#REF!</definedName>
    <definedName name="Cranepts">FIJ!#REF!</definedName>
    <definedName name="Craneptscorrect">FIJ!#REF!</definedName>
    <definedName name="Cranerhyspts">GEO!#REF!</definedName>
    <definedName name="Cranerhystries">GEO!#REF!</definedName>
    <definedName name="cranetries">FIJ!#REF!</definedName>
    <definedName name="Cranetriescorrect">FIJ!#REF!</definedName>
    <definedName name="Creevyagustinpts">GEO!#REF!</definedName>
    <definedName name="Creevyagustintries">GEO!#REF!</definedName>
    <definedName name="Creevyargintptsscorrect">ARG!$G$16</definedName>
    <definedName name="Creevyarginttriescorrect">ARG!$C$16</definedName>
    <definedName name="Creevyargtrcpts">ARG!$F$14</definedName>
    <definedName name="Creevyargtrcptscorrect">ARG!$F$16</definedName>
    <definedName name="Creevyargtrctries">ARG!$B$14</definedName>
    <definedName name="Creevyargtrctriescorrect">ARG!$B$16</definedName>
    <definedName name="Croallsalpts">JPN!#REF!</definedName>
    <definedName name="Croallsaltries">JPN!#REF!</definedName>
    <definedName name="Croftleipts">FIJ!#REF!</definedName>
    <definedName name="Croftleitries">FIJ!#REF!</definedName>
    <definedName name="CROSBIESCOINTPTS">SCO!$G$7</definedName>
    <definedName name="CROSBIESCOINTTRIES">SCO!$C$7</definedName>
    <definedName name="Crosfra6npts">FRA!$F$19</definedName>
    <definedName name="Crosfra6ntries">FRA!$B$19</definedName>
    <definedName name="Crosslipts">FRA!#REF!</definedName>
    <definedName name="Crosslitries">FRA!#REF!</definedName>
    <definedName name="Crowleyire6natt">IRE!$K$19</definedName>
    <definedName name="Crowleyire6ngls">IRE!$J$19</definedName>
    <definedName name="crowleyire6npts">IRE!$F$14</definedName>
    <definedName name="crowleyire6ntries">IRE!$B$14</definedName>
    <definedName name="crowleyireintpts">IRE!$G$14</definedName>
    <definedName name="crowleyireinttries">IRE!$C$14</definedName>
    <definedName name="crowleyireyratt">IRE!$K$8</definedName>
    <definedName name="Crowleyireyrgls">IRE!$J$8</definedName>
    <definedName name="cubelliargintpts">ARG!$G$15</definedName>
    <definedName name="cubelliarginttries">ARG!$C$15</definedName>
    <definedName name="Cuetopts">JPN!#REF!</definedName>
    <definedName name="Cuetosalpts">JPN!#REF!</definedName>
    <definedName name="Cuetosaltries">JPN!#REF!</definedName>
    <definedName name="cuetotries">JPN!#REF!</definedName>
    <definedName name="Cunningham_Sthengintpts">ENG!$F$9</definedName>
    <definedName name="Cunningham_Sthenginttries">ENG!$B$9</definedName>
    <definedName name="CUNNINGHAMSOUTHENG6NPTS">ENG!$G$9</definedName>
    <definedName name="CUNNINGHAMSOUTHENG6NTRIES">ENG!$C$9</definedName>
    <definedName name="curriescointpts">SCO!$G$9</definedName>
    <definedName name="curriescointtries">SCO!$C$9</definedName>
    <definedName name="Curry_Tengintpts">ENG!$F$10</definedName>
    <definedName name="Curry_Tenginttries">ENG!$B$10</definedName>
    <definedName name="curryteng6npts">ENG!$G$10</definedName>
    <definedName name="curryteng6ntries">ENG!$C$10</definedName>
    <definedName name="Cusitersalpts">JPN!#REF!</definedName>
    <definedName name="Cusitersaltries">JPN!#REF!</definedName>
    <definedName name="da_Reita6npts">ITA!$F$11</definedName>
    <definedName name="da_Reita6ntries">ITA!$B$11</definedName>
    <definedName name="Da_Reitayrgls">ITA!$J$5</definedName>
    <definedName name="Dalyelliotpts">NZL!#REF!</definedName>
    <definedName name="Dalyelliottries">NZL!#REF!</definedName>
    <definedName name="Dalyeng6npts">ENG!$G$11</definedName>
    <definedName name="Dalyeng6ntries">ENG!$C$11</definedName>
    <definedName name="dalywasatt">NZL!#REF!</definedName>
    <definedName name="dalywasgoals">NZL!#REF!</definedName>
    <definedName name="Dalywaspts">NZL!#REF!</definedName>
    <definedName name="Danaherdeclanpts">FRA!#REF!</definedName>
    <definedName name="Danaherdeclantries">FRA!#REF!</definedName>
    <definedName name="Dantyfra6npts">FRA!$F$20</definedName>
    <definedName name="Dantyfra6ntries">FRA!$B$20</definedName>
    <definedName name="DANTYFRAINTPTS">FRA!$G$20</definedName>
    <definedName name="DANTYFRAINTTRIES">FRA!$C$20</definedName>
    <definedName name="dareitaintpts">ITA!$G$11</definedName>
    <definedName name="dareitainttries">ITA!$C$11</definedName>
    <definedName name="dareitayratt">ITA!$K$5</definedName>
    <definedName name="Dargesco6npts">SCO!$F$10</definedName>
    <definedName name="Dargesco6ntries">SCO!$B$10</definedName>
    <definedName name="dargescointpts">SCO!$G$10</definedName>
    <definedName name="dargescointtries">SCO!$C$10</definedName>
    <definedName name="Darrynzlintpts">NZL!$F$10</definedName>
    <definedName name="Darrynzlintries">NZL!$B$10</definedName>
    <definedName name="daugunuausintpts">AUS!$G$7</definedName>
    <definedName name="daugunuausinttries">AUS!$C$7</definedName>
    <definedName name="Daugunuausrcpts">AUS!$F$7</definedName>
    <definedName name="Daugunuausrctries">AUS!$B$7</definedName>
    <definedName name="Davies_Bwaspts">NZL!#REF!</definedName>
    <definedName name="Davies_Bwsstries">NZL!#REF!</definedName>
    <definedName name="Davies_Cwaspts">NZL!#REF!</definedName>
    <definedName name="Davies_Cwastries">NZL!#REF!</definedName>
    <definedName name="Daviesalexpts">GEO!#REF!</definedName>
    <definedName name="Daviesalextries">GEO!#REF!</definedName>
    <definedName name="Daviescharliepts">NZL!#REF!</definedName>
    <definedName name="Daviescharlietries">NZL!#REF!</definedName>
    <definedName name="Davieselliottpts">GEO!#REF!</definedName>
    <definedName name="Davieselliotttries">GEO!#REF!</definedName>
    <definedName name="Daviesexepts">AUS!#REF!</definedName>
    <definedName name="Daviesexetries">AUS!#REF!</definedName>
    <definedName name="daviesgwalintpts">WAL!#REF!</definedName>
    <definedName name="daviesgwalinttries">WAL!#REF!</definedName>
    <definedName name="Daviesnewpts">IRE!#REF!</definedName>
    <definedName name="Daviesnewtries">IRE!#REF!</definedName>
    <definedName name="davieswelatt">GEO!#REF!</definedName>
    <definedName name="davieswelgoals">GEO!#REF!</definedName>
    <definedName name="Dawidiukglopts">CAN!#REF!</definedName>
    <definedName name="Dawidiukglotries">CAN!#REF!</definedName>
    <definedName name="Day_Cnorpts">ITA!#REF!</definedName>
    <definedName name="Day_Cnortries">ITA!#REF!</definedName>
    <definedName name="Dayalexpts">ITA!#REF!</definedName>
    <definedName name="Dayalextries">ITA!#REF!</definedName>
    <definedName name="Daychristianpts">ITA!#REF!</definedName>
    <definedName name="Daychristiantries">ITA!#REF!</definedName>
    <definedName name="Daydompts">ARG!#REF!</definedName>
    <definedName name="Daydomtries">ARG!#REF!</definedName>
    <definedName name="de_AllendeRSARCPTS">RSA!$G$6</definedName>
    <definedName name="de_AllendeRSARCTRIES">RSA!$C$6</definedName>
    <definedName name="De_Chavesleipts">FIJ!#REF!</definedName>
    <definedName name="De_Chavesleitries">FIJ!#REF!</definedName>
    <definedName name="de_Grootnzlintpts">NZL!$F$11</definedName>
    <definedName name="de_Grootnzlinttries">NZL!$B$11</definedName>
    <definedName name="de_Grootnzlrcpts">NZL!$G$11</definedName>
    <definedName name="de_Grootnzlrctries">NZL!$C$11</definedName>
    <definedName name="de_Jagersarpts">NAM!#REF!</definedName>
    <definedName name="de_Jagersartries">NAM!#REF!</definedName>
    <definedName name="de_Klerkrsatrcgls">RSA!$J$16</definedName>
    <definedName name="de_Klerkrsatrcpts">RSA!$G$7</definedName>
    <definedName name="de_Klerkrsatrctries">RSA!$C$7</definedName>
    <definedName name="de_Klerkrsayrgls">RSA!$J$4</definedName>
    <definedName name="de_Kockneilpts">NAM!#REF!</definedName>
    <definedName name="de_Kockneiltries">NAM!#REF!</definedName>
    <definedName name="De_La_Fuenteargrcpts">ARG!$F$17</definedName>
    <definedName name="de_La_Fuenteargrctries">ARG!$B$17</definedName>
    <definedName name="Deaconleipts">FIJ!#REF!</definedName>
    <definedName name="Deaconleitries">FIJ!#REF!</definedName>
    <definedName name="deewal6npts">WAL!$F$11</definedName>
    <definedName name="deewal6ntries">WAL!$B$11</definedName>
    <definedName name="deklerkrsaintpts">RSA!#REF!</definedName>
    <definedName name="deklerkrsatrcatt">RSA!$K$16</definedName>
    <definedName name="deklerkrsayratt">RSA!$K$4</definedName>
    <definedName name="delafuenteargintpts">ARG!$G$17</definedName>
    <definedName name="delafuentearginttries">ARG!$C$17</definedName>
    <definedName name="delguyargintpts">ARG!$G$18</definedName>
    <definedName name="delguyarginttries">ARG!$C$18</definedName>
    <definedName name="Delguyargrcpts">ARG!$F$18</definedName>
    <definedName name="Delguyargrctries">ARG!$B$18</definedName>
    <definedName name="Dempseysco6npts">SCO!$F$11</definedName>
    <definedName name="Dempseysco6ntries">SCO!$B$11</definedName>
    <definedName name="dempseyscointpts">SCO!$G$11</definedName>
    <definedName name="Dempseyscointtries">SCO!$C$11</definedName>
    <definedName name="Denmangarethpts">ITA!#REF!</definedName>
    <definedName name="Denmangarethtries">ITA!#REF!</definedName>
    <definedName name="Depoorterefra6npts">FRA!$F$21</definedName>
    <definedName name="Depoorterefra6ntries">FRA!$B$21</definedName>
    <definedName name="Depoorterefraintpts">FRA!$G$21</definedName>
    <definedName name="Depoorterefrainttries">FRA!$C$21</definedName>
    <definedName name="devotobatatt">ARG!#REF!</definedName>
    <definedName name="devotobatgoals">ARG!#REF!</definedName>
    <definedName name="Devotoolliepts">ARG!#REF!</definedName>
    <definedName name="Devotoollietries">ARG!#REF!</definedName>
    <definedName name="Di_Bartolomeoita6npts">ITA!$F$12</definedName>
    <definedName name="Di_Bartolomeoita6ntries">ITA!$B$12</definedName>
    <definedName name="Di_Bartolomeoitaintpts">ITA!$G$12</definedName>
    <definedName name="Di_Bartolomeoitainttries">ITA!$C$12</definedName>
    <definedName name="di_Marchisalpts">JPN!#REF!</definedName>
    <definedName name="di_Marchisaltries">JPN!#REF!</definedName>
    <definedName name="Dickinsonsampts">ITA!#REF!</definedName>
    <definedName name="Dickinsonsamtries">ITA!#REF!</definedName>
    <definedName name="Dicksonglennpts">ITA!#REF!</definedName>
    <definedName name="dicksonglentries">ITA!#REF!</definedName>
    <definedName name="dicksongnoratt">ITA!#REF!</definedName>
    <definedName name="dicksongnorgoals">ITA!#REF!</definedName>
    <definedName name="Dicksonkarlpts">ENG!#REF!</definedName>
    <definedName name="Dicksonleepts">ITA!#REF!</definedName>
    <definedName name="Dicksonleeptscorrect">ITA!#REF!</definedName>
    <definedName name="Dicksonleetries">ITA!#REF!</definedName>
    <definedName name="dicksonleetriescorrect">ITA!#REF!</definedName>
    <definedName name="dicksontries">ENG!#REF!</definedName>
    <definedName name="dimcheffitaintpts">ITA!$G$13</definedName>
    <definedName name="dimcheffitainttries">ITA!$C$13</definedName>
    <definedName name="dingwalleng6npts">ENG!$G$13</definedName>
    <definedName name="dingwalleng6ntries">ENG!$C$13</definedName>
    <definedName name="Dingwallengintpts">ENG!$F$13</definedName>
    <definedName name="Dingwallenginttries">ENG!$B$13</definedName>
    <definedName name="Dixonrsaintpts">RSA!$F$8</definedName>
    <definedName name="Dixonrsainttries">RSA!$B$8</definedName>
    <definedName name="Dobiesco6npts">SCO!$F$12</definedName>
    <definedName name="Dobiesco6ntries">SCO!$B$12</definedName>
    <definedName name="dobiescointpts">SCO!$G$12</definedName>
    <definedName name="dobiescointtries">SCO!$C$12</definedName>
    <definedName name="Dobsonmatthewpts">GEO!#REF!</definedName>
    <definedName name="Dobsonmatthewtries">GEO!#REF!</definedName>
    <definedName name="Dolannorpts">ITA!#REF!</definedName>
    <definedName name="Dolannortries">ITA!#REF!</definedName>
    <definedName name="dollmanatt">AUS!#REF!</definedName>
    <definedName name="Dollmanexepts">AUS!#REF!</definedName>
    <definedName name="Dollmanexetries">AUS!#REF!</definedName>
    <definedName name="Dollmangoals">AUS!#REF!</definedName>
    <definedName name="Dollmanpts">AUS!#REF!</definedName>
    <definedName name="dollmantries">AUS!#REF!</definedName>
    <definedName name="Dombrandteng6npts">ENG!#REF!</definedName>
    <definedName name="Dombrandteng6ntries">ENG!#REF!</definedName>
    <definedName name="donaldsonausintpts">AUS!$G$6</definedName>
    <definedName name="Donaldsonausinttries">AUS!$C$6</definedName>
    <definedName name="Donaldsonausrcatt">AUS!$K$16</definedName>
    <definedName name="Donaldsonausrcgls">AUS!$J$16</definedName>
    <definedName name="donaldsonaustrcpts">AUS!$F$6</definedName>
    <definedName name="donaldsonaustrctries">AUS!$B$6</definedName>
    <definedName name="donaldsonausyratt">AUS!$K$4</definedName>
    <definedName name="Donaldsonausyrgls">AUS!$J$4</definedName>
    <definedName name="Doran_Jonesharpts">ENG!#REF!</definedName>
    <definedName name="Doran_Joneshartries">ENG!#REF!</definedName>
    <definedName name="Dorisire6npts">IRE!$F$15</definedName>
    <definedName name="Dorisire6ntries">IRE!$B$15</definedName>
    <definedName name="dorisireintpts">IRE!$G$15</definedName>
    <definedName name="dorisireinttries">IRE!$C$15</definedName>
    <definedName name="Dorrianlipts">FRA!#REF!</definedName>
    <definedName name="Dorrianlitries">FRA!#REF!</definedName>
    <definedName name="dorrianmylesatt">FRA!#REF!</definedName>
    <definedName name="Dorrianmylesgoals">FRA!#REF!</definedName>
    <definedName name="Dorrianpts">FRA!#REF!</definedName>
    <definedName name="Dorriantries">FRA!#REF!</definedName>
    <definedName name="Downwelpts">GEO!#REF!</definedName>
    <definedName name="Downweltries">GEO!#REF!</definedName>
    <definedName name="Dowsonphilnorpts">ITA!#REF!</definedName>
    <definedName name="Dowsonphilptscorrect">ITA!#REF!</definedName>
    <definedName name="Dowsonphiltriescorrect">ITA!#REF!</definedName>
    <definedName name="Dowsonpts">ITA!#REF!</definedName>
    <definedName name="Dowsontries">ITA!#REF!</definedName>
    <definedName name="Drauniniupts">GEO!#REF!</definedName>
    <definedName name="Drauniniutries">GEO!#REF!</definedName>
    <definedName name="Dreanfra6npts">FRA!$F$22</definedName>
    <definedName name="Dreanfra6ntries">FRA!$B$22</definedName>
    <definedName name="Dreanfraintpts">FRA!$G$22</definedName>
    <definedName name="Dreanfrainttries">FRA!$C$22</definedName>
    <definedName name="du_Plessissarpts">NAM!#REF!</definedName>
    <definedName name="du_Plessissartries">NAM!#REF!</definedName>
    <definedName name="du_Toit_P_Srsaintpts">RSA!$F$9</definedName>
    <definedName name="du_Toit_P_Srsainttries">RSA!$B$9</definedName>
    <definedName name="du_Toit_P_Srsatrcpts">RSA!$G$9</definedName>
    <definedName name="du_Toit_P_Srsatrctreis">RSA!$C$9</definedName>
    <definedName name="du_Toit_Trsaintpts">RSA!$F$10</definedName>
    <definedName name="du_Toit_Trsainttries">RSA!$B$10</definedName>
    <definedName name="Dumortierfra6npts">FRA!$F$23</definedName>
    <definedName name="Dumortierfra6ntries">FRA!$B$23</definedName>
    <definedName name="dumortierfraintpts">FRA!$G$23</definedName>
    <definedName name="dumortierfrainttries">FRA!$C$23</definedName>
    <definedName name="Dunnbattries">ARG!#REF!</definedName>
    <definedName name="Dunntompts">ARG!#REF!</definedName>
    <definedName name="DupontFRA6NPTS">FRA!$F$24</definedName>
    <definedName name="DupontFRA6NTRIES">FRA!$B$24</definedName>
    <definedName name="dutoitrsaintpts">RSA!#REF!</definedName>
    <definedName name="dutoitrsainttries">RSA!#REF!</definedName>
    <definedName name="Dyerwal6npts">WAL!$F$13</definedName>
    <definedName name="Dyerwal6ntries">WAL!$B$13</definedName>
    <definedName name="dyerwalintpts">WAL!$G$13</definedName>
    <definedName name="dyerwalinttries">WAL!$C$13</definedName>
    <definedName name="Earlenathanpts">NAM!#REF!</definedName>
    <definedName name="Earlenathantries">NAM!#REF!</definedName>
    <definedName name="earleng6npts">ENG!$G$14</definedName>
    <definedName name="earleng6ntries">ENG!$C$14</definedName>
    <definedName name="Earlengintpts">ENG!$F$14</definedName>
    <definedName name="Earlenginttries">ENG!$B$14</definedName>
    <definedName name="earlsiireintpts">IRE!#REF!</definedName>
    <definedName name="earlsireinttries">IRE!#REF!</definedName>
    <definedName name="Eastermarkpts">JPN!#REF!</definedName>
    <definedName name="Eastermarktries">JPN!#REF!</definedName>
    <definedName name="Easternickpts">ENG!#REF!</definedName>
    <definedName name="Easternicktries">ENG!#REF!</definedName>
    <definedName name="Eastersalpts">JPN!#REF!</definedName>
    <definedName name="Eastersaltries">JPN!#REF!</definedName>
    <definedName name="Eastertries">ENG!#REF!</definedName>
    <definedName name="Eastmondkylepts">ARG!#REF!</definedName>
    <definedName name="Eastmondkyletries">ARG!#REF!</definedName>
    <definedName name="Edmedausintpts">AUS!$G$8</definedName>
    <definedName name="Edmedausinttries">AUS!$C$8</definedName>
    <definedName name="Edmedausrcatt">AUS!$K$17</definedName>
    <definedName name="Edmedausrcgls">AUS!$J$17</definedName>
    <definedName name="Edmedausrcpts">AUS!$F$8</definedName>
    <definedName name="Edmedausrctries">AUS!$B$8</definedName>
    <definedName name="Edmondshuiapts">CAN!#REF!</definedName>
    <definedName name="Edmondshuiatries">CAN!#REF!</definedName>
    <definedName name="Edwardswal6natt">WAL!$K$18</definedName>
    <definedName name="Edwardswal6ngls">WAL!$J$18</definedName>
    <definedName name="Edwardswal6npts">WAL!$F$14</definedName>
    <definedName name="Edwardswal6ntries">WAL!$B$14</definedName>
    <definedName name="Edwardswalintpts">WAL!$G$14</definedName>
    <definedName name="Edwardswalintries">WAL!$C$14</definedName>
    <definedName name="edwardswalyratt">WAL!$K$6</definedName>
    <definedName name="Edwardswalyrgls">WAL!$J$6</definedName>
    <definedName name="Elderchrispts">GEO!#REF!</definedName>
    <definedName name="Elderchristries">GEO!#REF!</definedName>
    <definedName name="Ellerysarpts">NAM!#REF!</definedName>
    <definedName name="Ellerysartries">NAM!#REF!</definedName>
    <definedName name="Elliottjamiepts">ITA!#REF!</definedName>
    <definedName name="Elliottjamieptscorrect">ITA!#REF!</definedName>
    <definedName name="elliottjamietries">ITA!#REF!</definedName>
    <definedName name="Elliottjamietriescorrect">ITA!#REF!</definedName>
    <definedName name="Ellisgerardpts">FRA!#REF!</definedName>
    <definedName name="Ellisgerardtries">FRA!#REF!</definedName>
    <definedName name="ennornzlintpts">NZL!#REF!</definedName>
    <definedName name="ennornzlinttries">NZL!#REF!</definedName>
    <definedName name="Esterhuizenrsaintpts">RSA!$F$11</definedName>
    <definedName name="Esterhuizenrsainttries">RSA!$B$11</definedName>
    <definedName name="esterhuizenrsatrcpts">RSA!$G$11</definedName>
    <definedName name="esterhuizenrsatrctries">RSA!$C$11</definedName>
    <definedName name="Etzebethrsaintpts">RSA!$F$12</definedName>
    <definedName name="Etzebethrsainttries">RSA!$B$12</definedName>
    <definedName name="Etzebethrsatrcpts">RSA!$G$12</definedName>
    <definedName name="Etzebethrsatrctries">RSA!$C$12</definedName>
    <definedName name="Evans_Cwalyratt">WAL!$K$7</definedName>
    <definedName name="Evans_Cwalyrgls">WAL!$J$7</definedName>
    <definedName name="Evans_Jwal6natt">WAL!$K$19</definedName>
    <definedName name="Evans_Jwal6ngls">WAL!$J$19</definedName>
    <definedName name="Evans_Jwal6npts">WAL!$F$17</definedName>
    <definedName name="Evans_Jwal6ntries">WAL!$B$17</definedName>
    <definedName name="Evans_Jwalintpts">WAL!$G$17</definedName>
    <definedName name="Evans_Jwalinttries">WAL!$C$17</definedName>
    <definedName name="Evansbrynpts">FRA!#REF!</definedName>
    <definedName name="Evansbryntries">FRA!#REF!</definedName>
    <definedName name="evanscaiwalintpts">WAL!$G$16</definedName>
    <definedName name="evanscaiwalinttries">WAL!$C$16</definedName>
    <definedName name="Evansgarethpts">CAN!#REF!</definedName>
    <definedName name="Evansgarethtries">CAN!#REF!</definedName>
    <definedName name="Evansharpts">ENG!#REF!</definedName>
    <definedName name="evansjwalyratt">WAL!$K$7</definedName>
    <definedName name="evansjwalyrgls">WAL!$J$7</definedName>
    <definedName name="evansnickatt">ENG!#REF!</definedName>
    <definedName name="evansnickgoals">ENG!#REF!</definedName>
    <definedName name="Evansnickpts">ENG!#REF!</definedName>
    <definedName name="Evansnicktries">ENG!#REF!</definedName>
    <definedName name="Everardmattpts">NZL!#REF!</definedName>
    <definedName name="Everardmatttries">NZL!#REF!</definedName>
    <definedName name="Everardwaspts">NZL!#REF!</definedName>
    <definedName name="Everardwastries">NZL!#REF!</definedName>
    <definedName name="Ewersexepts">AUS!#REF!</definedName>
    <definedName name="Ewersexetries">AUS!#REF!</definedName>
    <definedName name="Ewerspts">AUS!#REF!</definedName>
    <definedName name="Ewerstries">AUS!#REF!</definedName>
    <definedName name="Fa_asavalumauriepts">ENG!#REF!</definedName>
    <definedName name="Fa_asavalumaurietries">ENG!#REF!</definedName>
    <definedName name="Fa_osilivaalafotipts">ARG!#REF!</definedName>
    <definedName name="Fa_osilivaalafotitries">ARG!#REF!</definedName>
    <definedName name="faesslerausintpts">AUS!$G$10</definedName>
    <definedName name="faesslerausinttries">AUS!$C$10</definedName>
    <definedName name="Faesslerauspts">AUS!$F$10</definedName>
    <definedName name="Faessleraustries">AUS!$B$10</definedName>
    <definedName name="Fagerson_Msco6npts">SCO!$F$13</definedName>
    <definedName name="Fagerson_Msco6ntries">SCO!$B$13</definedName>
    <definedName name="fagersonmscointpts">SCO!$G$13</definedName>
    <definedName name="fagersonmscointtries">SCO!$C$13</definedName>
    <definedName name="FAGERSONZSCO6NPTS">SCO!$F$14</definedName>
    <definedName name="FAGERSONZSCO6NTRIES">SCO!$B$14</definedName>
    <definedName name="Fainga_aausrcpts">AUS!$F$9</definedName>
    <definedName name="Fainga_aausrctries">AUS!$B$9</definedName>
    <definedName name="Fainga_anukunzlintpts">NZL!$F$12</definedName>
    <definedName name="Fainga_anukunzlinttries">NZL!$B$12</definedName>
    <definedName name="Fainga_anukunzlrcpts">NZL!$G$12</definedName>
    <definedName name="Fainga_anukunzlrctries">NZL!$C$12</definedName>
    <definedName name="Fainga_anukuofapts">GEO!#REF!</definedName>
    <definedName name="Fainga_anukuofatries">GEO!#REF!</definedName>
    <definedName name="faingaaausintpts">AUS!$G$9</definedName>
    <definedName name="faingaaausinttries">AUS!$C$9</definedName>
    <definedName name="falateafraintpts">FRA!$G$25</definedName>
    <definedName name="falateafrainttries">FRA!$C$25</definedName>
    <definedName name="Faletauwal6npts">WAL!$F$18</definedName>
    <definedName name="Faletauwal6ntries">WAL!$B$18</definedName>
    <definedName name="faletauwalintpts">WAL!$G$18</definedName>
    <definedName name="faletauwalinttries">WAL!$C$18</definedName>
    <definedName name="farrellatt">NAM!$M$17</definedName>
    <definedName name="Farrelleng6natt">ENG!#REF!</definedName>
    <definedName name="Farrelleng6Ngatt">ENG!#REF!</definedName>
    <definedName name="Farrelleng6ngls">ENG!#REF!</definedName>
    <definedName name="Farrelleng6Ngoals">ENG!#REF!</definedName>
    <definedName name="Farrelleng6npts">ENG!#REF!</definedName>
    <definedName name="Farrelleng6ntries">ENG!#REF!</definedName>
    <definedName name="farrellengintpts">ENG!#REF!</definedName>
    <definedName name="farrellenginttries">ENG!#REF!</definedName>
    <definedName name="farrellengyratt">ENG!#REF!</definedName>
    <definedName name="Farrellengyrgls">ENG!#REF!</definedName>
    <definedName name="farrellgoals">NAM!$L$17</definedName>
    <definedName name="Farrellowentries">NAM!#REF!</definedName>
    <definedName name="Farrellpts">NAM!#REF!</definedName>
    <definedName name="Farrellsarpts">NAM!#REF!</definedName>
    <definedName name="Fassirsaintpts">RSA!$F$13</definedName>
    <definedName name="Fassirsainttries">RSA!$B$13</definedName>
    <definedName name="fassirsatrcpts">RSA!$G$13</definedName>
    <definedName name="fassirsatrctries">RSA!$C$13</definedName>
    <definedName name="Fearnsalpts">JPN!#REF!</definedName>
    <definedName name="Fearnsaltries">JPN!#REF!</definedName>
    <definedName name="Fearnscarlpts">ARG!#REF!</definedName>
    <definedName name="Fearnscarltries">ARG!#REF!</definedName>
    <definedName name="Feinberg_M_zulursaintpts">RSA!$F$14</definedName>
    <definedName name="Feinberg_M_zulursainttries">RSA!$B$14</definedName>
    <definedName name="Feinberg_M_zulursatrcatt">RSA!$K$17</definedName>
    <definedName name="Feinberg_M_zulursatrcgls">RSA!$J$17</definedName>
    <definedName name="Feinberg_M_zulursayratt">RSA!$K$5</definedName>
    <definedName name="Feinberg_M_zulursayrgls">RSA!$J$5</definedName>
    <definedName name="feinbergmngomezulursatrcpts">RSA!$G$14</definedName>
    <definedName name="feinbergmngomezulursatrctries">RSA!$C$14</definedName>
    <definedName name="Fenbylipts">FRA!#REF!</definedName>
    <definedName name="Fenbylitries">FRA!#REF!</definedName>
    <definedName name="Fenbypts">FRA!#REF!</definedName>
    <definedName name="Fenbytries">FRA!#REF!</definedName>
    <definedName name="Fercusarpts">NAM!#REF!</definedName>
    <definedName name="Fercusartries">NAM!#REF!</definedName>
    <definedName name="Festucciacarlopts">NZL!#REF!</definedName>
    <definedName name="Festucciacarlotries">NZL!#REF!</definedName>
    <definedName name="Feyi_Wabosoengintpts">ENG!$F$15</definedName>
    <definedName name="Feyi_Wabosoenginttries">ENG!$B$15</definedName>
    <definedName name="feyiwabosoeng6npts">ENG!$G$15</definedName>
    <definedName name="feyiwabosoeng6ntries">ENG!$C$15</definedName>
    <definedName name="Fickoufra6npts">FRA!$F$26</definedName>
    <definedName name="Fickoufra6ntries">FRA!$B$26</definedName>
    <definedName name="fickoufraintpts">FRA!$G$26</definedName>
    <definedName name="fickoufrainttries">FRA!$C$26</definedName>
    <definedName name="Figallosarpts">NAM!#REF!</definedName>
    <definedName name="Figallosartries">NAM!#REF!</definedName>
    <definedName name="Fihakiviliamipts">JPN!#REF!</definedName>
    <definedName name="Fihakiviliamitris">JPN!#REF!</definedName>
    <definedName name="finaunzlintpts">NZL!#REF!</definedName>
    <definedName name="Finaunzlintptscorrect">NZL!$F$13</definedName>
    <definedName name="finaunzlinttries">NZL!#REF!</definedName>
    <definedName name="Finaunzlinttriescorrect">NZL!$B$13</definedName>
    <definedName name="Fisherlipts">FRA!#REF!</definedName>
    <definedName name="Fisherlitries">FRA!#REF!</definedName>
    <definedName name="Fishernorpts">ITA!#REF!</definedName>
    <definedName name="Fishernortries">ITA!#REF!</definedName>
    <definedName name="Flamentfra6npts">FRA!$F$27</definedName>
    <definedName name="Flamentfra6ntries">FRA!$B$27</definedName>
    <definedName name="flamentfraintpts">FRA!$G$27</definedName>
    <definedName name="flamentfrainttries">FRA!$C$27</definedName>
    <definedName name="floodatt">FIJ!#REF!</definedName>
    <definedName name="floodgoals">FIJ!#REF!</definedName>
    <definedName name="Floodpts">FIJ!#REF!</definedName>
    <definedName name="Floodtobypts">FIJ!#REF!</definedName>
    <definedName name="Floodtobytries">FIJ!#REF!</definedName>
    <definedName name="Flynnsalpts">JPN!#REF!</definedName>
    <definedName name="Flynnsaltries">JPN!#REF!</definedName>
    <definedName name="Fodenpts">ITA!#REF!</definedName>
    <definedName name="fodentries">ITA!#REF!</definedName>
    <definedName name="foketiausintpts">AUS!$G$12</definedName>
    <definedName name="foketiausinttries">AUS!$C$12</definedName>
    <definedName name="foleyausintpts">AUS!$G$13</definedName>
    <definedName name="Foleyausrcpts">AUS!$F$13</definedName>
    <definedName name="Foleyausrctries">AUS!$B$13</definedName>
    <definedName name="foleyausyratt">AUS!$K$5</definedName>
    <definedName name="Foleyausyrgls">AUS!$J$5</definedName>
    <definedName name="Fonualwepts">GEO!#REF!</definedName>
    <definedName name="Fonualwetries">GEO!#REF!</definedName>
    <definedName name="fordeng6natt">ENG!$K$15</definedName>
    <definedName name="Fordeng6ngatt">ENG!$W$15</definedName>
    <definedName name="Fordeng6ngls">ENG!$J$15</definedName>
    <definedName name="Fordeng6ngoals">ENG!#REF!</definedName>
    <definedName name="fordeng6npts">ENG!$G$16</definedName>
    <definedName name="fordeng6ntries">ENG!$C$16</definedName>
    <definedName name="fordengintpts">ENG!#REF!</definedName>
    <definedName name="FordENGINTPTSCORRECT">ENG!$F$16</definedName>
    <definedName name="fordenginttries">ENG!#REF!</definedName>
    <definedName name="FordENGINTTRIESCORRECT">ENG!$B$16</definedName>
    <definedName name="fordengyratt">ENG!$K$6</definedName>
    <definedName name="Fordengyrgls">ENG!$J$6</definedName>
    <definedName name="Fordgeorgeatt">ARG!#REF!</definedName>
    <definedName name="Fordgeorgebatpts">ARG!#REF!</definedName>
    <definedName name="Fordgeorgegoals">ARG!#REF!</definedName>
    <definedName name="fordgeorgepts">ARG!#REF!</definedName>
    <definedName name="Fordgroegetries">ARG!#REF!</definedName>
    <definedName name="fordjoeatt">JPN!#REF!</definedName>
    <definedName name="fordjoegoals">JPN!#REF!</definedName>
    <definedName name="Fordjoepts">JPN!#REF!</definedName>
    <definedName name="Fordjoeptscorrect">JPN!#REF!</definedName>
    <definedName name="Fordsaltries">JPN!#REF!</definedName>
    <definedName name="Forsythandytries">JPN!#REF!</definedName>
    <definedName name="Forsythpts">JPN!#REF!</definedName>
    <definedName name="Forsythsalpts">JPN!#REF!</definedName>
    <definedName name="Forsythsaltries">JPN!#REF!</definedName>
    <definedName name="forsythtries">JPN!#REF!</definedName>
    <definedName name="Forsythtriescorrect">JPN!#REF!</definedName>
    <definedName name="Fotuali_Ikahnpts">ITA!#REF!</definedName>
    <definedName name="Fotuali_Ikahntries">ITA!#REF!</definedName>
    <definedName name="Fowlessalpts">JPN!#REF!</definedName>
    <definedName name="Fowlessaltries">JPN!#REF!</definedName>
    <definedName name="Fowlielipts">FRA!#REF!</definedName>
    <definedName name="Fowlietompts">FRA!#REF!</definedName>
    <definedName name="Fowlietomtries">FRA!#REF!</definedName>
    <definedName name="Francisexepts">AUS!#REF!</definedName>
    <definedName name="Francisexetries">AUS!#REF!</definedName>
    <definedName name="Franciswal6npts">WAL!$F$19</definedName>
    <definedName name="Franciswal6ntries">WAL!$B$19</definedName>
    <definedName name="franciswalpts">WAL!$H$19</definedName>
    <definedName name="franciswaltries">WAL!$D$19</definedName>
    <definedName name="Frasersarpts">NAM!#REF!</definedName>
    <definedName name="Frasersartries">NAM!#REF!</definedName>
    <definedName name="Fraserwillpts">NAM!#REF!</definedName>
    <definedName name="Fraserwilltries">NAM!#REF!</definedName>
    <definedName name="frawleyire6npts">IRE!$F$16</definedName>
    <definedName name="frawleyire6ntries">IRE!$B$16</definedName>
    <definedName name="frawleyireintpts">IRE!$G$16</definedName>
    <definedName name="frawleyireinttries">IRE!$C$16</definedName>
    <definedName name="Frawleyireyratt">IRE!$K$9</definedName>
    <definedName name="Frawleyireyrgls">IRE!$J$9</definedName>
    <definedName name="freemaneng6npts">ENG!$G$17</definedName>
    <definedName name="freemaneng6ntries">ENG!$C$17</definedName>
    <definedName name="Freemanengintpts">ENG!$F$17</definedName>
    <definedName name="Freemanenginttries">ENG!$B$17</definedName>
    <definedName name="frischfraintpts">FRA!$G$28</definedName>
    <definedName name="frischfrainttries">FRA!$C$28</definedName>
    <definedName name="frizellnzlintpts">NZL!#REF!</definedName>
    <definedName name="frizellnzlinttries">NZL!#REF!</definedName>
    <definedName name="FrizellNZLRCPTS">NZL!$G$14</definedName>
    <definedName name="FrizellNZLRCTRIES">NZL!$C$14</definedName>
    <definedName name="frostausintpts">AUS!$G$13</definedName>
    <definedName name="frostausinttries">AUS!$C$13</definedName>
    <definedName name="Frynewpts">IRE!#REF!</definedName>
    <definedName name="Frynewtries">IRE!#REF!</definedName>
    <definedName name="furbankeng6npts">ENG!$G$18</definedName>
    <definedName name="furbankeng6ntries">ENG!$C$18</definedName>
    <definedName name="Furbankengintpts">ENG!$F$18</definedName>
    <definedName name="Furbankenginttries">ENG!$B$18</definedName>
    <definedName name="Furlongire6npts">IRE!$F$17</definedName>
    <definedName name="Furlongire6ntries">IRE!$B$17</definedName>
    <definedName name="Furlongireintpts">IRE!$G$17</definedName>
    <definedName name="Furlongireinttries">IRE!$C$17</definedName>
    <definedName name="Furnonewpts">IRE!#REF!</definedName>
    <definedName name="Furnonewtries">IRE!#REF!</definedName>
    <definedName name="Furynewpts">IRE!#REF!</definedName>
    <definedName name="Furywarrenpts">IRE!#REF!</definedName>
    <definedName name="Furywarrentries">IRE!#REF!</definedName>
    <definedName name="Fuscoita6npts">ITA!#REF!</definedName>
    <definedName name="Fuscoita6nptscorrect">ITA!$F$17</definedName>
    <definedName name="Fuscoita6ntries">ITA!#REF!</definedName>
    <definedName name="Fuscoita6ntriescorrect">ITA!$B$17</definedName>
    <definedName name="fuscoitaintpts">ITA!#REF!</definedName>
    <definedName name="fuscoitaintptscorrect">ITA!$G$17</definedName>
    <definedName name="fuscoitainttries">ITA!#REF!</definedName>
    <definedName name="fuscoitainttriescorrect">ITA!$C$17</definedName>
    <definedName name="gabrillaguesfra6npts">FRA!$F$29</definedName>
    <definedName name="gabrillaguesfra6ntries">FRA!$B$29</definedName>
    <definedName name="Gailletonfra6npts">FRA!$F$30</definedName>
    <definedName name="Gailletonfra6ntries">FRA!$B$30</definedName>
    <definedName name="gailletonfraintpts">FRA!$G$30</definedName>
    <definedName name="gailletonfrainttries">FRA!$C$30</definedName>
    <definedName name="Galarzaglopts">CAN!#REF!</definedName>
    <definedName name="Galarzaglotries">CAN!#REF!</definedName>
    <definedName name="Galarzamarianopts">GEO!#REF!</definedName>
    <definedName name="Galarzamarianotries">GEO!#REF!</definedName>
    <definedName name="gallagheritayratt">ITA!$K$6</definedName>
    <definedName name="Gallagheritayrgls">ITA!$J$6</definedName>
    <definedName name="galloargintpts">ARG!$G$19</definedName>
    <definedName name="galloarginttries">ARG!$C$19</definedName>
    <definedName name="Galloargrcpts">ARG!$F$19</definedName>
    <definedName name="Galloargrctries">ARG!$B$19</definedName>
    <definedName name="Garbisi_Pita6ntries">ITA!$B$19</definedName>
    <definedName name="garbisiaita6npts">ITA!$F$18</definedName>
    <definedName name="garbisiaita6ntries">ITA!$B$18</definedName>
    <definedName name="garbisiaitaintpts">ITA!$G$18</definedName>
    <definedName name="garbisiaitainttries">ITA!$C$18</definedName>
    <definedName name="garbisiita6natt">ITA!$K$17</definedName>
    <definedName name="Garbisiita6ngls">ITA!$J$17</definedName>
    <definedName name="Garbisiita6npts">ITA!$F$19</definedName>
    <definedName name="garbisiitayearatt">ITA!$K$7</definedName>
    <definedName name="Garbisiitayeargls">ITA!$J$7</definedName>
    <definedName name="garbisipitaintpts">ITA!#REF!</definedName>
    <definedName name="garbisipitaintptscorrect">ITA!$G$19</definedName>
    <definedName name="garbisipitatries">ITA!$C$19</definedName>
    <definedName name="Garciaita6natt">ITA!#REF!</definedName>
    <definedName name="Garciaita6ngoals">ITA!#REF!</definedName>
    <definedName name="Garrattbthpts">ARG!#REF!</definedName>
    <definedName name="Garrattbthtries">ARG!#REF!</definedName>
    <definedName name="Garveymattpts">ARG!#REF!</definedName>
    <definedName name="Garveymatttries">ARG!#REF!</definedName>
    <definedName name="Gaskelljamespts">JPN!#REF!</definedName>
    <definedName name="Gaskelljamestries">JPN!#REF!</definedName>
    <definedName name="Gaskellwaspts">NZL!#REF!</definedName>
    <definedName name="Gaskellwastries">NZL!#REF!</definedName>
    <definedName name="gavinireintpts">IRE!$G$18</definedName>
    <definedName name="gavinireinttries">IRE!$C$18</definedName>
    <definedName name="Gengeeng6npts">ENG!$G$19</definedName>
    <definedName name="Gengeeng6ntries">ENG!$C$19</definedName>
    <definedName name="gengeengintpts">ENG!#REF!</definedName>
    <definedName name="Gengeengintptscorrect">ENG!$F$19</definedName>
    <definedName name="Gengeengintries">ENG!$B$19</definedName>
    <definedName name="gengeenginttries">ENG!#REF!</definedName>
    <definedName name="Georgeeng6npts">ENG!$G$20</definedName>
    <definedName name="Georgeeng6ntries">ENG!$C$20</definedName>
    <definedName name="Georgeengintcorrect">ENG!$B$20</definedName>
    <definedName name="georgeengintpts">ENG!#REF!</definedName>
    <definedName name="Georgeengintptscorrect">ENG!$F$20</definedName>
    <definedName name="georgeenginttries">ENG!#REF!</definedName>
    <definedName name="Georgejamieptscorrect">NAM!#REF!</definedName>
    <definedName name="Georgejamietriescorrect">NAM!#REF!</definedName>
    <definedName name="Georgepts">NAM!#REF!</definedName>
    <definedName name="Georgesarpts">NAM!#REF!</definedName>
    <definedName name="Georgesartries">NAM!#REF!</definedName>
    <definedName name="georgetries">NAM!#REF!</definedName>
    <definedName name="geraghtyatt">FRA!#REF!</definedName>
    <definedName name="geraghtygoals">FRA!#REF!</definedName>
    <definedName name="Geraghtylipts">FRA!#REF!</definedName>
    <definedName name="Geraghtylitries">FRA!#REF!</definedName>
    <definedName name="Geraghtypts">FRA!#REF!</definedName>
    <definedName name="Geraghtyptscorrect">FRA!#REF!</definedName>
    <definedName name="Geraghtytries">FRA!#REF!</definedName>
    <definedName name="Geraghtytriescorrect">FRA!#REF!</definedName>
    <definedName name="Gesi_Sita6npts">ITA!$F$20</definedName>
    <definedName name="Gesi_Sita6ntries">ITA!$B$20</definedName>
    <definedName name="gesiitaintpts">ITA!$G$20</definedName>
    <definedName name="gesiitainttries">ITA!$C$20</definedName>
    <definedName name="gfordpts">ARG!#REF!</definedName>
    <definedName name="Ghiraldinileipts">FIJ!#REF!</definedName>
    <definedName name="Ghiraldinileitries">FIJ!#REF!</definedName>
    <definedName name="Gibson_Parkire6npts">IRE!$F$19</definedName>
    <definedName name="Gibson_Parkire6ntries">IRE!$B$19</definedName>
    <definedName name="Gibsonjamiepts">FIJ!#REF!</definedName>
    <definedName name="Gibsonjamietries">FIJ!#REF!</definedName>
    <definedName name="Gilbertbatpts">ARG!#REF!</definedName>
    <definedName name="Gilbertbattries">ARG!#REF!</definedName>
    <definedName name="Gilbertmatpts">ARG!#REF!</definedName>
    <definedName name="Gilbertmattries">ARG!#REF!</definedName>
    <definedName name="gilchristscointpts">SCO!$G$15</definedName>
    <definedName name="gilchristscointtries">SCO!$C$15</definedName>
    <definedName name="Gildingjackpts">GEO!#REF!</definedName>
    <definedName name="Gildingjacktries">GEO!#REF!</definedName>
    <definedName name="Gillsarpts">NAM!#REF!</definedName>
    <definedName name="Gillsartries">NAM!#REF!</definedName>
    <definedName name="Gilsenanlipts">FRA!#REF!</definedName>
    <definedName name="Gilsenanlitries">FRA!#REF!</definedName>
    <definedName name="gloucesterpentriespts">CAN!#REF!</definedName>
    <definedName name="GloucesterPenTriestries">CAN!#REF!</definedName>
    <definedName name="godmanatt">IRE!#REF!</definedName>
    <definedName name="godmangoals">IRE!#REF!</definedName>
    <definedName name="Godmannewpts">IRE!#REF!</definedName>
    <definedName name="Godmanphiltries">IRE!#REF!</definedName>
    <definedName name="Godmanpts">IRE!#REF!</definedName>
    <definedName name="goneatries">FIJ!#REF!</definedName>
    <definedName name="Gonevaleipts">FIJ!#REF!</definedName>
    <definedName name="Gonevaleiptscorrect">FIJ!#REF!</definedName>
    <definedName name="Gonevaleitries">FIJ!#REF!</definedName>
    <definedName name="Gonevapts">FIJ!#REF!</definedName>
    <definedName name="Gonevaptscorrect">FIJ!#REF!</definedName>
    <definedName name="Gonevatriescorrect">FIJ!#REF!</definedName>
    <definedName name="Gonzalezargrcpts">ARG!$F$21</definedName>
    <definedName name="Gonzalezargrctries">ARG!$B$21</definedName>
    <definedName name="goodealexatt">NAM!#REF!</definedName>
    <definedName name="goodealexgoals">NAM!#REF!</definedName>
    <definedName name="Goodealexpts">NAM!#REF!</definedName>
    <definedName name="goodealextries">NAM!#REF!</definedName>
    <definedName name="goodeandyatt">NZL!#REF!</definedName>
    <definedName name="goodeandygoals">NZL!#REF!</definedName>
    <definedName name="Goodeandypts">NZL!#REF!</definedName>
    <definedName name="Goodepts">NZL!#REF!</definedName>
    <definedName name="Goodewaspts">NZL!#REF!</definedName>
    <definedName name="Goodewastries">NZL!#REF!</definedName>
    <definedName name="Goodhuecampts">GEO!#REF!</definedName>
    <definedName name="Goodhuecamtries">GEO!#REF!</definedName>
    <definedName name="Gordon_Causintpts">AUS!$G$15</definedName>
    <definedName name="Gordon_Causinttries">AUS!$C$15</definedName>
    <definedName name="Gordon_Caustrcgls">AUS!$J$18</definedName>
    <definedName name="Gordon_Caustrcpts">AUS!$F$15</definedName>
    <definedName name="Gordon_Caustrctries">AUS!$B$15</definedName>
    <definedName name="Gordon_Causyrgls">AUS!$J$6</definedName>
    <definedName name="Gordon_Jaustrcpts">AUS!$F$16</definedName>
    <definedName name="Gordon_Jaustrctries">AUS!$B$16</definedName>
    <definedName name="gordoncaustrcatt">AUS!$K$18</definedName>
    <definedName name="gordonjausintpts">AUS!$G$16</definedName>
    <definedName name="gordonjausinttries">AUS!$C$16</definedName>
    <definedName name="gordsoncausyratt">AUS!$K$6</definedName>
    <definedName name="gradywal6npts">WAL!$F$20</definedName>
    <definedName name="gradywal6ntries">WAL!$B$20</definedName>
    <definedName name="Grahamsco6npts">SCO!$F$16</definedName>
    <definedName name="Grahamsco6ntries">SCO!$B$16</definedName>
    <definedName name="grahamscointpts">SCO!$G$16</definedName>
    <definedName name="grahamscointtries">SCO!$C$16</definedName>
    <definedName name="grahamscopts">SCO!$H$16</definedName>
    <definedName name="grahamscotries">SCO!$D$16</definedName>
    <definedName name="graydannyatt">GEO!#REF!</definedName>
    <definedName name="graydannygoals">GEO!#REF!</definedName>
    <definedName name="Grayharpts">ENG!#REF!</definedName>
    <definedName name="Grayhartries">ENG!#REF!</definedName>
    <definedName name="Graypts">GEO!#REF!</definedName>
    <definedName name="Greennewpts">IRE!#REF!</definedName>
    <definedName name="Greennewtries">IRE!#REF!</definedName>
    <definedName name="Griffinlipts">FRA!#REF!</definedName>
    <definedName name="Griffinlitries">FRA!#REF!</definedName>
    <definedName name="Grimoldbyharpts">ENG!#REF!</definedName>
    <definedName name="Grimoldbyhartries">ENG!#REF!</definedName>
    <definedName name="Grondona_Sargintpts">ARG!$G$22</definedName>
    <definedName name="Grondona_Sarginttries">ARG!$C$22</definedName>
    <definedName name="Grondona_Sargrcpts">ARG!$F$22</definedName>
    <definedName name="Grondona_Sargrctries">ARG!$B$22</definedName>
    <definedName name="grosfraintpts">FRA!$G$31</definedName>
    <definedName name="grosfrainttries">FRA!$C$31</definedName>
    <definedName name="Grovepts">GEO!#REF!</definedName>
    <definedName name="Grovetries">GEO!#REF!</definedName>
    <definedName name="Guestlipts">FRA!#REF!</definedName>
    <definedName name="Guestlitries">FRA!#REF!</definedName>
    <definedName name="Guesttompts">ENG!#REF!</definedName>
    <definedName name="Guesttomtris">ENG!#REF!</definedName>
    <definedName name="Guillardfra6npts">FRA!$F$32</definedName>
    <definedName name="Guillardfra6ntries">FRA!$B$32</definedName>
    <definedName name="guillardfraintpts">FRA!$G$32</definedName>
    <definedName name="guillardfrainttries">FRA!$C$32</definedName>
    <definedName name="Haganjamiepts">FRA!#REF!</definedName>
    <definedName name="Haganjamietries">FRA!#REF!</definedName>
    <definedName name="Haimonaita6natt">ITA!#REF!</definedName>
    <definedName name="Haimonaita6ngoals">ITA!#REF!</definedName>
    <definedName name="Hala_ufiachrispts">FRA!#REF!</definedName>
    <definedName name="Hala_ufiachristries">FRA!#REF!</definedName>
    <definedName name="halafihiitaintpts">ITA!#REF!</definedName>
    <definedName name="halafihiitainttries">ITA!#REF!</definedName>
    <definedName name="Halavataulipts">FRA!#REF!</definedName>
    <definedName name="Halavataulitries">FRA!#REF!</definedName>
    <definedName name="Halavataupts">FRA!#REF!</definedName>
    <definedName name="Halavatautries">FRA!#REF!</definedName>
    <definedName name="Haleymikepts">JPN!#REF!</definedName>
    <definedName name="Haleymiketries">JPN!#REF!</definedName>
    <definedName name="Halfpenny6ngls">WAL!#REF!</definedName>
    <definedName name="halfpennywal6natt">WAL!#REF!</definedName>
    <definedName name="Halfpennywal6npts">WAL!#REF!</definedName>
    <definedName name="Halfpennywal6ntries">WAL!#REF!</definedName>
    <definedName name="HALFPENNYWALINTPTS">WAL!#REF!</definedName>
    <definedName name="HALFPENNYWALINTTRIES">WAL!#REF!</definedName>
    <definedName name="halfpennywalyratts">WAL!#REF!</definedName>
    <definedName name="Halfpennywalyrgls">WAL!#REF!</definedName>
    <definedName name="Hamiltonleipts">FIJ!#REF!</definedName>
    <definedName name="Hamiltonleitries">FIJ!#REF!</definedName>
    <definedName name="Hamiltonsarpts">NAM!#REF!</definedName>
    <definedName name="Hamiltonsartries">NAM!#REF!</definedName>
    <definedName name="Hammersleynewpts">IRE!#REF!</definedName>
    <definedName name="Hammersleynewtries">IRE!#REF!</definedName>
    <definedName name="Hammonddeanpts">GEO!#REF!</definedName>
    <definedName name="Hammonddeantries">GEO!#REF!</definedName>
    <definedName name="Hankinmattpts">NAM!#REF!</definedName>
    <definedName name="Hankinmatttries">NAM!#REF!</definedName>
    <definedName name="Hansenire6npts">IRE!$F$20</definedName>
    <definedName name="Hansenire6nries">IRE!$B$20</definedName>
    <definedName name="hansenireintpts">IRE!$G$20</definedName>
    <definedName name="hansenireinttries">IRE!$C$20</definedName>
    <definedName name="HardyWAL6NPTS">WAL!$F$22</definedName>
    <definedName name="Hardywal6nptscorrect">WAL!$F$21</definedName>
    <definedName name="HardyWAL6NTRIES">WAL!$B$22</definedName>
    <definedName name="Hardywal6ntriescorrect">WAL!$B$21</definedName>
    <definedName name="Hardywalintpts">WAL!$G$21</definedName>
    <definedName name="Hardywalinttries">WAL!$C$21</definedName>
    <definedName name="Hargreavessarpts">NAM!#REF!</definedName>
    <definedName name="Hargreavessartries">NAM!#REF!</definedName>
    <definedName name="Harrislipts">FRA!#REF!</definedName>
    <definedName name="Harrislitries">FRA!#REF!</definedName>
    <definedName name="Harrisnewpts">IRE!#REF!</definedName>
    <definedName name="Harrisnewtries">IRE!#REF!</definedName>
    <definedName name="Harrisonnorpts">ITA!#REF!</definedName>
    <definedName name="Harrisonnortries">ITA!#REF!</definedName>
    <definedName name="Harrisonsalpts">JPN!#REF!</definedName>
    <definedName name="Harrisonsaltris">JPN!#REF!</definedName>
    <definedName name="Harrisonsampts">FIJ!#REF!</definedName>
    <definedName name="Harrisonsamtries">FIJ!#REF!</definedName>
    <definedName name="harrisonscointpts">SCO!$G$19</definedName>
    <definedName name="harrisonscointtries">SCO!$C$19</definedName>
    <definedName name="HarrisSCO6NPTS">SCO!$F$18</definedName>
    <definedName name="HarrisSCO6NTRIES">SCO!$B$18</definedName>
    <definedName name="Hartleypts">ITA!#REF!</definedName>
    <definedName name="Hartleyptscorrect">ITA!#REF!</definedName>
    <definedName name="hartleytries">ITA!#REF!</definedName>
    <definedName name="Hartleytriescorrect">ITA!#REF!</definedName>
    <definedName name="Hartleytriesthisiscorrect">ITA!#REF!</definedName>
    <definedName name="Hartryscorers">ENG!$A$2:$D$45</definedName>
    <definedName name="Haskelljamespts">NZL!#REF!</definedName>
    <definedName name="Haskelljamestries">NZL!#REF!</definedName>
    <definedName name="hastingscointpts">SCO!#REF!</definedName>
    <definedName name="hastingsscointpts">SCO!$G$20</definedName>
    <definedName name="hastingsscointtries">SCO!$C$20</definedName>
    <definedName name="hastingsscoyratt">SCO!$K$5</definedName>
    <definedName name="Hastingsscoyrgls">SCO!$J$5</definedName>
    <definedName name="hastinsgscointtries">SCO!#REF!</definedName>
    <definedName name="hastoyfraintpts">FRA!$G$33</definedName>
    <definedName name="hastoyfrainttries">FRA!$C$33</definedName>
    <definedName name="hastoyfrayratt">FRA!$K$8</definedName>
    <definedName name="Hastoyfrayrgls">FRA!$J$8</definedName>
    <definedName name="Havilinzlrcpts">NZL!$G$15</definedName>
    <definedName name="Havilinzlrctries">NZL!$C$15</definedName>
    <definedName name="Hawkinsnewpts">IRE!#REF!</definedName>
    <definedName name="Hawkinsnewtries">IRE!#REF!</definedName>
    <definedName name="Hayterpts">NZL!#REF!</definedName>
    <definedName name="Haytertries">NZL!#REF!</definedName>
    <definedName name="Hayterwaspts">NZL!#REF!</definedName>
    <definedName name="Hayterwastries">NZL!#REF!</definedName>
    <definedName name="Haywoodmikepts">ITA!#REF!</definedName>
    <definedName name="Haywoodmiketries">ITA!#REF!</definedName>
    <definedName name="Healyire6npts">IRE!$F$21</definedName>
    <definedName name="Healyire6ntries">IRE!$B$21</definedName>
    <definedName name="healyireintpts">IRE!$G$21</definedName>
    <definedName name="healyireinttries">IRE!$C$21</definedName>
    <definedName name="healyscoyratt">SCO!$K$6</definedName>
    <definedName name="Healyscoyrgls">SCO!$J$6</definedName>
    <definedName name="heathcoteatt">ARG!#REF!</definedName>
    <definedName name="Heathcotegoals">ARG!#REF!</definedName>
    <definedName name="Heathcotepts">ARG!#REF!</definedName>
    <definedName name="Heathcoteptscorrect">ARG!#REF!</definedName>
    <definedName name="Helleurnewpts">IRE!#REF!</definedName>
    <definedName name="Helleurnewtris">IRE!#REF!</definedName>
    <definedName name="Helupts">NZL!#REF!</definedName>
    <definedName name="Helutries">NZL!#REF!</definedName>
    <definedName name="Hendrikse__Jadenrsarcatt">RSA!$K$18</definedName>
    <definedName name="Hendrikse__Jadenrsarcgls">RSA!$J$18</definedName>
    <definedName name="Hendrikse__Jadenrsayratt">RSA!$K$6</definedName>
    <definedName name="Hendrikse__Jadenrsayrgls">RSA!$J$6</definedName>
    <definedName name="Hendrikse__Jordanrsaintpts">RSA!$F$16</definedName>
    <definedName name="Hendrikse__Jordanrsainttries">RSA!$B$16</definedName>
    <definedName name="Hendrikse__Jordanrsayratt">RSA!$K$7</definedName>
    <definedName name="Hendrikse__Jordanrsayrgls">RSA!$J$7</definedName>
    <definedName name="hendriksejadenrsarcpts">RSA!$G$15</definedName>
    <definedName name="hendriksejadenrsarctries">RSA!$C$15</definedName>
    <definedName name="Hendriksersarcpts">RSA!$G$16</definedName>
    <definedName name="Hendriksersarctries">RSA!$C$16</definedName>
    <definedName name="Hennwelshpts">GEO!#REF!</definedName>
    <definedName name="Hennwelshtries">GEO!#REF!</definedName>
    <definedName name="Henshawire6npts">IRE!$F$23</definedName>
    <definedName name="Henshawire6ntries">IRE!$B$23</definedName>
    <definedName name="HENSHAWIREINTPTS">IRE!$G$23</definedName>
    <definedName name="HENSHAWIREINTTRIES">IRE!$C$23</definedName>
    <definedName name="hensongavinatt">ARG!#REF!</definedName>
    <definedName name="Hensongavingoals">ARG!#REF!</definedName>
    <definedName name="Hensongavinpts">ARG!#REF!</definedName>
    <definedName name="Hensongavintries">ARG!#REF!</definedName>
    <definedName name="Hepburnwaspts">NZL!#REF!</definedName>
    <definedName name="Hepburnwastries">NZL!#REF!</definedName>
    <definedName name="Hepetamaleipts">FIJ!#REF!</definedName>
    <definedName name="Hepetamaleitries">FIJ!#REF!</definedName>
    <definedName name="Herringire6npts">IRE!$F$24</definedName>
    <definedName name="Herringire6ntries">IRE!$B$24</definedName>
    <definedName name="HERRINGIREINTTRIES">IRE!$C$24</definedName>
    <definedName name="HERRINGREINTPTS">IRE!$G$24</definedName>
    <definedName name="heyeseng6npts">ENG!$G$21</definedName>
    <definedName name="heyeseng6ntries">ENG!$C$21</definedName>
    <definedName name="Hibbardglopts">CAN!#REF!</definedName>
    <definedName name="Hibbardglotries">CAN!#REF!</definedName>
    <definedName name="Hillsampts">AUS!#REF!</definedName>
    <definedName name="Hillsamtries">AUS!#REF!</definedName>
    <definedName name="Hinessalpts">JPN!#REF!</definedName>
    <definedName name="Hinessaltries">JPN!#REF!</definedName>
    <definedName name="hodgeausintpts">AUS!#REF!</definedName>
    <definedName name="Hodgeausrcpts">AUS!#REF!</definedName>
    <definedName name="hodgeaustrcatt">AUS!$K$19</definedName>
    <definedName name="Hodgeaustrcgls">AUS!$J$19</definedName>
    <definedName name="hodgeausyratt">AUS!$K$7</definedName>
    <definedName name="Hodgeausyrgls">AUS!$J$7</definedName>
    <definedName name="hodgsoncharlieatt">NAM!#REF!</definedName>
    <definedName name="Hodgsoncharliegoals">NAM!#REF!</definedName>
    <definedName name="Hodgsoncharliepts">NAM!#REF!</definedName>
    <definedName name="Hodgsoncharlietries">NAM!#REF!</definedName>
    <definedName name="hodgsonjoelatt">IRE!#REF!</definedName>
    <definedName name="Hodgsonjoelgoals">IRE!#REF!</definedName>
    <definedName name="Hodgsonjoelpts">IRE!#REF!</definedName>
    <definedName name="Hodgsonjoeltries">IRE!#REF!</definedName>
    <definedName name="hodgsonnoratt">ITA!#REF!</definedName>
    <definedName name="hodgsonnorgoals">ITA!#REF!</definedName>
    <definedName name="Hodgsonnorpts">ITA!#REF!</definedName>
    <definedName name="Hodgsonnortries">ITA!#REF!</definedName>
    <definedName name="hodgsonsargoals">ITA!#REF!</definedName>
    <definedName name="Hoggnewpts">IRE!#REF!</definedName>
    <definedName name="Hoggnewtries">IRE!#REF!</definedName>
    <definedName name="hoggsco6natt">SCO!#REF!</definedName>
    <definedName name="Hoggsco6ngls">SCO!#REF!</definedName>
    <definedName name="Hoggsco6npts">SCO!$F$21</definedName>
    <definedName name="Hoggsco6ntries">SCO!$B$21</definedName>
    <definedName name="hoggscoatt">SCO!#REF!</definedName>
    <definedName name="Hoggscogoals">SCO!#REF!</definedName>
    <definedName name="hoggscointpts">SCO!$G$21</definedName>
    <definedName name="hoggscointtries">SCO!$C$21</definedName>
    <definedName name="hoggscoyratt">SCO!#REF!</definedName>
    <definedName name="Hoggscoyrgls">SCO!#REF!</definedName>
    <definedName name="Holmesjonahpts">NZL!#REF!</definedName>
    <definedName name="Holmesjonahtries">NZL!#REF!</definedName>
    <definedName name="Holmeswaspts">NZL!#REF!</definedName>
    <definedName name="Holmeswastries">NZL!#REF!</definedName>
    <definedName name="Homer_Tombthgoals">ARG!#REF!</definedName>
    <definedName name="Homer_Tombthpts">ARG!#REF!</definedName>
    <definedName name="Homer_Tombthtries">ARG!#REF!</definedName>
    <definedName name="Homerbthpts">ARG!#REF!</definedName>
    <definedName name="Homerbthtries">ARG!#REF!</definedName>
    <definedName name="homerliatt">FRA!#REF!</definedName>
    <definedName name="homerligoals">FRA!#REF!</definedName>
    <definedName name="homertombthatt">ARG!#REF!</definedName>
    <definedName name="Homertompts">FRA!#REF!</definedName>
    <definedName name="Homertomtried">FRA!#REF!</definedName>
    <definedName name="Hookerrsaintpts">RSA!$F$17</definedName>
    <definedName name="Hookerrsainttries">RSA!$B$17</definedName>
    <definedName name="Hookerrsarcpts">RSA!$G$17</definedName>
    <definedName name="Hookerrsarctries">RSA!$C$17</definedName>
    <definedName name="hookgloatt">CAN!$N$14</definedName>
    <definedName name="hookglogoals">CAN!$M$14</definedName>
    <definedName name="Hookglopts">CAN!#REF!</definedName>
    <definedName name="Hookglotries">CAN!#REF!</definedName>
    <definedName name="hooleyatt">ITA!#REF!</definedName>
    <definedName name="Hooleygoals">ITA!#REF!</definedName>
    <definedName name="Hooleywillpts">ITA!#REF!</definedName>
    <definedName name="Hooleywilltries">ITA!#REF!</definedName>
    <definedName name="Hooperstuartpts">ARG!#REF!</definedName>
    <definedName name="Hooperstuarttries">ARG!#REF!</definedName>
    <definedName name="hoopertausintpts">AUS!$G$17</definedName>
    <definedName name="hoopertausinttries">AUS!$C$17</definedName>
    <definedName name="Hopperpts">ENG!#REF!</definedName>
    <definedName name="Hoppertries">ENG!#REF!</definedName>
    <definedName name="Hornesco6npts">SCO!$F$22</definedName>
    <definedName name="Hornesco6ntries">SCO!$B$22</definedName>
    <definedName name="hornescointpts">SCO!$G$22</definedName>
    <definedName name="hornescointtries">SCO!$C$22</definedName>
    <definedName name="Hornescoyratt">SCO!$K$7</definedName>
    <definedName name="Hornescoyrgls">SCO!$J$7</definedName>
    <definedName name="Hornrsaintpts">RSA!$F$18</definedName>
    <definedName name="Hornrsainttries">RSA!$B$18</definedName>
    <definedName name="Horstmannexepts">AUS!#REF!</definedName>
    <definedName name="Horstmannexetries">AUS!#REF!</definedName>
    <definedName name="Houstonleroypts">ARG!#REF!</definedName>
    <definedName name="Houstonleroytries">ARG!#REF!</definedName>
    <definedName name="Howetompts">NZL!#REF!</definedName>
    <definedName name="Howetomtries">NZL!#REF!</definedName>
    <definedName name="Hudsonjamespts">CAN!#REF!</definedName>
    <definedName name="hudsonjamestries">CAN!#REF!</definedName>
    <definedName name="Hughesexepts">AUS!#REF!</definedName>
    <definedName name="Hughesexetries">AUS!#REF!</definedName>
    <definedName name="Hughesnathanpts">NZL!#REF!</definedName>
    <definedName name="Hughesnathantries">NZL!#REF!</definedName>
    <definedName name="Hugheswaspts">NZL!#REF!</definedName>
    <definedName name="Hugheswastries">NZL!#REF!</definedName>
    <definedName name="humphreysatt">FRA!#REF!</definedName>
    <definedName name="humphreysgoals">FRA!#REF!</definedName>
    <definedName name="Humphreysiantries">FRA!#REF!</definedName>
    <definedName name="Humphreyspts">FRA!#REF!</definedName>
    <definedName name="hurdscointpts">SCO!$G$23</definedName>
    <definedName name="hurdscointtries">SCO!$C$23</definedName>
    <definedName name="hutchinsonscointpts">SCO!#REF!</definedName>
    <definedName name="hutchinsonscointptscorrect">SCO!$G$24</definedName>
    <definedName name="hutchinsonscointtries">SCO!#REF!</definedName>
    <definedName name="hutchinsonscointtriescorrect">SCO!$C$24</definedName>
    <definedName name="ikitauausintpts">AUS!$G$18</definedName>
    <definedName name="ikitauausinttries">AUS!$C$18</definedName>
    <definedName name="Ikitauausrcrpts">AUS!$F$18</definedName>
    <definedName name="Ikitauausrcrtries">AUS!$B$18</definedName>
    <definedName name="Imhoffargrcpts">ARG!#REF!</definedName>
    <definedName name="Imhoffargrctries">ARG!#REF!</definedName>
    <definedName name="Ingallcharliepts">JPN!#REF!</definedName>
    <definedName name="Ingallcharlietries">JPN!#REF!</definedName>
    <definedName name="Ioane_Rnzlpts">NZL!$G$16</definedName>
    <definedName name="Ioane_Rnzltries">NZL!$C$16</definedName>
    <definedName name="ioaneita6npts">ITA!$F$21</definedName>
    <definedName name="ioaneita6ntries">ITA!$B$21</definedName>
    <definedName name="ioaneitaintpts">ITA!$G$21</definedName>
    <definedName name="ioaneitainttries">ITA!$C$21</definedName>
    <definedName name="Ioanenzlintpts">NZL!$F$16</definedName>
    <definedName name="Ioanenzlinttries">NZL!$B$16</definedName>
    <definedName name="ioanernzlintpts">NZL!#REF!</definedName>
    <definedName name="ioanernzlinttries">NZL!#REF!</definedName>
    <definedName name="Ioanetjsalpts">JPN!#REF!</definedName>
    <definedName name="Ioanetjsaltries">JPN!#REF!</definedName>
    <definedName name="Isaacsglopts">CAN!#REF!</definedName>
    <definedName name="Isaacsglotries">CAN!#REF!</definedName>
    <definedName name="isaargintpts">ARG!$G$23</definedName>
    <definedName name="isaarginttries">ARG!$C$23</definedName>
    <definedName name="isgroargintpts">ARG!$G$24</definedName>
    <definedName name="isgroarginttries">ARG!$C$24</definedName>
    <definedName name="Isgroargtrcpts">ARG!$F$24</definedName>
    <definedName name="Isgroargtrctries">ARG!$B$24</definedName>
    <definedName name="itojeeng6npts">ENG!$G$22</definedName>
    <definedName name="itojeeng6ntries">ENG!$C$22</definedName>
    <definedName name="itojeengintpts">ENG!#REF!</definedName>
    <definedName name="itojeenginttries">ENG!#REF!</definedName>
    <definedName name="ItojeINTPTS">ENG!$F$22</definedName>
    <definedName name="ItojeINTTRIES">ENG!$B$22</definedName>
    <definedName name="Itojesarpts">NAM!#REF!</definedName>
    <definedName name="Itojesartries">NAM!#REF!</definedName>
    <definedName name="Jackson_Ewaspts">NZL!#REF!</definedName>
    <definedName name="Jackson_Ewastries">NZL!#REF!</definedName>
    <definedName name="Jackson_Rwaspts">NZL!#REF!</definedName>
    <definedName name="Jackson_Rwastries">NZL!#REF!</definedName>
    <definedName name="Jacksonedpts">NZL!#REF!</definedName>
    <definedName name="jacksonedtries">NZL!#REF!</definedName>
    <definedName name="jacksonrwasatt">NZL!#REF!</definedName>
    <definedName name="jacksonrwasgoals">NZL!#REF!</definedName>
    <definedName name="Jacobsbenpts">NZL!#REF!</definedName>
    <definedName name="Jacobsbentries">NZL!#REF!</definedName>
    <definedName name="Jacobswaspts">NZL!#REF!</definedName>
    <definedName name="Jacobswastries">NZL!#REF!</definedName>
    <definedName name="Jalibertfra6npts">FRA!$F$34</definedName>
    <definedName name="Jalibertfra6ntries">FRA!$B$34</definedName>
    <definedName name="JALIBERTFRAINTPTS">FRA!$G$34</definedName>
    <definedName name="Jalibertfrainttries">FRA!$C$34</definedName>
    <definedName name="jalibertfrayratt">FRA!$K$9</definedName>
    <definedName name="Jalibertfrayrgls">FRA!$J$9</definedName>
    <definedName name="Jamespaulpts">ARG!#REF!</definedName>
    <definedName name="Jamespaultries">ARG!#REF!</definedName>
    <definedName name="Jamespts">AUS!#REF!</definedName>
    <definedName name="Jamessalpts">JPN!#REF!</definedName>
    <definedName name="Jamessaltries">JPN!#REF!</definedName>
    <definedName name="jamestries">AUS!#REF!</definedName>
    <definedName name="jaminetfra6natt">FRA!#REF!</definedName>
    <definedName name="Jaminetfra6ngls">FRA!#REF!</definedName>
    <definedName name="Jaminetfra6npts">FRA!#REF!</definedName>
    <definedName name="jaminetfraintpts">FRA!#REF!</definedName>
    <definedName name="jaminetfrayearatt">FRA!#REF!</definedName>
    <definedName name="Jaminetfrayeargls">FRA!#REF!</definedName>
    <definedName name="Jantjies_Ersarcpts">RSA!#REF!</definedName>
    <definedName name="Jantjies_Ersayrgls">RSA!$J$7</definedName>
    <definedName name="jantjiesersaintpts">RSA!#REF!</definedName>
    <definedName name="jantjiesersayrAtt">RSA!$K$7</definedName>
    <definedName name="Jegoufra6npts">FRA!$F$35</definedName>
    <definedName name="Jegoufra6ntries">FRA!$B$35</definedName>
    <definedName name="jegoufraintpts">FRA!$F$35</definedName>
    <definedName name="jegoufraintptscorrect">FRA!$G$35</definedName>
    <definedName name="jegoufrainttries">FRA!$C$35</definedName>
    <definedName name="Jelonchfra6npts">FRA!$F$36</definedName>
    <definedName name="Jelonchfra6ntries">FRA!$B$36</definedName>
    <definedName name="jelonchfraintpts">FRA!$G$36</definedName>
    <definedName name="jelonchfrainttries">FRA!$C$36</definedName>
    <definedName name="Jenningsbthpts">ARG!#REF!</definedName>
    <definedName name="Jenningsbthtries">ARG!#REF!</definedName>
    <definedName name="Jenningssalpts">JPN!#REF!</definedName>
    <definedName name="Jenningssaltries">JPN!#REF!</definedName>
    <definedName name="Jessexepts">AUS!#REF!</definedName>
    <definedName name="Jessexetries">AUS!#REF!</definedName>
    <definedName name="Jesspts">AUS!#REF!</definedName>
    <definedName name="Jesstries">AUS!#REF!</definedName>
    <definedName name="Jewellsebpts">GEO!#REF!</definedName>
    <definedName name="Jewellsebtries">GEO!#REF!</definedName>
    <definedName name="Johnsonashleypts">NZL!#REF!</definedName>
    <definedName name="johnsonashleytries">NZL!#REF!</definedName>
    <definedName name="Johnsonexepts">AUS!#REF!</definedName>
    <definedName name="Johnsonexetries">AUS!#REF!</definedName>
    <definedName name="Johnsonsco6npts">SCO!#REF!</definedName>
    <definedName name="JohnsonSCO6NTRIES">SCO!#REF!</definedName>
    <definedName name="johnsonscointpts">SCO!#REF!</definedName>
    <definedName name="johnsonscointtries">SCO!#REF!</definedName>
    <definedName name="Johnsontompts">AUS!#REF!</definedName>
    <definedName name="Johnsontomtries">AUS!#REF!</definedName>
    <definedName name="Johnsonwaspts">NZL!#REF!</definedName>
    <definedName name="Johnsonwastries">NZL!#REF!</definedName>
    <definedName name="Johnstonjamespts">NAM!#REF!</definedName>
    <definedName name="Johnstonjamestries">NAM!#REF!</definedName>
    <definedName name="jonathanjosephtries">ARG!#REF!</definedName>
    <definedName name="Joneschrispts">GEO!#REF!</definedName>
    <definedName name="joneschristries">GEO!#REF!</definedName>
    <definedName name="Jonesmarcpts">JPN!#REF!</definedName>
    <definedName name="Jonesmarctries">JPN!#REF!</definedName>
    <definedName name="Jonessampts">NZL!#REF!</definedName>
    <definedName name="Jonessamtries">NZL!#REF!</definedName>
    <definedName name="JonesSCO6NPTS">SCO!$F$25</definedName>
    <definedName name="JonesSCO6NTRIES">SCO!$B$25</definedName>
    <definedName name="jonesscointpts">SCO!$G$25</definedName>
    <definedName name="jonesscointtries">SCO!$C$25</definedName>
    <definedName name="jordannzlintpts">NZL!#REF!</definedName>
    <definedName name="Jordannzlintptscorrect">NZL!$F$18</definedName>
    <definedName name="jordannzlinttries">NZL!#REF!</definedName>
    <definedName name="Jordannzlinttriescorrect">NZL!$B$18</definedName>
    <definedName name="Jordannzlrcpts">NZL!$G$18</definedName>
    <definedName name="Jordannzlrctries">NZL!$C$18</definedName>
    <definedName name="Jordansco6npts">SCO!$F$26</definedName>
    <definedName name="Jordansco6ntries">SCO!$B$26</definedName>
    <definedName name="jordanscointpts">SCO!$G$26</definedName>
    <definedName name="jordanscointtries">SCO!$C$26</definedName>
    <definedName name="Jordanscoyratt">SCO!$K$8</definedName>
    <definedName name="Jordanscoyrgls">SCO!$J$8</definedName>
    <definedName name="jorgensenausintpts">AUS!$G$19</definedName>
    <definedName name="jorgensenausinttries">AUS!$C$19</definedName>
    <definedName name="Jorgensenaustrcpts">AUS!$F$19</definedName>
    <definedName name="Jorgensenaustrctries">AUS!$B$19</definedName>
    <definedName name="Josephbatpts">ARG!#REF!</definedName>
    <definedName name="Josephbattries">ARG!#REF!</definedName>
    <definedName name="Josephjonathanptscorrect">ARG!#REF!</definedName>
    <definedName name="Josephjonathantriescorrect">ARG!#REF!</definedName>
    <definedName name="josephpts">ARG!#REF!</definedName>
    <definedName name="Josephpts2">ARG!#REF!</definedName>
    <definedName name="Jouberternstpts">NAM!#REF!</definedName>
    <definedName name="Jouberternsttries">NAM!#REF!</definedName>
    <definedName name="Jubbtompts">NAM!#REF!</definedName>
    <definedName name="Jubbtomtries">NAM!#REF!</definedName>
    <definedName name="kaileaausintpts">AUS!$G$20</definedName>
    <definedName name="kaileaausinttries">AUS!$C$20</definedName>
    <definedName name="Kalamafonipts">CAN!#REF!</definedName>
    <definedName name="Kalamafonitries">CAN!#REF!</definedName>
    <definedName name="Kearlwepts">GEO!#REF!</definedName>
    <definedName name="Kearlwetries">GEO!#REF!</definedName>
    <definedName name="Keenanire6npts">IRE!$F$25</definedName>
    <definedName name="Keenanire6ntries">IRE!$B$25</definedName>
    <definedName name="KEENANIREINTPTS">IRE!$G$25</definedName>
    <definedName name="KEENANIREINTTRIES">IRE!$C$25</definedName>
    <definedName name="kellawayausintpts">AUS!$G$21</definedName>
    <definedName name="kellawayausinttries">AUS!$C$21</definedName>
    <definedName name="Kellawayausrcpts">AUS!$F$21</definedName>
    <definedName name="Kellawayausrctries">AUS!$B$21</definedName>
    <definedName name="kellawayausyratt">AUS!$K$8</definedName>
    <definedName name="Kellawayausyrgls">AUS!$J$8</definedName>
    <definedName name="kelleherire6npts">IRE!$F$26</definedName>
    <definedName name="kelleherire6ntries">IRE!$B$26</definedName>
    <definedName name="kereviausintpts">AUS!$G$23</definedName>
    <definedName name="kereviausinttries">AUS!$C$23</definedName>
    <definedName name="Kereviaustrcpts">AUS!$F$23</definedName>
    <definedName name="Kereviaustrctries">AUS!$B$23</definedName>
    <definedName name="Kibirigezachpts">IRE!#REF!</definedName>
    <definedName name="Kibirigezachtries">IRE!#REF!</definedName>
    <definedName name="kilcoyneireintpts">IRE!$G$27</definedName>
    <definedName name="kilcoyneireinttries">IRE!$C$27</definedName>
    <definedName name="kinghornsco6natt">SCO!$K$17</definedName>
    <definedName name="Kinghornsco6ngls">SCO!$J$17</definedName>
    <definedName name="kinghornsco6npts">SCO!$F$27</definedName>
    <definedName name="Kinghornsco6ntries">SCO!$B$27</definedName>
    <definedName name="kinghornscointpts">SCO!$G$27</definedName>
    <definedName name="kinghornscointtries">SCO!$C$27</definedName>
    <definedName name="kinghornscoyratt">SCO!$K$9</definedName>
    <definedName name="Kinghornscoyrgls">SCO!$J$9</definedName>
    <definedName name="Kirifinzlintpts">NZL!$F$19</definedName>
    <definedName name="Kirifinzlinttries">NZL!$B$19</definedName>
    <definedName name="Kirwancarlpts">GEO!#REF!</definedName>
    <definedName name="Kirwancarltries">GEO!#REF!</definedName>
    <definedName name="Kitchenergrahamptscorrect">FIJ!#REF!</definedName>
    <definedName name="Kitchenergrahamtriescorrect">FIJ!#REF!</definedName>
    <definedName name="Kitchenerpts">FIJ!#REF!</definedName>
    <definedName name="kitchenertries">FIJ!#REF!</definedName>
    <definedName name="kitshoffrsaintpts">RSA!#REF!</definedName>
    <definedName name="kitshoffrsainttries">RSA!#REF!</definedName>
    <definedName name="Knightpts">CAN!#REF!</definedName>
    <definedName name="Knighttries">CAN!#REF!</definedName>
    <definedName name="Kochrsaintpts">RSA!$F$21</definedName>
    <definedName name="Kochrsainttries">RSA!$B$21</definedName>
    <definedName name="kolbersaintpts">RSA!#REF!</definedName>
    <definedName name="Kolbersaintptscorrect">RSA!$F$22</definedName>
    <definedName name="kolbersainttries">RSA!#REF!</definedName>
    <definedName name="Kolbersainttriescorrect">RSA!$B$22</definedName>
    <definedName name="kolbersatrcatt">RSA!$K$19</definedName>
    <definedName name="Kolbersatrcgls">RSA!$J$19</definedName>
    <definedName name="Kolbersatrcpts">RSA!$G$22</definedName>
    <definedName name="Kolbersatrctries">RSA!$C$22</definedName>
    <definedName name="kolbersayratt">RSA!$K$8</definedName>
    <definedName name="Kolbersayrgls">RSA!$J$8</definedName>
    <definedName name="kolisirsaintpts">RSA!#REF!</definedName>
    <definedName name="kolisirsainttries">RSA!#REF!</definedName>
    <definedName name="Kolisirsarcpts">RSA!$G$23</definedName>
    <definedName name="Kolisirsarctries">RSA!$C$23</definedName>
    <definedName name="Kolo_ofainewpts">IRE!#REF!</definedName>
    <definedName name="Kolo_ofainewtries">IRE!#REF!</definedName>
    <definedName name="koroibeteausintpts">AUS!$G$24</definedName>
    <definedName name="koroibeteausinttries">AUS!$C$24</definedName>
    <definedName name="Koroibeteausrcpts">AUS!$F$24</definedName>
    <definedName name="Koroibeteausrctries">AUS!$B$24</definedName>
    <definedName name="kremerarginttries">ARG!$C$25</definedName>
    <definedName name="kremerargontpts">ARG!$G$25</definedName>
    <definedName name="krielrsaintpts">RSA!#REF!</definedName>
    <definedName name="Krielrsaintptscorrect">RSA!$F$24</definedName>
    <definedName name="krielrsainttries">RSA!#REF!</definedName>
    <definedName name="Krielrsainttriescorrect">RSA!$B$24</definedName>
    <definedName name="Krielrsatrcpts">RSA!$G$24</definedName>
    <definedName name="Krielrsatrctrires">RSA!$C$24</definedName>
    <definedName name="Kruisgeorgepts">NAM!#REF!</definedName>
    <definedName name="Kruisgeorgetries">NAM!#REF!</definedName>
    <definedName name="Kuleminsalpts">JPN!#REF!</definedName>
    <definedName name="Kuleminsaltries">JPN!#REF!</definedName>
    <definedName name="Kvesicmattpts">CAN!#REF!</definedName>
    <definedName name="Kvesicmatttries">CAN!#REF!</definedName>
    <definedName name="Lahiffmaxbthpts">ARG!#REF!</definedName>
    <definedName name="lahiffmaxbthtries">ARG!#REF!</definedName>
    <definedName name="laidlawgloatt">CAN!#REF!</definedName>
    <definedName name="laidlawglogoals">CAN!#REF!</definedName>
    <definedName name="Laidlawglopts">CAN!#REF!</definedName>
    <definedName name="Laidlawglotries">CAN!#REF!</definedName>
    <definedName name="laidlawsco6natt">SCO!#REF!</definedName>
    <definedName name="Laidlawsco6ngoals">SCO!#REF!</definedName>
    <definedName name="Lakainzlintpts">NZL!$F$20</definedName>
    <definedName name="Lakainzlinttries">NZL!$B$20</definedName>
    <definedName name="Lakewal6npts">WAL!$F$23</definedName>
    <definedName name="Lakewal6ntries">WAL!$B$23</definedName>
    <definedName name="lakewalintpts">WAL!$G$23</definedName>
    <definedName name="LakeWALINTPTSSCORRECT">WAL!#REF!</definedName>
    <definedName name="lakewalinttries">WAL!$C$23</definedName>
    <definedName name="LakeWALINTTRIESCORRECT">WAL!#REF!</definedName>
    <definedName name="lamaroitaintpts">ITA!$G$22</definedName>
    <definedName name="lamaroitainttries">ITA!$C$22</definedName>
    <definedName name="lambatt">FIJ!#REF!</definedName>
    <definedName name="Lambertharpts">ENG!#REF!</definedName>
    <definedName name="Lamberthartries">ENG!#REF!</definedName>
    <definedName name="lambgoals">FIJ!#REF!</definedName>
    <definedName name="Lambpts">FIJ!#REF!</definedName>
    <definedName name="Lambptscorrect">FIJ!#REF!</definedName>
    <definedName name="Lambryantries">GEO!#REF!</definedName>
    <definedName name="lambryanworatt">GEO!#REF!</definedName>
    <definedName name="Lambryanworgoals">GEO!#REF!</definedName>
    <definedName name="Lambryanworpts">GEO!#REF!</definedName>
    <definedName name="Lanebatpts">ARG!#REF!</definedName>
    <definedName name="Lanebattris">ARG!#REF!</definedName>
    <definedName name="Lanerichardpts">ARG!#REF!</definedName>
    <definedName name="Lanerichardtries">ARG!#REF!</definedName>
    <definedName name="Lanerichardtriescorrect">ARG!#REF!</definedName>
    <definedName name="Langdonengintpts">ENG!$F$23</definedName>
    <definedName name="Langdonenginttries">ENG!$B$23</definedName>
    <definedName name="Launchburypts">NZL!#REF!</definedName>
    <definedName name="launchburytries">NZL!#REF!</definedName>
    <definedName name="Launchburywaspts">NZL!#REF!</definedName>
    <definedName name="Launchburywastries">NZL!#REF!</definedName>
    <definedName name="Lawesnorpts">ITA!#REF!</definedName>
    <definedName name="Lawesnortries">ITA!#REF!</definedName>
    <definedName name="Lawrenceeng6npts">ENG!$G$24</definedName>
    <definedName name="Lawrenceeng6ntries">ENG!$C$24</definedName>
    <definedName name="Lawrenceengintcorrect">ENG!$B$24</definedName>
    <definedName name="LAWRENCEENGINTPTS">ENG!#REF!</definedName>
    <definedName name="Lawrenceengintptscorrect">ENG!$F$24</definedName>
    <definedName name="LAWRENCEENGINTTRIES">ENG!#REF!</definedName>
    <definedName name="Lawrencewaspts">NZL!#REF!</definedName>
    <definedName name="Lawrencewastries">NZL!#REF!</definedName>
    <definedName name="Lawsonnewpts">IRE!#REF!</definedName>
    <definedName name="Lawsonnewtries">IRE!#REF!</definedName>
    <definedName name="Lawsonscottpts">IRE!#REF!</definedName>
    <definedName name="Lawsonscotttries">IRE!#REF!</definedName>
    <definedName name="Le_Garrecfra6natt">FRA!$K$23</definedName>
    <definedName name="Le_Garrecfra6ngls">FRA!$J$23</definedName>
    <definedName name="Le_Garrecfrayratt">FRA!$K$10</definedName>
    <definedName name="Le_Garrecfrayrgls">FRA!$J$10</definedName>
    <definedName name="lebelfraintpts">FRA!#REF!</definedName>
    <definedName name="lebelfrainttries">FRA!#REF!</definedName>
    <definedName name="Leesexepts">AUS!#REF!</definedName>
    <definedName name="Leesexetries">AUS!#REF!</definedName>
    <definedName name="legarrcefra6npts">FRA!$F$37</definedName>
    <definedName name="legarrecfra6ntries">FRA!$B$37</definedName>
    <definedName name="legarrecfraintpts">FRA!$G$37</definedName>
    <definedName name="legarrecfrainttries">FRA!$C$37</definedName>
    <definedName name="leicspentriespts">FIJ!#REF!</definedName>
    <definedName name="leicspentriestries">FIJ!#REF!</definedName>
    <definedName name="Leiuaalapatiwaspts">NZL!#REF!</definedName>
    <definedName name="Leiuawaspts">NZL!#REF!</definedName>
    <definedName name="Leiuawasptscorrect">NZL!#REF!</definedName>
    <definedName name="Leiuawastries">NZL!#REF!</definedName>
    <definedName name="Lemipts">GEO!#REF!</definedName>
    <definedName name="lemitries">GEO!#REF!</definedName>
    <definedName name="Leolipts">FRA!#REF!</definedName>
    <definedName name="Leolitries">FRA!#REF!</definedName>
    <definedName name="Leotajohnnypts">JPN!#REF!</definedName>
    <definedName name="Leotajohnnytries">JPN!#REF!</definedName>
    <definedName name="lerouxrsarcpts">RSA!$G$25</definedName>
    <definedName name="lerouxrsarctries">RSA!$C$25</definedName>
    <definedName name="Lewingtonalextries">FRA!#REF!</definedName>
    <definedName name="Lewingtonpts">FRA!#REF!</definedName>
    <definedName name="Lewingtontries">FRA!#REF!</definedName>
    <definedName name="Lewis_">GEO!#REF!</definedName>
    <definedName name="Lewis_Robertssalpts">JPN!#REF!</definedName>
    <definedName name="Lewis_Robertssaltries">JPN!#REF!</definedName>
    <definedName name="Lewisdavepts">AUS!#REF!</definedName>
    <definedName name="Lewisdavetries">AUS!#REF!</definedName>
    <definedName name="Lewisjamespts">GEO!#REF!</definedName>
    <definedName name="Lewisjamestries">GEO!#REF!</definedName>
    <definedName name="Lewisrobpts">GEO!#REF!</definedName>
    <definedName name="Lewisrobtries">GEO!#REF!</definedName>
    <definedName name="Libbok_Mrsayrgls">RSA!$J$9</definedName>
    <definedName name="libbokjrsayratt">RSA!$K$9</definedName>
    <definedName name="libbokrsaintpts">RSA!#REF!</definedName>
    <definedName name="Libbokrsaintptscorrect">RSA!$F$26</definedName>
    <definedName name="Libbokrsainttries">RSA!$B$26</definedName>
    <definedName name="libbokrsatrcatt">RSA!$K$20</definedName>
    <definedName name="Libbokrsatrcgls">RSA!$J$20</definedName>
    <definedName name="Libbokrsatrcpts">RSA!$G$26</definedName>
    <definedName name="Libbokrsatrctries">RSA!$C$26</definedName>
    <definedName name="Lienert_Brownnzlinttries">NZL!$B$21</definedName>
    <definedName name="lienertbrownnzlintpts">NZL!$F$21</definedName>
    <definedName name="lienertbrownnzltrcpts">NZL!$G$21</definedName>
    <definedName name="lienertbrownnzltrctries">NZL!$C$21</definedName>
    <definedName name="Lindsay_Hagueolliepts">ENG!#REF!</definedName>
    <definedName name="Lindsay_Hagueollietries">ENG!#REF!</definedName>
    <definedName name="Lindsaywaspts">NZL!#REF!</definedName>
    <definedName name="Lindsaywastries">NZL!#REF!</definedName>
    <definedName name="Listonjessepts">GEO!#REF!</definedName>
    <definedName name="Listonjessetries">GEO!#REF!</definedName>
    <definedName name="Litchfieldjimmiepts">GEO!#REF!</definedName>
    <definedName name="Litchfieldjimmietries">GEO!#REF!</definedName>
    <definedName name="llewellynwalintpts">WAL!$G$24</definedName>
    <definedName name="llewellynwalinttries">WAL!$C$24</definedName>
    <definedName name="Llewellynwalpts">WAL!$F$24</definedName>
    <definedName name="Llewellynwaltries">WAL!$B$24</definedName>
    <definedName name="Lloydwal6natt">WAL!$K$20</definedName>
    <definedName name="Lloydwal6ngls">WAL!$J$20</definedName>
    <definedName name="lloydwal6npts">WAL!$F$25</definedName>
    <definedName name="lloydwal6ntries">WAL!$B$25</definedName>
    <definedName name="Lloydwalyratt">WAL!$K$8</definedName>
    <definedName name="Lloydwalyrattcorrect">WAL!$K$20</definedName>
    <definedName name="Lloydwalyrgls">WAL!$J$8</definedName>
    <definedName name="Loamanuleipts">FIJ!#REF!</definedName>
    <definedName name="Loamanuleitries">FIJ!#REF!</definedName>
    <definedName name="Lokotuiglopts">CAN!#REF!</definedName>
    <definedName name="Lokotuiglotries">CAN!#REF!</definedName>
    <definedName name="lolesioausintpts">AUS!#REF!</definedName>
    <definedName name="lolesioausintptsscorrect">AUS!$G$26</definedName>
    <definedName name="lolesioausinttries">AUS!$C$26</definedName>
    <definedName name="Lolesioausrcpts">AUS!#REF!</definedName>
    <definedName name="lolesioaustrcatt">AUS!$K$20</definedName>
    <definedName name="Lolesioaustrcgls">AUS!$J$20</definedName>
    <definedName name="Lolesioaustrcpts">AUS!$F$26</definedName>
    <definedName name="Lolesioaustrctries">AUS!$B$26</definedName>
    <definedName name="lolesioausyratt">AUS!$K$9</definedName>
    <definedName name="Lolesioausyrgls">AUS!$J$9</definedName>
    <definedName name="londonirishpentriespts">FRA!#REF!</definedName>
    <definedName name="londonirishpentriestries">FRA!#REF!</definedName>
    <definedName name="Longbottomsarpts">NAM!#REF!</definedName>
    <definedName name="Longbottomsartries">NAM!#REF!</definedName>
    <definedName name="Louw_Ersaintpts">RSA!$F$27</definedName>
    <definedName name="Louw_Ersainttries">RSA!$B$27</definedName>
    <definedName name="Louw_Wrsaintpts">RSA!$F$28</definedName>
    <definedName name="Louw_Wrsainttries">RSA!$B$28</definedName>
    <definedName name="Louwfrancoispts">ARG!#REF!</definedName>
    <definedName name="Louwfrancoistris">ARG!#REF!</definedName>
    <definedName name="louwwrsaintpts">RSA!$G$28</definedName>
    <definedName name="Lovenzlintpts">NZL!$F$23</definedName>
    <definedName name="lovenzlinttries">NZL!$B$23</definedName>
    <definedName name="Loweharpts">ENG!#REF!</definedName>
    <definedName name="Lowehartries">ENG!#REF!</definedName>
    <definedName name="Loweire6npts">IRE!$F$29</definedName>
    <definedName name="Loweire6ntries">IRE!$B$29</definedName>
    <definedName name="loweireintpts">IRE!$G$29</definedName>
    <definedName name="loweireinttries">IRE!$C$29</definedName>
    <definedName name="Lowkierantries">FRA!#REF!</definedName>
    <definedName name="Lowlipts">FRA!#REF!</definedName>
    <definedName name="Lowmoraypts">AUS!#REF!</definedName>
    <definedName name="Lowmoraytries">AUS!#REF!</definedName>
    <definedName name="Lowpts">FRA!#REF!</definedName>
    <definedName name="Lowptscorrect">FRA!#REF!</definedName>
    <definedName name="Lowryire6npts">IRE!$F$31</definedName>
    <definedName name="Lowryire6ntries">IRE!$B$31</definedName>
    <definedName name="lowtries">FRA!#REF!</definedName>
    <definedName name="Lowtriescorrect">FRA!#REF!</definedName>
    <definedName name="Lozadawaspts">NZL!#REF!</definedName>
    <definedName name="Lozadawastries">NZL!#REF!</definedName>
    <definedName name="lozowskiwasatt">NZL!#REF!</definedName>
    <definedName name="lozowskiwasgoals">NZL!#REF!</definedName>
    <definedName name="Lozowskiwaspts">NZL!#REF!</definedName>
    <definedName name="Lozowskiwastries">NZL!#REF!</definedName>
    <definedName name="lucchesiitaintpts">ITA!$G$23</definedName>
    <definedName name="lucchesiitainttries">ITA!$C$23</definedName>
    <definedName name="lucufra6natt">FRA!$K$24</definedName>
    <definedName name="Lucufra6ngls">FRA!$J$24</definedName>
    <definedName name="lucufra6npts">FRA!$F$38</definedName>
    <definedName name="lucufra6ntries">FRA!$B$38</definedName>
    <definedName name="LUCUFRAINTPTS">FRA!$G$38</definedName>
    <definedName name="lucufrainttries">FRA!$C$38</definedName>
    <definedName name="lucufrayratt">FRA!$K$11</definedName>
    <definedName name="Lucufrayrgls">FRA!$J$11</definedName>
    <definedName name="Lundsalpts">JPN!#REF!</definedName>
    <definedName name="Lundsaltries">JPN!#REF!</definedName>
    <definedName name="Lutuiglopts">CAN!#REF!</definedName>
    <definedName name="Lutuiglotries">CAN!#REF!</definedName>
    <definedName name="lynaghausintpts">AUS!$G$27</definedName>
    <definedName name="lynaghausinttries">AUS!$C$27</definedName>
    <definedName name="Lynaghaustrcatt">AUS!$J$21</definedName>
    <definedName name="lynaghaustrcattcorrect">AUS!$K$21</definedName>
    <definedName name="Lynaghaustrcgls">AUS!$J$21</definedName>
    <definedName name="Lynaghaustrcpts">AUS!$F$27</definedName>
    <definedName name="Lynaghaustrctries">AUS!$B$27</definedName>
    <definedName name="Lynaghausyratt">AUS!$K$10</definedName>
    <definedName name="Lynaghausyrgls">AUS!$J$10</definedName>
    <definedName name="lynaghita6npts">ITA!$F$24</definedName>
    <definedName name="lynaghita6ntries">ITA!$B$24</definedName>
    <definedName name="lynaghitapts">ITA!$G$24</definedName>
    <definedName name="lynaghitatries">ITA!$C$24</definedName>
    <definedName name="Ma_afusalesipts">ITA!#REF!</definedName>
    <definedName name="Ma_afusalesitries">ITA!#REF!</definedName>
    <definedName name="macaloufraintpts">FRA!$G$39</definedName>
    <definedName name="macaloufrainttries">FRA!$C$39</definedName>
    <definedName name="MacKenziephilpts">JPN!#REF!</definedName>
    <definedName name="MacKenziephiltries">JPN!#REF!</definedName>
    <definedName name="MacLeodnewpts">IRE!#REF!</definedName>
    <definedName name="MacLeodnewtries">IRE!#REF!</definedName>
    <definedName name="macleodnickatt">JPN!#REF!</definedName>
    <definedName name="macleodnickgoals">JPN!#REF!</definedName>
    <definedName name="MacLeodnickpts">JPN!#REF!</definedName>
    <definedName name="MacLeodnickptscorrect">JPN!#REF!</definedName>
    <definedName name="MacLeodsalpts">JPN!#REF!</definedName>
    <definedName name="MacLeodsaltries">JPN!#REF!</definedName>
    <definedName name="Mafipts">FIJ!#REF!</definedName>
    <definedName name="Mafistevepts">FIJ!#REF!</definedName>
    <definedName name="Mafistevetriescorrect">FIJ!#REF!</definedName>
    <definedName name="mafitries">FIJ!#REF!</definedName>
    <definedName name="Malinseng6npts">ENG!$G$25</definedName>
    <definedName name="Malinseng6ntries">ENG!$C$25</definedName>
    <definedName name="malinsengintpts">ENG!#REF!</definedName>
    <definedName name="malinsenginttries">ENG!#REF!</definedName>
    <definedName name="malliaargintpts">ARG!$G$27</definedName>
    <definedName name="malliaarginttries">ARG!$C$27</definedName>
    <definedName name="Malliaargrcatt">ARG!$K$16</definedName>
    <definedName name="Malliaargrcgls">ARG!$J$16</definedName>
    <definedName name="Malliaargtrcpts">ARG!$F$27</definedName>
    <definedName name="Malliaargtrctries">ARG!$B$27</definedName>
    <definedName name="malliaargyratt">ARG!$K$7</definedName>
    <definedName name="Malliaargyrgls">ARG!$J$7</definedName>
    <definedName name="Mamukashvilisalpts">JPN!#REF!</definedName>
    <definedName name="Mamukashvilisaltries">JPN!#REF!</definedName>
    <definedName name="mannwal6npts">WAL!$F$26</definedName>
    <definedName name="mannwal6ntriws">WAL!$B$26</definedName>
    <definedName name="Manoanorpts">ITA!#REF!</definedName>
    <definedName name="Manoanortries">ITA!#REF!</definedName>
    <definedName name="Manoapts">ITA!#REF!</definedName>
    <definedName name="manoatries">ITA!#REF!</definedName>
    <definedName name="mapimpirsaintpts">RSA!#REF!</definedName>
    <definedName name="Mapimpirsaintptscorrect">RSA!$F$29</definedName>
    <definedName name="mapimpirsainttries">RSA!#REF!</definedName>
    <definedName name="Mapimpirsainttriescorrect">RSA!$B$29</definedName>
    <definedName name="Mapimpirsarcpts">RSA!$G$29</definedName>
    <definedName name="Mapimpirsarctries">RSA!$C$29</definedName>
    <definedName name="Marchandfra6npts">FRA!$F$40</definedName>
    <definedName name="Marchandfra6ntries">FRA!$B$40</definedName>
    <definedName name="marchandfraintpts">FRA!$G$40</definedName>
    <definedName name="marchandfrainttries">FRA!$C$40</definedName>
    <definedName name="marchantengintpts">ENG!#REF!</definedName>
    <definedName name="marchantenginttries">ENG!#REF!</definedName>
    <definedName name="Marfoharpts">ENG!#REF!</definedName>
    <definedName name="Marfohartries">ENG!#REF!</definedName>
    <definedName name="Marinita6npts">ITA!$F$25</definedName>
    <definedName name="Marinita6ntries">ITA!$B$25</definedName>
    <definedName name="marinitaintpts">ITA!#REF!</definedName>
    <definedName name="marinitaintptscorrect">ITA!$G$25</definedName>
    <definedName name="marinitainttries">ITA!#REF!</definedName>
    <definedName name="marinitainttriescorrect">ITA!$C$25</definedName>
    <definedName name="marinitaintyratt">ITA!$K$8</definedName>
    <definedName name="Marinitaintyrgls">ITA!$J$8</definedName>
    <definedName name="Marlerharpts">ENG!#REF!</definedName>
    <definedName name="Marlerpts">ENG!#REF!</definedName>
    <definedName name="marlertries">ENG!#REF!</definedName>
    <definedName name="marxrsaintpts">RSA!#REF!</definedName>
    <definedName name="Marxrsaintptscorrect">RSA!$F$30</definedName>
    <definedName name="marxrsainttries">RSA!#REF!</definedName>
    <definedName name="Marxrsainttriescorrect">RSA!$B$30</definedName>
    <definedName name="Marxrsarcpts">RSA!$G$30</definedName>
    <definedName name="Marxrsarctries">RSA!$C$30</definedName>
    <definedName name="Masiwaspts">NZL!#REF!</definedName>
    <definedName name="Masiwastries">NZL!#REF!</definedName>
    <definedName name="Matavesipts">GEO!#REF!</definedName>
    <definedName name="matavesitries">GEO!#REF!</definedName>
    <definedName name="materaargintpts">ARG!$G$28</definedName>
    <definedName name="materaarginttries">ARG!$C$28</definedName>
    <definedName name="materaargrcpts">ARG!$F$28</definedName>
    <definedName name="materaargrctries">ARG!$B$28</definedName>
    <definedName name="Materapablopts">FIJ!#REF!</definedName>
    <definedName name="Materapablotries">FIJ!#REF!</definedName>
    <definedName name="Matthewsharpts">ENG!#REF!</definedName>
    <definedName name="Matthewshartries">ENG!#REF!</definedName>
    <definedName name="mauvacafraintpts">FRA!$G$41</definedName>
    <definedName name="mauvacafrainttries">FRA!$C$41</definedName>
    <definedName name="MauvakaFRA6NPTS">FRA!$F$41</definedName>
    <definedName name="MauvakaFRA6NTRIES">FRA!$B$41</definedName>
    <definedName name="mayenginttries">ENG!#REF!</definedName>
    <definedName name="mayengontpts">ENG!#REF!</definedName>
    <definedName name="Mayglopts">CAN!#REF!</definedName>
    <definedName name="Mayhewlipts">FRA!#REF!</definedName>
    <definedName name="Mayhewlitries">FRA!#REF!</definedName>
    <definedName name="Mayhewrichardpts">IRE!#REF!</definedName>
    <definedName name="Mayhewrichardtries">IRE!#REF!</definedName>
    <definedName name="Maypts">CAN!#REF!</definedName>
    <definedName name="Maytompts">GEO!#REF!</definedName>
    <definedName name="Maytomtries">GEO!#REF!</definedName>
    <definedName name="Maytris">CAN!#REF!</definedName>
    <definedName name="mbonambirsaintpts">RSA!#REF!</definedName>
    <definedName name="Mbonambirsaintptscorrect">RSA!$F$31</definedName>
    <definedName name="mbonambirsainttries">RSA!#REF!</definedName>
    <definedName name="Mbonambirsainttriescorrect">RSA!$B$31</definedName>
    <definedName name="mbonambirsatrcpts">RSA!$G$31</definedName>
    <definedName name="mbonambirsatrctries">RSA!$C$31</definedName>
    <definedName name="McAlisternzlintpts">NZL!$F$24</definedName>
    <definedName name="McAlisternzlinttries">NZL!$B$24</definedName>
    <definedName name="McCaffreywelshpts">GEO!#REF!</definedName>
    <definedName name="McCaffreywelshtries">GEO!#REF!</definedName>
    <definedName name="McCarthy_Gire6npts">IRE!$F$30</definedName>
    <definedName name="McCarthy_Gire6ntries">IRE!$B$30</definedName>
    <definedName name="McCarthy_Pire6npts">IRE!$F$32</definedName>
    <definedName name="McCarthy_Pire6ntries">IRE!$B$32</definedName>
    <definedName name="McCarthy_Pireintpts">IRE!$G$32</definedName>
    <definedName name="McCarthy_Pireinttries">IRE!$C$32</definedName>
    <definedName name="mccarthygireintpts">IRE!$G$30</definedName>
    <definedName name="mccarthygireinttries">IRE!$C$30</definedName>
    <definedName name="mccarthyireintpts">IRE!$G$31</definedName>
    <definedName name="mccarthyireinttries">IRE!$C$31</definedName>
    <definedName name="mccloskeyireintpts">IRE!$G$33</definedName>
    <definedName name="mccloskeyireinttries">IRE!$C$33</definedName>
    <definedName name="McCollgloptsd">CAN!#REF!</definedName>
    <definedName name="McCollglotries">CAN!#REF!</definedName>
    <definedName name="mcdermottausintpts">AUS!$G$28</definedName>
    <definedName name="mcdermottausinttries">AUS!$C$28</definedName>
    <definedName name="McDermottaustrcpts">AUS!$F$28</definedName>
    <definedName name="McDermottaustrctries">AUS!$B$28</definedName>
    <definedName name="mcdowallscointpts">SCO!$G$29</definedName>
    <definedName name="mcdowallscointtries">SCO!$C$29</definedName>
    <definedName name="McGuiganexepts">AUS!#REF!</definedName>
    <definedName name="McGuiganexetries">AUS!#REF!</definedName>
    <definedName name="McGuiganpts">IRE!#REF!</definedName>
    <definedName name="McGuigantries">IRE!#REF!</definedName>
    <definedName name="McIntyresimonpts">NZL!#REF!</definedName>
    <definedName name="McIntyresimontries">NZL!#REF!</definedName>
    <definedName name="McIntyrewastries">NZL!#REF!</definedName>
    <definedName name="McKenzie_Dnzltrcgls">NZL!$J$14</definedName>
    <definedName name="McKenzie_Dnzlyrgls">NZL!$J$6</definedName>
    <definedName name="McKenziefraserpts">IRE!#REF!</definedName>
    <definedName name="McKenziefrasertries">IRE!#REF!</definedName>
    <definedName name="mckenzienzlintpts">NZL!#REF!</definedName>
    <definedName name="McKenzienzlintptscorrect">NZL!$F$25</definedName>
    <definedName name="mckenzienzlinttries">NZL!#REF!</definedName>
    <definedName name="McKenzienzlinttriescorrect">NZL!$B$25</definedName>
    <definedName name="mckenzienzltrcatt">NZL!$K$14</definedName>
    <definedName name="McKenzieNZLTRCPTS">NZL!$G$25</definedName>
    <definedName name="mckenzienzltrctries">NZL!$C$25</definedName>
    <definedName name="mckenzienzlyratt">NZL!$K$6</definedName>
    <definedName name="mcleansalatt">JPN!#REF!</definedName>
    <definedName name="mcleansalgoals">JPN!#REF!</definedName>
    <definedName name="McLeansalpts">JPN!#REF!</definedName>
    <definedName name="McLeansaltries">JPN!#REF!</definedName>
    <definedName name="McMillannorpts">ITA!#REF!</definedName>
    <definedName name="McMillannortries">ITA!#REF!</definedName>
    <definedName name="McNallyjoshpts">GEO!#REF!</definedName>
    <definedName name="McNallyjoshtries">GEO!#REF!</definedName>
    <definedName name="mcreightausintpts">AUS!$G$29</definedName>
    <definedName name="mcreightausinttries">AUS!$C$29</definedName>
    <definedName name="McReightausrcpts">AUS!$F$29</definedName>
    <definedName name="McReightausrctries">AUS!$B$29</definedName>
    <definedName name="Meafoufra6npts">FRA!$F$42</definedName>
    <definedName name="Meafoufra6ntries">FRA!$B$42</definedName>
    <definedName name="Meafoufraintpts">FRA!$G$42</definedName>
    <definedName name="Meafoufrainttries">FRA!$C$42</definedName>
    <definedName name="Meakesglopts">CAN!#REF!</definedName>
    <definedName name="Meakesglotries">CAN!#REF!</definedName>
    <definedName name="Melcksarpts">NAM!#REF!</definedName>
    <definedName name="Melcksartries">NAM!#REF!</definedName>
    <definedName name="meleatt">FIJ!#REF!</definedName>
    <definedName name="Meledavidpts">FIJ!#REF!</definedName>
    <definedName name="Meledavidptscorrect">FIJ!#REF!</definedName>
    <definedName name="Meledavidtries">FIJ!#REF!</definedName>
    <definedName name="Meledaviestries">FIJ!#REF!</definedName>
    <definedName name="melegoals">FIJ!#REF!</definedName>
    <definedName name="Meleleipts">FIJ!#REF!</definedName>
    <definedName name="Melepts">FIJ!#REF!</definedName>
    <definedName name="meletries">FIJ!#REF!</definedName>
    <definedName name="Meletriescorrect">FIJ!#REF!</definedName>
    <definedName name="Meletriesthisiscorrect">FIJ!#REF!</definedName>
    <definedName name="memoncelloitainttries">ITA!$C$26</definedName>
    <definedName name="mendyargintpts">ARG!$G$29</definedName>
    <definedName name="mendyarginttries">ARG!$C$29</definedName>
    <definedName name="Menoncelloita6npts">ITA!$F$26</definedName>
    <definedName name="Menoncelloita6ntries">ITA!$B$26</definedName>
    <definedName name="menoncelloitaintpts">ITA!$G$26</definedName>
    <definedName name="Mercerbatpts">ARG!#REF!</definedName>
    <definedName name="Mercerbattries">ARG!#REF!</definedName>
    <definedName name="Mercerguypts">ARG!#REF!</definedName>
    <definedName name="Mercerguyptscorrect">ARG!#REF!</definedName>
    <definedName name="Mercerpts">ARG!#REF!</definedName>
    <definedName name="Mercertries">ARG!#REF!</definedName>
    <definedName name="Mercertriescorrect">ARG!#REF!</definedName>
    <definedName name="Merceynorpts">ITA!#REF!</definedName>
    <definedName name="Merceynortries">ITA!#REF!</definedName>
    <definedName name="Merrickharpts">ENG!#REF!</definedName>
    <definedName name="Merrickhartries">ENG!#REF!</definedName>
    <definedName name="mieresatt">GEO!$K$16</definedName>
    <definedName name="mieresgoals">GEO!$J$16</definedName>
    <definedName name="Mierespts">GEO!#REF!</definedName>
    <definedName name="mierestries">GEO!#REF!</definedName>
    <definedName name="mikepts">ENG!#REF!</definedName>
    <definedName name="Millerrobpts">JPN!#REF!</definedName>
    <definedName name="Millerrobtries">JPN!#REF!</definedName>
    <definedName name="millersalatt">JPN!#REF!</definedName>
    <definedName name="millersalgoals">JPN!#REF!</definedName>
    <definedName name="millerwasatt">NZL!#REF!</definedName>
    <definedName name="millerwasgoals">NZL!#REF!</definedName>
    <definedName name="Millerwaspts">NZL!#REF!</definedName>
    <definedName name="Millerwastries">NZL!#REF!</definedName>
    <definedName name="Millsjonathanpts">JPN!#REF!</definedName>
    <definedName name="Millsjonathantries">JPN!#REF!</definedName>
    <definedName name="Milneire6npts">IRE!$F$34</definedName>
    <definedName name="Milneire6ntries">IRE!$B$34</definedName>
    <definedName name="Milneireintpts">IRE!$G$34</definedName>
    <definedName name="Milneireinttries">IRE!$C$34</definedName>
    <definedName name="mitchelleng6npts">ENG!$G$27</definedName>
    <definedName name="mitchelleng6ntries">ENG!$C$27</definedName>
    <definedName name="Mitchellengintpts">ENG!$F$27</definedName>
    <definedName name="Mitchellenginttries">ENG!$B$27</definedName>
    <definedName name="Mo_unganzlrctries">NZL!$C$26</definedName>
    <definedName name="Mo_unganzltrcgls">NZL!$J$15</definedName>
    <definedName name="Mo_ungaNZLYRGLS">NZL!$J$7</definedName>
    <definedName name="Moatesjacktries">NZL!#REF!</definedName>
    <definedName name="Moatespts">NZL!#REF!</definedName>
    <definedName name="Moatestries">NZL!#REF!</definedName>
    <definedName name="Moateswaspts">NZL!#REF!</definedName>
    <definedName name="Moateswastries">NZL!#REF!</definedName>
    <definedName name="Moefana6npts">FRA!$F$43</definedName>
    <definedName name="Moefanafra6ntries">FRA!$B$43</definedName>
    <definedName name="moefanafraintpts">FRA!$G$43</definedName>
    <definedName name="moefanafrainttries">FRA!$C$43</definedName>
    <definedName name="Molenaartimpts">ENG!#REF!</definedName>
    <definedName name="Molenaartimtries">ENG!#REF!</definedName>
    <definedName name="Molenaarwelpts">GEO!#REF!</definedName>
    <definedName name="Molenaarweltries">GEO!#REF!</definedName>
    <definedName name="Molinaargintpts">ARG!$G$30</definedName>
    <definedName name="Molinaarginttries">ARG!$C$30</definedName>
    <definedName name="Molinaargtrcpts">ARG!$F$30</definedName>
    <definedName name="Molinaargtrctries">ARG!$B$30</definedName>
    <definedName name="Monahanshanepts">CAN!#REF!</definedName>
    <definedName name="Monahanshanetries">CAN!#REF!</definedName>
    <definedName name="montoyaargintpts">ARG!$G$31</definedName>
    <definedName name="montoyaarginttries">ARG!$C$31</definedName>
    <definedName name="Montoyaargtrcpts">ARG!$F$31</definedName>
    <definedName name="Montoyaargtrctries">ARG!$B$31</definedName>
    <definedName name="Monyeugopts">ENG!#REF!</definedName>
    <definedName name="Monyeugotries">ENG!#REF!</definedName>
    <definedName name="moodiersaintpts">RSA!#REF!</definedName>
    <definedName name="Moodiersaintptscorrect">RSA!$F$32</definedName>
    <definedName name="moodiersainttries">RSA!#REF!</definedName>
    <definedName name="Moodiersainttriescorrect">RSA!$B$32</definedName>
    <definedName name="Moodiersarcpts">RSA!$G$32</definedName>
    <definedName name="Moodiersarctries">RSA!$C$32</definedName>
    <definedName name="Mordtnilspts">NAM!#REF!</definedName>
    <definedName name="mordtsaratt">NAM!#REF!</definedName>
    <definedName name="mordtsargoals">NAM!#REF!</definedName>
    <definedName name="Mordtsartries">NAM!#REF!</definedName>
    <definedName name="Morganbenpts">CAN!#REF!</definedName>
    <definedName name="Morganbentries">CAN!#REF!</definedName>
    <definedName name="morganjacwalintpts">WAL!$G$27</definedName>
    <definedName name="Morganwal6npts">WAL!$F$27</definedName>
    <definedName name="Morganwal6ntries">WAL!$B$27</definedName>
    <definedName name="morgnjacwalinttries">WAL!$C$27</definedName>
    <definedName name="Moriartyglopts">CAN!#REF!</definedName>
    <definedName name="Moriartyglotries">CAN!#REF!</definedName>
    <definedName name="moroargintpts">ARG!$G$32</definedName>
    <definedName name="moroarginttries">ARG!$C$32</definedName>
    <definedName name="Moroniargrcpts">ARG!$F$33</definedName>
    <definedName name="Moroniargrctries">ARG!$B$33</definedName>
    <definedName name="Morrislwepts">GEO!#REF!</definedName>
    <definedName name="Morrislwetries">GEO!#REF!</definedName>
    <definedName name="Morrisniallpts">FIJ!#REF!</definedName>
    <definedName name="Morrisnialltries">FIJ!#REF!</definedName>
    <definedName name="Morriswaspts">NZL!#REF!</definedName>
    <definedName name="Morriswastries">NZL!#REF!</definedName>
    <definedName name="mostertrsaintpts">RSA!#REF!</definedName>
    <definedName name="Mostertrsaintptscorrect">RSA!$F$33</definedName>
    <definedName name="mostertrsainttries">RSA!#REF!</definedName>
    <definedName name="Mostertrsainttriescorrecyt">RSA!$B$33</definedName>
    <definedName name="Mostertrsarcpts">RSA!$G$33</definedName>
    <definedName name="Mostertrsarctries">RSA!$C$33</definedName>
    <definedName name="mounganzlintpts">NZL!#REF!</definedName>
    <definedName name="MOUNGANZLRCPTS">NZL!$G$26</definedName>
    <definedName name="mounganzltrcatt">NZL!$K$15</definedName>
    <definedName name="MOUNGANZLYRATT">NZL!$K$7</definedName>
    <definedName name="moyanoargintpts">ARG!$G$34</definedName>
    <definedName name="moyanoarginttries">ARG!$C$34</definedName>
    <definedName name="Mulchronelipts">FRA!#REF!</definedName>
    <definedName name="Mulchronelitries">FRA!#REF!</definedName>
    <definedName name="Mulchronepts">FRA!#REF!</definedName>
    <definedName name="Mulchronetries">FRA!#REF!</definedName>
    <definedName name="Mulipolaleipts">FIJ!#REF!</definedName>
    <definedName name="Mulipolaleitries">FIJ!#REF!</definedName>
    <definedName name="Mulipolapts">FIJ!#REF!</definedName>
    <definedName name="Mulipolatries">FIJ!#REF!</definedName>
    <definedName name="Mullanpts">NZL!#REF!</definedName>
    <definedName name="Mullantries">NZL!#REF!</definedName>
    <definedName name="Mullanwaspts">NZL!#REF!</definedName>
    <definedName name="Mullanwastries">NZL!#REF!</definedName>
    <definedName name="Mummpts">AUS!#REF!</definedName>
    <definedName name="mummtries">AUS!#REF!</definedName>
    <definedName name="murleyeng6npts">ENG!$G$28</definedName>
    <definedName name="murleyeng6ntries">ENG!$C$28</definedName>
    <definedName name="MurleyENGINTPTS">ENG!$F$28</definedName>
    <definedName name="MurleyENGINTTRIES">ENG!$B$28</definedName>
    <definedName name="murphybenireintpts">IRE!$G$35</definedName>
    <definedName name="murphybenireinttries">IRE!$C$35</definedName>
    <definedName name="Murphydanpts">CAN!#REF!</definedName>
    <definedName name="Murphydantries">CAN!#REF!</definedName>
    <definedName name="Murrayire6npts">IRE!#REF!</definedName>
    <definedName name="Murrayire6ntries">IRE!#REF!</definedName>
    <definedName name="murrayireintpts">IRE!#REF!</definedName>
    <definedName name="murrayireinttries">IRE!#REF!</definedName>
    <definedName name="Myallpts">NZL!#REF!</definedName>
    <definedName name="Myalltries">NZL!#REF!</definedName>
    <definedName name="myleratt">ITA!#REF!</definedName>
    <definedName name="mylergoals">ITA!#REF!</definedName>
    <definedName name="Mylernorpts">ITA!#REF!</definedName>
    <definedName name="Mylerpts">ITA!#REF!</definedName>
    <definedName name="Mylerstephentries">ITA!#REF!</definedName>
    <definedName name="Naqelevukisirelipts">AUS!#REF!</definedName>
    <definedName name="Naqelevukisirelitries">AUS!#REF!</definedName>
    <definedName name="Narawanzltrcpts">NZL!$G$27</definedName>
    <definedName name="Narawanzltrctries">NZL!$C$27</definedName>
    <definedName name="Narrawaylipts">FRA!#REF!</definedName>
    <definedName name="Narrawaylitries">FRA!#REF!</definedName>
    <definedName name="nashire6npts">IRE!$F$36</definedName>
    <definedName name="nashire6ntries">IRE!$B$36</definedName>
    <definedName name="nasserausintpts">AUS!$G$30</definedName>
    <definedName name="Nasserausinttries">AUS!$C$30</definedName>
    <definedName name="Nasserausrcpts">AUS!$F$30</definedName>
    <definedName name="Nasserausrctries">AUS!$B$30</definedName>
    <definedName name="nawaqanitawaseausintpts">AUS!#REF!</definedName>
    <definedName name="nawaqanitawaseausinttries">AUS!#REF!</definedName>
    <definedName name="Nawaqanitawaseaustrcpts">AUS!#REF!</definedName>
    <definedName name="Nawaqanitawaseaustrctries">AUS!#REF!</definedName>
    <definedName name="Negri6nitstries">ITA!$B$28</definedName>
    <definedName name="Negriita6npts">ITA!$F$28</definedName>
    <definedName name="NEGRIITAINTPTS">ITA!$G$28</definedName>
    <definedName name="NEGRIITAINTTRIES">ITA!$C$28</definedName>
    <definedName name="Nelsonnewpts">IRE!#REF!</definedName>
    <definedName name="Nelsonnewtries">IRE!#REF!</definedName>
    <definedName name="nevilleausintpts">AUS!#REF!</definedName>
    <definedName name="nevilleausinttries">AUS!#REF!</definedName>
    <definedName name="newcastlepenaltytriespts">IRE!#REF!</definedName>
    <definedName name="newcastlepenaltytriestries">IRE!#REF!</definedName>
    <definedName name="Newellnzlintpts">NZL!$F$28</definedName>
    <definedName name="Newellnzlinttries">NZL!$B$28</definedName>
    <definedName name="Newellnzlrcpts">NZL!$G$28</definedName>
    <definedName name="Newellnzlrctries">NZL!$C$28</definedName>
    <definedName name="Nicoteraita6npts">ITA!$F$30</definedName>
    <definedName name="Nicoteraita6ntries">ITA!$B$30</definedName>
    <definedName name="nicoteraitaintpts">ITA!$G$30</definedName>
    <definedName name="nicoteraitainttries">ITA!$C$30</definedName>
    <definedName name="noakesliatt">FRA!#REF!</definedName>
    <definedName name="noakesligoals">FRA!#REF!</definedName>
    <definedName name="Noakeslipts">FRA!#REF!</definedName>
    <definedName name="Noakeslitries">FRA!#REF!</definedName>
    <definedName name="Noonemichaelpts">FIJ!#REF!</definedName>
    <definedName name="Noonemichaeltries">FIJ!#REF!</definedName>
    <definedName name="Northcote_Greenbthpts">ARG!#REF!</definedName>
    <definedName name="Northcote_Greenbthtries">ARG!#REF!</definedName>
    <definedName name="Northmoreengintpts">ENG!$F$29</definedName>
    <definedName name="Northmoreenginttries">ENG!$B$29</definedName>
    <definedName name="Northnorpts">ITA!#REF!</definedName>
    <definedName name="Northnortries">ITA!#REF!</definedName>
    <definedName name="Northpts">ITA!#REF!</definedName>
    <definedName name="Northtries">ITA!#REF!</definedName>
    <definedName name="Northwal6npts">WAL!#REF!</definedName>
    <definedName name="Northwal6ntries">WAL!#REF!</definedName>
    <definedName name="northwalintpts">WAL!#REF!</definedName>
    <definedName name="northwalinttries">WAL!#REF!</definedName>
    <definedName name="nortjeRSAintpts">RSA!$F$35</definedName>
    <definedName name="NortjeRSAinttries">RSA!$B$35</definedName>
    <definedName name="nortjeRSArcpts">RSA!$G$35</definedName>
    <definedName name="nortjeRSArctries">RSA!$C$35</definedName>
    <definedName name="Nowellexepts">AUS!#REF!</definedName>
    <definedName name="Nowellexetries">AUS!#REF!</definedName>
    <definedName name="ntamackfra6natt">FRA!$K$25</definedName>
    <definedName name="Ntamackfra6ngls">FRA!$J$25</definedName>
    <definedName name="Ntamackfra6npts">FRA!$F$44</definedName>
    <definedName name="Ntamackfra6ntries">FRA!$B$44</definedName>
    <definedName name="NTAMACKFRAINTPTS">FRA!$G$44</definedName>
    <definedName name="NTAMACKFRAINTTRIES">FRA!$C$44</definedName>
    <definedName name="ntamackfrayearatt">FRA!$K$12</definedName>
    <definedName name="Ntamackfrayeargls">FRA!$J$12</definedName>
    <definedName name="Nutleybenpts">ITA!#REF!</definedName>
    <definedName name="Nutleybentries">ITA!#REF!</definedName>
    <definedName name="O_ConnorAUSRCGLS">AUS!$J$10</definedName>
    <definedName name="O_ConnorAUSRCPTS">AUS!$F$30</definedName>
    <definedName name="O_Connoraustrcatt">AUS!$K$22</definedName>
    <definedName name="O_Connoraustrcgls">AUS!$J$22</definedName>
    <definedName name="O_Connoraustrcpts">AUS!$F$31</definedName>
    <definedName name="O_Connoraustrctries">AUS!$B$31</definedName>
    <definedName name="O_Connorjamespts">FRA!#REF!</definedName>
    <definedName name="O_Donnellrobpts">GEO!#REF!</definedName>
    <definedName name="O_Donnellrobptscorrect">GEO!#REF!</definedName>
    <definedName name="O_Donnellrobtries">GEO!#REF!</definedName>
    <definedName name="O_Learylipts">FRA!#REF!</definedName>
    <definedName name="O_Learylitries">FRA!#REF!</definedName>
    <definedName name="O_Mahonyire6npts">IRE!$F$37</definedName>
    <definedName name="O_Mahonyire6ntries">IRE!$B$37</definedName>
    <definedName name="obrienireintpts">IRE!$G$36</definedName>
    <definedName name="obrienireinttries">IRE!$C$36</definedName>
    <definedName name="obrientireintpts">IRE!$G$37</definedName>
    <definedName name="obrientireinttries">IRE!$C$37</definedName>
    <definedName name="oconnoratt">FRA!#REF!</definedName>
    <definedName name="OCONNORAUSRCATT">AUS!$K$10</definedName>
    <definedName name="oconnorgoals">FRA!#REF!</definedName>
    <definedName name="OConnorjamestries">FRA!#REF!</definedName>
    <definedName name="odogwuitaintpts">ITA!$G$31</definedName>
    <definedName name="odogwuitainttries">ITA!$C$31</definedName>
    <definedName name="Oghreengintpts">ENG!$F$30</definedName>
    <definedName name="Oghreenginttries">ENG!$B$30</definedName>
    <definedName name="Ojomoheng6npts">ENG!$G$31</definedName>
    <definedName name="Ojomoheng6ntries">ENG!$B$31</definedName>
    <definedName name="Ojomoheng6ntriescorrect">ENG!$C$31</definedName>
    <definedName name="Ojomohengintpts">ENG!$F$31</definedName>
    <definedName name="Ojomohenginttries">ENG!$B$31</definedName>
    <definedName name="Ojotopsypts">FRA!#REF!</definedName>
    <definedName name="Ojotopsytries">FRA!#REF!</definedName>
    <definedName name="OLE_LINK1" localSheetId="2">ARG!#REF!</definedName>
    <definedName name="Ollivonfra6npts">FRA!$F$45</definedName>
    <definedName name="Ollivonfra6Ntries">FRA!$B$45</definedName>
    <definedName name="ollivonfraintpts">FRA!$G$45</definedName>
    <definedName name="ollivonfrainttries">FRA!$C$45</definedName>
    <definedName name="olvernoratt">ITA!#REF!</definedName>
    <definedName name="olvernorgoals">ITA!#REF!</definedName>
    <definedName name="Olvernorpts">ITA!#REF!</definedName>
    <definedName name="Olvernortries">ITA!#REF!</definedName>
    <definedName name="Olvernortriescorrect">ITA!#REF!</definedName>
    <definedName name="Orlandibatpts">ARG!#REF!</definedName>
    <definedName name="Orlandibattries">ARG!#REF!</definedName>
    <definedName name="orlandoargintpts">ARG!$G$33</definedName>
    <definedName name="orlandoarginttries">ARG!$C$33</definedName>
    <definedName name="Osborneire6npts">IRE!$F$39</definedName>
    <definedName name="Osborneire6ntries">IRE!$B$39</definedName>
    <definedName name="osborneireintpts">IRE!$G$39</definedName>
    <definedName name="osborneireinttries">IRE!$C$39</definedName>
    <definedName name="Ostrikovandreipts">JPN!#REF!</definedName>
    <definedName name="Ostrikovandreitries">JPN!#REF!</definedName>
    <definedName name="OStrikovsalpts">JPN!#REF!</definedName>
    <definedName name="Ovensjoshpts">ARG!#REF!</definedName>
    <definedName name="Ovensjoshtries">ARG!#REF!</definedName>
    <definedName name="oviedoargintpts">ARG!$G$35</definedName>
    <definedName name="oviedoarginttries">ARG!$C$35</definedName>
    <definedName name="Oviedoargtrcpts">ARG!$F$35</definedName>
    <definedName name="Oviedoargtrctries">ARG!$B$35</definedName>
    <definedName name="OwensWAL6NPTS">WAL!$F$28</definedName>
    <definedName name="OwensWAL6NTRIES">WAL!$B$28</definedName>
    <definedName name="owenswalinttries">WAL!$C$28</definedName>
    <definedName name="owesnwalintpts">WAL!$G$28</definedName>
    <definedName name="Packmanhowardpts">ITA!#REF!</definedName>
    <definedName name="Packmanhowardtries">ITA!#REF!</definedName>
    <definedName name="PADOVANIITA6NATT">ITA!$K$18</definedName>
    <definedName name="PadovaniITA6NGLS">ITA!$J$18</definedName>
    <definedName name="PadovaniITA6NPTS">ITA!$F$32</definedName>
    <definedName name="PadovaniITA6NTRIES">ITA!$B$32</definedName>
    <definedName name="padovaniitaatt">ITA!#REF!</definedName>
    <definedName name="Padovaniitagoals">ITA!#REF!</definedName>
    <definedName name="padovaniitaintpts">ITA!$G$32</definedName>
    <definedName name="padovaniitainttries">ITA!$C$32</definedName>
    <definedName name="padovaniitayratt">ITA!$K$9</definedName>
    <definedName name="Padovaniitayrgls">ITA!$J$9</definedName>
    <definedName name="Paenga_Amosaausintpts">AUS!$G$32</definedName>
    <definedName name="Paenga_Amosaausinttries">AUS!$C$32</definedName>
    <definedName name="Paenga_Amosaausrcpts">AUS!$F$32</definedName>
    <definedName name="Paenga_Amosaausrctries">AUS!$B$32</definedName>
    <definedName name="Page_Reloita6ngls">ITA!$J$19</definedName>
    <definedName name="Page_Reloitayrgls">ITA!$J$10</definedName>
    <definedName name="pagereloita6natt">ITA!$K$19</definedName>
    <definedName name="pagereloitsyratt">ITA!$K$10</definedName>
    <definedName name="Paicedavidpts">FRA!#REF!</definedName>
    <definedName name="Paicedavidtries">FRA!#REF!</definedName>
    <definedName name="paisamiausintpts">AUS!$G$33</definedName>
    <definedName name="paisamiausinttries">AUS!$C$33</definedName>
    <definedName name="Paisamiaustrcpts">AUS!$F$33</definedName>
    <definedName name="Paisamiaustrctries">AUS!$B$33</definedName>
    <definedName name="Palma_Newportpts">ARG!#REF!</definedName>
    <definedName name="palmanewporttries">ARG!#REF!</definedName>
    <definedName name="Palmerglopts">CAN!#REF!</definedName>
    <definedName name="Palmerglotries">CAN!#REF!</definedName>
    <definedName name="Palmerpts">NZL!#REF!</definedName>
    <definedName name="palmertomtries">NZL!#REF!</definedName>
    <definedName name="paniita6npts">ITA!$F$33</definedName>
    <definedName name="paniita6ntries">ITA!$B$33</definedName>
    <definedName name="paniitaintpts">ITA!$G$33</definedName>
    <definedName name="paniitainttries">ITA!$C$33</definedName>
    <definedName name="papaliinzlintpts">NZL!#REF!</definedName>
    <definedName name="papaliinzlinttries">NZL!#REF!</definedName>
    <definedName name="Parlingleipts">FIJ!#REF!</definedName>
    <definedName name="Parlingleitries">FIJ!#REF!</definedName>
    <definedName name="Parrmattpts">FRA!#REF!</definedName>
    <definedName name="Parrmatttries">FRA!#REF!</definedName>
    <definedName name="parrywalintpts">WAL!$G$29</definedName>
    <definedName name="parrywalinttries">WAL!$C$29</definedName>
    <definedName name="Pasqualileipts">FIJ!#REF!</definedName>
    <definedName name="Pasqualileitries">FIJ!#REF!</definedName>
    <definedName name="Patersonmichaelpts">JPN!#REF!</definedName>
    <definedName name="Patersonmichaeltries">JPN!#REF!</definedName>
    <definedName name="patersonscointpts">SCO!$G$30</definedName>
    <definedName name="patersonscointtries">SCO!$C$30</definedName>
    <definedName name="Pearceleipts">FIJ!#REF!</definedName>
    <definedName name="Pearceleitries">FIJ!#REF!</definedName>
    <definedName name="Peeldwaynepts">JPN!#REF!</definedName>
    <definedName name="Peeldwaynetries">JPN!#REF!</definedName>
    <definedName name="Peeldwaynetriescorrect">JPN!#REF!</definedName>
    <definedName name="Penalty_Triesargrcpts">ARG!$F$36</definedName>
    <definedName name="Penalty_Triesargrctries">ARG!$B$36</definedName>
    <definedName name="Penalty_Triesausrcpts">AUS!$F$34</definedName>
    <definedName name="Penalty_Triesausrctries">AUS!$B$34</definedName>
    <definedName name="Penalty_Triesbath">ARG!#REF!</definedName>
    <definedName name="Penalty_Trieseng6npts">ENG!$G$32</definedName>
    <definedName name="Penalty_Trieseng6ntries">ENG!$C$32</definedName>
    <definedName name="Penalty_Triesengintpts">ENG!$F$32</definedName>
    <definedName name="Penalty_Triesenginttries">ENG!$B$32</definedName>
    <definedName name="Penalty_Triesexepts">AUS!#REF!</definedName>
    <definedName name="Penalty_Triesexetries">AUS!#REF!</definedName>
    <definedName name="Penalty_Triesfra6npts">FRA!$F$46</definedName>
    <definedName name="Penalty_Triesfra6ntries">FRA!$B$46</definedName>
    <definedName name="Penalty_Triesglopts">CAN!#REF!</definedName>
    <definedName name="Penalty_Triesglotries">CAN!#REF!</definedName>
    <definedName name="Penalty_Triesharpts">ENG!#REF!</definedName>
    <definedName name="Penalty_Trieshartries">ENG!#REF!</definedName>
    <definedName name="Penalty_Triesire6npts">IRE!$F$40</definedName>
    <definedName name="Penalty_Triesire6ntries">IRE!$B$40</definedName>
    <definedName name="Penalty_Triesita6npts">ITA!$F$34</definedName>
    <definedName name="Penalty_Triesita6ntries">ITA!$B$34</definedName>
    <definedName name="Penalty_Trieslwelshpts">GEO!#REF!</definedName>
    <definedName name="Penalty_Trieslwelshtries">GEO!#REF!</definedName>
    <definedName name="Penalty_Triesnewpts">IRE!#REF!</definedName>
    <definedName name="Penalty_Triesnewtries">IRE!#REF!</definedName>
    <definedName name="Penalty_Triesnzlrcpts">NZL!$G$30</definedName>
    <definedName name="Penalty_Triesnzlrctries">NZL!$C$30</definedName>
    <definedName name="Penalty_Triesrsaintpts">RSA!$F$37</definedName>
    <definedName name="Penalty_Triesrsainttries">RSA!$B$37</definedName>
    <definedName name="Penalty_Triesrsarcpts">RSA!$G$37</definedName>
    <definedName name="Penalty_Triesrsarctries">RSA!$C$37</definedName>
    <definedName name="Penalty_Triesrsatrcpts">RSA!$G$37</definedName>
    <definedName name="Penalty_Triesrsatrctries">RSA!$C$37</definedName>
    <definedName name="Penalty_Triessaintspts">ITA!#REF!</definedName>
    <definedName name="Penalty_Triessaintstries">ITA!#REF!</definedName>
    <definedName name="Penalty_Triessarpts">NAM!#REF!</definedName>
    <definedName name="Penalty_Triessartries">NAM!#REF!</definedName>
    <definedName name="Penalty_Triessco6npts">SCO!$F$31</definedName>
    <definedName name="Penalty_Triessco6ntries">SCO!$B$31</definedName>
    <definedName name="Penalty_trieswal6npts">WAL!$F$30</definedName>
    <definedName name="Penalty_Trieswal6ntries">WAL!$B$30</definedName>
    <definedName name="Penalty_Trieswaspts">NZL!#REF!</definedName>
    <definedName name="Penalty_Trieswastries">NZL!#REF!</definedName>
    <definedName name="penaltytriesargintpts">ARG!$G$36</definedName>
    <definedName name="penaltytriesarginttries">ARG!$C$36</definedName>
    <definedName name="penaltytriesengintpts">ENG!#REF!</definedName>
    <definedName name="penaltytriesenginttries">ENG!#REF!</definedName>
    <definedName name="penaltytriesireintpts">IRE!$G$40</definedName>
    <definedName name="penaltytriesireinttries">IRE!$C$40</definedName>
    <definedName name="penaltytriesitaintpts">ITA!$G$34</definedName>
    <definedName name="penaltytriesitainttries">ITA!$C$34</definedName>
    <definedName name="penaltytriesscointpts">SCO!$G$31</definedName>
    <definedName name="penaltytriesscointtries">SCO!$C$31</definedName>
    <definedName name="PENALTYTRIESWALINTPTS">WAL!$G$30</definedName>
    <definedName name="PENALTYTRIESWALINTTRIES">WAL!$C$30</definedName>
    <definedName name="Penaudfra6npts">FRA!$F$47</definedName>
    <definedName name="Penaudfra6ntries">FRA!$B$47</definedName>
    <definedName name="penaudfraintpts">FRA!$G$47</definedName>
    <definedName name="penaudfrainttries">FRA!$C$47</definedName>
    <definedName name="pennellchrisatt">GEO!#REF!</definedName>
    <definedName name="Pennellchrisgoals">GEO!#REF!</definedName>
    <definedName name="Pennellchrispts">GEO!#REF!</definedName>
    <definedName name="Pennellchristries">GEO!#REF!</definedName>
    <definedName name="Pennynewpts">IRE!#REF!</definedName>
    <definedName name="Pennynewtries">IRE!#REF!</definedName>
    <definedName name="pentriesrsaintpts">RSA!#REF!</definedName>
    <definedName name="pentriesrsainttries">RSA!#REF!</definedName>
    <definedName name="Pereniseanthonypts">ARG!#REF!</definedName>
    <definedName name="perenisepts">ARG!#REF!</definedName>
    <definedName name="Pereniseptscorrect">ARG!#REF!</definedName>
    <definedName name="perenisetries">ARG!#REF!</definedName>
    <definedName name="Perenisetriescorrect">ARG!#REF!</definedName>
    <definedName name="petaiaausintpts">AUS!$G$36</definedName>
    <definedName name="petaiaausinttries">AUS!$C$36</definedName>
    <definedName name="Petaiaausrcpts">AUS!$F$36</definedName>
    <definedName name="Petaiaausrctries">AUS!$B$36</definedName>
    <definedName name="Phibbslipts">FRA!#REF!</definedName>
    <definedName name="Phibbslitries">FRA!#REF!</definedName>
    <definedName name="Phillipsjamespts">AUS!#REF!</definedName>
    <definedName name="Phillipsjamestries">AUS!#REF!</definedName>
    <definedName name="piccardoargintpts">ARG!$G$38</definedName>
    <definedName name="piccardoarginttries">ARG!$C$38</definedName>
    <definedName name="Piccardoargrcpts">ARG!$F$38</definedName>
    <definedName name="Piccardoargrctries">ARG!$B$38</definedName>
    <definedName name="Pienaarbenpts">GEO!#REF!</definedName>
    <definedName name="Pienaarbentries">GEO!#REF!</definedName>
    <definedName name="pietschausintpts">AUS!$G$37</definedName>
    <definedName name="pietschausinttries">AUS!$C$37</definedName>
    <definedName name="Pietschaustrcpts">AUS!$F$37</definedName>
    <definedName name="Pietschaustrctries">AUS!$B$37</definedName>
    <definedName name="Pisi_Gnorpts">ITA!#REF!</definedName>
    <definedName name="Pisi_Gnortries">ITA!#REF!</definedName>
    <definedName name="Pisigeorgepts">ITA!#REF!</definedName>
    <definedName name="Pisigeorgeptscorrect">ITA!#REF!</definedName>
    <definedName name="pisigeorgetries">ITA!#REF!</definedName>
    <definedName name="Pisigeorgetriescorrect">ITA!#REF!</definedName>
    <definedName name="Pisikenpts">ITA!#REF!</definedName>
    <definedName name="Pisikenptscorrect">ITA!#REF!</definedName>
    <definedName name="pisikentries">ITA!#REF!</definedName>
    <definedName name="Pisikentriescorrect">ITA!#REF!</definedName>
    <definedName name="Plissonfra6natt">FRA!#REF!</definedName>
    <definedName name="Plissonfra6ngoals">FRA!#REF!</definedName>
    <definedName name="plissonfraatt">FRA!#REF!</definedName>
    <definedName name="Plissonfragoals">FRA!#REF!</definedName>
    <definedName name="Pollardausintpts">AUS!$G$38</definedName>
    <definedName name="Pollardausinttries">AUS!$C$38</definedName>
    <definedName name="Pollardausrcpts">AUS!$F$38</definedName>
    <definedName name="Pollardausrctries">AUS!$B$38</definedName>
    <definedName name="pollardrsaintpts">RSA!#REF!</definedName>
    <definedName name="pollardrsaintptscorrect">RSA!$F$38</definedName>
    <definedName name="pollardrsainttries">RSA!#REF!</definedName>
    <definedName name="Pollardrsainttriescorrect">RSA!$B$38</definedName>
    <definedName name="pollardrsarcatt">RSA!$K$21</definedName>
    <definedName name="Pollardrsarcgls">RSA!$J$21</definedName>
    <definedName name="Pollardrsarcpts">RSA!#REF!</definedName>
    <definedName name="pollardrsatrcpts">RSA!$G$38</definedName>
    <definedName name="pollardrsatrctries">RSA!$C$38</definedName>
    <definedName name="pollardrsayratt">RSA!$K$10</definedName>
    <definedName name="Pollardrsayrgls">RSA!$J$10</definedName>
    <definedName name="pollockeng6npts">ENG!$G$33</definedName>
    <definedName name="pollockeng6ntries">ENG!$C$33</definedName>
    <definedName name="Pollockengintpts">ENG!$F$33</definedName>
    <definedName name="Pollockenginttries">ENG!$B$33</definedName>
    <definedName name="porterengintpts">ENG!#REF!</definedName>
    <definedName name="porterenginttries">ENG!#REF!</definedName>
    <definedName name="Porterire6npts">IRE!$F$41</definedName>
    <definedName name="Porterire6ntries">IRE!$B$41</definedName>
    <definedName name="PORTERIREINTPTS">IRE!$G$41</definedName>
    <definedName name="PORTERIREINTTRIES">IRE!$C$41</definedName>
    <definedName name="potterausintpts">AUS!$G$40</definedName>
    <definedName name="potterausinttries">AUS!$C$40</definedName>
    <definedName name="Potterausrcpts">AUS!$F$40</definedName>
    <definedName name="Potterausrctries">AUS!$B$40</definedName>
    <definedName name="Powelladampts">IRE!#REF!</definedName>
    <definedName name="Powelladamtries">IRE!#REF!</definedName>
    <definedName name="prendergastcianireintpts">IRE!$G$42</definedName>
    <definedName name="prendergastcianireinttries">IRE!$C$42</definedName>
    <definedName name="prendergastire6natt">IRE!$K$20</definedName>
    <definedName name="Prendergastire6ngls">IRE!$J$20</definedName>
    <definedName name="Prendergastire6npts">IRE!$F$43</definedName>
    <definedName name="Prendergastire6ntries">IRE!$B$43</definedName>
    <definedName name="prendergastireintpts">IRE!$G$43</definedName>
    <definedName name="prendergastireinttries">IRE!$C$43</definedName>
    <definedName name="prendergastireyratt">IRE!$K$10</definedName>
    <definedName name="Prendergastireyrgls">IRE!$J$10</definedName>
    <definedName name="Priestlandwal6natt">WAL!#REF!</definedName>
    <definedName name="Priestlandwal6ngoals">WAL!#REF!</definedName>
    <definedName name="priestlandwalintpts">WAL!#REF!</definedName>
    <definedName name="priestlandwalyratt">WAL!#REF!</definedName>
    <definedName name="Priestlandwalyrgls">WAL!#REF!</definedName>
    <definedName name="Prisciantelliargintpts">ARG!$G$39</definedName>
    <definedName name="Prisciantelliarginttries">ARG!$C$39</definedName>
    <definedName name="Prisciantelliargrcpts">ARG!$F$39</definedName>
    <definedName name="Prisciantelliargrctries">ARG!$B$39</definedName>
    <definedName name="Proctornzlintpts">NZL!$F$31</definedName>
    <definedName name="proctornzlinttries">NZL!$B$31</definedName>
    <definedName name="proctornzlrcpts">NZL!$G$31</definedName>
    <definedName name="proctornzlrctries">NZL!$C$31</definedName>
    <definedName name="pts">ENG!#REF!</definedName>
    <definedName name="Puafisiglopts">CAN!#REF!</definedName>
    <definedName name="Puafisiglotries">CAN!#REF!</definedName>
    <definedName name="Purdyglospts">CAN!#REF!</definedName>
    <definedName name="Purdyglotries">CAN!#REF!</definedName>
    <definedName name="quinspentriespts">ENG!#REF!</definedName>
    <definedName name="quinspentriestries">ENG!#REF!</definedName>
    <definedName name="Ramosfra6natt">FRA!$K$26</definedName>
    <definedName name="Ramosfra6ngls">FRA!$J$26</definedName>
    <definedName name="Ramosfra6npts">FRA!$F$48</definedName>
    <definedName name="Ramosfra6ntries">FRA!$B$48</definedName>
    <definedName name="Ramosfrainttries">FRA!$C$48</definedName>
    <definedName name="ramosfrayratt">FRA!$K$13</definedName>
    <definedName name="Ramosfrayrgls">FRA!$J$13</definedName>
    <definedName name="ramsfrainytpts">FRA!$G$48</definedName>
    <definedName name="Randallengintpts">ENG!$F$34</definedName>
    <definedName name="Randallenginttries">ENG!$B$34</definedName>
    <definedName name="Ransombenpts">NAM!#REF!</definedName>
    <definedName name="Ransombentries">NAM!#REF!</definedName>
    <definedName name="Ratimanzlintpts">NZL!$F$32</definedName>
    <definedName name="Ratimanzlinttries">NZL!$B$32</definedName>
    <definedName name="ratimanzltrcpts">NZL!$G$32</definedName>
    <definedName name="ratimanzltrctries">NZL!$C$32</definedName>
    <definedName name="redpathscointpts">SCO!$G$33</definedName>
    <definedName name="redpathscointtries">SCO!$C$33</definedName>
    <definedName name="reecenzlintpts">NZL!#REF!</definedName>
    <definedName name="reecenzlinttries">NZL!#REF!</definedName>
    <definedName name="Reecenzlpts">NZL!$F$33</definedName>
    <definedName name="Reecenzltries">NZL!$B$33</definedName>
    <definedName name="reedscointpts">SCO!$G$34</definedName>
    <definedName name="reedscointtries">SCO!$C$34</definedName>
    <definedName name="Rees_Zammitwal6npts">WAL!#REF!</definedName>
    <definedName name="Rees_Zammitwal6nptscorrect">WAL!$F$31</definedName>
    <definedName name="Rees_Zammitwal6ntries">WAL!#REF!</definedName>
    <definedName name="Rees_Zammitwal6ntriescorrect">WAL!$B$31</definedName>
    <definedName name="Rees_Zammitwalintptscorrect">WAL!$G$31</definedName>
    <definedName name="Rees_Zammitwalinttriescorrect">WAL!$C$31</definedName>
    <definedName name="reeszammitwalintpts">WAL!#REF!</definedName>
    <definedName name="reeszammitwalinttries">WAL!#REF!</definedName>
    <definedName name="Reevesrickypts">GEO!#REF!</definedName>
    <definedName name="Reevesrickytries">GEO!#REF!</definedName>
    <definedName name="reffellwalintpts">WAL!$G$32</definedName>
    <definedName name="reffellwalinttries">WAL!$C$32</definedName>
    <definedName name="reinachrsaintpts">RSA!#REF!</definedName>
    <definedName name="Reinachrsaintptscorrect">RSA!$F$39</definedName>
    <definedName name="reinachrsainttries">RSA!#REF!</definedName>
    <definedName name="Reinachrsainttriescorrrect">RSA!$B$39</definedName>
    <definedName name="reinachrsatrcpts">RSA!$G$39</definedName>
    <definedName name="reinachrsatrctries">RSA!$C$39</definedName>
    <definedName name="retalicknzlintpts">NZL!#REF!</definedName>
    <definedName name="retallicknzlinttries">NZL!#REF!</definedName>
    <definedName name="Retallicknzlpts">NZL!$G$33</definedName>
    <definedName name="Retallicknzltries">NZL!$C$33</definedName>
    <definedName name="Reynoldsnicpts">GEO!#REF!</definedName>
    <definedName name="Reynoldsnictries">GEO!#REF!</definedName>
    <definedName name="Reynoldsstefpts">CAN!#REF!</definedName>
    <definedName name="Reynoldssteftries">CAN!#REF!</definedName>
    <definedName name="Riccioniita6npts">ITA!$F$36</definedName>
    <definedName name="Riccioniita6ntries">ITA!$B$36</definedName>
    <definedName name="riccioniitaintpts">ITA!$G$36</definedName>
    <definedName name="riccioniitainttries">ITA!$C$36</definedName>
    <definedName name="richardsonscointpts">SCO!$G$35</definedName>
    <definedName name="richardsonscointtries">SCO!$C$35</definedName>
    <definedName name="Rimmercarlpts">AUS!#REF!</definedName>
    <definedName name="Rimmercarltries">AUS!#REF!</definedName>
    <definedName name="ringroseiireintpts">IRE!$G$44</definedName>
    <definedName name="Ringroseire6npts">IRE!$F$44</definedName>
    <definedName name="Ringroseire6ntries">IRE!$B$44</definedName>
    <definedName name="ringroseireinttries">IRE!$C$44</definedName>
    <definedName name="Ritchiesco6npts">SCO!$F$36</definedName>
    <definedName name="Ritchiesco6ntries">SCO!$B$36</definedName>
    <definedName name="Ritchiescointpts">SCO!$G$36</definedName>
    <definedName name="Ritchiescointtries">SCO!$C$36</definedName>
    <definedName name="Rizzoleipts">FIJ!#REF!</definedName>
    <definedName name="Rizzoleitries">FIJ!#REF!</definedName>
    <definedName name="Robertsmartinpts">ARG!#REF!</definedName>
    <definedName name="Robertsmartintruies">ARG!#REF!</definedName>
    <definedName name="robertsonausintpts">AUS!$G$39</definedName>
    <definedName name="robertsonausinttries">AUS!$C$39</definedName>
    <definedName name="Robertstristanpts">GEO!#REF!</definedName>
    <definedName name="Robertstristantries">GEO!#REF!</definedName>
    <definedName name="Robertswal6npts">WAL!#REF!</definedName>
    <definedName name="Robertswal6ntries">WAL!#REF!</definedName>
    <definedName name="Robertswalintpts">WAL!#REF!</definedName>
    <definedName name="Robertswalinttries">WAL!#REF!</definedName>
    <definedName name="robertswelatt">GEO!#REF!</definedName>
    <definedName name="robertswelgoals">GEO!#REF!</definedName>
    <definedName name="Robinsonnewpts">IRE!#REF!</definedName>
    <definedName name="Robinsonnewtries">IRE!#REF!</definedName>
    <definedName name="robinsonwelatt">GEO!#REF!</definedName>
    <definedName name="robinsonwelgoals">GEO!#REF!</definedName>
    <definedName name="Robinsonwillpts">GEO!#REF!</definedName>
    <definedName name="Robinsonwilltries">GEO!#REF!</definedName>
    <definedName name="Robshawharpts">ENG!#REF!</definedName>
    <definedName name="Robshawhartries">ENG!#REF!</definedName>
    <definedName name="Robsonglopts">CAN!#REF!</definedName>
    <definedName name="Robsonglotries">CAN!#REF!</definedName>
    <definedName name="Robsonharpts">ENG!#REF!</definedName>
    <definedName name="Robsonhartries">ENG!#REF!</definedName>
    <definedName name="roebuckeng6npts">ENG!$G$36</definedName>
    <definedName name="roebuckeng6ntries">ENG!$C$36</definedName>
    <definedName name="Roebuckengintpts">ENG!$F$36</definedName>
    <definedName name="Roebuckenginttries">ENG!$B$36</definedName>
    <definedName name="rogerargintpts">ARG!$G$40</definedName>
    <definedName name="rogerarginttries">ARG!$C$40</definedName>
    <definedName name="Rogersnewpts">IRE!#REF!</definedName>
    <definedName name="Rogersnewtries">IRE!#REF!</definedName>
    <definedName name="Rogerswal6npts">WAL!$F$33</definedName>
    <definedName name="Rogerswal6ntries">WAL!$B$33</definedName>
    <definedName name="rogerswalintpts">WAL!$G$33</definedName>
    <definedName name="rogerswalinttries">WAL!$C$33</definedName>
    <definedName name="roigardnzlintpts">NZL!#REF!</definedName>
    <definedName name="Roigardnzlintptscorrect">NZL!$F$34</definedName>
    <definedName name="roigardnzlinttries">NZL!#REF!</definedName>
    <definedName name="Roigardnzlinttriescorrect">NZL!$B$34</definedName>
    <definedName name="roigardnzlrcpts">NZL!$G$34</definedName>
    <definedName name="roigardnzlrctries">NZL!$C$34</definedName>
    <definedName name="Rokodugunibatpts">ARG!#REF!</definedName>
    <definedName name="Rokodugunibattries">ARG!#REF!</definedName>
    <definedName name="Rokodugunipts">ARG!#REF!</definedName>
    <definedName name="Rokoduguniptscorrect">ARG!#REF!</definedName>
    <definedName name="Rokodugunisemesapts">ARG!#REF!</definedName>
    <definedName name="Rokodugunisemesaptscorrect">ARG!#REF!</definedName>
    <definedName name="Rokodugunitries">ARG!#REF!</definedName>
    <definedName name="Rokodugunitriescorrect">ARG!#REF!</definedName>
    <definedName name="Rossgordonpts">GEO!#REF!</definedName>
    <definedName name="Rossgordontries">GEO!#REF!</definedName>
    <definedName name="rosswelatt">GEO!$K$16</definedName>
    <definedName name="rosswelgoals">GEO!$J$16</definedName>
    <definedName name="roumatfraintpts">FRA!$G$49</definedName>
    <definedName name="roumatfrainttries">FRA!$C$49</definedName>
    <definedName name="Rouselipts">FRA!#REF!</definedName>
    <definedName name="Rouselitries">FRA!#REF!</definedName>
    <definedName name="Rousepts">FRA!#REF!</definedName>
    <definedName name="rousetries">FRA!#REF!</definedName>
    <definedName name="Rowanglopts">CAN!#REF!</definedName>
    <definedName name="Rowanglotries">CAN!#REF!</definedName>
    <definedName name="Rowesco6npts">SCO!$F$37</definedName>
    <definedName name="Rowesco6ntries">SCO!$B$37</definedName>
    <definedName name="rowescointpts">SCO!$G$37</definedName>
    <definedName name="rowescointtries">SCO!$C$37</definedName>
    <definedName name="rowlandswal6npts">WAL!$F$34</definedName>
    <definedName name="rowlandswal6ntries">WAL!$B$34</definedName>
    <definedName name="Rowlandswaspts">NZL!#REF!</definedName>
    <definedName name="Rowlandswastries">NZL!#REF!</definedName>
    <definedName name="Rowleypaulpts">GEO!#REF!</definedName>
    <definedName name="Rowleypaultries">GEO!#REF!</definedName>
    <definedName name="rubioloargintpts">ARG!$G$41</definedName>
    <definedName name="rubioloarginttries">ARG!$C$41</definedName>
    <definedName name="ruizargintpts">ARG!$G$42</definedName>
    <definedName name="ruizarginttries">ARG!$C$42</definedName>
    <definedName name="russellsco6natt">SCO!$K$18</definedName>
    <definedName name="Russellsco6ngls">SCO!$J$18</definedName>
    <definedName name="Russellsco6npts">SCO!$F$38</definedName>
    <definedName name="RussellSCO6NTRIES">SCO!$B$38</definedName>
    <definedName name="russellscointpts">SCO!$G$38</definedName>
    <definedName name="RUSSELLSCOINTTRIES">SCO!$C$38</definedName>
    <definedName name="Russellscoyearatt">SCO!$J$10</definedName>
    <definedName name="russellscoyearattcorrect">SCO!$K$10</definedName>
    <definedName name="Russellscoyeargls">SCO!$J$10</definedName>
    <definedName name="RyanIRE6NPTS">IRE!$F$45</definedName>
    <definedName name="RyanIRE6NTRIES">IRE!$B$45</definedName>
    <definedName name="ryanireintpts">IRE!$G$45</definedName>
    <definedName name="ryanireinttries">IRE!$C$45</definedName>
    <definedName name="Sackeypaulpts">ENG!#REF!</definedName>
    <definedName name="Sackeypaultries">ENG!#REF!</definedName>
    <definedName name="Sakatejpnintpts">JPN!#REF!</definedName>
    <definedName name="Sakatejpninttries">JPN!#REF!</definedName>
    <definedName name="Salepenaltytriespts">JPN!#REF!</definedName>
    <definedName name="SalePenaltyTriestries">JPN!#REF!</definedName>
    <definedName name="Salvijulianpts">FIJ!#REF!</definedName>
    <definedName name="Salvijuliantries">FIJ!#REF!</definedName>
    <definedName name="samuausintpts">AUS!#REF!</definedName>
    <definedName name="samuausinttries">AUS!#REF!</definedName>
    <definedName name="Samuausrcpts">AUS!#REF!</definedName>
    <definedName name="Samuausrctries">AUS!#REF!</definedName>
    <definedName name="sanchexzargyratt">ARG!$K$8</definedName>
    <definedName name="sanchezargintpts">ARG!$G$43</definedName>
    <definedName name="sanchezarginttries">ARG!$C$43</definedName>
    <definedName name="sanchezargtrcpts">ARG!$F$43</definedName>
    <definedName name="sanchezargtrctries">ARG!$B$43</definedName>
    <definedName name="Sanchezargyrgls">ARG!$J$8</definedName>
    <definedName name="Sandfordjamespts">GEO!#REF!</definedName>
    <definedName name="Sandfordjamestries">GEO!#REF!</definedName>
    <definedName name="saracenspenaltytriespts">NAM!#REF!</definedName>
    <definedName name="saracenspenaltytriestries">NAM!#REF!</definedName>
    <definedName name="Saullandypts">IRE!#REF!</definedName>
    <definedName name="Saullandytries">IRE!#REF!</definedName>
    <definedName name="Saundersjaredsarpts">NAM!#REF!</definedName>
    <definedName name="Saundersjaredsartries">NAM!#REF!</definedName>
    <definedName name="Saunderssarpts">NAM!#REF!</definedName>
    <definedName name="Saunderssartries">NAM!#REF!</definedName>
    <definedName name="Savageglopts">CAN!#REF!</definedName>
    <definedName name="Savageglotries">CAN!#REF!</definedName>
    <definedName name="Saveaardienzlpts">NZL!$F$35</definedName>
    <definedName name="Saveaardienzltries">NZL!$B$35</definedName>
    <definedName name="saveanzlintpts">NZL!#REF!</definedName>
    <definedName name="saveanzlinttries">NZL!#REF!</definedName>
    <definedName name="Saveanzlpts">NZL!$G$35</definedName>
    <definedName name="Saveanzltries">NZL!$C$35</definedName>
    <definedName name="Scaysbrookpts">AUS!#REF!</definedName>
    <definedName name="scaysbrooktries">AUS!#REF!</definedName>
    <definedName name="SchoemanSCO6NPTS">SCO!$F$39</definedName>
    <definedName name="SchoemanSCO6NTRIES">SCO!$B$39</definedName>
    <definedName name="schoemanscointpts">SCO!$G$39</definedName>
    <definedName name="schoemanscointtries">SCO!$C$39</definedName>
    <definedName name="Schofieldwelpts">GEO!#REF!</definedName>
    <definedName name="Schofieldweltries">GEO!#REF!</definedName>
    <definedName name="sclaviargintpts">ARG!$G$44</definedName>
    <definedName name="sclaviarginttries">ARG!$C$44</definedName>
    <definedName name="sclaviarginttriescorrect">ARG!$C$44</definedName>
    <definedName name="Sclaviargrcpts">ARG!$F$44</definedName>
    <definedName name="Sclaviargrctries">ARG!$B$44</definedName>
    <definedName name="Sclaviargtries">ARG!$B$44</definedName>
    <definedName name="ScotlandWilliamsonchristianpts">GEO!#REF!</definedName>
    <definedName name="ScotlandWilliamsonchristiantries">GEO!#REF!</definedName>
    <definedName name="Scottnickpts">GEO!#REF!</definedName>
    <definedName name="Scottnicktries">GEO!#REF!</definedName>
    <definedName name="Scullyblainepts">FIJ!#REF!</definedName>
    <definedName name="Scullyblainetries">FIJ!#REF!</definedName>
    <definedName name="Scullypts">FIJ!#REF!</definedName>
    <definedName name="scullytries">FIJ!#REF!</definedName>
    <definedName name="segondsfraintpts">FRA!$G$50</definedName>
    <definedName name="segondsfrainttries">FRA!$C$50</definedName>
    <definedName name="segondsfrayratt">FRA!$K$14</definedName>
    <definedName name="segondsfrayrgls">FRA!$J$14</definedName>
    <definedName name="serinfraintpts">FRA!$G$51</definedName>
    <definedName name="serinfrainttries">FRA!$C$51</definedName>
    <definedName name="Sextonexepoints">AUS!#REF!</definedName>
    <definedName name="Sextonexetries">AUS!#REF!</definedName>
    <definedName name="Sextonire6natt">IRE!#REF!</definedName>
    <definedName name="sextonire6nattcorrect">IRE!#REF!</definedName>
    <definedName name="Sextonire6ngls">IRE!#REF!</definedName>
    <definedName name="Sextonire6ngoals">IRE!#REF!</definedName>
    <definedName name="Sextonire6npts">IRE!#REF!</definedName>
    <definedName name="Sextonire6ntries">IRE!#REF!</definedName>
    <definedName name="sextonireintpoints">IRE!#REF!</definedName>
    <definedName name="sextonireinttries">IRE!#REF!</definedName>
    <definedName name="sextonireyearatt">IRE!#REF!</definedName>
    <definedName name="Sextonireyeargls">IRE!#REF!</definedName>
    <definedName name="Seymourdavidpts">JPN!#REF!</definedName>
    <definedName name="seymourdavidtries">JPN!#REF!</definedName>
    <definedName name="Seymourdavidtriescorrect">JPN!#REF!</definedName>
    <definedName name="Sharplesglopts">CAN!#REF!</definedName>
    <definedName name="Sharplesglotries">CAN!#REF!</definedName>
    <definedName name="Sharplespts">CAN!#REF!</definedName>
    <definedName name="Sharplestries">CAN!#REF!</definedName>
    <definedName name="sheedywal6natt">WAL!$K$21</definedName>
    <definedName name="Sheedywal6ngls">WAL!$J$21</definedName>
    <definedName name="Sheedywal6npts">WAL!#REF!</definedName>
    <definedName name="sheedywalyearatt">WAL!$K$9</definedName>
    <definedName name="Sheedywalyeargls">WAL!$J$9</definedName>
    <definedName name="Sheehanire6npts">IRE!$F$46</definedName>
    <definedName name="Sheehanire6ntries">IRE!$B$46</definedName>
    <definedName name="SHEEHANIREINTPTS">IRE!$G$46</definedName>
    <definedName name="SHEEHANIREINTTRIES">IRE!$C$46</definedName>
    <definedName name="Sheridaneamonnpts">FRA!#REF!</definedName>
    <definedName name="Sheridaneamonntries">FRA!#REF!</definedName>
    <definedName name="Sheriffsarpts">NAM!#REF!</definedName>
    <definedName name="Sheriffsartries">NAM!#REF!</definedName>
    <definedName name="Shervingtonwaspts">NZL!#REF!</definedName>
    <definedName name="Shervingtonwastries">NZL!#REF!</definedName>
    <definedName name="Shiellsgrahambatpts">ARG!#REF!</definedName>
    <definedName name="Shiellsgrahambattries">ARG!#REF!</definedName>
    <definedName name="Short_Alirpts">FRA!#REF!</definedName>
    <definedName name="Short_Alirtries">FRA!#REF!</definedName>
    <definedName name="Shortjamespts">NZL!#REF!</definedName>
    <definedName name="Shortjamestries">NZL!#REF!</definedName>
    <definedName name="Shortlandpts">IRE!#REF!</definedName>
    <definedName name="Shortlandryanpts">IRE!#REF!</definedName>
    <definedName name="Shortlandtries">IRE!#REF!</definedName>
    <definedName name="Shortlipts">FRA!#REF!</definedName>
    <definedName name="Shortlitries">FRA!#REF!</definedName>
    <definedName name="Simmondsexepts">AUS!#REF!</definedName>
    <definedName name="Simmondsexetries">AUS!#REF!</definedName>
    <definedName name="Simpson_Danieljamespts">CAN!#REF!</definedName>
    <definedName name="Simpson_Danieljamestries">CAN!#REF!</definedName>
    <definedName name="Simpsonjoepts">NZL!#REF!</definedName>
    <definedName name="Simpsonjoetries">NZL!#REF!</definedName>
    <definedName name="Simpsonwaspts">NZL!#REF!</definedName>
    <definedName name="Simpsonwastries">NZL!#REF!</definedName>
    <definedName name="Sincklereng6npts">ENG!$G$37</definedName>
    <definedName name="Sincklereng6ntries">ENG!$C$37</definedName>
    <definedName name="SINCKLERENGINTPTS">ENG!#REF!</definedName>
    <definedName name="SINCKLERENGINTTRIES">ENG!#REF!</definedName>
    <definedName name="Sincklerharpts">ENG!#REF!</definedName>
    <definedName name="Sincklerhartries">ENG!#REF!</definedName>
    <definedName name="Sinclairjebbpts">FRA!#REF!</definedName>
    <definedName name="Sinclairjebbtries">FRA!#REF!</definedName>
    <definedName name="Sinotisinotipts">IRE!#REF!</definedName>
    <definedName name="Sinotisinotitries">IRE!#REF!</definedName>
    <definedName name="Sioleipts">FIJ!#REF!</definedName>
    <definedName name="Sioleitries">FIJ!#REF!</definedName>
    <definedName name="Sisidavidpts">ARG!#REF!</definedName>
    <definedName name="Sisidavidtries">ARG!#REF!</definedName>
    <definedName name="Sititinzlintpts">NZL!$F$36</definedName>
    <definedName name="Sititinzlinttries">NZL!$B$36</definedName>
    <definedName name="Sititinzlrcpts">NZL!$G$36</definedName>
    <definedName name="Sititinzlrctries">NZL!$C$36</definedName>
    <definedName name="Skinnerexepts">AUS!#REF!</definedName>
    <definedName name="Skinnerexetries">AUS!#REF!</definedName>
    <definedName name="skinnersco6npts">SCO!$F$41</definedName>
    <definedName name="Skinnersco6ntfries">SCO!$B$41</definedName>
    <definedName name="Skivingtongeorgeli">FRA!#REF!</definedName>
    <definedName name="Skivingtongeorgepts">FRA!#REF!</definedName>
    <definedName name="Skivingtongeorgetries">FRA!#REF!</definedName>
    <definedName name="Skusebatpts">ARG!#REF!</definedName>
    <definedName name="Skusebattries">ARG!#REF!</definedName>
    <definedName name="sladeatt">AUS!#REF!</definedName>
    <definedName name="Sladeengintpts">ENG!$F$37</definedName>
    <definedName name="Sladeenginttries">ENG!$B$37</definedName>
    <definedName name="sladeengyratt">ENG!$K$7</definedName>
    <definedName name="Sladeengyrgls">ENG!$J$7</definedName>
    <definedName name="Sladeexepts">AUS!#REF!</definedName>
    <definedName name="Sladeexetries">AUS!#REF!</definedName>
    <definedName name="sladegoals">AUS!#REF!</definedName>
    <definedName name="Sladehenrypts">AUS!#REF!</definedName>
    <definedName name="Slaterpts">FIJ!#REF!</definedName>
    <definedName name="Slaterptscorrect">FIJ!#REF!</definedName>
    <definedName name="slatertries">FIJ!#REF!</definedName>
    <definedName name="Slatertriescorrect">FIJ!#REF!</definedName>
    <definedName name="Sleightholmeengintpts">ENG!$F$38</definedName>
    <definedName name="Sleightholmeenginttries">ENG!$B$38</definedName>
    <definedName name="slieghtholmeeng6npts">ENG!$G$38</definedName>
    <definedName name="slieghtholmeeng6ntries">ENG!$C$38</definedName>
    <definedName name="slipperausintpts">AUS!$G$45</definedName>
    <definedName name="slipperausintptscorrect">AUS!$G$43</definedName>
    <definedName name="slipperausinttries">AUS!$C$45</definedName>
    <definedName name="slipperausinttriescorrect">AUS!$C$43</definedName>
    <definedName name="SlipperAUSRCPTS">AUS!$F$45</definedName>
    <definedName name="SlipperAUSRCTRIES">AUS!$B$45</definedName>
    <definedName name="Sloanharrypts">ENG!#REF!</definedName>
    <definedName name="Sloanharrytries">ENG!#REF!</definedName>
    <definedName name="Smith_Feng6ngls">ENG!$J$16</definedName>
    <definedName name="Smith_Feng6npts">ENG!$G$39</definedName>
    <definedName name="Smith_Feng6ntries">ENG!$C$39</definedName>
    <definedName name="Smith_Fengintpts">ENG!$F$39</definedName>
    <definedName name="Smith_Fenginttries">ENG!$B$39</definedName>
    <definedName name="Smith_Fengyrgls">ENG!$J$8</definedName>
    <definedName name="smitheng6natt">ENG!$K$17</definedName>
    <definedName name="Smitheng6ngls">ENG!$J$17</definedName>
    <definedName name="Smitheng6npts">ENG!$G$40</definedName>
    <definedName name="Smitheng6ntries">ENG!$C$40</definedName>
    <definedName name="smithengintpts">ENG!#REF!</definedName>
    <definedName name="smithenginttries">ENG!#REF!</definedName>
    <definedName name="smithengyearatt">ENG!$K$9</definedName>
    <definedName name="Smithengyeargls">ENG!$J$9</definedName>
    <definedName name="smithfeng6natt">ENG!$K$16</definedName>
    <definedName name="smithfengyratt">ENG!$K$8</definedName>
    <definedName name="smithleeatt">IRE!#REF!</definedName>
    <definedName name="Smithleegoals">IRE!#REF!</definedName>
    <definedName name="Smithleepts">IRE!#REF!</definedName>
    <definedName name="Smithleipts">FIJ!#REF!</definedName>
    <definedName name="Smithleitries">FIJ!#REF!</definedName>
    <definedName name="Smithmarchusengintpts">ENG!$F$40</definedName>
    <definedName name="Smithmarcusrnginttries">ENG!$B$40</definedName>
    <definedName name="Smithnewtries">IRE!#REF!</definedName>
    <definedName name="smithnzlintpts">NZL!#REF!</definedName>
    <definedName name="smithnzlinttries">NZL!#REF!</definedName>
    <definedName name="SmithNZLTRCPTS">NZL!#REF!</definedName>
    <definedName name="SmithNZLTRCTRIES">NZL!#REF!</definedName>
    <definedName name="smithrsaintpts">RSA!#REF!</definedName>
    <definedName name="smithrsainttries">RSA!#REF!</definedName>
    <definedName name="Smithrsarcpts">RSA!$G$40</definedName>
    <definedName name="Smithrsarctries">RSA!$C$40</definedName>
    <definedName name="Smithsampts">ENG!#REF!</definedName>
    <definedName name="Smithsamtries">ENG!#REF!</definedName>
    <definedName name="Smithsarpts">NAM!#REF!</definedName>
    <definedName name="Smithsartries">NAM!#REF!</definedName>
    <definedName name="smithscointpts">SCO!$G$42</definedName>
    <definedName name="smithscointtries">SCO!$C$42</definedName>
    <definedName name="socinonewatt">IRE!#REF!</definedName>
    <definedName name="socinonewgoals">IRE!#REF!</definedName>
    <definedName name="Socinonewpts">IRE!#REF!</definedName>
    <definedName name="Socinonewtries">IRE!#REF!</definedName>
    <definedName name="Sordoniargtrcpts">ARG!$F$45</definedName>
    <definedName name="Sordoniargtrctries">ARG!$B$45</definedName>
    <definedName name="sotutunzlintpts">NZL!#REF!</definedName>
    <definedName name="sotutunzlinttries">NZL!#REF!</definedName>
    <definedName name="sowakulanzlintpts">NZL!#REF!</definedName>
    <definedName name="sowakulanzlinttries">NZL!#REF!</definedName>
    <definedName name="Spagnoloita6npts">ITA!$F$38</definedName>
    <definedName name="Spagnoloita6ntries">ITA!$B$38</definedName>
    <definedName name="spagnoloitaintpts">ITA!$G$38</definedName>
    <definedName name="spagnoloitainttries">ITA!$C$38</definedName>
    <definedName name="spencerbenatt">NAM!#REF!</definedName>
    <definedName name="spencerbengoals">NAM!#REF!</definedName>
    <definedName name="Spencerbenpts">NAM!#REF!</definedName>
    <definedName name="Spencerbentries">NAM!#REF!</definedName>
    <definedName name="Spencersarpts">NAM!#REF!</definedName>
    <definedName name="Spencerwillpts">ARG!#REF!</definedName>
    <definedName name="Spencerwilltries">ARG!#REF!</definedName>
    <definedName name="Spurlingsarpts">NAM!#REF!</definedName>
    <definedName name="Spurlingsartries">NAM!#REF!</definedName>
    <definedName name="Stedmanolliepts">GEO!#REF!</definedName>
    <definedName name="Stedmanollietrie">GEO!#REF!</definedName>
    <definedName name="Steelelipts">FRA!#REF!</definedName>
    <definedName name="Steelelitries">FRA!#REF!</definedName>
    <definedName name="Steenekamprsaintpts">RSA!$F$42</definedName>
    <definedName name="Steenekamprsainttries">RSA!$B$42</definedName>
    <definedName name="Steenson">AUS!#REF!</definedName>
    <definedName name="steensonatt">AUS!#REF!</definedName>
    <definedName name="steensonexepts">AUS!#REF!</definedName>
    <definedName name="steensongarethtries">AUS!#REF!</definedName>
    <definedName name="Steensongoals">AUS!#REF!</definedName>
    <definedName name="Steensonpts">AUS!#REF!</definedName>
    <definedName name="Stegmannsebpts">GEO!#REF!</definedName>
    <definedName name="Stegmannsebtries">GEO!#REF!</definedName>
    <definedName name="Stellingmaxpts">GEO!#REF!</definedName>
    <definedName name="Stellingmaxtries">GEO!#REF!</definedName>
    <definedName name="Stephensonjamespts">GEO!#REF!</definedName>
    <definedName name="Stephensonjamestries">GEO!#REF!</definedName>
    <definedName name="Stephensontompts">ITA!#REF!</definedName>
    <definedName name="Stephensontomtries">ITA!#REF!</definedName>
    <definedName name="Stevensjimmypts">FRA!#REF!</definedName>
    <definedName name="Stevensjimmytries">FRA!#REF!</definedName>
    <definedName name="Stevenslipts">FRA!#REF!</definedName>
    <definedName name="Stevenslitries">FRA!#REF!</definedName>
    <definedName name="Stevensmattpts">NAM!#REF!</definedName>
    <definedName name="stevensonnzlintpts">NZL!#REF!</definedName>
    <definedName name="stevensonnzlinttries">NZL!#REF!</definedName>
    <definedName name="stevenstries">NAM!#REF!</definedName>
    <definedName name="StewardENG6NPTS">ENG!$G$41</definedName>
    <definedName name="StewardENG6NTRIES">ENG!$C$41</definedName>
    <definedName name="stewardengintpts">ENG!#REF!</definedName>
    <definedName name="StewardENGINTPTSCORRECT">ENG!$F$41</definedName>
    <definedName name="stewardenginttries">ENG!#REF!</definedName>
    <definedName name="StewardENGINTTRIESCORRECT">ENG!$B$41</definedName>
    <definedName name="Steyn_Frsarcpts">RSA!$G$41</definedName>
    <definedName name="Steyn_Frsarctries">RSA!$C$41</definedName>
    <definedName name="Steynsco6npts">SCO!$F$43</definedName>
    <definedName name="Steynsco6ntries">SCO!$B$43</definedName>
    <definedName name="steynscointpts">SCO!$G$43</definedName>
    <definedName name="steynscointtries">SCO!$C$43</definedName>
    <definedName name="Stockdaleire6npts">IRE!$F$47</definedName>
    <definedName name="Stockdaleire6ntries">IRE!$B$47</definedName>
    <definedName name="stockdaleireintpts">IRE!$G$47</definedName>
    <definedName name="stockdaleireinttries">IRE!$C$47</definedName>
    <definedName name="Stookeglotres">CAN!#REF!</definedName>
    <definedName name="Stookeglptd">CAN!#REF!</definedName>
    <definedName name="Stookepts">CAN!#REF!</definedName>
    <definedName name="Stooketries">CAN!#REF!</definedName>
    <definedName name="Strainnewpts">IRE!#REF!</definedName>
    <definedName name="Strainnewtries">IRE!#REF!</definedName>
    <definedName name="Streathertimpts">NAM!#REF!</definedName>
    <definedName name="Streathertimtries">NAM!#REF!</definedName>
    <definedName name="Strettlepts">NAM!#REF!</definedName>
    <definedName name="Strettlesarpts">NAM!#REF!</definedName>
    <definedName name="Strettlesartries">NAM!#REF!</definedName>
    <definedName name="strettletries">NAM!#REF!</definedName>
    <definedName name="Stringerpeterpts">ARG!#REF!</definedName>
    <definedName name="Stringerpetertries">ARG!#REF!</definedName>
    <definedName name="stuarteng6npts">ENG!$G$42</definedName>
    <definedName name="stuarteng6ntries">ENG!$C$42</definedName>
    <definedName name="stuartengintpts">ENG!#REF!</definedName>
    <definedName name="Stuartengintptscorrect">ENG!$F$42</definedName>
    <definedName name="stuartenginttries">ENG!#REF!</definedName>
    <definedName name="Stuartenginttriescorrect">ENG!$B$42</definedName>
    <definedName name="Stuartharpts">ENG!#REF!</definedName>
    <definedName name="Stuarthartries">ENG!#REF!</definedName>
    <definedName name="Sturgessexepts">AUS!#REF!</definedName>
    <definedName name="Sturgessexetries">AUS!#REF!</definedName>
    <definedName name="Suaaliiaustrcpts">AUS!$F$44</definedName>
    <definedName name="Suaaliiaustrctries">AUS!$B$44</definedName>
    <definedName name="suajeremypts">GEO!#REF!</definedName>
    <definedName name="suajeremytries">GEO!#REF!</definedName>
    <definedName name="Suniulawaspts">NZL!#REF!</definedName>
    <definedName name="Suniulawastries">NZL!#REF!</definedName>
    <definedName name="Swainstonwapts">NZL!#REF!</definedName>
    <definedName name="Swainstonwastries">NZL!#REF!</definedName>
    <definedName name="Sweeneyceripts">AUS!#REF!</definedName>
    <definedName name="Sweeneyceritries">AUS!#REF!</definedName>
    <definedName name="sweeneyexeatt">AUS!#REF!</definedName>
    <definedName name="sweeneyexegoals">AUS!#REF!</definedName>
    <definedName name="swielharatt">ENG!#REF!</definedName>
    <definedName name="Swielhargoals">ENG!#REF!</definedName>
    <definedName name="Swielharpts">ENG!#REF!</definedName>
    <definedName name="Swielhartries">ENG!#REF!</definedName>
    <definedName name="Symonsandypts">GEO!#REF!</definedName>
    <definedName name="Symonsandytries">GEO!#REF!</definedName>
    <definedName name="Tagicakibausailosipts">FRA!#REF!</definedName>
    <definedName name="Tagicakibausailositries">FRA!#REF!</definedName>
    <definedName name="Tagicakibausarpts">NAM!#REF!</definedName>
    <definedName name="Tagicakibausartries">NAM!#REF!</definedName>
    <definedName name="Tagicakibauwaspts">NZL!#REF!</definedName>
    <definedName name="Tagucakibauwastries">NZL!#REF!</definedName>
    <definedName name="Taioneexepts">AUS!#REF!</definedName>
    <definedName name="Taioneexetries">AUS!#REF!</definedName>
    <definedName name="Taitalexpts">IRE!#REF!</definedName>
    <definedName name="Taitalextries">IRE!#REF!</definedName>
    <definedName name="Taitmathewpts">FIJ!#REF!</definedName>
    <definedName name="Taitmathewtries">FIJ!#REF!</definedName>
    <definedName name="Taitnewpts">IRE!#REF!</definedName>
    <definedName name="Taitnewtris">IRE!#REF!</definedName>
    <definedName name="taofifenuafra6npts">FRA!$F$52</definedName>
    <definedName name="taofifenuafra6ntries">FRA!$B$52</definedName>
    <definedName name="Taukei_ahoNZLRCPTS">NZL!$G$37</definedName>
    <definedName name="Taukei_ahoNZLRCTRIES">NZL!$C$37</definedName>
    <definedName name="taukeiahonzlintpts">NZL!#REF!</definedName>
    <definedName name="taukeiahonzlinttries">NZL!#REF!</definedName>
    <definedName name="Taulavasemisipts">GEO!#REF!</definedName>
    <definedName name="Taulavasemisitries">GEO!#REF!</definedName>
    <definedName name="Taylorduncanpts">NAM!#REF!</definedName>
    <definedName name="Taylorduncantries">NAM!#REF!</definedName>
    <definedName name="Taylornathanpts">GEO!#REF!</definedName>
    <definedName name="Taylornathantries">GEO!#REF!</definedName>
    <definedName name="taylornzlintpts">NZL!#REF!</definedName>
    <definedName name="Taylornzlintptscorrect">NZL!$F$38</definedName>
    <definedName name="Taylornzlinttries">NZL!$B$38</definedName>
    <definedName name="Taylornzlrcpts">NZL!$G$38</definedName>
    <definedName name="Taylornzlrctrioes">NZL!$C$38</definedName>
    <definedName name="Taylorsalpts">JPN!#REF!</definedName>
    <definedName name="Taylorsaltries">JPN!#REF!</definedName>
    <definedName name="Taylorsarpts">NAM!#REF!</definedName>
    <definedName name="Taylorsartries">NAM!#REF!</definedName>
    <definedName name="Taylorwaspts">NZL!#REF!</definedName>
    <definedName name="Taylorwastries">NZL!#REF!</definedName>
    <definedName name="Tele_anzlintpts">NZL!$F$39</definedName>
    <definedName name="Tele_anzlinttries">NZL!$B$39</definedName>
    <definedName name="teleanzlintpts">NZL!#REF!</definedName>
    <definedName name="teleanzlinttries">NZL!#REF!</definedName>
    <definedName name="TeleaNZLTRCPTS">NZL!$G$39</definedName>
    <definedName name="TeleaNZLTRCTRIES">NZL!$C$39</definedName>
    <definedName name="test">ARG!#REF!</definedName>
    <definedName name="tetazchaparroargintpts">ARG!$G$46</definedName>
    <definedName name="tetazchaparroarginttries">ARG!$C$46</definedName>
    <definedName name="Thacker_Hleipts">FIJ!#REF!</definedName>
    <definedName name="Thacker_Hleitries">FIJ!#REF!</definedName>
    <definedName name="Thielsarpts">NAM!#REF!</definedName>
    <definedName name="Thielsartries">NAM!#REF!</definedName>
    <definedName name="Thomas_Bwal6natt">WAL!$K$22</definedName>
    <definedName name="Thomas_Bwal6ngls">WAL!$J$22</definedName>
    <definedName name="Thomas_Bwalpts">WAL!$F$35</definedName>
    <definedName name="Thomas_Bwaltries">WAL!$B$35</definedName>
    <definedName name="Thomas_Bwalyratt">WAL!$K$10</definedName>
    <definedName name="Thomas_Bwalyrgls">WAL!$J$10</definedName>
    <definedName name="Thomas_Dglopts">CAN!#REF!</definedName>
    <definedName name="Thomas_Dglotriews">CAN!#REF!</definedName>
    <definedName name="Thomas_Yglopts">CAN!#REF!</definedName>
    <definedName name="Thomas_Yglotries">CAN!#REF!</definedName>
    <definedName name="thomasagloatt">CAN!#REF!</definedName>
    <definedName name="thomasaglogoals">CAN!#REF!</definedName>
    <definedName name="Thomasaledglopts">CAN!#REF!</definedName>
    <definedName name="Thomasaledglotries">CAN!#REF!</definedName>
    <definedName name="thomasbwalintpts">WAL!$G$35</definedName>
    <definedName name="thomasbwalinttries">WAL!$C$35</definedName>
    <definedName name="Thomasexepts">AUS!#REF!</definedName>
    <definedName name="Thomasexetries">AUS!#REF!</definedName>
    <definedName name="Thomashaydnpts">AUS!#REF!</definedName>
    <definedName name="Thomashaydntries">AUS!#REF!</definedName>
    <definedName name="Thomashenrybatpts">ARG!#REF!</definedName>
    <definedName name="Thomashenrybattries">ARG!#REF!</definedName>
    <definedName name="Thomashenrypts">JPN!#REF!</definedName>
    <definedName name="Thomashenrytries">JPN!#REF!</definedName>
    <definedName name="Thomasmartynpts">CAN!#REF!</definedName>
    <definedName name="Thomasmartyntries">CAN!#REF!</definedName>
    <definedName name="Thompsonnewpts">IRE!#REF!</definedName>
    <definedName name="Thompsonnewtries">IRE!#REF!</definedName>
    <definedName name="Thompsonpts">NZL!#REF!</definedName>
    <definedName name="thompsonscointpts">SCO!$G$44</definedName>
    <definedName name="thompsonscointptsscorrect">SCO!$G$45</definedName>
    <definedName name="thompsonscointtries">SCO!$C$45</definedName>
    <definedName name="Thompsonscoyratt">SCO!$K$11</definedName>
    <definedName name="Thompsonscoyrgls">SCO!$J$11</definedName>
    <definedName name="Thompsontries">NZL!#REF!</definedName>
    <definedName name="Thompsonwaspts">NZL!#REF!</definedName>
    <definedName name="Thompsonwastries">NZL!#REF!</definedName>
    <definedName name="Thompstoneleipts">FIJ!#REF!</definedName>
    <definedName name="Thompstoneleitries">FIJ!#REF!</definedName>
    <definedName name="Thompstonepts">FIJ!#REF!</definedName>
    <definedName name="Thompstoneptscorrect">FIJ!#REF!</definedName>
    <definedName name="thompstonetries">FIJ!#REF!</definedName>
    <definedName name="Thorleyglopts">CAN!#REF!</definedName>
    <definedName name="Thorleyglotries">CAN!#REF!</definedName>
    <definedName name="Thornleipts">FIJ!#REF!</definedName>
    <definedName name="Thornleitries">FIJ!#REF!</definedName>
    <definedName name="Thorperichardpts">GEO!#REF!</definedName>
    <definedName name="Thorperichardtries">GEO!#REF!</definedName>
    <definedName name="Tiesinewpts">IRE!#REF!</definedName>
    <definedName name="Tiesinewtries">IRE!#REF!</definedName>
    <definedName name="Tikoirotumaharpts">ENG!#REF!</definedName>
    <definedName name="Tikoirotumahartries">ENG!#REF!</definedName>
    <definedName name="Timoneyire6npts">IRE!$F$48</definedName>
    <definedName name="Timoneyire6ntries">IRE!$B$48</definedName>
    <definedName name="timoneyireintpts">IRE!#REF!</definedName>
    <definedName name="timoneyireintptscorrect">IRE!$G$48</definedName>
    <definedName name="timoneyireinttries">IRE!#REF!</definedName>
    <definedName name="timoneyireinttriescorrect">IRE!$C$48</definedName>
    <definedName name="Tincknelljamespts">GEO!#REF!</definedName>
    <definedName name="Tincknelljamestries">GEO!#REF!</definedName>
    <definedName name="tindallgloatt">CAN!#REF!</definedName>
    <definedName name="tindallglogoals">CAN!#REF!</definedName>
    <definedName name="Tindallmikepts">CAN!#REF!</definedName>
    <definedName name="Tindallmiketries">CAN!#REF!</definedName>
    <definedName name="Tipunanewpts">IRE!#REF!</definedName>
    <definedName name="Tipunanewtries">IRE!#REF!</definedName>
    <definedName name="tipuricwalintpts">WAL!$G$36</definedName>
    <definedName name="tipuricwalinttries">WAL!$C$36</definedName>
    <definedName name="Tomaszczyknewpts">IRE!#REF!</definedName>
    <definedName name="Tomaszczyknewtries">IRE!#REF!</definedName>
    <definedName name="Tomesnewpts">IRE!#REF!</definedName>
    <definedName name="Tomesnewtries">IRE!#REF!</definedName>
    <definedName name="Tomkinsjoelpts">NAM!#REF!</definedName>
    <definedName name="tomkinstries">NAM!#REF!</definedName>
    <definedName name="Tompkinsnickpts">NAM!#REF!</definedName>
    <definedName name="Tompkinsnicktries">NAM!#REF!</definedName>
    <definedName name="TompkinsWAL6NPTS">WAL!$F$38</definedName>
    <definedName name="TompkinsWAL6NTRIES">WAL!$B$38</definedName>
    <definedName name="tompkinswalintpts">WAL!$G$38</definedName>
    <definedName name="tompkinswalinttries">WAL!$C$38</definedName>
    <definedName name="Tooleausintpts">AUS!$G$46</definedName>
    <definedName name="Tooleausinttries">AUS!$C$46</definedName>
    <definedName name="Tooleausrcpts">AUS!$F$46</definedName>
    <definedName name="Tooleausrctries">AUS!$B$46</definedName>
    <definedName name="Tosinzlintpts">NZL!$F$40</definedName>
    <definedName name="Tosinzlinttries">NZL!$B$40</definedName>
    <definedName name="Townsendexepts">AUS!#REF!</definedName>
    <definedName name="Townsendexetries">AUS!#REF!</definedName>
    <definedName name="traoreitaintpts">ITA!$G$36</definedName>
    <definedName name="traoreitainttries">ITA!$C$36</definedName>
    <definedName name="Trayfootharpts">ENG!#REF!</definedName>
    <definedName name="Trayfoothartries">ENG!#REF!</definedName>
    <definedName name="Treadwellire6npts">IRE!#REF!</definedName>
    <definedName name="Treadwellire6ntries">IRE!#REF!</definedName>
    <definedName name="Trevettnathanpts">GEO!#REF!</definedName>
    <definedName name="Trevettnathantries">GEO!#REF!</definedName>
    <definedName name="Treviranuspts">FRA!#REF!</definedName>
    <definedName name="Treviranustries">FRA!#REF!</definedName>
    <definedName name="Trinderglopts">CAN!#REF!</definedName>
    <definedName name="Trinderhenrypts">CAN!#REF!</definedName>
    <definedName name="Trinderpts">CAN!#REF!</definedName>
    <definedName name="trindertries">CAN!#REF!</definedName>
    <definedName name="Trindertriestries">CAN!#REF!</definedName>
    <definedName name="Trullaita6npts">ITA!$F$39</definedName>
    <definedName name="Trullaita6ntries">ITA!$B$39</definedName>
    <definedName name="trullaitaintpts">ITA!$G$39</definedName>
    <definedName name="trullaitainttries">ITA!$C$39</definedName>
    <definedName name="TTaylornzlinttries">NZL!#REF!</definedName>
    <definedName name="Tualanorpts">ITA!#REF!</definedName>
    <definedName name="TualaNORTRIES">ITA!#REF!</definedName>
    <definedName name="Tuilagi__Alesananewgoals">IRE!#REF!</definedName>
    <definedName name="Tuilagi_Alesananewpts">IRE!#REF!</definedName>
    <definedName name="Tuilagi_Alesananewtries">IRE!#REF!</definedName>
    <definedName name="Tuilagi_Aniteleanewpts">IRE!#REF!</definedName>
    <definedName name="Tuilagi_Aniteleanewtries">IRE!#REF!</definedName>
    <definedName name="tuilagialesananewatt">IRE!#REF!</definedName>
    <definedName name="tuilagifraintpts">FRA!$G$53</definedName>
    <definedName name="tuilagifrainttries">FRA!$C$53</definedName>
    <definedName name="Tuilagimanupts">FIJ!#REF!</definedName>
    <definedName name="Tuilagimanutries">FIJ!#REF!</definedName>
    <definedName name="Tuipulotunzlintpts">NZL!$F$41</definedName>
    <definedName name="Tuipulotunzlinttries">NZL!$B$41</definedName>
    <definedName name="tuipulotuscointpts">SCO!$G$46</definedName>
    <definedName name="tuipulotuscointtries">SCO!$C$46</definedName>
    <definedName name="Tuitupousampts">JPN!#REF!</definedName>
    <definedName name="Tuitupousamtries">JPN!#REF!</definedName>
    <definedName name="Tupaeaintptscorrect">NZL!$F$42</definedName>
    <definedName name="tupaeanzlintpts">NZL!#REF!</definedName>
    <definedName name="tupaeanzlinttries">NZL!#REF!</definedName>
    <definedName name="Tupaeanzlinttriescorrect">NZL!$B$42</definedName>
    <definedName name="Tupaeanzlrcptscorrect">NZL!$G$42</definedName>
    <definedName name="Tupaeanzlrctries">NZL!$B$42</definedName>
    <definedName name="Tupaeanzlrctriescorrect">NZL!$C$42</definedName>
    <definedName name="tupouausintpts">AUS!$G$47</definedName>
    <definedName name="tupouausinttries">AUS!$C$47</definedName>
    <definedName name="Turner_Hallharpts">ENG!#REF!</definedName>
    <definedName name="Turner_Hallhartries">ENG!#REF!</definedName>
    <definedName name="Turnersco6npts">SCO!$F$47</definedName>
    <definedName name="Turnersco6ntries">SCO!$B$47</definedName>
    <definedName name="turnerscointpts">SCO!$G$47</definedName>
    <definedName name="turnerscointtries">SCO!$C$47</definedName>
    <definedName name="twelvetreesatt">CAN!#REF!</definedName>
    <definedName name="Twelvetreesglopts">CAN!#REF!</definedName>
    <definedName name="Twelvetreesglotries">CAN!#REF!</definedName>
    <definedName name="twelvetreesgoals">CAN!#REF!</definedName>
    <definedName name="Twelvetreespts">CAN!#REF!</definedName>
    <definedName name="Twelvetreestries">CAN!#REF!</definedName>
    <definedName name="Twomeyharpts">ENG!#REF!</definedName>
    <definedName name="Twomeyhartries">ENG!#REF!</definedName>
    <definedName name="underhilleng6npts">ENG!$G$43</definedName>
    <definedName name="underhilleng6ntries">ENG!$C$43</definedName>
    <definedName name="Underhillengintpts">ENG!$F$43</definedName>
    <definedName name="Underhillenginttries">ENG!$B$43</definedName>
    <definedName name="Vaa_Inzlintpts">NZL!$F$44</definedName>
    <definedName name="Vaa_Inzlinttries">NZL!$B$44</definedName>
    <definedName name="Vainikoloexepts">AUS!#REF!</definedName>
    <definedName name="Vainikoloexetries">AUS!#REF!</definedName>
    <definedName name="Vainikolopts">AUS!#REF!</definedName>
    <definedName name="Vainikolotries">AUS!#REF!</definedName>
    <definedName name="valetiniausintpts">AUS!$G$49</definedName>
    <definedName name="valetiniausinttries">AUS!$C$49</definedName>
    <definedName name="Valetiniausrcpts">AUS!$F$49</definedName>
    <definedName name="Valetiniausrctries">AUS!$B$49</definedName>
    <definedName name="van_den_Bergrsaintpts">RSA!$F$43</definedName>
    <definedName name="van_den_Bergrsainttries">RSA!$B$43</definedName>
    <definedName name="van_der_Flierire6npts">IRE!$F$49</definedName>
    <definedName name="van_der_Flierire6ntries">IRE!$B$49</definedName>
    <definedName name="van_der_Merwe_Mrsaintpts">RSA!$F$45</definedName>
    <definedName name="van_der_Merwe_Mrsainttries">RSA!$B$45</definedName>
    <definedName name="van_der_Merwe6nscopts">SCO!$F$48</definedName>
    <definedName name="van_der_Merwersaintpts">RSA!$F$44</definedName>
    <definedName name="van_der_Merwersainttries">RSA!$B$44</definedName>
    <definedName name="van_der_Merwesco6ntries">SCO!$B$48</definedName>
    <definedName name="van_Poortvlietengintpts">ENG!$F$44</definedName>
    <definedName name="van_Poortvlietenginttries">ENG!$B$44</definedName>
    <definedName name="van_Stadenrsaintpts">RSA!$F$46</definedName>
    <definedName name="van_Stadenrsainttries">RSA!$B$46</definedName>
    <definedName name="van_Velzegjpts">ITA!#REF!</definedName>
    <definedName name="van_Velzegjtries">ITA!#REF!</definedName>
    <definedName name="vandenbergrsarcpts">RSA!$G$43</definedName>
    <definedName name="vandenbergrsarctries">RSA!$C$43</definedName>
    <definedName name="VANDERFLIERIREINTPTS">IRE!$G$49</definedName>
    <definedName name="VANDERFLIERIREINTTRIES">IRE!$C$49</definedName>
    <definedName name="vandermerwescointpts">SCO!$G$48</definedName>
    <definedName name="vandermerwescointtries">SCO!$C$48</definedName>
    <definedName name="vanpoortvlietengintpts">ENG!#REF!</definedName>
    <definedName name="vanpoortvlietenginttries">ENG!#REF!</definedName>
    <definedName name="vanstadenrsatrcpts">RSA!$G$46</definedName>
    <definedName name="vanstadenrsatrctries">RSA!$C$46</definedName>
    <definedName name="Varndelltompts">NZL!#REF!</definedName>
    <definedName name="Varndelltomtries">NZL!#REF!</definedName>
    <definedName name="Varneyita6npts">ITA!$F$40</definedName>
    <definedName name="Varneyita6ntries">ITA!$B$40</definedName>
    <definedName name="VARNEYITAINTPTS">ITA!$G$40</definedName>
    <definedName name="VARNEYITAINTTRIES">ITA!$C$40</definedName>
    <definedName name="Varneyitayratt">ITA!$K$11</definedName>
    <definedName name="Varneyitayrgls">ITA!$J$11</definedName>
    <definedName name="Veataionelwelshpts">GEO!#REF!</definedName>
    <definedName name="Veataionelwelshtries">GEO!#REF!</definedName>
    <definedName name="Veataionepts">NZL!#REF!</definedName>
    <definedName name="Veataionetroes">NZL!#REF!</definedName>
    <definedName name="Vellanathanpts">GEO!#REF!</definedName>
    <definedName name="Vellanathantries">GEO!#REF!</definedName>
    <definedName name="Venter_Brsaintpts">RSA!$F$48</definedName>
    <definedName name="Venter_Brsainttries">RSA!$B$48</definedName>
    <definedName name="Venterrsaintpts">RSA!$F$47</definedName>
    <definedName name="Venterrsainttries">RSA!$B$47</definedName>
    <definedName name="Verbakelnorpts">ITA!#REF!</definedName>
    <definedName name="Verbakelnortries">ITA!#REF!</definedName>
    <definedName name="Vickersnewpts">IRE!#REF!</definedName>
    <definedName name="Vickersnewtries">IRE!#REF!</definedName>
    <definedName name="Villierefra6npts">FRA!$F$54</definedName>
    <definedName name="Villierefra6ntries">FRA!$B$54</definedName>
    <definedName name="villierefraintpts">FRA!$G$54</definedName>
    <definedName name="villierefrainttries">FRA!$C$54</definedName>
    <definedName name="Vintcentita6npts">ITA!$F$41</definedName>
    <definedName name="Vintcentita6ntries">ITA!$B$41</definedName>
    <definedName name="vintcentitaintpts">ITA!$G$41</definedName>
    <definedName name="vintcentitainttries">ITA!$C$41</definedName>
    <definedName name="Vunipola_Bsarpts">NAM!#REF!</definedName>
    <definedName name="Vunipola_Bsartries">NAM!#REF!</definedName>
    <definedName name="Vunipola_Msarpts">NAM!#REF!</definedName>
    <definedName name="Vunipola_Msartries">NAM!#REF!</definedName>
    <definedName name="vunipolabengintpts">ENG!#REF!</definedName>
    <definedName name="vunipolabenginttries">ENG!#REF!</definedName>
    <definedName name="Vunipolabillypts">NAM!#REF!</definedName>
    <definedName name="vunipolabillytries">NAM!#REF!</definedName>
    <definedName name="Vunipolamakopts">NAM!#REF!</definedName>
    <definedName name="vunipolamakotries">NAM!#REF!</definedName>
    <definedName name="vunivaluausintpts">AUS!$G$51</definedName>
    <definedName name="vunivaluausinttries">AUS!$C$51</definedName>
    <definedName name="Wadepts">NZL!#REF!</definedName>
    <definedName name="wadetries">NZL!#REF!</definedName>
    <definedName name="Wadewaspts">NZL!#REF!</definedName>
    <definedName name="Wadewastries">NZL!#REF!</definedName>
    <definedName name="wainwrightwal6npts">WAL!$F$40</definedName>
    <definedName name="wainwrightwal6ntries">WAL!$B$40</definedName>
    <definedName name="wainwrightwalintpts">WAL!$G$40</definedName>
    <definedName name="wainwrightwalinttries">WAL!$C$40</definedName>
    <definedName name="Waldoucknorpts">ITA!#REF!</definedName>
    <definedName name="Waldoucknortries">ITA!#REF!</definedName>
    <definedName name="Waldromexepts">AUS!#REF!</definedName>
    <definedName name="Waldromexetries">AUS!#REF!</definedName>
    <definedName name="Waldrompts">FIJ!#REF!</definedName>
    <definedName name="Waldromptscorrect">FIJ!#REF!</definedName>
    <definedName name="waldromtries">FIJ!#REF!</definedName>
    <definedName name="Waldromtriescorrect">FIJ!#REF!</definedName>
    <definedName name="Walkercharliehqtries">ENG!#REF!</definedName>
    <definedName name="Walkercharliepts">ENG!#REF!</definedName>
    <definedName name="Wallacelukepts">ENG!#REF!</definedName>
    <definedName name="Wallaceluketries">ENG!#REF!</definedName>
    <definedName name="wallerethanpts">ITA!#REF!</definedName>
    <definedName name="wallerethantries">ITA!#REF!</definedName>
    <definedName name="Warddavepts">ENG!#REF!</definedName>
    <definedName name="warddavetries">ENG!#REF!</definedName>
    <definedName name="warrscointpts">SCO!$G$49</definedName>
    <definedName name="warrscointtries">SCO!$C$49</definedName>
    <definedName name="warwickatt">GEO!#REF!</definedName>
    <definedName name="warwickgoals">GEO!#REF!</definedName>
    <definedName name="Warwickpaulpts">GEO!#REF!</definedName>
    <definedName name="Warwickpaultries">GEO!#REF!</definedName>
    <definedName name="waspspenaltytriespts">NZL!#REF!</definedName>
    <definedName name="waspspenaltytriestries">NZL!#REF!</definedName>
    <definedName name="waspspentries">NZL!#REF!</definedName>
    <definedName name="Waspspentriespts">NZL!#REF!</definedName>
    <definedName name="Waterswelpts">GEO!#REF!</definedName>
    <definedName name="Watersweltries">GEO!#REF!</definedName>
    <definedName name="Watkinwal6npts">WAL!$F$41</definedName>
    <definedName name="Watkinwal6ntries">WAL!$B$41</definedName>
    <definedName name="Watsonanthonypts">ARG!#REF!</definedName>
    <definedName name="Watsonanthonytries">ARG!#REF!</definedName>
    <definedName name="Watsoneng6npts">ENG!#REF!</definedName>
    <definedName name="Watsoneng6ntries">ENG!#REF!</definedName>
    <definedName name="WATSONENGINTPTS">ENG!#REF!</definedName>
    <definedName name="WATSONENGINTTRIES">ENG!#REF!</definedName>
    <definedName name="watsonscointpts">SCO!$G$50</definedName>
    <definedName name="watsonscointtries">SCO!$C$50</definedName>
    <definedName name="Webberpts">ARG!#REF!</definedName>
    <definedName name="Webberrobtries">ARG!#REF!</definedName>
    <definedName name="Webbertries">ARG!#REF!</definedName>
    <definedName name="Weepuwelshpts">GEO!#REF!</definedName>
    <definedName name="Weepuwelshtries">GEO!#REF!</definedName>
    <definedName name="Weirsco6natt">SCO!#REF!</definedName>
    <definedName name="Weirsco6ngoals">SCO!#REF!</definedName>
    <definedName name="Welchdamianpts">AUS!#REF!</definedName>
    <definedName name="Welchdamiantries">AUS!#REF!</definedName>
    <definedName name="Welchexepts">AUS!#REF!</definedName>
    <definedName name="Welchexetries">AUS!#REF!</definedName>
    <definedName name="Welchwillpts">IRE!#REF!</definedName>
    <definedName name="Welchwilltries">IRE!#REF!</definedName>
    <definedName name="Wellsharrypts">FIJ!#REF!</definedName>
    <definedName name="Wellsharrytries">FIJ!#REF!</definedName>
    <definedName name="Wesselsrsaintpts">RSA!$F$49</definedName>
    <definedName name="Wesselsrsainttries">RSA!$B$49</definedName>
    <definedName name="Westbenpts">GEO!#REF!</definedName>
    <definedName name="Westbentries">GEO!#REF!</definedName>
    <definedName name="Whiteausrcpts">AUS!$F$53</definedName>
    <definedName name="Whiteausrctries">AUS!$B$53</definedName>
    <definedName name="Whiteaustrcpts">AUS!$F$50</definedName>
    <definedName name="Whiteaustrctries">AUS!$B$50</definedName>
    <definedName name="whiteausyratt">AUS!$K$11</definedName>
    <definedName name="whiteausyrgls">AUS!$J$11</definedName>
    <definedName name="Whiteexepts">AUS!#REF!</definedName>
    <definedName name="Whiteheadchrispts">AUS!#REF!</definedName>
    <definedName name="Whiteheadchristries">AUS!#REF!</definedName>
    <definedName name="Whitelocknxlrctries">NZL!$C$45</definedName>
    <definedName name="Whitelocknzlrcpts">NZL!$G$45</definedName>
    <definedName name="Whitepts">AUS!#REF!</definedName>
    <definedName name="Whitesco6npts">SCO!$F$51</definedName>
    <definedName name="Whitesco6ntries">SCO!$B$51</definedName>
    <definedName name="whitescointpts">SCO!$G$51</definedName>
    <definedName name="whitescointtries">SCO!$C$51</definedName>
    <definedName name="whitetrie">AUS!#REF!</definedName>
    <definedName name="Whittenpts">AUS!#REF!</definedName>
    <definedName name="Whittentries">AUS!#REF!</definedName>
    <definedName name="Wiesersarcpts">RSA!$G$50</definedName>
    <definedName name="Wiesersarctries">RSA!$C$50</definedName>
    <definedName name="Wigglesworthrichardpts">NAM!#REF!</definedName>
    <definedName name="Wigglesworthrichardtries">NAM!#REF!</definedName>
    <definedName name="wigglesworthsaratt">NAM!#REF!</definedName>
    <definedName name="Wigglesworthsargoals">NAM!#REF!</definedName>
    <definedName name="wilcowrsarctries">RSA!$C$28</definedName>
    <definedName name="WILLEMSEDRSAINTTRIES">RSA!#REF!</definedName>
    <definedName name="Willemsefra6npts">FRA!$F$57</definedName>
    <definedName name="Willemsefra6ntries">FRA!$B$57</definedName>
    <definedName name="willemsersaintpts">RSA!#REF!</definedName>
    <definedName name="Willemsersaintptscorrect">RSA!$F$52</definedName>
    <definedName name="Willemsersainttries">RSA!$B$52</definedName>
    <definedName name="Willemsersarcpts">RSA!$G$52</definedName>
    <definedName name="Willemsersarctries">RSA!$C$52</definedName>
    <definedName name="willemsersayratt">RSA!$K$11</definedName>
    <definedName name="Willemsersayrgls">RSA!$J$11</definedName>
    <definedName name="Williams_Lwal6npts">WAL!$F$42</definedName>
    <definedName name="Williams_Lwal6Ntries">WAL!$B$42</definedName>
    <definedName name="Williams_Owal6ngls">WAL!$J$23</definedName>
    <definedName name="Williams_Owal6npts">WAL!$F$43</definedName>
    <definedName name="Williams_Owal6ntries">WAL!$B$43</definedName>
    <definedName name="Williams_Owalyrgls">WAL!$J$11</definedName>
    <definedName name="Williams_Twal6ntries">WAL!$B$44</definedName>
    <definedName name="Williamsbenpts">ARG!#REF!</definedName>
    <definedName name="Williamsbentries">ARG!#REF!</definedName>
    <definedName name="Williamsleipts">FIJ!#REF!</definedName>
    <definedName name="Williamsleitries">FIJ!#REF!</definedName>
    <definedName name="williamslwalintpts">WAL!$G$42</definedName>
    <definedName name="williamslwalinttries">WAL!$C$42</definedName>
    <definedName name="Williamsmikepts">GEO!#REF!</definedName>
    <definedName name="Williamsmiketries">GEO!#REF!</definedName>
    <definedName name="Williamsmiketriescorrect">GEO!#REF!</definedName>
    <definedName name="Williamsonsco6npts">SCO!$F$52</definedName>
    <definedName name="Williamsonsco6ntries">SCO!$B$52</definedName>
    <definedName name="Williamsonscointpts">SCO!$G$52</definedName>
    <definedName name="Williamsonscointtries">SCO!$C$52</definedName>
    <definedName name="williamsowal6natt">WAL!$K$23</definedName>
    <definedName name="williamsowalintpts">WAL!$G$43</definedName>
    <definedName name="williamsowalinttries">WAL!$C$43</definedName>
    <definedName name="williamsowalyratt">WAL!$K$11</definedName>
    <definedName name="williamsowenatt">FIJ!#REF!</definedName>
    <definedName name="williamsowengoals">FIJ!#REF!</definedName>
    <definedName name="Williamsowenpts">FIJ!#REF!</definedName>
    <definedName name="Williamsowenptscorrect">FIJ!#REF!</definedName>
    <definedName name="Williamsrsaintpts">RSA!$F$51</definedName>
    <definedName name="Williamsrsainttries">RSA!$B$51</definedName>
    <definedName name="williamsrsatrcpts">RSA!$G$51</definedName>
    <definedName name="williamsrsatrctries">RSA!$C$51</definedName>
    <definedName name="Williamstnzlintpts">NZL!$F$45</definedName>
    <definedName name="Williamstnzlinttries">NZL!$B$45</definedName>
    <definedName name="Williamstompts">ENG!#REF!</definedName>
    <definedName name="Williamstomtries">ENG!#REF!</definedName>
    <definedName name="Williamstomtriescorrect">ENG!#REF!</definedName>
    <definedName name="williamstwal6npts">WAL!$F$44</definedName>
    <definedName name="williamstwalintpts">WAL!$G$44</definedName>
    <definedName name="williamstwalinttries">WAL!$C$44</definedName>
    <definedName name="Willis_Jeng6npts">ENG!#REF!</definedName>
    <definedName name="Willis_Jeng6ntries">ENG!#REF!</definedName>
    <definedName name="Willis_Teng6npts">ENG!#REF!</definedName>
    <definedName name="Willis_Teng6ntries">ENG!#REF!</definedName>
    <definedName name="Willis_Tengintpts">ENG!#REF!</definedName>
    <definedName name="Willis_Tenginttries">ENG!#REF!</definedName>
    <definedName name="willisengintpts">ENG!#REF!</definedName>
    <definedName name="willisenginttries">ENG!#REF!</definedName>
    <definedName name="Wilson_Markpts">IRE!#REF!</definedName>
    <definedName name="Wilson_Marktries">IRE!#REF!</definedName>
    <definedName name="Wilson_Snewpts">IRE!#REF!</definedName>
    <definedName name="Wilson_Snewtries">IRE!#REF!</definedName>
    <definedName name="wilsonausintpts">AUS!$G$52</definedName>
    <definedName name="wilsonausinttries">AUS!$C$52</definedName>
    <definedName name="Wilsonaustrcpts">AUS!$F$52</definedName>
    <definedName name="Wilsonaustrctries">AUS!$B$52</definedName>
    <definedName name="Wilsondavidpts">ARG!#REF!</definedName>
    <definedName name="Wilsondavidtries">ARG!#REF!</definedName>
    <definedName name="Wilsonjackpts">NAM!#REF!</definedName>
    <definedName name="Wilsonjacktries">NAM!#REF!</definedName>
    <definedName name="Wilsonjacktriescorr">NAM!#REF!</definedName>
    <definedName name="Wilsonjacktriescorrect">NAM!#REF!</definedName>
    <definedName name="wilsonjamesatt">ITA!#REF!</definedName>
    <definedName name="Wilsonjamesgoals">ITA!#REF!</definedName>
    <definedName name="Wilsonjamesnorpts">ITA!#REF!</definedName>
    <definedName name="Wilsonjamespts">ITA!#REF!</definedName>
    <definedName name="Wilsonjamesptscorrect">ITA!#REF!</definedName>
    <definedName name="wilsonjamestries">ITA!#REF!</definedName>
    <definedName name="Wilsonjamestriescorrect">ITA!#REF!</definedName>
    <definedName name="Wittynewpts">IRE!#REF!</definedName>
    <definedName name="Wittynewtries">IRE!#REF!</definedName>
    <definedName name="wokifraintpts">FRA!$G$58</definedName>
    <definedName name="wokifrainttries">FRA!$C$58</definedName>
    <definedName name="Woodburnollypts">ARG!#REF!</definedName>
    <definedName name="woodburnollytries">ARG!#REF!</definedName>
    <definedName name="Woodglopts">CAN!#REF!</definedName>
    <definedName name="Woodglotries">CAN!#REF!</definedName>
    <definedName name="Woodtompts">ITA!#REF!</definedName>
    <definedName name="Woodtomptscorrect">ITA!#REF!</definedName>
    <definedName name="woodtomtries">ITA!#REF!</definedName>
    <definedName name="Woodtomtriescorrect">ITA!#REF!</definedName>
    <definedName name="worcesterpentries">GEO!#REF!</definedName>
    <definedName name="worcesterpentriespts">GEO!#REF!</definedName>
    <definedName name="Wrayjacksonpts">NAM!#REF!</definedName>
    <definedName name="Wrayjacksontries">NAM!#REF!</definedName>
    <definedName name="wrightausintpts">AUS!#REF!</definedName>
    <definedName name="wrightausinttries">AUS!#REF!</definedName>
    <definedName name="wrightauspts">AUS!$G$53</definedName>
    <definedName name="wrightaustries">AUS!$C$53</definedName>
    <definedName name="Wylespts">NAM!#REF!</definedName>
    <definedName name="wylestries">NAM!#REF!</definedName>
    <definedName name="Yappwaspts">NZL!#REF!</definedName>
    <definedName name="Yappwastries">NZL!#REF!</definedName>
    <definedName name="Yardeharpts">ENG!#REF!</definedName>
    <definedName name="Yardehartries">ENG!#REF!</definedName>
    <definedName name="Yardepts">FRA!#REF!</definedName>
    <definedName name="yardetries">FRA!#REF!</definedName>
    <definedName name="Yeandlejackpts">AUS!#REF!</definedName>
    <definedName name="Yeandlejacktries">AUS!#REF!</definedName>
    <definedName name="Yorkchrispts">IRE!#REF!</definedName>
    <definedName name="Yorkchristries">IRE!#REF!</definedName>
    <definedName name="Youngmickypts">ARG!#REF!</definedName>
    <definedName name="Youngmickytries">ARG!#REF!</definedName>
    <definedName name="youngsbatt">FIJ!#REF!</definedName>
    <definedName name="Youngsbenpts">FIJ!#REF!</definedName>
    <definedName name="Youngsbenptscorrect">FIJ!#REF!</definedName>
    <definedName name="youngsbentries">FIJ!#REF!</definedName>
    <definedName name="youngsbgoals">FIJ!#REF!</definedName>
    <definedName name="youngstompts">FIJ!#REF!</definedName>
    <definedName name="youngstomtries">FIJ!#REF!</definedName>
    <definedName name="Youngwaspts">NZL!#REF!</definedName>
    <definedName name="Youngwastries">NZL!#REF!</definedName>
    <definedName name="zamboninitaintpts">ITA!$G$42</definedName>
    <definedName name="zamboninitainttries">ITA!$C$42</definedName>
    <definedName name="zanonitaintpts">ITA!$G$43</definedName>
    <definedName name="zanonitainttries">ITA!$C$43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1" i="22" l="1"/>
  <c r="J11" i="22"/>
  <c r="J10" i="22"/>
  <c r="I10" i="22"/>
  <c r="K10" i="22"/>
  <c r="J4" i="22"/>
  <c r="I4" i="22"/>
  <c r="K4" i="22" s="1"/>
  <c r="L16" i="4"/>
  <c r="L8" i="4"/>
  <c r="O8" i="4"/>
  <c r="G91" i="4"/>
  <c r="F91" i="4"/>
  <c r="C91" i="4"/>
  <c r="B91" i="4"/>
  <c r="H90" i="4"/>
  <c r="D90" i="4"/>
  <c r="H58" i="4"/>
  <c r="D56" i="4"/>
  <c r="H89" i="4"/>
  <c r="D89" i="4"/>
  <c r="H88" i="4"/>
  <c r="D88" i="4"/>
  <c r="H87" i="4"/>
  <c r="D87" i="4"/>
  <c r="H54" i="4"/>
  <c r="D86" i="4"/>
  <c r="H86" i="4"/>
  <c r="D85" i="4"/>
  <c r="H85" i="4"/>
  <c r="D84" i="4"/>
  <c r="H53" i="4"/>
  <c r="D52" i="4"/>
  <c r="H84" i="4"/>
  <c r="D83" i="4"/>
  <c r="H83" i="4"/>
  <c r="D82" i="4"/>
  <c r="H82" i="4"/>
  <c r="D81" i="4"/>
  <c r="H55" i="4"/>
  <c r="D55" i="4"/>
  <c r="H81" i="4"/>
  <c r="D80" i="4"/>
  <c r="H80" i="4"/>
  <c r="D79" i="4"/>
  <c r="H79" i="4"/>
  <c r="D78" i="4"/>
  <c r="H78" i="4"/>
  <c r="D77" i="4"/>
  <c r="H77" i="4"/>
  <c r="D76" i="4"/>
  <c r="H76" i="4"/>
  <c r="D75" i="4"/>
  <c r="H75" i="4"/>
  <c r="D74" i="4"/>
  <c r="H57" i="4"/>
  <c r="D54" i="4"/>
  <c r="H74" i="4"/>
  <c r="D73" i="4"/>
  <c r="H73" i="4"/>
  <c r="D72" i="4"/>
  <c r="H72" i="4"/>
  <c r="D71" i="4"/>
  <c r="H71" i="4"/>
  <c r="D70" i="4"/>
  <c r="H70" i="4"/>
  <c r="D69" i="4"/>
  <c r="H69" i="4"/>
  <c r="D68" i="4"/>
  <c r="H52" i="4"/>
  <c r="D51" i="4"/>
  <c r="H49" i="4"/>
  <c r="D67" i="4"/>
  <c r="H68" i="4"/>
  <c r="D66" i="4"/>
  <c r="H51" i="4"/>
  <c r="D50" i="4"/>
  <c r="H56" i="4"/>
  <c r="D53" i="4"/>
  <c r="H67" i="4"/>
  <c r="D65" i="4"/>
  <c r="H66" i="4"/>
  <c r="D64" i="4"/>
  <c r="H65" i="4"/>
  <c r="D63" i="4"/>
  <c r="H64" i="4"/>
  <c r="D62" i="4"/>
  <c r="H63" i="4"/>
  <c r="D61" i="4"/>
  <c r="H62" i="4"/>
  <c r="D60" i="4"/>
  <c r="H61" i="4"/>
  <c r="D59" i="4"/>
  <c r="H60" i="4"/>
  <c r="D58" i="4"/>
  <c r="H59" i="4"/>
  <c r="D57" i="4"/>
  <c r="H50" i="4"/>
  <c r="H91" i="4" s="1"/>
  <c r="D49" i="4"/>
  <c r="G88" i="9"/>
  <c r="F88" i="9"/>
  <c r="H88" i="9" s="1"/>
  <c r="C88" i="9"/>
  <c r="B88" i="9"/>
  <c r="D88" i="9" s="1"/>
  <c r="H87" i="9"/>
  <c r="D87" i="9"/>
  <c r="H86" i="9"/>
  <c r="D86" i="9"/>
  <c r="H85" i="9"/>
  <c r="D85" i="9"/>
  <c r="H84" i="9"/>
  <c r="D84" i="9"/>
  <c r="H83" i="9"/>
  <c r="D83" i="9"/>
  <c r="H82" i="9"/>
  <c r="D82" i="9"/>
  <c r="H81" i="9"/>
  <c r="D81" i="9"/>
  <c r="H80" i="9"/>
  <c r="D80" i="9"/>
  <c r="H79" i="9"/>
  <c r="D79" i="9"/>
  <c r="H78" i="9"/>
  <c r="D78" i="9"/>
  <c r="H77" i="9"/>
  <c r="D77" i="9"/>
  <c r="H76" i="9"/>
  <c r="D76" i="9"/>
  <c r="H75" i="9"/>
  <c r="D75" i="9"/>
  <c r="H52" i="9"/>
  <c r="D51" i="9"/>
  <c r="H74" i="9"/>
  <c r="D74" i="9"/>
  <c r="H73" i="9"/>
  <c r="D73" i="9"/>
  <c r="H72" i="9"/>
  <c r="D72" i="9"/>
  <c r="H48" i="9"/>
  <c r="D47" i="9"/>
  <c r="H51" i="9"/>
  <c r="D50" i="9"/>
  <c r="H50" i="9"/>
  <c r="D49" i="9"/>
  <c r="H71" i="9"/>
  <c r="D71" i="9"/>
  <c r="H70" i="9"/>
  <c r="D70" i="9"/>
  <c r="H69" i="9"/>
  <c r="D69" i="9"/>
  <c r="H68" i="9"/>
  <c r="D68" i="9"/>
  <c r="H47" i="9"/>
  <c r="D67" i="9"/>
  <c r="H67" i="9"/>
  <c r="D66" i="9"/>
  <c r="H66" i="9"/>
  <c r="D65" i="9"/>
  <c r="H65" i="9"/>
  <c r="D64" i="9"/>
  <c r="H64" i="9"/>
  <c r="D63" i="9"/>
  <c r="H63" i="9"/>
  <c r="D62" i="9"/>
  <c r="H62" i="9"/>
  <c r="D61" i="9"/>
  <c r="H61" i="9"/>
  <c r="D60" i="9"/>
  <c r="H60" i="9"/>
  <c r="D59" i="9"/>
  <c r="H59" i="9"/>
  <c r="D58" i="9"/>
  <c r="H49" i="9"/>
  <c r="D48" i="9"/>
  <c r="H58" i="9"/>
  <c r="D57" i="9"/>
  <c r="H57" i="9"/>
  <c r="D56" i="9"/>
  <c r="H56" i="9"/>
  <c r="D55" i="9"/>
  <c r="H55" i="9"/>
  <c r="D54" i="9"/>
  <c r="H54" i="9"/>
  <c r="D53" i="9"/>
  <c r="H53" i="9"/>
  <c r="D52" i="9"/>
  <c r="F47" i="22"/>
  <c r="C40" i="22"/>
  <c r="H47" i="23"/>
  <c r="C40" i="23"/>
  <c r="G119" i="6"/>
  <c r="F119" i="6"/>
  <c r="H119" i="6" s="1"/>
  <c r="C119" i="6"/>
  <c r="B119" i="6"/>
  <c r="D119" i="6" s="1"/>
  <c r="H118" i="6"/>
  <c r="D118" i="6"/>
  <c r="H117" i="6"/>
  <c r="D117" i="6"/>
  <c r="H116" i="6"/>
  <c r="D116" i="6"/>
  <c r="H115" i="6"/>
  <c r="D115" i="6"/>
  <c r="H114" i="6"/>
  <c r="D114" i="6"/>
  <c r="H113" i="6"/>
  <c r="D113" i="6"/>
  <c r="H112" i="6"/>
  <c r="D112" i="6"/>
  <c r="H111" i="6"/>
  <c r="D111" i="6"/>
  <c r="H110" i="6"/>
  <c r="D110" i="6"/>
  <c r="H109" i="6"/>
  <c r="D109" i="6"/>
  <c r="H63" i="6"/>
  <c r="D65" i="6"/>
  <c r="H108" i="6"/>
  <c r="D108" i="6"/>
  <c r="H107" i="6"/>
  <c r="D107" i="6"/>
  <c r="H68" i="6"/>
  <c r="D68" i="6"/>
  <c r="H106" i="6"/>
  <c r="D106" i="6"/>
  <c r="H105" i="6"/>
  <c r="D105" i="6"/>
  <c r="H74" i="6"/>
  <c r="D74" i="6"/>
  <c r="H104" i="6"/>
  <c r="D104" i="6"/>
  <c r="H73" i="6"/>
  <c r="D73" i="6"/>
  <c r="H103" i="6"/>
  <c r="D103" i="6"/>
  <c r="H102" i="6"/>
  <c r="D102" i="6"/>
  <c r="H101" i="6"/>
  <c r="D101" i="6"/>
  <c r="H100" i="6"/>
  <c r="D100" i="6"/>
  <c r="H72" i="6"/>
  <c r="D72" i="6"/>
  <c r="H67" i="6"/>
  <c r="D67" i="6"/>
  <c r="H99" i="6"/>
  <c r="D99" i="6"/>
  <c r="H98" i="6"/>
  <c r="D98" i="6"/>
  <c r="H97" i="6"/>
  <c r="D97" i="6"/>
  <c r="H66" i="6"/>
  <c r="D66" i="6"/>
  <c r="H96" i="6"/>
  <c r="D96" i="6"/>
  <c r="H95" i="6"/>
  <c r="D95" i="6"/>
  <c r="H94" i="6"/>
  <c r="D94" i="6"/>
  <c r="H93" i="6"/>
  <c r="D93" i="6"/>
  <c r="H92" i="6"/>
  <c r="D92" i="6"/>
  <c r="H71" i="6"/>
  <c r="D71" i="6"/>
  <c r="H91" i="6"/>
  <c r="D91" i="6"/>
  <c r="H70" i="6"/>
  <c r="D70" i="6"/>
  <c r="H90" i="6"/>
  <c r="D90" i="6"/>
  <c r="H89" i="6"/>
  <c r="D89" i="6"/>
  <c r="H88" i="6"/>
  <c r="D88" i="6"/>
  <c r="H87" i="6"/>
  <c r="D87" i="6"/>
  <c r="H86" i="6"/>
  <c r="D86" i="6"/>
  <c r="H85" i="6"/>
  <c r="D85" i="6"/>
  <c r="H84" i="6"/>
  <c r="D84" i="6"/>
  <c r="H69" i="6"/>
  <c r="D69" i="6"/>
  <c r="H83" i="6"/>
  <c r="D83" i="6"/>
  <c r="H82" i="6"/>
  <c r="D82" i="6"/>
  <c r="H64" i="6"/>
  <c r="D63" i="6"/>
  <c r="H81" i="6"/>
  <c r="D81" i="6"/>
  <c r="H80" i="6"/>
  <c r="D80" i="6"/>
  <c r="H79" i="6"/>
  <c r="D79" i="6"/>
  <c r="H78" i="6"/>
  <c r="D78" i="6"/>
  <c r="H65" i="6"/>
  <c r="D64" i="6"/>
  <c r="H77" i="6"/>
  <c r="D77" i="6"/>
  <c r="H76" i="6"/>
  <c r="D76" i="6"/>
  <c r="H75" i="6"/>
  <c r="D75" i="6"/>
  <c r="G107" i="16"/>
  <c r="F107" i="16"/>
  <c r="H107" i="16" s="1"/>
  <c r="C107" i="16"/>
  <c r="B107" i="16"/>
  <c r="D107" i="16" s="1"/>
  <c r="H106" i="16"/>
  <c r="D106" i="16"/>
  <c r="H61" i="16"/>
  <c r="D60" i="16"/>
  <c r="H105" i="16"/>
  <c r="D105" i="16"/>
  <c r="H104" i="16"/>
  <c r="D104" i="16"/>
  <c r="H103" i="16"/>
  <c r="D103" i="16"/>
  <c r="H67" i="16"/>
  <c r="D67" i="16"/>
  <c r="H102" i="16"/>
  <c r="D102" i="16"/>
  <c r="H101" i="16"/>
  <c r="D101" i="16"/>
  <c r="H100" i="16"/>
  <c r="D100" i="16"/>
  <c r="H59" i="16"/>
  <c r="D58" i="16"/>
  <c r="H99" i="16"/>
  <c r="D99" i="16"/>
  <c r="H98" i="16"/>
  <c r="D98" i="16"/>
  <c r="H97" i="16"/>
  <c r="D97" i="16"/>
  <c r="H66" i="16"/>
  <c r="D66" i="16"/>
  <c r="H57" i="16"/>
  <c r="D65" i="16"/>
  <c r="H96" i="16"/>
  <c r="D96" i="16"/>
  <c r="H65" i="16"/>
  <c r="D64" i="16"/>
  <c r="H95" i="16"/>
  <c r="D95" i="16"/>
  <c r="H94" i="16"/>
  <c r="D94" i="16"/>
  <c r="H93" i="16"/>
  <c r="D93" i="16"/>
  <c r="H92" i="16"/>
  <c r="D92" i="16"/>
  <c r="H91" i="16"/>
  <c r="D91" i="16"/>
  <c r="H90" i="16"/>
  <c r="D90" i="16"/>
  <c r="H89" i="16"/>
  <c r="D89" i="16"/>
  <c r="H88" i="16"/>
  <c r="D88" i="16"/>
  <c r="H87" i="16"/>
  <c r="D87" i="16"/>
  <c r="H64" i="16"/>
  <c r="D63" i="16"/>
  <c r="H60" i="16"/>
  <c r="D59" i="16"/>
  <c r="H86" i="16"/>
  <c r="D86" i="16"/>
  <c r="H85" i="16"/>
  <c r="D85" i="16"/>
  <c r="H63" i="16"/>
  <c r="D62" i="16"/>
  <c r="H84" i="16"/>
  <c r="D84" i="16"/>
  <c r="H83" i="16"/>
  <c r="D83" i="16"/>
  <c r="H82" i="16"/>
  <c r="D82" i="16"/>
  <c r="H81" i="16"/>
  <c r="D81" i="16"/>
  <c r="H80" i="16"/>
  <c r="D80" i="16"/>
  <c r="H58" i="16"/>
  <c r="D57" i="16"/>
  <c r="H79" i="16"/>
  <c r="D79" i="16"/>
  <c r="H78" i="16"/>
  <c r="D78" i="16"/>
  <c r="H77" i="16"/>
  <c r="D77" i="16"/>
  <c r="H76" i="16"/>
  <c r="D76" i="16"/>
  <c r="H62" i="16"/>
  <c r="D61" i="16"/>
  <c r="H75" i="16"/>
  <c r="D75" i="16"/>
  <c r="H74" i="16"/>
  <c r="D74" i="16"/>
  <c r="H73" i="16"/>
  <c r="D73" i="16"/>
  <c r="H72" i="16"/>
  <c r="D72" i="16"/>
  <c r="H71" i="16"/>
  <c r="D71" i="16"/>
  <c r="H70" i="16"/>
  <c r="D70" i="16"/>
  <c r="H69" i="16"/>
  <c r="D69" i="16"/>
  <c r="H68" i="16"/>
  <c r="D68" i="16"/>
  <c r="F55" i="22"/>
  <c r="C50" i="22"/>
  <c r="O6" i="21"/>
  <c r="G91" i="21"/>
  <c r="F91" i="21"/>
  <c r="H91" i="21" s="1"/>
  <c r="C91" i="21"/>
  <c r="B91" i="21"/>
  <c r="D91" i="21" s="1"/>
  <c r="H90" i="21"/>
  <c r="D90" i="21"/>
  <c r="H89" i="21"/>
  <c r="D89" i="21"/>
  <c r="H88" i="21"/>
  <c r="D88" i="21"/>
  <c r="H87" i="21"/>
  <c r="D87" i="21"/>
  <c r="H86" i="21"/>
  <c r="D86" i="21"/>
  <c r="H85" i="21"/>
  <c r="D85" i="21"/>
  <c r="H84" i="21"/>
  <c r="D84" i="21"/>
  <c r="H83" i="21"/>
  <c r="D83" i="21"/>
  <c r="H82" i="21"/>
  <c r="D82" i="21"/>
  <c r="H81" i="21"/>
  <c r="D81" i="21"/>
  <c r="H80" i="21"/>
  <c r="D80" i="21"/>
  <c r="H79" i="21"/>
  <c r="D79" i="21"/>
  <c r="H78" i="21"/>
  <c r="D78" i="21"/>
  <c r="H77" i="21"/>
  <c r="D77" i="21"/>
  <c r="H76" i="21"/>
  <c r="D76" i="21"/>
  <c r="H75" i="21"/>
  <c r="D75" i="21"/>
  <c r="H74" i="21"/>
  <c r="D74" i="21"/>
  <c r="H73" i="21"/>
  <c r="D73" i="21"/>
  <c r="H72" i="21"/>
  <c r="D72" i="21"/>
  <c r="H71" i="21"/>
  <c r="D71" i="21"/>
  <c r="H70" i="21"/>
  <c r="D70" i="21"/>
  <c r="H69" i="21"/>
  <c r="D69" i="21"/>
  <c r="H68" i="21"/>
  <c r="D68" i="21"/>
  <c r="H67" i="21"/>
  <c r="D67" i="21"/>
  <c r="H54" i="21"/>
  <c r="D52" i="21"/>
  <c r="H66" i="21"/>
  <c r="D66" i="21"/>
  <c r="H65" i="21"/>
  <c r="D65" i="21"/>
  <c r="H55" i="21"/>
  <c r="D64" i="21"/>
  <c r="H64" i="21"/>
  <c r="D63" i="21"/>
  <c r="H63" i="21"/>
  <c r="D62" i="21"/>
  <c r="H50" i="21"/>
  <c r="D61" i="21"/>
  <c r="H62" i="21"/>
  <c r="D60" i="21"/>
  <c r="H61" i="21"/>
  <c r="D59" i="21"/>
  <c r="H60" i="21"/>
  <c r="D58" i="21"/>
  <c r="H52" i="21"/>
  <c r="D57" i="21"/>
  <c r="H49" i="21"/>
  <c r="D49" i="21"/>
  <c r="H53" i="21"/>
  <c r="D51" i="21"/>
  <c r="H59" i="21"/>
  <c r="D56" i="21"/>
  <c r="H58" i="21"/>
  <c r="D55" i="21"/>
  <c r="H57" i="21"/>
  <c r="D54" i="21"/>
  <c r="H56" i="21"/>
  <c r="D53" i="21"/>
  <c r="H51" i="21"/>
  <c r="D50" i="21"/>
  <c r="G101" i="8"/>
  <c r="F101" i="8"/>
  <c r="H101" i="8" s="1"/>
  <c r="C101" i="8"/>
  <c r="B101" i="8"/>
  <c r="H100" i="8"/>
  <c r="D100" i="8"/>
  <c r="H63" i="8"/>
  <c r="D63" i="8"/>
  <c r="H62" i="8"/>
  <c r="D62" i="8"/>
  <c r="H61" i="8"/>
  <c r="D61" i="8"/>
  <c r="H99" i="8"/>
  <c r="D99" i="8"/>
  <c r="H98" i="8"/>
  <c r="D98" i="8"/>
  <c r="H64" i="8"/>
  <c r="D97" i="8"/>
  <c r="H97" i="8"/>
  <c r="D96" i="8"/>
  <c r="H96" i="8"/>
  <c r="D95" i="8"/>
  <c r="H95" i="8"/>
  <c r="D94" i="8"/>
  <c r="H55" i="8"/>
  <c r="D54" i="8"/>
  <c r="H94" i="8"/>
  <c r="D93" i="8"/>
  <c r="H60" i="8"/>
  <c r="D60" i="8"/>
  <c r="H93" i="8"/>
  <c r="D92" i="8"/>
  <c r="H92" i="8"/>
  <c r="D91" i="8"/>
  <c r="H59" i="8"/>
  <c r="D59" i="8"/>
  <c r="H91" i="8"/>
  <c r="D90" i="8"/>
  <c r="H90" i="8"/>
  <c r="D89" i="8"/>
  <c r="H89" i="8"/>
  <c r="D88" i="8"/>
  <c r="H88" i="8"/>
  <c r="D87" i="8"/>
  <c r="H87" i="8"/>
  <c r="D86" i="8"/>
  <c r="H86" i="8"/>
  <c r="D85" i="8"/>
  <c r="H85" i="8"/>
  <c r="D84" i="8"/>
  <c r="H84" i="8"/>
  <c r="D83" i="8"/>
  <c r="H83" i="8"/>
  <c r="D82" i="8"/>
  <c r="H82" i="8"/>
  <c r="D81" i="8"/>
  <c r="H81" i="8"/>
  <c r="D80" i="8"/>
  <c r="H80" i="8"/>
  <c r="D79" i="8"/>
  <c r="H79" i="8"/>
  <c r="D78" i="8"/>
  <c r="H78" i="8"/>
  <c r="D77" i="8"/>
  <c r="H58" i="8"/>
  <c r="D58" i="8"/>
  <c r="H77" i="8"/>
  <c r="D76" i="8"/>
  <c r="H76" i="8"/>
  <c r="D75" i="8"/>
  <c r="H75" i="8"/>
  <c r="D74" i="8"/>
  <c r="H74" i="8"/>
  <c r="D73" i="8"/>
  <c r="H54" i="8"/>
  <c r="D57" i="8"/>
  <c r="H57" i="8"/>
  <c r="D56" i="8"/>
  <c r="H73" i="8"/>
  <c r="D72" i="8"/>
  <c r="H72" i="8"/>
  <c r="D71" i="8"/>
  <c r="H71" i="8"/>
  <c r="D70" i="8"/>
  <c r="H70" i="8"/>
  <c r="D69" i="8"/>
  <c r="H69" i="8"/>
  <c r="D68" i="8"/>
  <c r="H68" i="8"/>
  <c r="D67" i="8"/>
  <c r="H67" i="8"/>
  <c r="D66" i="8"/>
  <c r="H56" i="8"/>
  <c r="D55" i="8"/>
  <c r="H66" i="8"/>
  <c r="D65" i="8"/>
  <c r="H65" i="8"/>
  <c r="D64" i="8"/>
  <c r="I55" i="23"/>
  <c r="H55" i="23"/>
  <c r="D50" i="23"/>
  <c r="C50" i="23"/>
  <c r="H47" i="8"/>
  <c r="D47" i="8"/>
  <c r="F37" i="22"/>
  <c r="C30" i="22"/>
  <c r="F48" i="22"/>
  <c r="C41" i="22"/>
  <c r="I37" i="23"/>
  <c r="H37" i="23"/>
  <c r="D30" i="23"/>
  <c r="C30" i="23"/>
  <c r="H22" i="6"/>
  <c r="D22" i="6"/>
  <c r="I48" i="23"/>
  <c r="H48" i="23"/>
  <c r="D41" i="23"/>
  <c r="C41" i="23"/>
  <c r="H42" i="6"/>
  <c r="D42" i="6"/>
  <c r="L17" i="21"/>
  <c r="L5" i="21"/>
  <c r="F51" i="22"/>
  <c r="C44" i="22"/>
  <c r="F58" i="22"/>
  <c r="C53" i="22"/>
  <c r="H58" i="23"/>
  <c r="C53" i="23"/>
  <c r="F33" i="22"/>
  <c r="C25" i="22"/>
  <c r="I33" i="23"/>
  <c r="H33" i="23"/>
  <c r="D25" i="23"/>
  <c r="C25" i="23"/>
  <c r="H14" i="6"/>
  <c r="D14" i="6"/>
  <c r="L19" i="21"/>
  <c r="L7" i="21"/>
  <c r="F12" i="22"/>
  <c r="C7" i="22"/>
  <c r="I12" i="23"/>
  <c r="H12" i="23"/>
  <c r="D7" i="23"/>
  <c r="C7" i="23"/>
  <c r="H9" i="21"/>
  <c r="D9" i="21"/>
  <c r="L8" i="8"/>
  <c r="F50" i="22"/>
  <c r="C43" i="22"/>
  <c r="F18" i="22"/>
  <c r="C13" i="22"/>
  <c r="H50" i="23"/>
  <c r="C43" i="23"/>
  <c r="L19" i="8"/>
  <c r="O8" i="8"/>
  <c r="D13" i="23"/>
  <c r="I18" i="23"/>
  <c r="H18" i="23"/>
  <c r="C13" i="23"/>
  <c r="E13" i="23" s="1"/>
  <c r="H5" i="8"/>
  <c r="D5" i="8"/>
  <c r="I31" i="23"/>
  <c r="D45" i="23"/>
  <c r="N7" i="23"/>
  <c r="M7" i="23"/>
  <c r="M43" i="23"/>
  <c r="N43" i="23"/>
  <c r="V10" i="17"/>
  <c r="V9" i="17"/>
  <c r="V7" i="17"/>
  <c r="V6" i="17"/>
  <c r="V5" i="17"/>
  <c r="AA11" i="17"/>
  <c r="AA10" i="17"/>
  <c r="AA9" i="17"/>
  <c r="AA8" i="17"/>
  <c r="AA4" i="17"/>
  <c r="V6" i="7"/>
  <c r="V4" i="7"/>
  <c r="AA7" i="7"/>
  <c r="AA6" i="7"/>
  <c r="AA5" i="7"/>
  <c r="AA4" i="7"/>
  <c r="V10" i="2"/>
  <c r="V9" i="2"/>
  <c r="V4" i="2"/>
  <c r="AA7" i="2"/>
  <c r="AA6" i="2"/>
  <c r="AA4" i="2"/>
  <c r="AA6" i="1"/>
  <c r="AA5" i="1"/>
  <c r="V10" i="21"/>
  <c r="V8" i="21"/>
  <c r="V5" i="21"/>
  <c r="V4" i="21"/>
  <c r="AA11" i="21"/>
  <c r="AA5" i="21"/>
  <c r="F16" i="22"/>
  <c r="C83" i="22"/>
  <c r="F10" i="22"/>
  <c r="C5" i="22"/>
  <c r="L15" i="4"/>
  <c r="V9" i="4"/>
  <c r="V8" i="4"/>
  <c r="V7" i="4"/>
  <c r="V6" i="4"/>
  <c r="V5" i="4"/>
  <c r="AB9" i="4"/>
  <c r="AB6" i="4"/>
  <c r="AB5" i="4"/>
  <c r="F35" i="22"/>
  <c r="C28" i="22"/>
  <c r="H35" i="23"/>
  <c r="C28" i="23"/>
  <c r="L18" i="16"/>
  <c r="O10" i="16"/>
  <c r="V11" i="16"/>
  <c r="V10" i="16"/>
  <c r="V8" i="16"/>
  <c r="V6" i="16"/>
  <c r="V5" i="16"/>
  <c r="AA10" i="16"/>
  <c r="AA9" i="16"/>
  <c r="AA7" i="16"/>
  <c r="AA6" i="16"/>
  <c r="R16" i="9"/>
  <c r="U16" i="9"/>
  <c r="R17" i="9"/>
  <c r="U17" i="9"/>
  <c r="R19" i="9"/>
  <c r="O7" i="9"/>
  <c r="V10" i="9"/>
  <c r="V8" i="9"/>
  <c r="V7" i="9"/>
  <c r="V6" i="9"/>
  <c r="V4" i="9"/>
  <c r="AA7" i="9"/>
  <c r="AA4" i="9"/>
  <c r="G44" i="9"/>
  <c r="F44" i="9"/>
  <c r="C44" i="9"/>
  <c r="B44" i="9"/>
  <c r="I368" i="23"/>
  <c r="I392" i="23"/>
  <c r="I374" i="23"/>
  <c r="I226" i="23"/>
  <c r="I86" i="23"/>
  <c r="I284" i="23"/>
  <c r="I25" i="23"/>
  <c r="I129" i="23"/>
  <c r="C51" i="23"/>
  <c r="H56" i="23"/>
  <c r="D392" i="23"/>
  <c r="D374" i="23"/>
  <c r="D224" i="23"/>
  <c r="D79" i="23"/>
  <c r="D282" i="23"/>
  <c r="D123" i="23"/>
  <c r="I54" i="23"/>
  <c r="D19" i="23"/>
  <c r="D49" i="23"/>
  <c r="I5" i="23"/>
  <c r="I49" i="23"/>
  <c r="H49" i="23"/>
  <c r="D42" i="23"/>
  <c r="C42" i="23"/>
  <c r="F56" i="22"/>
  <c r="F49" i="22"/>
  <c r="C51" i="22"/>
  <c r="C42" i="22"/>
  <c r="H34" i="8"/>
  <c r="D34" i="8"/>
  <c r="L20" i="8"/>
  <c r="R17" i="8"/>
  <c r="U18" i="8"/>
  <c r="R19" i="8"/>
  <c r="V10" i="8"/>
  <c r="V8" i="8"/>
  <c r="V7" i="8"/>
  <c r="V5" i="8"/>
  <c r="AA9" i="8"/>
  <c r="AA8" i="8"/>
  <c r="AA6" i="8"/>
  <c r="L26" i="6"/>
  <c r="R26" i="6"/>
  <c r="U26" i="6"/>
  <c r="V13" i="6"/>
  <c r="V8" i="6"/>
  <c r="AA13" i="6"/>
  <c r="AA9" i="6"/>
  <c r="I299" i="23"/>
  <c r="D297" i="23"/>
  <c r="F92" i="26"/>
  <c r="C92" i="26"/>
  <c r="L5" i="24"/>
  <c r="O5" i="24"/>
  <c r="G71" i="24"/>
  <c r="F71" i="24"/>
  <c r="H71" i="24" s="1"/>
  <c r="C71" i="24"/>
  <c r="B71" i="24"/>
  <c r="D71" i="24" s="1"/>
  <c r="H39" i="24"/>
  <c r="D70" i="24"/>
  <c r="H54" i="24"/>
  <c r="D53" i="24"/>
  <c r="H70" i="24"/>
  <c r="D69" i="24"/>
  <c r="H69" i="24"/>
  <c r="D68" i="24"/>
  <c r="H68" i="24"/>
  <c r="D67" i="24"/>
  <c r="H67" i="24"/>
  <c r="D66" i="24"/>
  <c r="H66" i="24"/>
  <c r="D65" i="24"/>
  <c r="H55" i="24"/>
  <c r="D64" i="24"/>
  <c r="H65" i="24"/>
  <c r="D63" i="24"/>
  <c r="H49" i="24"/>
  <c r="D48" i="24"/>
  <c r="H48" i="24"/>
  <c r="D47" i="24"/>
  <c r="H50" i="24"/>
  <c r="D52" i="24"/>
  <c r="H53" i="24"/>
  <c r="D51" i="24"/>
  <c r="H47" i="24"/>
  <c r="D46" i="24"/>
  <c r="H46" i="24"/>
  <c r="D45" i="24"/>
  <c r="H64" i="24"/>
  <c r="D62" i="24"/>
  <c r="H63" i="24"/>
  <c r="D61" i="24"/>
  <c r="H62" i="24"/>
  <c r="D60" i="24"/>
  <c r="H52" i="24"/>
  <c r="D50" i="24"/>
  <c r="H45" i="24"/>
  <c r="D44" i="24"/>
  <c r="H41" i="24"/>
  <c r="D40" i="24"/>
  <c r="H61" i="24"/>
  <c r="D59" i="24"/>
  <c r="H44" i="24"/>
  <c r="D43" i="24"/>
  <c r="H43" i="24"/>
  <c r="D42" i="24"/>
  <c r="H51" i="24"/>
  <c r="D49" i="24"/>
  <c r="H60" i="24"/>
  <c r="D58" i="24"/>
  <c r="H40" i="24"/>
  <c r="D39" i="24"/>
  <c r="H59" i="24"/>
  <c r="D57" i="24"/>
  <c r="H58" i="24"/>
  <c r="D56" i="24"/>
  <c r="H57" i="24"/>
  <c r="D55" i="24"/>
  <c r="H56" i="24"/>
  <c r="D54" i="24"/>
  <c r="H42" i="24"/>
  <c r="D41" i="24"/>
  <c r="L4" i="5"/>
  <c r="O4" i="5"/>
  <c r="G91" i="5"/>
  <c r="F91" i="5"/>
  <c r="C91" i="5"/>
  <c r="B91" i="5"/>
  <c r="H68" i="5"/>
  <c r="D66" i="5"/>
  <c r="H59" i="5"/>
  <c r="D56" i="5"/>
  <c r="H58" i="5"/>
  <c r="D55" i="5"/>
  <c r="H54" i="5"/>
  <c r="D90" i="5"/>
  <c r="H90" i="5"/>
  <c r="D89" i="5"/>
  <c r="H89" i="5"/>
  <c r="D88" i="5"/>
  <c r="H88" i="5"/>
  <c r="D87" i="5"/>
  <c r="H87" i="5"/>
  <c r="D86" i="5"/>
  <c r="H86" i="5"/>
  <c r="D85" i="5"/>
  <c r="H57" i="5"/>
  <c r="D54" i="5"/>
  <c r="H67" i="5"/>
  <c r="D65" i="5"/>
  <c r="H66" i="5"/>
  <c r="D64" i="5"/>
  <c r="H65" i="5"/>
  <c r="D63" i="5"/>
  <c r="H64" i="5"/>
  <c r="D62" i="5"/>
  <c r="H63" i="5"/>
  <c r="D61" i="5"/>
  <c r="H50" i="5"/>
  <c r="D49" i="5"/>
  <c r="D91" i="5" s="1"/>
  <c r="H56" i="5"/>
  <c r="D53" i="5"/>
  <c r="H85" i="5"/>
  <c r="D84" i="5"/>
  <c r="H60" i="5"/>
  <c r="D60" i="5"/>
  <c r="H53" i="5"/>
  <c r="D51" i="5"/>
  <c r="H84" i="5"/>
  <c r="D83" i="5"/>
  <c r="H49" i="5"/>
  <c r="D59" i="5"/>
  <c r="H83" i="5"/>
  <c r="D82" i="5"/>
  <c r="H82" i="5"/>
  <c r="D81" i="5"/>
  <c r="H62" i="5"/>
  <c r="D58" i="5"/>
  <c r="H81" i="5"/>
  <c r="D80" i="5"/>
  <c r="H80" i="5"/>
  <c r="D79" i="5"/>
  <c r="H79" i="5"/>
  <c r="D78" i="5"/>
  <c r="H78" i="5"/>
  <c r="D77" i="5"/>
  <c r="H77" i="5"/>
  <c r="D76" i="5"/>
  <c r="H76" i="5"/>
  <c r="D75" i="5"/>
  <c r="H75" i="5"/>
  <c r="D74" i="5"/>
  <c r="H52" i="5"/>
  <c r="D52" i="5"/>
  <c r="H51" i="5"/>
  <c r="D50" i="5"/>
  <c r="H74" i="5"/>
  <c r="D73" i="5"/>
  <c r="H73" i="5"/>
  <c r="D72" i="5"/>
  <c r="H72" i="5"/>
  <c r="D71" i="5"/>
  <c r="H71" i="5"/>
  <c r="D70" i="5"/>
  <c r="H61" i="5"/>
  <c r="D57" i="5"/>
  <c r="H70" i="5"/>
  <c r="D69" i="5"/>
  <c r="H69" i="5"/>
  <c r="D68" i="5"/>
  <c r="H55" i="5"/>
  <c r="D67" i="5"/>
  <c r="H32" i="5"/>
  <c r="D32" i="5"/>
  <c r="G45" i="27"/>
  <c r="F45" i="27"/>
  <c r="C45" i="27"/>
  <c r="B45" i="27"/>
  <c r="H36" i="27"/>
  <c r="H34" i="27"/>
  <c r="D34" i="27"/>
  <c r="H30" i="27"/>
  <c r="D33" i="27"/>
  <c r="H43" i="27"/>
  <c r="D42" i="27"/>
  <c r="H29" i="27"/>
  <c r="D28" i="27"/>
  <c r="H33" i="27"/>
  <c r="D32" i="27"/>
  <c r="H35" i="27"/>
  <c r="D41" i="27"/>
  <c r="H26" i="27"/>
  <c r="D31" i="27"/>
  <c r="H42" i="27"/>
  <c r="D40" i="27"/>
  <c r="H41" i="27"/>
  <c r="D39" i="27"/>
  <c r="D44" i="27"/>
  <c r="H40" i="27"/>
  <c r="D38" i="27"/>
  <c r="H39" i="27"/>
  <c r="D37" i="27"/>
  <c r="H28" i="27"/>
  <c r="D27" i="27"/>
  <c r="H38" i="27"/>
  <c r="D36" i="27"/>
  <c r="H32" i="27"/>
  <c r="D30" i="27"/>
  <c r="H44" i="27"/>
  <c r="D43" i="27"/>
  <c r="H27" i="27"/>
  <c r="D26" i="27"/>
  <c r="H31" i="27"/>
  <c r="D29" i="27"/>
  <c r="H37" i="27"/>
  <c r="D35" i="27"/>
  <c r="L8" i="3"/>
  <c r="O8" i="3"/>
  <c r="G93" i="3"/>
  <c r="F93" i="3"/>
  <c r="C93" i="3"/>
  <c r="B93" i="3"/>
  <c r="D93" i="3" s="1"/>
  <c r="H62" i="3"/>
  <c r="D61" i="3"/>
  <c r="H61" i="3"/>
  <c r="D60" i="3"/>
  <c r="H92" i="3"/>
  <c r="D92" i="3"/>
  <c r="H91" i="3"/>
  <c r="D91" i="3"/>
  <c r="H90" i="3"/>
  <c r="D90" i="3"/>
  <c r="H89" i="3"/>
  <c r="D89" i="3"/>
  <c r="H88" i="3"/>
  <c r="D88" i="3"/>
  <c r="H87" i="3"/>
  <c r="D87" i="3"/>
  <c r="H86" i="3"/>
  <c r="D86" i="3"/>
  <c r="H85" i="3"/>
  <c r="D85" i="3"/>
  <c r="H60" i="3"/>
  <c r="D59" i="3"/>
  <c r="H55" i="3"/>
  <c r="D84" i="3"/>
  <c r="H84" i="3"/>
  <c r="D83" i="3"/>
  <c r="H54" i="3"/>
  <c r="D53" i="3"/>
  <c r="H53" i="3"/>
  <c r="D52" i="3"/>
  <c r="H83" i="3"/>
  <c r="D82" i="3"/>
  <c r="H82" i="3"/>
  <c r="D81" i="3"/>
  <c r="H50" i="3"/>
  <c r="D55" i="3"/>
  <c r="H59" i="3"/>
  <c r="D58" i="3"/>
  <c r="H81" i="3"/>
  <c r="D80" i="3"/>
  <c r="H80" i="3"/>
  <c r="D79" i="3"/>
  <c r="H58" i="3"/>
  <c r="D57" i="3"/>
  <c r="H79" i="3"/>
  <c r="D78" i="3"/>
  <c r="H78" i="3"/>
  <c r="D77" i="3"/>
  <c r="H77" i="3"/>
  <c r="D76" i="3"/>
  <c r="H76" i="3"/>
  <c r="D75" i="3"/>
  <c r="H75" i="3"/>
  <c r="D74" i="3"/>
  <c r="H74" i="3"/>
  <c r="D73" i="3"/>
  <c r="H52" i="3"/>
  <c r="D51" i="3"/>
  <c r="H56" i="3"/>
  <c r="D54" i="3"/>
  <c r="H73" i="3"/>
  <c r="D72" i="3"/>
  <c r="H72" i="3"/>
  <c r="D71" i="3"/>
  <c r="H57" i="3"/>
  <c r="D56" i="3"/>
  <c r="H71" i="3"/>
  <c r="D70" i="3"/>
  <c r="H63" i="3"/>
  <c r="D69" i="3"/>
  <c r="H70" i="3"/>
  <c r="D68" i="3"/>
  <c r="H69" i="3"/>
  <c r="D67" i="3"/>
  <c r="H68" i="3"/>
  <c r="D66" i="3"/>
  <c r="H67" i="3"/>
  <c r="D65" i="3"/>
  <c r="H66" i="3"/>
  <c r="D64" i="3"/>
  <c r="H65" i="3"/>
  <c r="D63" i="3"/>
  <c r="H64" i="3"/>
  <c r="D62" i="3"/>
  <c r="H51" i="3"/>
  <c r="D50" i="3"/>
  <c r="H34" i="3"/>
  <c r="D34" i="3"/>
  <c r="G95" i="25"/>
  <c r="F95" i="25"/>
  <c r="C95" i="25"/>
  <c r="B95" i="25"/>
  <c r="H94" i="25"/>
  <c r="D94" i="25"/>
  <c r="H71" i="25"/>
  <c r="D68" i="25"/>
  <c r="H51" i="25"/>
  <c r="D60" i="25"/>
  <c r="H93" i="25"/>
  <c r="D93" i="25"/>
  <c r="H92" i="25"/>
  <c r="D92" i="25"/>
  <c r="H57" i="25"/>
  <c r="D54" i="25"/>
  <c r="H63" i="25"/>
  <c r="D91" i="25"/>
  <c r="H62" i="25"/>
  <c r="D59" i="25"/>
  <c r="H70" i="25"/>
  <c r="D67" i="25"/>
  <c r="H69" i="25"/>
  <c r="D66" i="25"/>
  <c r="H68" i="25"/>
  <c r="D65" i="25"/>
  <c r="H67" i="25"/>
  <c r="D64" i="25"/>
  <c r="H66" i="25"/>
  <c r="D63" i="25"/>
  <c r="H91" i="25"/>
  <c r="D90" i="25"/>
  <c r="H90" i="25"/>
  <c r="D89" i="25"/>
  <c r="H54" i="25"/>
  <c r="D58" i="25"/>
  <c r="H65" i="25"/>
  <c r="D62" i="25"/>
  <c r="H53" i="25"/>
  <c r="D52" i="25"/>
  <c r="H89" i="25"/>
  <c r="D88" i="25"/>
  <c r="H52" i="25"/>
  <c r="D51" i="25"/>
  <c r="H55" i="25"/>
  <c r="D87" i="25"/>
  <c r="H88" i="25"/>
  <c r="D86" i="25"/>
  <c r="H87" i="25"/>
  <c r="D85" i="25"/>
  <c r="H86" i="25"/>
  <c r="D84" i="25"/>
  <c r="H85" i="25"/>
  <c r="D83" i="25"/>
  <c r="H84" i="25"/>
  <c r="D82" i="25"/>
  <c r="H61" i="25"/>
  <c r="D57" i="25"/>
  <c r="H83" i="25"/>
  <c r="D81" i="25"/>
  <c r="H82" i="25"/>
  <c r="D80" i="25"/>
  <c r="H81" i="25"/>
  <c r="D79" i="25"/>
  <c r="H80" i="25"/>
  <c r="D78" i="25"/>
  <c r="H79" i="25"/>
  <c r="D77" i="25"/>
  <c r="H78" i="25"/>
  <c r="D76" i="25"/>
  <c r="H77" i="25"/>
  <c r="D75" i="25"/>
  <c r="H76" i="25"/>
  <c r="D74" i="25"/>
  <c r="H75" i="25"/>
  <c r="D73" i="25"/>
  <c r="H56" i="25"/>
  <c r="D53" i="25"/>
  <c r="H64" i="25"/>
  <c r="D61" i="25"/>
  <c r="H74" i="25"/>
  <c r="D72" i="25"/>
  <c r="H60" i="25"/>
  <c r="D56" i="25"/>
  <c r="H59" i="25"/>
  <c r="D55" i="25"/>
  <c r="H58" i="25"/>
  <c r="D71" i="25"/>
  <c r="H73" i="25"/>
  <c r="D70" i="25"/>
  <c r="H72" i="25"/>
  <c r="D69" i="25"/>
  <c r="H45" i="25"/>
  <c r="D45" i="25"/>
  <c r="G79" i="20"/>
  <c r="F79" i="20"/>
  <c r="C79" i="20"/>
  <c r="B79" i="20"/>
  <c r="H78" i="20"/>
  <c r="D78" i="20"/>
  <c r="H77" i="20"/>
  <c r="D77" i="20"/>
  <c r="H62" i="20"/>
  <c r="D62" i="20"/>
  <c r="H76" i="20"/>
  <c r="D76" i="20"/>
  <c r="H75" i="20"/>
  <c r="D75" i="20"/>
  <c r="H61" i="20"/>
  <c r="D61" i="20"/>
  <c r="H60" i="20"/>
  <c r="D60" i="20"/>
  <c r="H74" i="20"/>
  <c r="D74" i="20"/>
  <c r="H73" i="20"/>
  <c r="D73" i="20"/>
  <c r="H72" i="20"/>
  <c r="D72" i="20"/>
  <c r="H59" i="20"/>
  <c r="D59" i="20"/>
  <c r="H71" i="20"/>
  <c r="D71" i="20"/>
  <c r="H52" i="20"/>
  <c r="D50" i="20"/>
  <c r="H48" i="20"/>
  <c r="D46" i="20"/>
  <c r="H70" i="20"/>
  <c r="D70" i="20"/>
  <c r="H69" i="20"/>
  <c r="D69" i="20"/>
  <c r="H58" i="20"/>
  <c r="D58" i="20"/>
  <c r="H44" i="20"/>
  <c r="D57" i="20"/>
  <c r="H68" i="20"/>
  <c r="D68" i="20"/>
  <c r="H67" i="20"/>
  <c r="D67" i="20"/>
  <c r="H51" i="20"/>
  <c r="D49" i="20"/>
  <c r="H50" i="20"/>
  <c r="D48" i="20"/>
  <c r="H45" i="20"/>
  <c r="D43" i="20"/>
  <c r="H66" i="20"/>
  <c r="D66" i="20"/>
  <c r="H65" i="20"/>
  <c r="D65" i="20"/>
  <c r="H64" i="20"/>
  <c r="D64" i="20"/>
  <c r="H47" i="20"/>
  <c r="D45" i="20"/>
  <c r="H54" i="20"/>
  <c r="D53" i="20"/>
  <c r="H57" i="20"/>
  <c r="D56" i="20"/>
  <c r="H53" i="20"/>
  <c r="D52" i="20"/>
  <c r="H49" i="20"/>
  <c r="D51" i="20"/>
  <c r="H55" i="20"/>
  <c r="D55" i="20"/>
  <c r="H43" i="20"/>
  <c r="D47" i="20"/>
  <c r="H46" i="20"/>
  <c r="D44" i="20"/>
  <c r="H56" i="20"/>
  <c r="D54" i="20"/>
  <c r="H63" i="20"/>
  <c r="D63" i="20"/>
  <c r="G89" i="14"/>
  <c r="H89" i="14" s="1"/>
  <c r="F89" i="14"/>
  <c r="C89" i="14"/>
  <c r="B89" i="14"/>
  <c r="D89" i="14" s="1"/>
  <c r="H88" i="14"/>
  <c r="D88" i="14"/>
  <c r="H87" i="14"/>
  <c r="D87" i="14"/>
  <c r="H86" i="14"/>
  <c r="D86" i="14"/>
  <c r="H85" i="14"/>
  <c r="D85" i="14"/>
  <c r="H84" i="14"/>
  <c r="D84" i="14"/>
  <c r="H66" i="14"/>
  <c r="D64" i="14"/>
  <c r="H83" i="14"/>
  <c r="D83" i="14"/>
  <c r="H82" i="14"/>
  <c r="D82" i="14"/>
  <c r="H81" i="14"/>
  <c r="D81" i="14"/>
  <c r="H49" i="14"/>
  <c r="D80" i="14"/>
  <c r="H80" i="14"/>
  <c r="D79" i="14"/>
  <c r="H79" i="14"/>
  <c r="D78" i="14"/>
  <c r="H78" i="14"/>
  <c r="D77" i="14"/>
  <c r="H77" i="14"/>
  <c r="D76" i="14"/>
  <c r="H50" i="14"/>
  <c r="D52" i="14"/>
  <c r="H76" i="14"/>
  <c r="D75" i="14"/>
  <c r="H75" i="14"/>
  <c r="D74" i="14"/>
  <c r="H74" i="14"/>
  <c r="D73" i="14"/>
  <c r="H65" i="14"/>
  <c r="D63" i="14"/>
  <c r="H67" i="14"/>
  <c r="D72" i="14"/>
  <c r="H54" i="14"/>
  <c r="D51" i="14"/>
  <c r="H64" i="14"/>
  <c r="D62" i="14"/>
  <c r="H63" i="14"/>
  <c r="D61" i="14"/>
  <c r="H53" i="14"/>
  <c r="D50" i="14"/>
  <c r="H62" i="14"/>
  <c r="D60" i="14"/>
  <c r="H73" i="14"/>
  <c r="D71" i="14"/>
  <c r="H61" i="14"/>
  <c r="D59" i="14"/>
  <c r="H52" i="14"/>
  <c r="D49" i="14"/>
  <c r="H72" i="14"/>
  <c r="D70" i="14"/>
  <c r="H71" i="14"/>
  <c r="D69" i="14"/>
  <c r="H70" i="14"/>
  <c r="D68" i="14"/>
  <c r="H60" i="14"/>
  <c r="D58" i="14"/>
  <c r="H48" i="14"/>
  <c r="D57" i="14"/>
  <c r="H59" i="14"/>
  <c r="D56" i="14"/>
  <c r="H51" i="14"/>
  <c r="D48" i="14"/>
  <c r="H69" i="14"/>
  <c r="D67" i="14"/>
  <c r="H58" i="14"/>
  <c r="D55" i="14"/>
  <c r="H57" i="14"/>
  <c r="D54" i="14"/>
  <c r="H56" i="14"/>
  <c r="D66" i="14"/>
  <c r="H55" i="14"/>
  <c r="D53" i="14"/>
  <c r="H68" i="14"/>
  <c r="D65" i="14"/>
  <c r="K11" i="22" l="1"/>
  <c r="D91" i="4"/>
  <c r="D101" i="8"/>
  <c r="J18" i="23"/>
  <c r="E42" i="23"/>
  <c r="J49" i="23"/>
  <c r="H91" i="5"/>
  <c r="D45" i="27"/>
  <c r="H45" i="27"/>
  <c r="H93" i="3"/>
  <c r="H95" i="25"/>
  <c r="D95" i="25"/>
  <c r="H79" i="20"/>
  <c r="D79" i="20"/>
  <c r="G91" i="10"/>
  <c r="F91" i="10"/>
  <c r="C91" i="10"/>
  <c r="B91" i="10"/>
  <c r="H68" i="10"/>
  <c r="D67" i="10"/>
  <c r="H90" i="10"/>
  <c r="D90" i="10"/>
  <c r="H67" i="10"/>
  <c r="D66" i="10"/>
  <c r="H89" i="10"/>
  <c r="D89" i="10"/>
  <c r="H66" i="10"/>
  <c r="D65" i="10"/>
  <c r="H58" i="10"/>
  <c r="D57" i="10"/>
  <c r="H88" i="10"/>
  <c r="D88" i="10"/>
  <c r="H65" i="10"/>
  <c r="D64" i="10"/>
  <c r="H57" i="10"/>
  <c r="D56" i="10"/>
  <c r="H55" i="10"/>
  <c r="D54" i="10"/>
  <c r="H59" i="10"/>
  <c r="D63" i="10"/>
  <c r="H64" i="10"/>
  <c r="D62" i="10"/>
  <c r="H87" i="10"/>
  <c r="D87" i="10"/>
  <c r="H86" i="10"/>
  <c r="D86" i="10"/>
  <c r="H85" i="10"/>
  <c r="D85" i="10"/>
  <c r="H84" i="10"/>
  <c r="D84" i="10"/>
  <c r="H56" i="10"/>
  <c r="D55" i="10"/>
  <c r="H83" i="10"/>
  <c r="D83" i="10"/>
  <c r="H63" i="10"/>
  <c r="D61" i="10"/>
  <c r="H82" i="10"/>
  <c r="D82" i="10"/>
  <c r="H81" i="10"/>
  <c r="D81" i="10"/>
  <c r="H62" i="10"/>
  <c r="D60" i="10"/>
  <c r="H80" i="10"/>
  <c r="D80" i="10"/>
  <c r="H49" i="10"/>
  <c r="D79" i="10"/>
  <c r="H79" i="10"/>
  <c r="D78" i="10"/>
  <c r="H78" i="10"/>
  <c r="D77" i="10"/>
  <c r="H77" i="10"/>
  <c r="D76" i="10"/>
  <c r="H52" i="10"/>
  <c r="D51" i="10"/>
  <c r="H76" i="10"/>
  <c r="D75" i="10"/>
  <c r="H75" i="10"/>
  <c r="D74" i="10"/>
  <c r="H74" i="10"/>
  <c r="D73" i="10"/>
  <c r="H73" i="10"/>
  <c r="D72" i="10"/>
  <c r="H72" i="10"/>
  <c r="D71" i="10"/>
  <c r="H54" i="10"/>
  <c r="D53" i="10"/>
  <c r="H61" i="10"/>
  <c r="D59" i="10"/>
  <c r="H71" i="10"/>
  <c r="D70" i="10"/>
  <c r="H60" i="10"/>
  <c r="D58" i="10"/>
  <c r="H51" i="10"/>
  <c r="D50" i="10"/>
  <c r="H53" i="10"/>
  <c r="D52" i="10"/>
  <c r="H50" i="10"/>
  <c r="D49" i="10"/>
  <c r="H70" i="10"/>
  <c r="D69" i="10"/>
  <c r="H69" i="10"/>
  <c r="D68" i="10"/>
  <c r="H91" i="10" l="1"/>
  <c r="D91" i="10"/>
  <c r="G107" i="12" l="1"/>
  <c r="F107" i="12"/>
  <c r="H107" i="12" s="1"/>
  <c r="C107" i="12"/>
  <c r="B107" i="12"/>
  <c r="D107" i="12" s="1"/>
  <c r="H106" i="12"/>
  <c r="D106" i="12"/>
  <c r="H105" i="12"/>
  <c r="D105" i="12"/>
  <c r="H104" i="12"/>
  <c r="D104" i="12"/>
  <c r="H84" i="12"/>
  <c r="D82" i="12"/>
  <c r="H103" i="12"/>
  <c r="D103" i="12"/>
  <c r="H73" i="12"/>
  <c r="D70" i="12"/>
  <c r="H57" i="12"/>
  <c r="D57" i="12"/>
  <c r="H72" i="12"/>
  <c r="D69" i="12"/>
  <c r="H83" i="12"/>
  <c r="D81" i="12"/>
  <c r="H82" i="12"/>
  <c r="D80" i="12"/>
  <c r="H102" i="12"/>
  <c r="D102" i="12"/>
  <c r="H101" i="12"/>
  <c r="D101" i="12"/>
  <c r="H68" i="12"/>
  <c r="D100" i="12"/>
  <c r="H58" i="12"/>
  <c r="D65" i="12"/>
  <c r="H100" i="12"/>
  <c r="D99" i="12"/>
  <c r="H99" i="12"/>
  <c r="D98" i="12"/>
  <c r="H59" i="12"/>
  <c r="D79" i="12"/>
  <c r="H98" i="12"/>
  <c r="D97" i="12"/>
  <c r="H97" i="12"/>
  <c r="D96" i="12"/>
  <c r="H81" i="12"/>
  <c r="D78" i="12"/>
  <c r="H96" i="12"/>
  <c r="D95" i="12"/>
  <c r="H95" i="12"/>
  <c r="D94" i="12"/>
  <c r="H67" i="12"/>
  <c r="D64" i="12"/>
  <c r="H94" i="12"/>
  <c r="D93" i="12"/>
  <c r="H63" i="12"/>
  <c r="D60" i="12"/>
  <c r="H71" i="12"/>
  <c r="D68" i="12"/>
  <c r="H93" i="12"/>
  <c r="D92" i="12"/>
  <c r="H92" i="12"/>
  <c r="D91" i="12"/>
  <c r="H80" i="12"/>
  <c r="D77" i="12"/>
  <c r="H62" i="12"/>
  <c r="D59" i="12"/>
  <c r="H65" i="12"/>
  <c r="D62" i="12"/>
  <c r="H79" i="12"/>
  <c r="D76" i="12"/>
  <c r="H66" i="12"/>
  <c r="D63" i="12"/>
  <c r="H70" i="12"/>
  <c r="D67" i="12"/>
  <c r="H69" i="12"/>
  <c r="D66" i="12"/>
  <c r="H78" i="12"/>
  <c r="D75" i="12"/>
  <c r="H91" i="12"/>
  <c r="D90" i="12"/>
  <c r="H90" i="12"/>
  <c r="D89" i="12"/>
  <c r="H89" i="12"/>
  <c r="D88" i="12"/>
  <c r="H88" i="12"/>
  <c r="D87" i="12"/>
  <c r="H87" i="12"/>
  <c r="D86" i="12"/>
  <c r="H86" i="12"/>
  <c r="D85" i="12"/>
  <c r="H85" i="12"/>
  <c r="D84" i="12"/>
  <c r="H77" i="12"/>
  <c r="D74" i="12"/>
  <c r="H61" i="12"/>
  <c r="D58" i="12"/>
  <c r="H64" i="12"/>
  <c r="D61" i="12"/>
  <c r="H76" i="12"/>
  <c r="D73" i="12"/>
  <c r="H75" i="12"/>
  <c r="D72" i="12"/>
  <c r="H60" i="12"/>
  <c r="D83" i="12"/>
  <c r="H74" i="12"/>
  <c r="D71" i="12"/>
  <c r="O4" i="1"/>
  <c r="I304" i="23"/>
  <c r="H304" i="23"/>
  <c r="D302" i="23"/>
  <c r="C302" i="23"/>
  <c r="H31" i="4"/>
  <c r="D31" i="4"/>
  <c r="F158" i="22"/>
  <c r="C158" i="22"/>
  <c r="I425" i="23"/>
  <c r="H425" i="23"/>
  <c r="D425" i="23"/>
  <c r="C425" i="23"/>
  <c r="G53" i="16"/>
  <c r="H52" i="16"/>
  <c r="F53" i="16"/>
  <c r="C53" i="16"/>
  <c r="D52" i="16"/>
  <c r="B53" i="16"/>
  <c r="F52" i="22"/>
  <c r="C46" i="22"/>
  <c r="I52" i="23"/>
  <c r="H52" i="23"/>
  <c r="D46" i="23"/>
  <c r="C46" i="23"/>
  <c r="I295" i="23"/>
  <c r="D293" i="23"/>
  <c r="E293" i="23" s="1"/>
  <c r="O5" i="17"/>
  <c r="I145" i="23"/>
  <c r="H145" i="23"/>
  <c r="D139" i="23"/>
  <c r="C139" i="23"/>
  <c r="H12" i="9"/>
  <c r="D12" i="9"/>
  <c r="I91" i="15"/>
  <c r="H91" i="15"/>
  <c r="G91" i="15"/>
  <c r="J91" i="15" s="1"/>
  <c r="D91" i="15"/>
  <c r="C91" i="15"/>
  <c r="B91" i="15"/>
  <c r="E91" i="15" s="1"/>
  <c r="J49" i="15"/>
  <c r="E66" i="15"/>
  <c r="J69" i="15"/>
  <c r="E65" i="15"/>
  <c r="J90" i="15"/>
  <c r="E90" i="15"/>
  <c r="J89" i="15"/>
  <c r="E89" i="15"/>
  <c r="J68" i="15"/>
  <c r="E64" i="15"/>
  <c r="J70" i="15"/>
  <c r="E88" i="15"/>
  <c r="J67" i="15"/>
  <c r="E63" i="15"/>
  <c r="J88" i="15"/>
  <c r="E87" i="15"/>
  <c r="J66" i="15"/>
  <c r="E62" i="15"/>
  <c r="J87" i="15"/>
  <c r="E86" i="15"/>
  <c r="J51" i="15"/>
  <c r="E50" i="15"/>
  <c r="J65" i="15"/>
  <c r="E61" i="15"/>
  <c r="J86" i="15"/>
  <c r="E85" i="15"/>
  <c r="J64" i="15"/>
  <c r="E60" i="15"/>
  <c r="J63" i="15"/>
  <c r="E59" i="15"/>
  <c r="J50" i="15"/>
  <c r="E49" i="15"/>
  <c r="J56" i="15"/>
  <c r="E54" i="15"/>
  <c r="J62" i="15"/>
  <c r="E58" i="15"/>
  <c r="J85" i="15"/>
  <c r="E84" i="15"/>
  <c r="J61" i="15"/>
  <c r="E57" i="15"/>
  <c r="J55" i="15"/>
  <c r="E53" i="15"/>
  <c r="J84" i="15"/>
  <c r="E83" i="15"/>
  <c r="J83" i="15"/>
  <c r="E82" i="15"/>
  <c r="J82" i="15"/>
  <c r="E81" i="15"/>
  <c r="J81" i="15"/>
  <c r="E80" i="15"/>
  <c r="J57" i="15"/>
  <c r="E79" i="15"/>
  <c r="J80" i="15"/>
  <c r="E78" i="15"/>
  <c r="J79" i="15"/>
  <c r="E77" i="15"/>
  <c r="J60" i="15"/>
  <c r="E56" i="15"/>
  <c r="J78" i="15"/>
  <c r="E76" i="15"/>
  <c r="J77" i="15"/>
  <c r="E75" i="15"/>
  <c r="J76" i="15"/>
  <c r="E74" i="15"/>
  <c r="J52" i="15"/>
  <c r="E73" i="15"/>
  <c r="J75" i="15"/>
  <c r="E72" i="15"/>
  <c r="J74" i="15"/>
  <c r="E71" i="15"/>
  <c r="J73" i="15"/>
  <c r="E70" i="15"/>
  <c r="J72" i="15"/>
  <c r="E69" i="15"/>
  <c r="J54" i="15"/>
  <c r="E52" i="15"/>
  <c r="J58" i="15"/>
  <c r="E68" i="15"/>
  <c r="J71" i="15"/>
  <c r="E67" i="15"/>
  <c r="J53" i="15"/>
  <c r="E51" i="15"/>
  <c r="J59" i="15"/>
  <c r="E55" i="15"/>
  <c r="I83" i="11"/>
  <c r="H83" i="11"/>
  <c r="G83" i="11"/>
  <c r="D83" i="11"/>
  <c r="C83" i="11"/>
  <c r="B83" i="11"/>
  <c r="E83" i="11" s="1"/>
  <c r="J82" i="11"/>
  <c r="E82" i="11"/>
  <c r="J81" i="11"/>
  <c r="E81" i="11"/>
  <c r="J56" i="11"/>
  <c r="E53" i="11"/>
  <c r="J55" i="11"/>
  <c r="E52" i="11"/>
  <c r="J46" i="11"/>
  <c r="E65" i="11"/>
  <c r="J80" i="11"/>
  <c r="E80" i="11"/>
  <c r="J79" i="11"/>
  <c r="E79" i="11"/>
  <c r="J78" i="11"/>
  <c r="E78" i="11"/>
  <c r="J48" i="11"/>
  <c r="E64" i="11"/>
  <c r="J77" i="11"/>
  <c r="E77" i="11"/>
  <c r="J76" i="11"/>
  <c r="E76" i="11"/>
  <c r="J75" i="11"/>
  <c r="E75" i="11"/>
  <c r="J74" i="11"/>
  <c r="E74" i="11"/>
  <c r="J65" i="11"/>
  <c r="E63" i="11"/>
  <c r="J51" i="11"/>
  <c r="E48" i="11"/>
  <c r="J54" i="11"/>
  <c r="E51" i="11"/>
  <c r="J47" i="11"/>
  <c r="E45" i="11"/>
  <c r="J64" i="11"/>
  <c r="E62" i="11"/>
  <c r="J63" i="11"/>
  <c r="E61" i="11"/>
  <c r="J50" i="11"/>
  <c r="E47" i="11"/>
  <c r="J45" i="11"/>
  <c r="E60" i="11"/>
  <c r="J62" i="11"/>
  <c r="E59" i="11"/>
  <c r="J53" i="11"/>
  <c r="E50" i="11"/>
  <c r="J61" i="11"/>
  <c r="E58" i="11"/>
  <c r="J73" i="11"/>
  <c r="E73" i="11"/>
  <c r="J72" i="11"/>
  <c r="E72" i="11"/>
  <c r="J60" i="11"/>
  <c r="E57" i="11"/>
  <c r="J71" i="11"/>
  <c r="E71" i="11"/>
  <c r="J52" i="11"/>
  <c r="E49" i="11"/>
  <c r="J70" i="11"/>
  <c r="E70" i="11"/>
  <c r="J59" i="11"/>
  <c r="E56" i="11"/>
  <c r="J49" i="11"/>
  <c r="E46" i="11"/>
  <c r="J69" i="11"/>
  <c r="E69" i="11"/>
  <c r="J68" i="11"/>
  <c r="E68" i="11"/>
  <c r="J58" i="11"/>
  <c r="E55" i="11"/>
  <c r="J67" i="11"/>
  <c r="E67" i="11"/>
  <c r="J57" i="11"/>
  <c r="E54" i="11"/>
  <c r="J66" i="11"/>
  <c r="E66" i="11"/>
  <c r="J4" i="11"/>
  <c r="E4" i="11"/>
  <c r="F41" i="22"/>
  <c r="C34" i="22"/>
  <c r="F149" i="22"/>
  <c r="C149" i="22"/>
  <c r="C389" i="23"/>
  <c r="H389" i="23"/>
  <c r="C34" i="23"/>
  <c r="H41" i="23"/>
  <c r="D124" i="23"/>
  <c r="C124" i="23"/>
  <c r="H352" i="23"/>
  <c r="H130" i="23"/>
  <c r="H71" i="23"/>
  <c r="C351" i="23"/>
  <c r="C64" i="23"/>
  <c r="F98" i="26"/>
  <c r="C98" i="26"/>
  <c r="I324" i="23"/>
  <c r="D322" i="23"/>
  <c r="E302" i="23" l="1"/>
  <c r="E425" i="23"/>
  <c r="J295" i="23"/>
  <c r="J324" i="23"/>
  <c r="E322" i="23"/>
  <c r="J304" i="23"/>
  <c r="J425" i="23"/>
  <c r="E139" i="23"/>
  <c r="J145" i="23"/>
  <c r="J83" i="11"/>
  <c r="L6" i="5"/>
  <c r="H30" i="5"/>
  <c r="D30" i="5"/>
  <c r="I144" i="23"/>
  <c r="H144" i="23"/>
  <c r="D138" i="23"/>
  <c r="C138" i="23"/>
  <c r="F86" i="22"/>
  <c r="C80" i="22"/>
  <c r="H21" i="6"/>
  <c r="D21" i="6"/>
  <c r="I386" i="23"/>
  <c r="D386" i="23"/>
  <c r="I341" i="23"/>
  <c r="H341" i="23"/>
  <c r="D340" i="23"/>
  <c r="C340" i="23"/>
  <c r="H31" i="21"/>
  <c r="D31" i="21"/>
  <c r="I164" i="23"/>
  <c r="D160" i="23"/>
  <c r="I36" i="23"/>
  <c r="D29" i="23"/>
  <c r="I44" i="23"/>
  <c r="D37" i="23"/>
  <c r="F73" i="26"/>
  <c r="C67" i="26"/>
  <c r="I211" i="23"/>
  <c r="D209" i="23"/>
  <c r="H17" i="17"/>
  <c r="D17" i="17"/>
  <c r="H148" i="23"/>
  <c r="C142" i="23"/>
  <c r="E138" i="23" l="1"/>
  <c r="J144" i="23"/>
  <c r="G95" i="19" l="1"/>
  <c r="F95" i="19"/>
  <c r="H95" i="19" s="1"/>
  <c r="C95" i="19"/>
  <c r="B95" i="19"/>
  <c r="D95" i="19" s="1"/>
  <c r="H94" i="19"/>
  <c r="D94" i="19"/>
  <c r="H59" i="19"/>
  <c r="D93" i="19"/>
  <c r="H93" i="19"/>
  <c r="D92" i="19"/>
  <c r="H66" i="19"/>
  <c r="D64" i="19"/>
  <c r="H92" i="19"/>
  <c r="D91" i="19"/>
  <c r="H91" i="19"/>
  <c r="D90" i="19"/>
  <c r="H90" i="19"/>
  <c r="D89" i="19"/>
  <c r="H89" i="19"/>
  <c r="D88" i="19"/>
  <c r="H88" i="19"/>
  <c r="D87" i="19"/>
  <c r="H87" i="19"/>
  <c r="D86" i="19"/>
  <c r="H58" i="19"/>
  <c r="D56" i="19"/>
  <c r="H86" i="19"/>
  <c r="D85" i="19"/>
  <c r="H85" i="19"/>
  <c r="D84" i="19"/>
  <c r="H84" i="19"/>
  <c r="D83" i="19"/>
  <c r="H83" i="19"/>
  <c r="D82" i="19"/>
  <c r="H82" i="19"/>
  <c r="D81" i="19"/>
  <c r="H57" i="19"/>
  <c r="D55" i="19"/>
  <c r="H81" i="19"/>
  <c r="D80" i="19"/>
  <c r="H80" i="19"/>
  <c r="D79" i="19"/>
  <c r="H79" i="19"/>
  <c r="D78" i="19"/>
  <c r="H52" i="19"/>
  <c r="D77" i="19"/>
  <c r="H65" i="19"/>
  <c r="D63" i="19"/>
  <c r="H78" i="19"/>
  <c r="D76" i="19"/>
  <c r="H77" i="19"/>
  <c r="D75" i="19"/>
  <c r="H64" i="19"/>
  <c r="D62" i="19"/>
  <c r="H76" i="19"/>
  <c r="D74" i="19"/>
  <c r="H67" i="19"/>
  <c r="D73" i="19"/>
  <c r="H63" i="19"/>
  <c r="D61" i="19"/>
  <c r="H62" i="19"/>
  <c r="D60" i="19"/>
  <c r="H56" i="19"/>
  <c r="D54" i="19"/>
  <c r="H75" i="19"/>
  <c r="D72" i="19"/>
  <c r="H74" i="19"/>
  <c r="D71" i="19"/>
  <c r="H73" i="19"/>
  <c r="D70" i="19"/>
  <c r="H72" i="19"/>
  <c r="D69" i="19"/>
  <c r="H68" i="19"/>
  <c r="D68" i="19"/>
  <c r="H55" i="19"/>
  <c r="D53" i="19"/>
  <c r="H61" i="19"/>
  <c r="D59" i="19"/>
  <c r="H51" i="19"/>
  <c r="D58" i="19"/>
  <c r="H71" i="19"/>
  <c r="D67" i="19"/>
  <c r="H70" i="19"/>
  <c r="D66" i="19"/>
  <c r="H54" i="19"/>
  <c r="D52" i="19"/>
  <c r="H53" i="19"/>
  <c r="D51" i="19"/>
  <c r="H69" i="19"/>
  <c r="D65" i="19"/>
  <c r="H60" i="19"/>
  <c r="D57" i="19"/>
  <c r="O5" i="19"/>
  <c r="L5" i="19"/>
  <c r="O17" i="14"/>
  <c r="L17" i="14"/>
  <c r="O13" i="25" l="1"/>
  <c r="L12" i="25"/>
  <c r="I194" i="23" l="1"/>
  <c r="J194" i="23" s="1"/>
  <c r="D192" i="23"/>
  <c r="F75" i="26"/>
  <c r="C75" i="26"/>
  <c r="I334" i="23"/>
  <c r="D333" i="23"/>
  <c r="F93" i="26"/>
  <c r="C93" i="26"/>
  <c r="H39" i="1"/>
  <c r="D39" i="1"/>
  <c r="E192" i="23" l="1"/>
  <c r="E333" i="23"/>
  <c r="J334" i="23"/>
  <c r="I343" i="23" l="1"/>
  <c r="D342" i="23"/>
  <c r="J8" i="22"/>
  <c r="I8" i="22"/>
  <c r="O13" i="6"/>
  <c r="K8" i="22" l="1"/>
  <c r="N39" i="11"/>
  <c r="Q7" i="11"/>
  <c r="J22" i="11"/>
  <c r="E22" i="11"/>
  <c r="J30" i="15"/>
  <c r="E30" i="15"/>
  <c r="N47" i="15"/>
  <c r="Q14" i="15"/>
  <c r="N29" i="23"/>
  <c r="M29" i="23"/>
  <c r="I10" i="23" l="1"/>
  <c r="H10" i="23"/>
  <c r="D5" i="23"/>
  <c r="C5" i="23"/>
  <c r="G45" i="4"/>
  <c r="F45" i="4"/>
  <c r="C45" i="4"/>
  <c r="B45" i="4"/>
  <c r="H3" i="4"/>
  <c r="D3" i="4"/>
  <c r="I187" i="23"/>
  <c r="D185" i="23"/>
  <c r="O8" i="14"/>
  <c r="L8" i="20"/>
  <c r="O5" i="20"/>
  <c r="H270" i="23"/>
  <c r="C268" i="23"/>
  <c r="I272" i="23"/>
  <c r="H272" i="23"/>
  <c r="D270" i="23"/>
  <c r="C270" i="23"/>
  <c r="H32" i="8"/>
  <c r="D32" i="8"/>
  <c r="O4" i="19"/>
  <c r="L4" i="12"/>
  <c r="O4" i="12"/>
  <c r="O6" i="7"/>
  <c r="I361" i="23"/>
  <c r="D360" i="23"/>
  <c r="D178" i="23"/>
  <c r="I181" i="23"/>
  <c r="H181" i="23"/>
  <c r="C178" i="23"/>
  <c r="N28" i="23"/>
  <c r="M28" i="23"/>
  <c r="N26" i="23"/>
  <c r="M26" i="23"/>
  <c r="N45" i="23"/>
  <c r="M45" i="23"/>
  <c r="I367" i="23"/>
  <c r="J367" i="23" s="1"/>
  <c r="D367" i="23"/>
  <c r="E367" i="23" s="1"/>
  <c r="I328" i="23"/>
  <c r="D326" i="23"/>
  <c r="D40" i="17"/>
  <c r="D152" i="23"/>
  <c r="I157" i="23"/>
  <c r="I255" i="23"/>
  <c r="J255" i="23" s="1"/>
  <c r="D253" i="23"/>
  <c r="E253" i="23" s="1"/>
  <c r="N24" i="23"/>
  <c r="M24" i="23"/>
  <c r="E5" i="23" l="1"/>
  <c r="J272" i="23"/>
  <c r="E270" i="23"/>
  <c r="J10" i="23"/>
  <c r="J361" i="23"/>
  <c r="E360" i="23"/>
  <c r="C25" i="26"/>
  <c r="F34" i="26"/>
  <c r="I98" i="23"/>
  <c r="D91" i="23"/>
  <c r="H7" i="7"/>
  <c r="D7" i="7"/>
  <c r="F30" i="26"/>
  <c r="C43" i="26"/>
  <c r="F36" i="26"/>
  <c r="C27" i="26"/>
  <c r="F60" i="26"/>
  <c r="C53" i="26"/>
  <c r="I115" i="23"/>
  <c r="D108" i="23"/>
  <c r="F53" i="26"/>
  <c r="F27" i="26"/>
  <c r="C20" i="26"/>
  <c r="F52" i="26"/>
  <c r="C45" i="26"/>
  <c r="C46" i="26"/>
  <c r="I326" i="23"/>
  <c r="D324" i="23"/>
  <c r="H38" i="2"/>
  <c r="D38" i="2"/>
  <c r="N44" i="15"/>
  <c r="N12" i="15"/>
  <c r="J326" i="23" l="1"/>
  <c r="E324" i="23"/>
  <c r="E91" i="23"/>
  <c r="J98" i="23"/>
  <c r="N42" i="15" l="1"/>
  <c r="Q45" i="15"/>
  <c r="Q43" i="15"/>
  <c r="J34" i="15"/>
  <c r="E34" i="15"/>
  <c r="J28" i="15"/>
  <c r="E28" i="15"/>
  <c r="H45" i="15"/>
  <c r="C45" i="15"/>
  <c r="G89" i="18"/>
  <c r="F89" i="18"/>
  <c r="H89" i="18" s="1"/>
  <c r="C89" i="18"/>
  <c r="B89" i="18"/>
  <c r="D89" i="18" s="1"/>
  <c r="H88" i="18"/>
  <c r="D88" i="18"/>
  <c r="H87" i="18"/>
  <c r="D87" i="18"/>
  <c r="H86" i="18"/>
  <c r="D86" i="18"/>
  <c r="H85" i="18"/>
  <c r="D85" i="18"/>
  <c r="H84" i="18"/>
  <c r="D84" i="18"/>
  <c r="H58" i="18"/>
  <c r="D58" i="18"/>
  <c r="H57" i="18"/>
  <c r="D57" i="18"/>
  <c r="H83" i="18"/>
  <c r="D83" i="18"/>
  <c r="H56" i="18"/>
  <c r="D56" i="18"/>
  <c r="H82" i="18"/>
  <c r="D82" i="18"/>
  <c r="H55" i="18"/>
  <c r="D55" i="18"/>
  <c r="H54" i="18"/>
  <c r="D54" i="18"/>
  <c r="H81" i="18"/>
  <c r="D81" i="18"/>
  <c r="H48" i="18"/>
  <c r="D48" i="18"/>
  <c r="H80" i="18"/>
  <c r="D80" i="18"/>
  <c r="H79" i="18"/>
  <c r="D79" i="18"/>
  <c r="H78" i="18"/>
  <c r="D78" i="18"/>
  <c r="H77" i="18"/>
  <c r="D77" i="18"/>
  <c r="H53" i="18"/>
  <c r="D53" i="18"/>
  <c r="H52" i="18"/>
  <c r="D52" i="18"/>
  <c r="H76" i="18"/>
  <c r="D76" i="18"/>
  <c r="H75" i="18"/>
  <c r="D75" i="18"/>
  <c r="H74" i="18"/>
  <c r="D74" i="18"/>
  <c r="H73" i="18"/>
  <c r="D73" i="18"/>
  <c r="H51" i="18"/>
  <c r="D51" i="18"/>
  <c r="H72" i="18"/>
  <c r="D72" i="18"/>
  <c r="H71" i="18"/>
  <c r="D71" i="18"/>
  <c r="H70" i="18"/>
  <c r="D70" i="18"/>
  <c r="H69" i="18"/>
  <c r="D69" i="18"/>
  <c r="H68" i="18"/>
  <c r="D68" i="18"/>
  <c r="H67" i="18"/>
  <c r="D67" i="18"/>
  <c r="H66" i="18"/>
  <c r="D66" i="18"/>
  <c r="H50" i="18"/>
  <c r="D50" i="18"/>
  <c r="H65" i="18"/>
  <c r="D65" i="18"/>
  <c r="H64" i="18"/>
  <c r="D64" i="18"/>
  <c r="H63" i="18"/>
  <c r="D63" i="18"/>
  <c r="H62" i="18"/>
  <c r="D62" i="18"/>
  <c r="H61" i="18"/>
  <c r="D61" i="18"/>
  <c r="H60" i="18"/>
  <c r="D60" i="18"/>
  <c r="H59" i="18"/>
  <c r="D59" i="18"/>
  <c r="H49" i="18"/>
  <c r="D49" i="18"/>
  <c r="O6" i="3"/>
  <c r="H43" i="5"/>
  <c r="D43" i="5"/>
  <c r="H42" i="5"/>
  <c r="D42" i="5"/>
  <c r="O4" i="10"/>
  <c r="H6" i="10"/>
  <c r="D6" i="10"/>
  <c r="L24" i="19"/>
  <c r="L10" i="19"/>
  <c r="H18" i="19"/>
  <c r="D18" i="19"/>
  <c r="N6" i="15" l="1"/>
  <c r="N33" i="15"/>
  <c r="N32" i="15"/>
  <c r="F57" i="26"/>
  <c r="C50" i="26"/>
  <c r="F62" i="26"/>
  <c r="C55" i="26"/>
  <c r="I111" i="23"/>
  <c r="D104" i="23"/>
  <c r="F14" i="26"/>
  <c r="C6" i="26"/>
  <c r="H8" i="7"/>
  <c r="D8" i="7"/>
  <c r="E104" i="23" l="1"/>
  <c r="J111" i="23"/>
  <c r="O6" i="1" l="1"/>
  <c r="J9" i="26"/>
  <c r="I9" i="26"/>
  <c r="L17" i="2"/>
  <c r="O5" i="2"/>
  <c r="I155" i="23"/>
  <c r="D149" i="23"/>
  <c r="F20" i="26"/>
  <c r="C69" i="26"/>
  <c r="H8" i="2"/>
  <c r="D8" i="2"/>
  <c r="F21" i="26"/>
  <c r="C14" i="26"/>
  <c r="L21" i="19"/>
  <c r="L20" i="19"/>
  <c r="L4" i="19"/>
  <c r="L36" i="5"/>
  <c r="L33" i="5"/>
  <c r="L11" i="5"/>
  <c r="J4" i="15"/>
  <c r="E4" i="15"/>
  <c r="E149" i="23" l="1"/>
  <c r="J155" i="23"/>
  <c r="L17" i="17"/>
  <c r="J15" i="26"/>
  <c r="I15" i="26"/>
  <c r="L13" i="7"/>
  <c r="I393" i="23"/>
  <c r="D393" i="23"/>
  <c r="F19" i="26"/>
  <c r="C12" i="26"/>
  <c r="H42" i="7"/>
  <c r="D42" i="7"/>
  <c r="F15" i="26"/>
  <c r="C7" i="26"/>
  <c r="L21" i="2"/>
  <c r="I87" i="23"/>
  <c r="D80" i="23"/>
  <c r="F33" i="26"/>
  <c r="C24" i="26"/>
  <c r="J415" i="23"/>
  <c r="E415" i="23"/>
  <c r="F61" i="26"/>
  <c r="C54" i="26"/>
  <c r="H50" i="2"/>
  <c r="D50" i="2"/>
  <c r="K15" i="26" l="1"/>
  <c r="E393" i="23"/>
  <c r="J393" i="23"/>
  <c r="U26" i="10"/>
  <c r="U22" i="10"/>
  <c r="AC22" i="10"/>
  <c r="R35" i="5"/>
  <c r="R34" i="5"/>
  <c r="U32" i="5"/>
  <c r="D7" i="5"/>
  <c r="N31" i="15"/>
  <c r="N4" i="15" l="1"/>
  <c r="J43" i="15"/>
  <c r="E43" i="15"/>
  <c r="T34" i="15"/>
  <c r="T32" i="15"/>
  <c r="T31" i="15"/>
  <c r="R28" i="18"/>
  <c r="U28" i="18"/>
  <c r="U30" i="18"/>
  <c r="R31" i="18"/>
  <c r="U34" i="18"/>
  <c r="AB34" i="18"/>
  <c r="AB29" i="18"/>
  <c r="V9" i="18"/>
  <c r="V6" i="18"/>
  <c r="V5" i="18"/>
  <c r="AB6" i="18"/>
  <c r="AB5" i="18"/>
  <c r="AB4" i="18"/>
  <c r="H25" i="18"/>
  <c r="D25" i="18"/>
  <c r="L22" i="19"/>
  <c r="R22" i="19"/>
  <c r="U22" i="19"/>
  <c r="R24" i="3" l="1"/>
  <c r="R23" i="3"/>
  <c r="R22" i="3"/>
  <c r="U26" i="3"/>
  <c r="U25" i="3"/>
  <c r="U22" i="3"/>
  <c r="AB25" i="3"/>
  <c r="L14" i="7"/>
  <c r="F48" i="26"/>
  <c r="C40" i="26"/>
  <c r="I297" i="23"/>
  <c r="D295" i="23"/>
  <c r="F54" i="26"/>
  <c r="C47" i="26"/>
  <c r="J14" i="26"/>
  <c r="I14" i="26"/>
  <c r="N36" i="23"/>
  <c r="M36" i="23"/>
  <c r="L16" i="1"/>
  <c r="L15" i="1"/>
  <c r="F39" i="26"/>
  <c r="C30" i="26"/>
  <c r="F59" i="26"/>
  <c r="C52" i="26"/>
  <c r="F50" i="26"/>
  <c r="C42" i="26"/>
  <c r="I306" i="23"/>
  <c r="D304" i="23"/>
  <c r="H32" i="2"/>
  <c r="D32" i="2"/>
  <c r="I387" i="23"/>
  <c r="D387" i="23"/>
  <c r="H46" i="2"/>
  <c r="D46" i="2"/>
  <c r="L21" i="17"/>
  <c r="F46" i="26"/>
  <c r="C38" i="26"/>
  <c r="E304" i="23" l="1"/>
  <c r="K14" i="26"/>
  <c r="E387" i="23"/>
  <c r="J306" i="23"/>
  <c r="J387" i="23"/>
  <c r="L49" i="20" l="1"/>
  <c r="L7" i="20"/>
  <c r="H8" i="20"/>
  <c r="D8" i="20"/>
  <c r="N38" i="23"/>
  <c r="M38" i="23"/>
  <c r="J11" i="26"/>
  <c r="I11" i="26"/>
  <c r="L12" i="7"/>
  <c r="F18" i="26"/>
  <c r="C11" i="26"/>
  <c r="F55" i="26"/>
  <c r="C48" i="26"/>
  <c r="L13" i="1"/>
  <c r="F24" i="26"/>
  <c r="C17" i="26"/>
  <c r="L22" i="2" l="1"/>
  <c r="J301" i="23"/>
  <c r="E299" i="23"/>
  <c r="F7" i="26"/>
  <c r="C94" i="26"/>
  <c r="H31" i="2"/>
  <c r="D31" i="2"/>
  <c r="F63" i="26"/>
  <c r="C56" i="26"/>
  <c r="F25" i="26"/>
  <c r="C18" i="26"/>
  <c r="J375" i="23"/>
  <c r="E375" i="23"/>
  <c r="F11" i="26"/>
  <c r="C5" i="26"/>
  <c r="H44" i="2"/>
  <c r="D44" i="2"/>
  <c r="F29" i="26"/>
  <c r="C22" i="26"/>
  <c r="F51" i="26"/>
  <c r="C44" i="26"/>
  <c r="L20" i="17" l="1"/>
  <c r="J157" i="23" l="1"/>
  <c r="E152" i="23"/>
  <c r="F23" i="26"/>
  <c r="C16" i="26"/>
  <c r="I325" i="23"/>
  <c r="J325" i="23" s="1"/>
  <c r="D323" i="23"/>
  <c r="E323" i="23" s="1"/>
  <c r="L6" i="20"/>
  <c r="L51" i="20"/>
  <c r="L48" i="20"/>
  <c r="L47" i="20"/>
  <c r="H38" i="20"/>
  <c r="H37" i="20"/>
  <c r="H36" i="20"/>
  <c r="H35" i="20"/>
  <c r="H34" i="20"/>
  <c r="H33" i="20"/>
  <c r="H32" i="20"/>
  <c r="H31" i="20"/>
  <c r="H30" i="20"/>
  <c r="H29" i="20"/>
  <c r="H28" i="20"/>
  <c r="H27" i="20"/>
  <c r="H26" i="20"/>
  <c r="H25" i="20"/>
  <c r="H24" i="20"/>
  <c r="H23" i="20"/>
  <c r="H22" i="20"/>
  <c r="H21" i="20"/>
  <c r="H20" i="20"/>
  <c r="H19" i="20"/>
  <c r="H18" i="20"/>
  <c r="H17" i="20"/>
  <c r="H16" i="20"/>
  <c r="H15" i="20"/>
  <c r="H14" i="20"/>
  <c r="H13" i="20"/>
  <c r="H12" i="20"/>
  <c r="H11" i="20"/>
  <c r="H10" i="20"/>
  <c r="H9" i="20"/>
  <c r="H7" i="20"/>
  <c r="H6" i="20"/>
  <c r="H5" i="20"/>
  <c r="H4" i="20"/>
  <c r="H3" i="20"/>
  <c r="D38" i="20"/>
  <c r="D37" i="20"/>
  <c r="D36" i="20"/>
  <c r="D35" i="20"/>
  <c r="D34" i="20"/>
  <c r="D33" i="20"/>
  <c r="D32" i="20"/>
  <c r="D31" i="20"/>
  <c r="D30" i="20"/>
  <c r="D29" i="20"/>
  <c r="D28" i="20"/>
  <c r="D27" i="20"/>
  <c r="D26" i="20"/>
  <c r="D25" i="20"/>
  <c r="D24" i="20"/>
  <c r="D23" i="20"/>
  <c r="D22" i="20"/>
  <c r="D21" i="20"/>
  <c r="D20" i="20"/>
  <c r="D19" i="20"/>
  <c r="D18" i="20"/>
  <c r="D17" i="20"/>
  <c r="D16" i="20"/>
  <c r="D15" i="20"/>
  <c r="D14" i="20"/>
  <c r="D13" i="20"/>
  <c r="D12" i="20"/>
  <c r="D11" i="20"/>
  <c r="D10" i="20"/>
  <c r="D9" i="20"/>
  <c r="D7" i="20"/>
  <c r="D6" i="20"/>
  <c r="D5" i="20"/>
  <c r="D4" i="20"/>
  <c r="D3" i="20"/>
  <c r="G39" i="20"/>
  <c r="C39" i="20"/>
  <c r="N6" i="11"/>
  <c r="N38" i="11"/>
  <c r="N40" i="11"/>
  <c r="J25" i="11"/>
  <c r="E25" i="11"/>
  <c r="J19" i="11"/>
  <c r="E19" i="11"/>
  <c r="H41" i="11"/>
  <c r="C41" i="11"/>
  <c r="I365" i="23"/>
  <c r="J365" i="23" s="1"/>
  <c r="D364" i="23"/>
  <c r="E364" i="23" s="1"/>
  <c r="H43" i="2"/>
  <c r="D43" i="2"/>
  <c r="N17" i="23"/>
  <c r="M17" i="23"/>
  <c r="H4" i="4"/>
  <c r="D4" i="4"/>
  <c r="I303" i="23"/>
  <c r="J303" i="23" s="1"/>
  <c r="D301" i="23"/>
  <c r="E301" i="23" s="1"/>
  <c r="H30" i="4"/>
  <c r="D30" i="4"/>
  <c r="I298" i="23"/>
  <c r="J298" i="23" s="1"/>
  <c r="D296" i="23"/>
  <c r="E296" i="23" s="1"/>
  <c r="H29" i="4"/>
  <c r="D29" i="4"/>
  <c r="I245" i="23"/>
  <c r="J245" i="23" s="1"/>
  <c r="D243" i="23"/>
  <c r="E243" i="23" s="1"/>
  <c r="H23" i="4"/>
  <c r="D23" i="4"/>
  <c r="L9" i="19"/>
  <c r="N41" i="23"/>
  <c r="M41" i="23"/>
  <c r="I348" i="23"/>
  <c r="J348" i="23" s="1"/>
  <c r="D347" i="23"/>
  <c r="E347" i="23" s="1"/>
  <c r="H40" i="1"/>
  <c r="D40" i="1"/>
  <c r="I289" i="23"/>
  <c r="D287" i="23"/>
  <c r="H34" i="1"/>
  <c r="D34" i="1"/>
  <c r="I220" i="23"/>
  <c r="D218" i="23"/>
  <c r="H38" i="1"/>
  <c r="D38" i="1"/>
  <c r="I286" i="23"/>
  <c r="D284" i="23"/>
  <c r="I417" i="23"/>
  <c r="D417" i="23"/>
  <c r="I406" i="23"/>
  <c r="J406" i="23" s="1"/>
  <c r="D406" i="23"/>
  <c r="E406" i="23" s="1"/>
  <c r="I401" i="23"/>
  <c r="J401" i="23" s="1"/>
  <c r="D401" i="23"/>
  <c r="E401" i="23" s="1"/>
  <c r="H45" i="17"/>
  <c r="D45" i="17"/>
  <c r="H48" i="17"/>
  <c r="D48" i="17"/>
  <c r="I269" i="23"/>
  <c r="D267" i="23"/>
  <c r="H24" i="7"/>
  <c r="D24" i="7"/>
  <c r="I232" i="23"/>
  <c r="J232" i="23" s="1"/>
  <c r="D230" i="23"/>
  <c r="E230" i="23" s="1"/>
  <c r="H19" i="7"/>
  <c r="D19" i="7"/>
  <c r="D7" i="27"/>
  <c r="H7" i="27"/>
  <c r="D8" i="27"/>
  <c r="H8" i="27"/>
  <c r="D9" i="27"/>
  <c r="H9" i="27"/>
  <c r="D10" i="27"/>
  <c r="H10" i="27"/>
  <c r="D11" i="27"/>
  <c r="H11" i="27"/>
  <c r="D4" i="27"/>
  <c r="H4" i="27"/>
  <c r="D5" i="27"/>
  <c r="H5" i="27"/>
  <c r="D6" i="27"/>
  <c r="H6" i="27"/>
  <c r="L6" i="3"/>
  <c r="N14" i="15" l="1"/>
  <c r="U8" i="15"/>
  <c r="U7" i="15"/>
  <c r="U5" i="15"/>
  <c r="X11" i="15"/>
  <c r="X7" i="15"/>
  <c r="X6" i="15"/>
  <c r="AA13" i="15"/>
  <c r="AA9" i="15"/>
  <c r="AA7" i="15"/>
  <c r="AA5" i="15"/>
  <c r="AA4" i="15"/>
  <c r="AG7" i="15"/>
  <c r="I190" i="23"/>
  <c r="J190" i="23" s="1"/>
  <c r="D188" i="23"/>
  <c r="E188" i="23" s="1"/>
  <c r="I215" i="23"/>
  <c r="J215" i="23" s="1"/>
  <c r="D213" i="23"/>
  <c r="E213" i="23" s="1"/>
  <c r="H24" i="16"/>
  <c r="D24" i="16"/>
  <c r="N29" i="11" l="1"/>
  <c r="N5" i="11"/>
  <c r="N33" i="11"/>
  <c r="N9" i="11"/>
  <c r="D368" i="23"/>
  <c r="I274" i="23"/>
  <c r="D272" i="23"/>
  <c r="N30" i="11"/>
  <c r="N7" i="11"/>
  <c r="N32" i="11"/>
  <c r="Q29" i="11"/>
  <c r="Q28" i="11"/>
  <c r="T31" i="11"/>
  <c r="T30" i="11"/>
  <c r="AD31" i="11"/>
  <c r="AD30" i="11"/>
  <c r="J20" i="11"/>
  <c r="E20" i="11"/>
  <c r="H27" i="3"/>
  <c r="D27" i="3"/>
  <c r="L5" i="3"/>
  <c r="S6" i="3"/>
  <c r="V6" i="3"/>
  <c r="AB5" i="3"/>
  <c r="AB4" i="3"/>
  <c r="I402" i="23"/>
  <c r="J402" i="23" s="1"/>
  <c r="D402" i="23"/>
  <c r="E402" i="23" s="1"/>
  <c r="I72" i="23"/>
  <c r="J72" i="23" s="1"/>
  <c r="D65" i="23"/>
  <c r="E65" i="23" s="1"/>
  <c r="H5" i="4"/>
  <c r="D5" i="4"/>
  <c r="L7" i="14"/>
  <c r="L14" i="14"/>
  <c r="L5" i="20"/>
  <c r="S9" i="20"/>
  <c r="S5" i="20"/>
  <c r="S4" i="20"/>
  <c r="V14" i="20"/>
  <c r="V11" i="20"/>
  <c r="V9" i="20"/>
  <c r="Z9" i="20"/>
  <c r="I291" i="23"/>
  <c r="J291" i="23" s="1"/>
  <c r="D289" i="23"/>
  <c r="E289" i="23" s="1"/>
  <c r="I186" i="23"/>
  <c r="J186" i="23" s="1"/>
  <c r="D184" i="23"/>
  <c r="E184" i="23" s="1"/>
  <c r="I118" i="23"/>
  <c r="J118" i="23" s="1"/>
  <c r="D111" i="23"/>
  <c r="E111" i="23" s="1"/>
  <c r="I332" i="23"/>
  <c r="J332" i="23" s="1"/>
  <c r="D330" i="23"/>
  <c r="E330" i="23" s="1"/>
  <c r="I96" i="23"/>
  <c r="J96" i="23" s="1"/>
  <c r="D89" i="23"/>
  <c r="E89" i="23" s="1"/>
  <c r="I317" i="23"/>
  <c r="D315" i="23"/>
  <c r="H35" i="8"/>
  <c r="D35" i="8"/>
  <c r="H18" i="8"/>
  <c r="D18" i="8"/>
  <c r="H12" i="8"/>
  <c r="D12" i="8"/>
  <c r="H42" i="8"/>
  <c r="D42" i="8"/>
  <c r="H8" i="8"/>
  <c r="D8" i="8"/>
  <c r="I265" i="23"/>
  <c r="D263" i="23"/>
  <c r="I283" i="23"/>
  <c r="D281" i="23"/>
  <c r="I100" i="23"/>
  <c r="J100" i="23" s="1"/>
  <c r="D93" i="23"/>
  <c r="E93" i="23" s="1"/>
  <c r="I78" i="23"/>
  <c r="D71" i="23"/>
  <c r="H15" i="6"/>
  <c r="D15" i="6"/>
  <c r="N19" i="23"/>
  <c r="M19" i="23"/>
  <c r="I218" i="23"/>
  <c r="D216" i="23"/>
  <c r="I379" i="23"/>
  <c r="D379" i="23"/>
  <c r="I198" i="23" l="1"/>
  <c r="D196" i="23"/>
  <c r="H198" i="23"/>
  <c r="C196" i="23"/>
  <c r="H21" i="21"/>
  <c r="D21" i="21"/>
  <c r="I16" i="23"/>
  <c r="H16" i="23"/>
  <c r="D150" i="23"/>
  <c r="C150" i="23"/>
  <c r="H14" i="21"/>
  <c r="D14" i="21"/>
  <c r="D39" i="10"/>
  <c r="H39" i="10"/>
  <c r="N20" i="23"/>
  <c r="M20" i="23"/>
  <c r="I103" i="23"/>
  <c r="H103" i="23"/>
  <c r="D96" i="23"/>
  <c r="C96" i="23"/>
  <c r="H6" i="16"/>
  <c r="D6" i="16"/>
  <c r="L8" i="5"/>
  <c r="S8" i="5"/>
  <c r="S5" i="5"/>
  <c r="S4" i="5"/>
  <c r="V9" i="5"/>
  <c r="V8" i="5"/>
  <c r="V7" i="5"/>
  <c r="V6" i="5"/>
  <c r="AA10" i="5"/>
  <c r="AA9" i="5"/>
  <c r="N42" i="23"/>
  <c r="M42" i="23"/>
  <c r="M10" i="23"/>
  <c r="N10" i="23"/>
  <c r="H6" i="19"/>
  <c r="D6" i="19"/>
  <c r="L6" i="19"/>
  <c r="L7" i="19"/>
  <c r="S8" i="19"/>
  <c r="S7" i="19"/>
  <c r="S4" i="19"/>
  <c r="V4" i="19"/>
  <c r="AB7" i="19"/>
  <c r="AB4" i="19"/>
  <c r="L6" i="4"/>
  <c r="I8" i="23"/>
  <c r="D171" i="23"/>
  <c r="I373" i="23"/>
  <c r="D373" i="23"/>
  <c r="I290" i="23"/>
  <c r="D288" i="23"/>
  <c r="I354" i="23"/>
  <c r="J354" i="23" s="1"/>
  <c r="D353" i="23"/>
  <c r="E353" i="23" s="1"/>
  <c r="I266" i="23"/>
  <c r="D264" i="23"/>
  <c r="L5" i="14"/>
  <c r="S6" i="24"/>
  <c r="S5" i="24"/>
  <c r="I56" i="23"/>
  <c r="J56" i="23" s="1"/>
  <c r="D51" i="23"/>
  <c r="E51" i="23" s="1"/>
  <c r="H48" i="8"/>
  <c r="D48" i="8"/>
  <c r="I51" i="23"/>
  <c r="D44" i="23"/>
  <c r="I146" i="23"/>
  <c r="J146" i="23" s="1"/>
  <c r="D140" i="23"/>
  <c r="E140" i="23" s="1"/>
  <c r="H13" i="9"/>
  <c r="D13" i="9"/>
  <c r="I234" i="23"/>
  <c r="J234" i="23" s="1"/>
  <c r="D232" i="23"/>
  <c r="E232" i="23" s="1"/>
  <c r="I403" i="23"/>
  <c r="D403" i="23"/>
  <c r="I398" i="23"/>
  <c r="J398" i="23" s="1"/>
  <c r="D398" i="23"/>
  <c r="E398" i="23" s="1"/>
  <c r="H43" i="17"/>
  <c r="D43" i="17"/>
  <c r="E150" i="23" l="1"/>
  <c r="J103" i="23"/>
  <c r="O10" i="23"/>
  <c r="J16" i="23"/>
  <c r="E96" i="23"/>
  <c r="D245" i="23"/>
  <c r="I247" i="23"/>
  <c r="I80" i="23"/>
  <c r="D73" i="23"/>
  <c r="I395" i="23"/>
  <c r="D395" i="23"/>
  <c r="D348" i="23" l="1"/>
  <c r="S9" i="10"/>
  <c r="S7" i="10"/>
  <c r="S6" i="10"/>
  <c r="S5" i="10"/>
  <c r="S4" i="10"/>
  <c r="V5" i="10"/>
  <c r="V4" i="10"/>
  <c r="AC10" i="10"/>
  <c r="AC8" i="10"/>
  <c r="AC4" i="10"/>
  <c r="M22" i="23"/>
  <c r="N22" i="23"/>
  <c r="N46" i="23"/>
  <c r="M46" i="23"/>
  <c r="I371" i="23"/>
  <c r="H371" i="23"/>
  <c r="D371" i="23"/>
  <c r="C371" i="23"/>
  <c r="H189" i="23"/>
  <c r="C187" i="23"/>
  <c r="I189" i="23"/>
  <c r="D187" i="23"/>
  <c r="H20" i="9"/>
  <c r="D20" i="9"/>
  <c r="U8" i="11"/>
  <c r="U5" i="11"/>
  <c r="U4" i="11"/>
  <c r="X8" i="11"/>
  <c r="AD7" i="11"/>
  <c r="H30" i="25"/>
  <c r="D30" i="25"/>
  <c r="E371" i="23" l="1"/>
  <c r="J371" i="23"/>
  <c r="J189" i="23"/>
  <c r="E187" i="23"/>
  <c r="G53" i="12" l="1"/>
  <c r="F53" i="12"/>
  <c r="C53" i="12"/>
  <c r="B53" i="12"/>
  <c r="H3" i="12"/>
  <c r="D3" i="12"/>
  <c r="F132" i="22"/>
  <c r="C130" i="22"/>
  <c r="F131" i="22"/>
  <c r="C129" i="22"/>
  <c r="H127" i="23" l="1"/>
  <c r="F104" i="22"/>
  <c r="C102" i="22"/>
  <c r="H210" i="23"/>
  <c r="C208" i="23"/>
  <c r="H21" i="4"/>
  <c r="D21" i="4"/>
  <c r="F28" i="22"/>
  <c r="C22" i="22"/>
  <c r="H28" i="23"/>
  <c r="C22" i="23"/>
  <c r="F106" i="22"/>
  <c r="C104" i="22"/>
  <c r="H221" i="23"/>
  <c r="C219" i="23"/>
  <c r="F145" i="22"/>
  <c r="C145" i="22"/>
  <c r="H374" i="23"/>
  <c r="C374" i="23"/>
  <c r="F134" i="22"/>
  <c r="C132" i="22"/>
  <c r="H328" i="23"/>
  <c r="J328" i="23" s="1"/>
  <c r="C326" i="23"/>
  <c r="E326" i="23" s="1"/>
  <c r="H33" i="4"/>
  <c r="D33" i="4"/>
  <c r="F80" i="22"/>
  <c r="C74" i="22"/>
  <c r="C121" i="23"/>
  <c r="F154" i="22" l="1"/>
  <c r="C154" i="22"/>
  <c r="H409" i="23"/>
  <c r="C409" i="23"/>
  <c r="D42" i="21"/>
  <c r="H42" i="21"/>
  <c r="F142" i="22"/>
  <c r="C141" i="22"/>
  <c r="H364" i="23"/>
  <c r="C363" i="23"/>
  <c r="J13" i="22"/>
  <c r="I13" i="22"/>
  <c r="N12" i="23"/>
  <c r="M12" i="23"/>
  <c r="F60" i="22"/>
  <c r="C84" i="22"/>
  <c r="I60" i="23"/>
  <c r="H60" i="23"/>
  <c r="D155" i="23"/>
  <c r="C155" i="23"/>
  <c r="H17" i="21"/>
  <c r="D17" i="21"/>
  <c r="F122" i="22"/>
  <c r="C120" i="22"/>
  <c r="H292" i="23"/>
  <c r="C290" i="23"/>
  <c r="F113" i="22"/>
  <c r="C111" i="22"/>
  <c r="I251" i="23"/>
  <c r="D249" i="23"/>
  <c r="H251" i="23"/>
  <c r="C249" i="23"/>
  <c r="H24" i="21"/>
  <c r="D24" i="21"/>
  <c r="F43" i="22"/>
  <c r="C36" i="22"/>
  <c r="H43" i="23"/>
  <c r="C36" i="23"/>
  <c r="K13" i="22" l="1"/>
  <c r="O12" i="23"/>
  <c r="E155" i="23"/>
  <c r="J60" i="23"/>
  <c r="J251" i="23"/>
  <c r="E249" i="23"/>
  <c r="F42" i="22" l="1"/>
  <c r="C35" i="22"/>
  <c r="I42" i="23"/>
  <c r="D35" i="23"/>
  <c r="H42" i="23"/>
  <c r="C35" i="23"/>
  <c r="H35" i="6"/>
  <c r="D35" i="6"/>
  <c r="H5" i="12"/>
  <c r="D5" i="12"/>
  <c r="L24" i="25"/>
  <c r="L4" i="25"/>
  <c r="H37" i="25"/>
  <c r="D37" i="25"/>
  <c r="N34" i="23" l="1"/>
  <c r="M34" i="23"/>
  <c r="D256" i="23"/>
  <c r="F67" i="22"/>
  <c r="C60" i="22"/>
  <c r="I77" i="23"/>
  <c r="H77" i="23"/>
  <c r="D70" i="23"/>
  <c r="C70" i="23"/>
  <c r="I185" i="23"/>
  <c r="D183" i="23"/>
  <c r="H8" i="6"/>
  <c r="D8" i="6"/>
  <c r="F73" i="22"/>
  <c r="C66" i="22"/>
  <c r="H97" i="23"/>
  <c r="C90" i="23"/>
  <c r="F100" i="22"/>
  <c r="C98" i="22"/>
  <c r="H196" i="23"/>
  <c r="I196" i="23"/>
  <c r="D194" i="23"/>
  <c r="C194" i="23"/>
  <c r="H32" i="6"/>
  <c r="D32" i="6"/>
  <c r="F117" i="22"/>
  <c r="C115" i="22"/>
  <c r="H267" i="23"/>
  <c r="C265" i="23"/>
  <c r="J5" i="22"/>
  <c r="I5" i="22"/>
  <c r="L17" i="9"/>
  <c r="L7" i="9"/>
  <c r="C95" i="22"/>
  <c r="C182" i="23"/>
  <c r="E194" i="23" l="1"/>
  <c r="K5" i="22"/>
  <c r="J196" i="23"/>
  <c r="H14" i="23" l="1"/>
  <c r="C9" i="23"/>
  <c r="F120" i="22"/>
  <c r="C118" i="22"/>
  <c r="H284" i="23"/>
  <c r="C282" i="23"/>
  <c r="H68" i="23"/>
  <c r="C61" i="23"/>
  <c r="F64" i="22"/>
  <c r="C57" i="22"/>
  <c r="F14" i="22"/>
  <c r="C9" i="22"/>
  <c r="F138" i="22"/>
  <c r="C137" i="22"/>
  <c r="I349" i="23"/>
  <c r="H349" i="23"/>
  <c r="C348" i="23"/>
  <c r="H33" i="21"/>
  <c r="D33" i="21"/>
  <c r="L29" i="12"/>
  <c r="L10" i="12"/>
  <c r="H23" i="12"/>
  <c r="D23" i="12"/>
  <c r="L12" i="27"/>
  <c r="L5" i="27"/>
  <c r="L13" i="27"/>
  <c r="L6" i="27"/>
  <c r="E348" i="23" l="1"/>
  <c r="J349" i="23"/>
  <c r="L9" i="25" l="1"/>
  <c r="L28" i="25"/>
  <c r="L32" i="25"/>
  <c r="L13" i="25"/>
  <c r="H34" i="25"/>
  <c r="D34" i="25"/>
  <c r="G22" i="27"/>
  <c r="F22" i="27"/>
  <c r="C22" i="27"/>
  <c r="B22" i="27"/>
  <c r="H21" i="27"/>
  <c r="D21" i="27"/>
  <c r="H20" i="27"/>
  <c r="D20" i="27"/>
  <c r="H19" i="27"/>
  <c r="D19" i="27"/>
  <c r="H18" i="27"/>
  <c r="D18" i="27"/>
  <c r="H17" i="27"/>
  <c r="D17" i="27"/>
  <c r="L11" i="27"/>
  <c r="H16" i="27"/>
  <c r="D16" i="27"/>
  <c r="H15" i="27"/>
  <c r="D15" i="27"/>
  <c r="H14" i="27"/>
  <c r="D14" i="27"/>
  <c r="H13" i="27"/>
  <c r="D13" i="27"/>
  <c r="H12" i="27"/>
  <c r="D12" i="27"/>
  <c r="O4" i="27"/>
  <c r="L4" i="27"/>
  <c r="H3" i="27"/>
  <c r="D3" i="27"/>
  <c r="L27" i="25"/>
  <c r="R31" i="25"/>
  <c r="R29" i="25"/>
  <c r="R27" i="25"/>
  <c r="R25" i="25"/>
  <c r="L8" i="25"/>
  <c r="V12" i="25"/>
  <c r="V10" i="25"/>
  <c r="V8" i="25"/>
  <c r="V6" i="25"/>
  <c r="H31" i="25"/>
  <c r="D31" i="25"/>
  <c r="L28" i="12"/>
  <c r="L27" i="12"/>
  <c r="R23" i="12"/>
  <c r="R27" i="12"/>
  <c r="AB26" i="12"/>
  <c r="AB25" i="12"/>
  <c r="AB24" i="12"/>
  <c r="AB23" i="12"/>
  <c r="L9" i="12"/>
  <c r="L7" i="12"/>
  <c r="V9" i="12"/>
  <c r="V7" i="12"/>
  <c r="V5" i="12"/>
  <c r="V4" i="12"/>
  <c r="H6" i="12"/>
  <c r="D6" i="12"/>
  <c r="H22" i="27" l="1"/>
  <c r="D22" i="27"/>
  <c r="L36" i="14" l="1"/>
  <c r="L8" i="14"/>
  <c r="L42" i="14"/>
  <c r="O35" i="14"/>
  <c r="O36" i="14"/>
  <c r="O37" i="14"/>
  <c r="R37" i="14"/>
  <c r="O39" i="14"/>
  <c r="R40" i="14"/>
  <c r="R41" i="14"/>
  <c r="AB39" i="14"/>
  <c r="AB37" i="14"/>
  <c r="L16" i="14"/>
  <c r="V16" i="14"/>
  <c r="V15" i="14"/>
  <c r="V13" i="14"/>
  <c r="V12" i="14"/>
  <c r="V11" i="14"/>
  <c r="V9" i="14"/>
  <c r="V8" i="14"/>
  <c r="J9" i="22"/>
  <c r="I9" i="22"/>
  <c r="J7" i="22"/>
  <c r="I7" i="22"/>
  <c r="J12" i="22"/>
  <c r="I12" i="22"/>
  <c r="J6" i="22"/>
  <c r="I6" i="22"/>
  <c r="N30" i="23"/>
  <c r="M30" i="23"/>
  <c r="F30" i="22"/>
  <c r="C142" i="22"/>
  <c r="I30" i="23"/>
  <c r="H30" i="23"/>
  <c r="D365" i="23"/>
  <c r="C365" i="23"/>
  <c r="H39" i="4"/>
  <c r="D39" i="4"/>
  <c r="F70" i="22"/>
  <c r="C63" i="22"/>
  <c r="I83" i="23"/>
  <c r="D76" i="23"/>
  <c r="H83" i="23"/>
  <c r="C76" i="23"/>
  <c r="H6" i="4"/>
  <c r="D6" i="4"/>
  <c r="J30" i="23" l="1"/>
  <c r="K9" i="22"/>
  <c r="K6" i="22"/>
  <c r="K12" i="22"/>
  <c r="K7" i="22"/>
  <c r="E76" i="23"/>
  <c r="E365" i="23"/>
  <c r="J83" i="23"/>
  <c r="L18" i="21" l="1"/>
  <c r="L6" i="21"/>
  <c r="F147" i="22"/>
  <c r="C147" i="22"/>
  <c r="H382" i="23"/>
  <c r="C382" i="23"/>
  <c r="H290" i="23" l="1"/>
  <c r="J290" i="23" s="1"/>
  <c r="C288" i="23"/>
  <c r="E288" i="23" s="1"/>
  <c r="F121" i="22"/>
  <c r="C119" i="22"/>
  <c r="H28" i="4"/>
  <c r="D28" i="4"/>
  <c r="H59" i="23"/>
  <c r="C331" i="23"/>
  <c r="H129" i="23"/>
  <c r="C123" i="23"/>
  <c r="F81" i="22"/>
  <c r="C75" i="22"/>
  <c r="L10" i="8"/>
  <c r="F59" i="22"/>
  <c r="C134" i="22"/>
  <c r="L10" i="16"/>
  <c r="N31" i="23"/>
  <c r="M31" i="23"/>
  <c r="L13" i="6"/>
  <c r="H23" i="23"/>
  <c r="C17" i="23"/>
  <c r="F23" i="22"/>
  <c r="C17" i="22"/>
  <c r="H46" i="23"/>
  <c r="C39" i="23"/>
  <c r="F46" i="22"/>
  <c r="C39" i="22"/>
  <c r="H11" i="23"/>
  <c r="C6" i="23"/>
  <c r="F11" i="22"/>
  <c r="C6" i="22"/>
  <c r="C69" i="22"/>
  <c r="F63" i="22"/>
  <c r="C56" i="22"/>
  <c r="AD21" i="21"/>
  <c r="O21" i="17"/>
  <c r="O20" i="17"/>
  <c r="O18" i="17"/>
  <c r="O17" i="17"/>
  <c r="R16" i="17"/>
  <c r="R19" i="17"/>
  <c r="R20" i="17"/>
  <c r="AA22" i="17"/>
  <c r="AA21" i="17"/>
  <c r="AD18" i="16"/>
  <c r="O14" i="7"/>
  <c r="O12" i="7"/>
  <c r="R14" i="7"/>
  <c r="R15" i="7"/>
  <c r="AA15" i="7"/>
  <c r="AA14" i="7"/>
  <c r="AA13" i="7"/>
  <c r="AA12" i="7"/>
  <c r="AD17" i="9"/>
  <c r="AD16" i="9"/>
  <c r="AD18" i="8"/>
  <c r="AD16" i="8"/>
  <c r="AD25" i="6"/>
  <c r="AD22" i="6"/>
  <c r="AD21" i="6"/>
  <c r="O21" i="2"/>
  <c r="O20" i="2"/>
  <c r="O16" i="2"/>
  <c r="R18" i="2"/>
  <c r="R19" i="2"/>
  <c r="AA20" i="2"/>
  <c r="AA19" i="2"/>
  <c r="O15" i="1"/>
  <c r="O13" i="1"/>
  <c r="R14" i="1"/>
  <c r="R15" i="1"/>
  <c r="AA14" i="1"/>
  <c r="I270" i="23" l="1"/>
  <c r="D268" i="23"/>
  <c r="I150" i="23"/>
  <c r="D144" i="23"/>
  <c r="D399" i="23"/>
  <c r="I399" i="23"/>
  <c r="I28" i="23" l="1"/>
  <c r="J28" i="23" s="1"/>
  <c r="D22" i="23"/>
  <c r="E22" i="23" s="1"/>
  <c r="H36" i="4"/>
  <c r="D36" i="4"/>
  <c r="I180" i="23"/>
  <c r="D177" i="23"/>
  <c r="I123" i="23"/>
  <c r="D117" i="23"/>
  <c r="I188" i="23"/>
  <c r="D186" i="23"/>
  <c r="I331" i="23"/>
  <c r="J331" i="23" s="1"/>
  <c r="D329" i="23"/>
  <c r="E329" i="23" s="1"/>
  <c r="H40" i="2"/>
  <c r="D40" i="2"/>
  <c r="D72" i="23"/>
  <c r="I372" i="23"/>
  <c r="J372" i="23" s="1"/>
  <c r="D372" i="23"/>
  <c r="E372" i="23" s="1"/>
  <c r="H42" i="17"/>
  <c r="D42" i="17"/>
  <c r="I167" i="23"/>
  <c r="D163" i="23"/>
  <c r="I254" i="23"/>
  <c r="J254" i="23" s="1"/>
  <c r="D252" i="23"/>
  <c r="E252" i="23" s="1"/>
  <c r="H27" i="17"/>
  <c r="D27" i="17"/>
  <c r="I287" i="23"/>
  <c r="D285" i="23"/>
  <c r="I158" i="23"/>
  <c r="D153" i="23"/>
  <c r="I32" i="23"/>
  <c r="D24" i="23"/>
  <c r="H40" i="5"/>
  <c r="D40" i="5"/>
  <c r="N13" i="23"/>
  <c r="M13" i="23"/>
  <c r="I59" i="23"/>
  <c r="J59" i="23" s="1"/>
  <c r="D331" i="23"/>
  <c r="E331" i="23" s="1"/>
  <c r="H43" i="8"/>
  <c r="D43" i="8"/>
  <c r="D105" i="23"/>
  <c r="J270" i="23"/>
  <c r="E268" i="23"/>
  <c r="H30" i="8"/>
  <c r="D30" i="8"/>
  <c r="O13" i="23" l="1"/>
  <c r="AF8" i="10" l="1"/>
  <c r="AF5" i="10"/>
  <c r="I216" i="23" l="1"/>
  <c r="D214" i="23"/>
  <c r="I179" i="23"/>
  <c r="J179" i="23" s="1"/>
  <c r="D176" i="23"/>
  <c r="E176" i="23" s="1"/>
  <c r="I160" i="23"/>
  <c r="D156" i="23"/>
  <c r="I410" i="23"/>
  <c r="D410" i="23"/>
  <c r="I240" i="23"/>
  <c r="J240" i="23" s="1"/>
  <c r="D238" i="23"/>
  <c r="E238" i="23" s="1"/>
  <c r="I104" i="23"/>
  <c r="D97" i="23"/>
  <c r="H16" i="6"/>
  <c r="D16" i="6"/>
  <c r="I419" i="23"/>
  <c r="D419" i="23"/>
  <c r="I151" i="23"/>
  <c r="D145" i="23"/>
  <c r="I43" i="23"/>
  <c r="J43" i="23" s="1"/>
  <c r="D36" i="23"/>
  <c r="E36" i="23" s="1"/>
  <c r="H26" i="16"/>
  <c r="D26" i="16"/>
  <c r="I214" i="23"/>
  <c r="J214" i="23" s="1"/>
  <c r="D212" i="23"/>
  <c r="E212" i="23" s="1"/>
  <c r="H23" i="16"/>
  <c r="D23" i="16"/>
  <c r="I271" i="23"/>
  <c r="D269" i="23"/>
  <c r="D27" i="23"/>
  <c r="I152" i="23"/>
  <c r="J152" i="23" s="1"/>
  <c r="D146" i="23"/>
  <c r="E146" i="23" s="1"/>
  <c r="H10" i="17"/>
  <c r="D10" i="17"/>
  <c r="N16" i="23" l="1"/>
  <c r="M16" i="23"/>
  <c r="AP4" i="21"/>
  <c r="AM4" i="21"/>
  <c r="D61" i="23" l="1"/>
  <c r="I92" i="23"/>
  <c r="J92" i="23" s="1"/>
  <c r="D85" i="23"/>
  <c r="E85" i="23" s="1"/>
  <c r="H7" i="21"/>
  <c r="D7" i="21"/>
  <c r="I292" i="23"/>
  <c r="J292" i="23" s="1"/>
  <c r="D290" i="23"/>
  <c r="E290" i="23" s="1"/>
  <c r="D40" i="10" l="1"/>
  <c r="H40" i="10"/>
  <c r="I195" i="23"/>
  <c r="J195" i="23" s="1"/>
  <c r="D193" i="23"/>
  <c r="E193" i="23" s="1"/>
  <c r="I351" i="23"/>
  <c r="D350" i="23"/>
  <c r="H49" i="6"/>
  <c r="D49" i="6"/>
  <c r="H31" i="6"/>
  <c r="D31" i="6"/>
  <c r="I97" i="23"/>
  <c r="D90" i="23"/>
  <c r="I143" i="23"/>
  <c r="J143" i="23" s="1"/>
  <c r="D137" i="23"/>
  <c r="E137" i="23" s="1"/>
  <c r="H18" i="1"/>
  <c r="D18" i="1"/>
  <c r="H10" i="18"/>
  <c r="D10" i="18"/>
  <c r="I224" i="23" l="1"/>
  <c r="J224" i="23" s="1"/>
  <c r="D222" i="23"/>
  <c r="E222" i="23" s="1"/>
  <c r="H19" i="2"/>
  <c r="D19" i="2"/>
  <c r="I227" i="23"/>
  <c r="D225" i="23"/>
  <c r="I426" i="23"/>
  <c r="J426" i="23" s="1"/>
  <c r="D426" i="23"/>
  <c r="E426" i="23" s="1"/>
  <c r="H52" i="2"/>
  <c r="D52" i="2"/>
  <c r="I364" i="23"/>
  <c r="D363" i="23"/>
  <c r="H38" i="4" l="1"/>
  <c r="D38" i="4"/>
  <c r="I223" i="23" l="1"/>
  <c r="D221" i="23"/>
  <c r="I79" i="23"/>
  <c r="I350" i="23" l="1"/>
  <c r="J350" i="23" s="1"/>
  <c r="D349" i="23"/>
  <c r="E349" i="23" s="1"/>
  <c r="J269" i="23"/>
  <c r="E267" i="23"/>
  <c r="I172" i="23"/>
  <c r="J172" i="23" s="1"/>
  <c r="D168" i="23"/>
  <c r="E168" i="23" s="1"/>
  <c r="I391" i="23"/>
  <c r="J391" i="23" s="1"/>
  <c r="D391" i="23"/>
  <c r="E391" i="23" s="1"/>
  <c r="H41" i="7"/>
  <c r="D41" i="7"/>
  <c r="D388" i="23"/>
  <c r="E388" i="23" s="1"/>
  <c r="I388" i="23"/>
  <c r="J388" i="23" s="1"/>
  <c r="H40" i="7"/>
  <c r="D40" i="7"/>
  <c r="I424" i="23"/>
  <c r="D424" i="23"/>
  <c r="I256" i="23"/>
  <c r="J256" i="23" s="1"/>
  <c r="D254" i="23"/>
  <c r="E254" i="23" s="1"/>
  <c r="H23" i="7"/>
  <c r="D23" i="7"/>
  <c r="D41" i="10"/>
  <c r="H41" i="10"/>
  <c r="L18" i="24"/>
  <c r="H24" i="24"/>
  <c r="D24" i="24"/>
  <c r="F35" i="24"/>
  <c r="B35" i="24"/>
  <c r="H34" i="24"/>
  <c r="H33" i="24"/>
  <c r="H32" i="24"/>
  <c r="H31" i="24"/>
  <c r="H30" i="24"/>
  <c r="H29" i="24"/>
  <c r="H28" i="24"/>
  <c r="H27" i="24"/>
  <c r="H26" i="24"/>
  <c r="H25" i="24"/>
  <c r="H23" i="24"/>
  <c r="H22" i="24"/>
  <c r="H21" i="24"/>
  <c r="H20" i="24"/>
  <c r="H19" i="24"/>
  <c r="H18" i="24"/>
  <c r="H17" i="24"/>
  <c r="H16" i="24"/>
  <c r="H15" i="24"/>
  <c r="H14" i="24"/>
  <c r="H13" i="24"/>
  <c r="H12" i="24"/>
  <c r="H11" i="24"/>
  <c r="H10" i="24"/>
  <c r="H9" i="24"/>
  <c r="H8" i="24"/>
  <c r="H7" i="24"/>
  <c r="H6" i="24"/>
  <c r="H5" i="24"/>
  <c r="H4" i="24"/>
  <c r="D34" i="24"/>
  <c r="D33" i="24"/>
  <c r="D32" i="24"/>
  <c r="D31" i="24"/>
  <c r="D30" i="24"/>
  <c r="D29" i="24"/>
  <c r="D28" i="24"/>
  <c r="D27" i="24"/>
  <c r="D26" i="24"/>
  <c r="D25" i="24"/>
  <c r="D23" i="24"/>
  <c r="D22" i="24"/>
  <c r="D21" i="24"/>
  <c r="D20" i="24"/>
  <c r="D19" i="24"/>
  <c r="D18" i="24"/>
  <c r="D17" i="24"/>
  <c r="D16" i="24"/>
  <c r="D15" i="24"/>
  <c r="D14" i="24"/>
  <c r="D13" i="24"/>
  <c r="D12" i="24"/>
  <c r="D11" i="24"/>
  <c r="D10" i="24"/>
  <c r="D9" i="24"/>
  <c r="D8" i="24"/>
  <c r="D7" i="24"/>
  <c r="D6" i="24"/>
  <c r="D5" i="24"/>
  <c r="D4" i="24"/>
  <c r="H3" i="24"/>
  <c r="D3" i="24"/>
  <c r="J12" i="26"/>
  <c r="I12" i="26"/>
  <c r="J7" i="26"/>
  <c r="I7" i="26"/>
  <c r="F81" i="26"/>
  <c r="C76" i="26"/>
  <c r="J206" i="23"/>
  <c r="E204" i="23"/>
  <c r="N18" i="23"/>
  <c r="M18" i="23"/>
  <c r="H15" i="17"/>
  <c r="D15" i="17"/>
  <c r="F26" i="26"/>
  <c r="C19" i="26"/>
  <c r="F106" i="26"/>
  <c r="C106" i="26"/>
  <c r="F85" i="26"/>
  <c r="C80" i="26"/>
  <c r="F17" i="26"/>
  <c r="C10" i="26"/>
  <c r="F99" i="26"/>
  <c r="C99" i="26"/>
  <c r="K12" i="26" l="1"/>
  <c r="J424" i="23"/>
  <c r="K7" i="26"/>
  <c r="E424" i="23"/>
  <c r="F91" i="26" l="1"/>
  <c r="C89" i="26"/>
  <c r="F76" i="26" l="1"/>
  <c r="C70" i="26"/>
  <c r="G45" i="5"/>
  <c r="F45" i="5"/>
  <c r="C45" i="5"/>
  <c r="B45" i="5"/>
  <c r="H3" i="5"/>
  <c r="D3" i="5"/>
  <c r="J31" i="15"/>
  <c r="E31" i="15"/>
  <c r="H38" i="10"/>
  <c r="D38" i="10"/>
  <c r="J14" i="15"/>
  <c r="E14" i="15"/>
  <c r="H38" i="18" l="1"/>
  <c r="D38" i="18"/>
  <c r="F88" i="26"/>
  <c r="C85" i="26"/>
  <c r="F49" i="26"/>
  <c r="C41" i="26"/>
  <c r="C66" i="26"/>
  <c r="C61" i="26"/>
  <c r="C60" i="26"/>
  <c r="F43" i="26"/>
  <c r="C34" i="26"/>
  <c r="F90" i="26"/>
  <c r="C87" i="26"/>
  <c r="F58" i="26"/>
  <c r="C51" i="26"/>
  <c r="H43" i="10" l="1"/>
  <c r="D43" i="10"/>
  <c r="H6" i="5"/>
  <c r="D6" i="5"/>
  <c r="H46" i="19"/>
  <c r="H45" i="19"/>
  <c r="H44" i="19"/>
  <c r="H43" i="19"/>
  <c r="H42" i="19"/>
  <c r="H41" i="19"/>
  <c r="H40" i="19"/>
  <c r="H39" i="19"/>
  <c r="H38" i="19"/>
  <c r="H37" i="19"/>
  <c r="H36" i="19"/>
  <c r="H35" i="19"/>
  <c r="H34" i="19"/>
  <c r="H33" i="19"/>
  <c r="H32" i="19"/>
  <c r="H31" i="19"/>
  <c r="H30" i="19"/>
  <c r="H29" i="19"/>
  <c r="H28" i="19"/>
  <c r="H27" i="19"/>
  <c r="H26" i="19"/>
  <c r="H25" i="19"/>
  <c r="H24" i="19"/>
  <c r="H23" i="19"/>
  <c r="H22" i="19"/>
  <c r="H21" i="19"/>
  <c r="H20" i="19"/>
  <c r="H19" i="19"/>
  <c r="H17" i="19"/>
  <c r="H16" i="19"/>
  <c r="H15" i="19"/>
  <c r="H14" i="19"/>
  <c r="H13" i="19"/>
  <c r="H12" i="19"/>
  <c r="H11" i="19"/>
  <c r="H10" i="19"/>
  <c r="H9" i="19"/>
  <c r="H8" i="19"/>
  <c r="H7" i="19"/>
  <c r="H5" i="19"/>
  <c r="H4" i="19"/>
  <c r="H3" i="19"/>
  <c r="D46" i="19"/>
  <c r="D45" i="19"/>
  <c r="D44" i="19"/>
  <c r="D43" i="19"/>
  <c r="D42" i="19"/>
  <c r="D41" i="19"/>
  <c r="D40" i="19"/>
  <c r="D39" i="19"/>
  <c r="D38" i="19"/>
  <c r="D37" i="19"/>
  <c r="D36" i="19"/>
  <c r="D35" i="19"/>
  <c r="D34" i="19"/>
  <c r="D33" i="19"/>
  <c r="D32" i="19"/>
  <c r="D31" i="19"/>
  <c r="D30" i="19"/>
  <c r="D29" i="19"/>
  <c r="D28" i="19"/>
  <c r="D27" i="19"/>
  <c r="D26" i="19"/>
  <c r="D25" i="19"/>
  <c r="D24" i="19"/>
  <c r="D23" i="19"/>
  <c r="D22" i="19"/>
  <c r="D21" i="19"/>
  <c r="D20" i="19"/>
  <c r="D19" i="19"/>
  <c r="D17" i="19"/>
  <c r="D16" i="19"/>
  <c r="D15" i="19"/>
  <c r="D14" i="19"/>
  <c r="D13" i="19"/>
  <c r="D12" i="19"/>
  <c r="D11" i="19"/>
  <c r="D10" i="19"/>
  <c r="D9" i="19"/>
  <c r="D8" i="19"/>
  <c r="D7" i="19"/>
  <c r="D5" i="19"/>
  <c r="D4" i="19"/>
  <c r="D3" i="19"/>
  <c r="F47" i="19"/>
  <c r="B47" i="19"/>
  <c r="C68" i="26"/>
  <c r="F74" i="26"/>
  <c r="F80" i="26"/>
  <c r="C74" i="26"/>
  <c r="F105" i="26" l="1"/>
  <c r="C105" i="26"/>
  <c r="F89" i="26"/>
  <c r="C86" i="26"/>
  <c r="L33" i="18"/>
  <c r="L7" i="18"/>
  <c r="H43" i="18"/>
  <c r="H42" i="18"/>
  <c r="H41" i="18"/>
  <c r="H40" i="18"/>
  <c r="H39" i="18"/>
  <c r="H37" i="18"/>
  <c r="H36" i="18"/>
  <c r="H35" i="18"/>
  <c r="H34" i="18"/>
  <c r="H33" i="18"/>
  <c r="H32" i="18"/>
  <c r="H31" i="18"/>
  <c r="H30" i="18"/>
  <c r="H29" i="18"/>
  <c r="H28" i="18"/>
  <c r="H27" i="18"/>
  <c r="H26" i="18"/>
  <c r="H24" i="18"/>
  <c r="H23" i="18"/>
  <c r="H22" i="18"/>
  <c r="H21" i="18"/>
  <c r="H20" i="18"/>
  <c r="H19" i="18"/>
  <c r="H18" i="18"/>
  <c r="H17" i="18"/>
  <c r="H16" i="18"/>
  <c r="H15" i="18"/>
  <c r="H14" i="18"/>
  <c r="H13" i="18"/>
  <c r="H12" i="18"/>
  <c r="H11" i="18"/>
  <c r="H9" i="18"/>
  <c r="H8" i="18"/>
  <c r="H7" i="18"/>
  <c r="H6" i="18"/>
  <c r="H5" i="18"/>
  <c r="H4" i="18"/>
  <c r="H3" i="18"/>
  <c r="D43" i="18"/>
  <c r="D42" i="18"/>
  <c r="D41" i="18"/>
  <c r="D40" i="18"/>
  <c r="D39" i="18"/>
  <c r="D37" i="18"/>
  <c r="D36" i="18"/>
  <c r="D35" i="18"/>
  <c r="D34" i="18"/>
  <c r="D33" i="18"/>
  <c r="D32" i="18"/>
  <c r="D31" i="18"/>
  <c r="D30" i="18"/>
  <c r="D29" i="18"/>
  <c r="D28" i="18"/>
  <c r="D27" i="18"/>
  <c r="D26" i="18"/>
  <c r="D24" i="18"/>
  <c r="D23" i="18"/>
  <c r="D22" i="18"/>
  <c r="D21" i="18"/>
  <c r="D20" i="18"/>
  <c r="D19" i="18"/>
  <c r="D18" i="18"/>
  <c r="D17" i="18"/>
  <c r="D16" i="18"/>
  <c r="D15" i="18"/>
  <c r="D14" i="18"/>
  <c r="D13" i="18"/>
  <c r="D12" i="18"/>
  <c r="D11" i="18"/>
  <c r="D9" i="18"/>
  <c r="D8" i="18"/>
  <c r="D7" i="18"/>
  <c r="D6" i="18"/>
  <c r="D5" i="18"/>
  <c r="D4" i="18"/>
  <c r="D3" i="18"/>
  <c r="F44" i="18"/>
  <c r="B44" i="18"/>
  <c r="N5" i="15"/>
  <c r="J16" i="11" l="1"/>
  <c r="E16" i="11"/>
  <c r="J40" i="11"/>
  <c r="J39" i="11"/>
  <c r="J38" i="11"/>
  <c r="J37" i="11"/>
  <c r="J36" i="11"/>
  <c r="J35" i="11"/>
  <c r="J34" i="11"/>
  <c r="J33" i="11"/>
  <c r="J32" i="11"/>
  <c r="J31" i="11"/>
  <c r="J30" i="11"/>
  <c r="J29" i="11"/>
  <c r="J28" i="11"/>
  <c r="J27" i="11"/>
  <c r="J26" i="11"/>
  <c r="J24" i="11"/>
  <c r="J23" i="11"/>
  <c r="J21" i="11"/>
  <c r="J18" i="11"/>
  <c r="J17" i="11"/>
  <c r="J15" i="11"/>
  <c r="J14" i="11"/>
  <c r="J13" i="11"/>
  <c r="J12" i="11"/>
  <c r="J11" i="11"/>
  <c r="J10" i="11"/>
  <c r="J9" i="11"/>
  <c r="J8" i="11"/>
  <c r="J7" i="11"/>
  <c r="J6" i="11"/>
  <c r="J5" i="11"/>
  <c r="J3" i="11"/>
  <c r="J41" i="11" l="1"/>
  <c r="G41" i="11"/>
  <c r="B41" i="11"/>
  <c r="E40" i="11"/>
  <c r="E39" i="11"/>
  <c r="E38" i="11"/>
  <c r="E37" i="11"/>
  <c r="E36" i="11"/>
  <c r="E35" i="11"/>
  <c r="E34" i="11"/>
  <c r="E33" i="11"/>
  <c r="E32" i="11"/>
  <c r="E31" i="11"/>
  <c r="E30" i="11"/>
  <c r="E29" i="11"/>
  <c r="E28" i="11"/>
  <c r="E27" i="11"/>
  <c r="E26" i="11"/>
  <c r="E24" i="11"/>
  <c r="E23" i="11"/>
  <c r="E21" i="11"/>
  <c r="E18" i="11"/>
  <c r="E17" i="11"/>
  <c r="E15" i="11"/>
  <c r="E14" i="11"/>
  <c r="E13" i="11"/>
  <c r="E12" i="11"/>
  <c r="E11" i="11"/>
  <c r="E10" i="11"/>
  <c r="E9" i="11"/>
  <c r="E8" i="11"/>
  <c r="E7" i="11"/>
  <c r="E6" i="11"/>
  <c r="E5" i="11"/>
  <c r="E3" i="11"/>
  <c r="L23" i="10" l="1"/>
  <c r="G45" i="10"/>
  <c r="F45" i="10"/>
  <c r="C45" i="10"/>
  <c r="B45" i="10"/>
  <c r="H42" i="10"/>
  <c r="D42" i="10"/>
  <c r="L23" i="3"/>
  <c r="H45" i="3"/>
  <c r="H44" i="3"/>
  <c r="H43" i="3"/>
  <c r="H42" i="3"/>
  <c r="H41" i="3"/>
  <c r="H40" i="3"/>
  <c r="H39" i="3"/>
  <c r="H38" i="3"/>
  <c r="H37" i="3"/>
  <c r="H36" i="3"/>
  <c r="H35" i="3"/>
  <c r="H33" i="3"/>
  <c r="H32" i="3"/>
  <c r="H31" i="3"/>
  <c r="H30" i="3"/>
  <c r="H29" i="3"/>
  <c r="H28" i="3"/>
  <c r="H26" i="3"/>
  <c r="H25" i="3"/>
  <c r="H24" i="3"/>
  <c r="H23" i="3"/>
  <c r="H22" i="3"/>
  <c r="H21" i="3"/>
  <c r="H20" i="3"/>
  <c r="H19" i="3"/>
  <c r="H18" i="3"/>
  <c r="H17" i="3"/>
  <c r="H16" i="3"/>
  <c r="H15" i="3"/>
  <c r="H14" i="3"/>
  <c r="H13" i="3"/>
  <c r="H12" i="3"/>
  <c r="H11" i="3"/>
  <c r="H10" i="3"/>
  <c r="H9" i="3"/>
  <c r="H8" i="3"/>
  <c r="H7" i="3"/>
  <c r="H6" i="3"/>
  <c r="H5" i="3"/>
  <c r="H4" i="3"/>
  <c r="H3" i="3"/>
  <c r="D45" i="3"/>
  <c r="D44" i="3"/>
  <c r="D43" i="3"/>
  <c r="D42" i="3"/>
  <c r="D41" i="3"/>
  <c r="D40" i="3"/>
  <c r="D39" i="3"/>
  <c r="D38" i="3"/>
  <c r="D37" i="3"/>
  <c r="D36" i="3"/>
  <c r="D35" i="3"/>
  <c r="D33" i="3"/>
  <c r="D32" i="3"/>
  <c r="D31" i="3"/>
  <c r="D30" i="3"/>
  <c r="D29" i="3"/>
  <c r="D28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D5" i="3"/>
  <c r="D4" i="3"/>
  <c r="D3" i="3"/>
  <c r="F46" i="3"/>
  <c r="B46" i="3"/>
  <c r="AA33" i="5" l="1"/>
  <c r="F13" i="26"/>
  <c r="C97" i="26"/>
  <c r="J6" i="26"/>
  <c r="I6" i="26"/>
  <c r="F77" i="26"/>
  <c r="C71" i="26"/>
  <c r="J167" i="23"/>
  <c r="E163" i="23"/>
  <c r="H13" i="17"/>
  <c r="D13" i="17"/>
  <c r="F104" i="26"/>
  <c r="C104" i="26"/>
  <c r="J403" i="23"/>
  <c r="E403" i="23"/>
  <c r="F87" i="26"/>
  <c r="C82" i="26"/>
  <c r="F9" i="26"/>
  <c r="C13" i="26"/>
  <c r="F31" i="26"/>
  <c r="C84" i="26"/>
  <c r="C88" i="26"/>
  <c r="K6" i="26" l="1"/>
  <c r="K11" i="26"/>
  <c r="D109" i="23" l="1"/>
  <c r="I124" i="23"/>
  <c r="D118" i="23"/>
  <c r="F69" i="26"/>
  <c r="C63" i="26"/>
  <c r="H16" i="1"/>
  <c r="D16" i="1"/>
  <c r="F68" i="26"/>
  <c r="C62" i="26"/>
  <c r="I116" i="23"/>
  <c r="F94" i="26"/>
  <c r="C90" i="26"/>
  <c r="I281" i="23"/>
  <c r="D279" i="23"/>
  <c r="H30" i="1"/>
  <c r="D30" i="1"/>
  <c r="F86" i="26"/>
  <c r="C81" i="26"/>
  <c r="I250" i="23"/>
  <c r="D248" i="23"/>
  <c r="F70" i="26"/>
  <c r="C64" i="26"/>
  <c r="I135" i="23"/>
  <c r="D129" i="23"/>
  <c r="F44" i="26"/>
  <c r="C35" i="26"/>
  <c r="C8" i="26"/>
  <c r="F5" i="26"/>
  <c r="J8" i="26"/>
  <c r="J5" i="26"/>
  <c r="I5" i="26"/>
  <c r="J124" i="23" l="1"/>
  <c r="E279" i="23"/>
  <c r="E118" i="23"/>
  <c r="J281" i="23"/>
  <c r="E109" i="23"/>
  <c r="J116" i="23"/>
  <c r="E129" i="23"/>
  <c r="J135" i="23"/>
  <c r="J13" i="26" l="1"/>
  <c r="I13" i="26"/>
  <c r="F96" i="26"/>
  <c r="F64" i="26"/>
  <c r="C95" i="26"/>
  <c r="C83" i="26"/>
  <c r="I389" i="23"/>
  <c r="D56" i="23"/>
  <c r="I63" i="23"/>
  <c r="I200" i="23"/>
  <c r="J200" i="23" s="1"/>
  <c r="D198" i="23"/>
  <c r="E198" i="23" s="1"/>
  <c r="H19" i="16"/>
  <c r="D19" i="16"/>
  <c r="I126" i="23"/>
  <c r="J126" i="23" s="1"/>
  <c r="D120" i="23"/>
  <c r="E120" i="23" s="1"/>
  <c r="I47" i="23" l="1"/>
  <c r="D40" i="23"/>
  <c r="H25" i="9"/>
  <c r="D25" i="9"/>
  <c r="I409" i="23"/>
  <c r="D409" i="23"/>
  <c r="H41" i="9"/>
  <c r="D41" i="9"/>
  <c r="I429" i="23"/>
  <c r="J429" i="23" s="1"/>
  <c r="D429" i="23"/>
  <c r="E429" i="23" s="1"/>
  <c r="I128" i="23" l="1"/>
  <c r="D122" i="23"/>
  <c r="H9" i="16"/>
  <c r="D9" i="16"/>
  <c r="I352" i="23"/>
  <c r="D351" i="23"/>
  <c r="H37" i="16"/>
  <c r="D37" i="16"/>
  <c r="G47" i="1"/>
  <c r="F47" i="1"/>
  <c r="C47" i="1"/>
  <c r="B47" i="1"/>
  <c r="H3" i="1"/>
  <c r="D3" i="1"/>
  <c r="I120" i="23"/>
  <c r="D113" i="23"/>
  <c r="I305" i="23"/>
  <c r="D303" i="23"/>
  <c r="H35" i="1"/>
  <c r="D35" i="1"/>
  <c r="I285" i="23"/>
  <c r="D283" i="23"/>
  <c r="H32" i="1"/>
  <c r="D32" i="1"/>
  <c r="I278" i="23"/>
  <c r="D276" i="23"/>
  <c r="H29" i="1"/>
  <c r="D29" i="1"/>
  <c r="N32" i="23" l="1"/>
  <c r="M32" i="23"/>
  <c r="I249" i="23"/>
  <c r="D247" i="23"/>
  <c r="I213" i="23"/>
  <c r="D211" i="23"/>
  <c r="H18" i="17"/>
  <c r="D18" i="17"/>
  <c r="I405" i="23"/>
  <c r="J405" i="23" s="1"/>
  <c r="D405" i="23"/>
  <c r="E405" i="23" s="1"/>
  <c r="H47" i="17"/>
  <c r="D47" i="17"/>
  <c r="I67" i="23"/>
  <c r="D60" i="23"/>
  <c r="G53" i="17"/>
  <c r="F53" i="17"/>
  <c r="C53" i="17"/>
  <c r="B53" i="17"/>
  <c r="D3" i="17"/>
  <c r="H3" i="17"/>
  <c r="I147" i="23"/>
  <c r="D141" i="23"/>
  <c r="H8" i="17"/>
  <c r="D8" i="17"/>
  <c r="I105" i="23"/>
  <c r="D98" i="23"/>
  <c r="H5" i="17"/>
  <c r="D5" i="17"/>
  <c r="I414" i="23"/>
  <c r="D414" i="23"/>
  <c r="N23" i="23"/>
  <c r="M23" i="23"/>
  <c r="I308" i="23"/>
  <c r="D306" i="23"/>
  <c r="H33" i="2"/>
  <c r="D33" i="2"/>
  <c r="I225" i="23"/>
  <c r="J225" i="23" s="1"/>
  <c r="D223" i="23"/>
  <c r="E223" i="23" s="1"/>
  <c r="I396" i="23"/>
  <c r="D396" i="23"/>
  <c r="I138" i="23" l="1"/>
  <c r="D132" i="23"/>
  <c r="I88" i="23"/>
  <c r="D81" i="23"/>
  <c r="I335" i="23"/>
  <c r="D334" i="23"/>
  <c r="H31" i="7"/>
  <c r="D31" i="7"/>
  <c r="I117" i="23"/>
  <c r="D110" i="23"/>
  <c r="I337" i="23"/>
  <c r="D336" i="23"/>
  <c r="H32" i="7"/>
  <c r="D32" i="7"/>
  <c r="E81" i="23" l="1"/>
  <c r="J88" i="23"/>
  <c r="I23" i="23"/>
  <c r="J23" i="23" s="1"/>
  <c r="D17" i="23"/>
  <c r="E17" i="23" s="1"/>
  <c r="H30" i="6"/>
  <c r="D30" i="6"/>
  <c r="I315" i="23"/>
  <c r="D313" i="23"/>
  <c r="I89" i="23"/>
  <c r="D82" i="23"/>
  <c r="J77" i="23"/>
  <c r="E70" i="23"/>
  <c r="H32" i="25" l="1"/>
  <c r="D32" i="25"/>
  <c r="N8" i="11"/>
  <c r="AG9" i="11"/>
  <c r="AG7" i="11"/>
  <c r="H21" i="12"/>
  <c r="D21" i="12"/>
  <c r="D143" i="23" l="1"/>
  <c r="I62" i="23"/>
  <c r="J62" i="23" s="1"/>
  <c r="D55" i="23"/>
  <c r="E55" i="23" s="1"/>
  <c r="I193" i="23"/>
  <c r="J193" i="23" s="1"/>
  <c r="D191" i="23"/>
  <c r="E191" i="23" s="1"/>
  <c r="H16" i="2"/>
  <c r="D16" i="2"/>
  <c r="I22" i="23" l="1"/>
  <c r="D16" i="23"/>
  <c r="I380" i="23"/>
  <c r="D380" i="23"/>
  <c r="J33" i="15"/>
  <c r="E33" i="15"/>
  <c r="C46" i="3" l="1"/>
  <c r="D46" i="3" s="1"/>
  <c r="I201" i="23"/>
  <c r="J201" i="23" s="1"/>
  <c r="D199" i="23"/>
  <c r="E199" i="23" s="1"/>
  <c r="H20" i="16"/>
  <c r="D20" i="16"/>
  <c r="I41" i="23"/>
  <c r="D34" i="23"/>
  <c r="J389" i="23"/>
  <c r="D389" i="23"/>
  <c r="E389" i="23" s="1"/>
  <c r="I242" i="23"/>
  <c r="D240" i="23"/>
  <c r="H39" i="9"/>
  <c r="D39" i="9"/>
  <c r="AE9" i="18"/>
  <c r="AE4" i="18"/>
  <c r="I359" i="23"/>
  <c r="J359" i="23" s="1"/>
  <c r="D358" i="23"/>
  <c r="E358" i="23" s="1"/>
  <c r="I91" i="23"/>
  <c r="J91" i="23" s="1"/>
  <c r="D84" i="23"/>
  <c r="E84" i="23" s="1"/>
  <c r="I390" i="23"/>
  <c r="J390" i="23" s="1"/>
  <c r="D390" i="23"/>
  <c r="E390" i="23" s="1"/>
  <c r="I122" i="23"/>
  <c r="J122" i="23" s="1"/>
  <c r="D116" i="23"/>
  <c r="E116" i="23" s="1"/>
  <c r="H50" i="6"/>
  <c r="D50" i="6"/>
  <c r="H10" i="6"/>
  <c r="D10" i="6"/>
  <c r="H53" i="6"/>
  <c r="D53" i="6"/>
  <c r="H18" i="6"/>
  <c r="D18" i="6"/>
  <c r="AC11" i="20" l="1"/>
  <c r="AC10" i="20"/>
  <c r="V6" i="24"/>
  <c r="V4" i="24"/>
  <c r="N27" i="23"/>
  <c r="M27" i="23"/>
  <c r="I11" i="23"/>
  <c r="J11" i="23" s="1"/>
  <c r="D6" i="23"/>
  <c r="E6" i="23" s="1"/>
  <c r="I177" i="23"/>
  <c r="J177" i="23" s="1"/>
  <c r="D174" i="23"/>
  <c r="E174" i="23" s="1"/>
  <c r="I360" i="23"/>
  <c r="D359" i="23"/>
  <c r="I202" i="23"/>
  <c r="D200" i="23"/>
  <c r="H6" i="6"/>
  <c r="D6" i="6"/>
  <c r="H28" i="6"/>
  <c r="D28" i="6"/>
  <c r="H51" i="6"/>
  <c r="D51" i="6"/>
  <c r="I282" i="23"/>
  <c r="D280" i="23"/>
  <c r="N21" i="23"/>
  <c r="M21" i="23"/>
  <c r="N14" i="23"/>
  <c r="M14" i="23"/>
  <c r="I382" i="23"/>
  <c r="J382" i="23" s="1"/>
  <c r="D382" i="23"/>
  <c r="E382" i="23" s="1"/>
  <c r="I75" i="23"/>
  <c r="D68" i="23"/>
  <c r="I14" i="23"/>
  <c r="J14" i="23" s="1"/>
  <c r="D9" i="23"/>
  <c r="E9" i="23" s="1"/>
  <c r="H39" i="8"/>
  <c r="D39" i="8"/>
  <c r="I327" i="23"/>
  <c r="D325" i="23"/>
  <c r="I235" i="23"/>
  <c r="D233" i="23"/>
  <c r="I69" i="23"/>
  <c r="D62" i="23"/>
  <c r="N40" i="23"/>
  <c r="M40" i="23"/>
  <c r="N44" i="23"/>
  <c r="M44" i="23"/>
  <c r="I241" i="23"/>
  <c r="D239" i="23"/>
  <c r="D115" i="23"/>
  <c r="I20" i="23"/>
  <c r="N35" i="23"/>
  <c r="M35" i="23"/>
  <c r="N33" i="23"/>
  <c r="M33" i="23"/>
  <c r="I259" i="23"/>
  <c r="J259" i="23" s="1"/>
  <c r="D257" i="23"/>
  <c r="E257" i="23" s="1"/>
  <c r="H27" i="2"/>
  <c r="D27" i="2"/>
  <c r="I253" i="23"/>
  <c r="J253" i="23" s="1"/>
  <c r="D251" i="23"/>
  <c r="E251" i="23" s="1"/>
  <c r="H26" i="2"/>
  <c r="D26" i="2"/>
  <c r="I428" i="23"/>
  <c r="J428" i="23" s="1"/>
  <c r="D428" i="23"/>
  <c r="E428" i="23" s="1"/>
  <c r="I136" i="23"/>
  <c r="D130" i="23"/>
  <c r="H7" i="2"/>
  <c r="D7" i="2"/>
  <c r="I384" i="23" l="1"/>
  <c r="D384" i="23"/>
  <c r="I312" i="23"/>
  <c r="D310" i="23"/>
  <c r="I148" i="23"/>
  <c r="D142" i="23"/>
  <c r="I275" i="23"/>
  <c r="D273" i="23"/>
  <c r="I300" i="23"/>
  <c r="I340" i="23"/>
  <c r="D339" i="23"/>
  <c r="I411" i="23"/>
  <c r="D411" i="23"/>
  <c r="I345" i="23"/>
  <c r="D344" i="23"/>
  <c r="I221" i="23"/>
  <c r="D219" i="23"/>
  <c r="H45" i="16"/>
  <c r="D45" i="16"/>
  <c r="H30" i="16"/>
  <c r="D30" i="16"/>
  <c r="H12" i="16"/>
  <c r="D12" i="16"/>
  <c r="H34" i="16"/>
  <c r="D34" i="16"/>
  <c r="H49" i="16"/>
  <c r="D49" i="16"/>
  <c r="H35" i="16"/>
  <c r="D35" i="16"/>
  <c r="AE8" i="3"/>
  <c r="AE7" i="3"/>
  <c r="AE6" i="3"/>
  <c r="AE5" i="3"/>
  <c r="I357" i="23"/>
  <c r="D356" i="23"/>
  <c r="I339" i="23"/>
  <c r="D338" i="23"/>
  <c r="D274" i="23"/>
  <c r="I276" i="23"/>
  <c r="N37" i="23"/>
  <c r="M37" i="23"/>
  <c r="AE7" i="19"/>
  <c r="AE4" i="19"/>
  <c r="D182" i="23"/>
  <c r="I45" i="23"/>
  <c r="D38" i="23"/>
  <c r="J27" i="15" l="1"/>
  <c r="E27" i="15"/>
  <c r="N25" i="23" l="1"/>
  <c r="M25" i="23"/>
  <c r="I168" i="23"/>
  <c r="D164" i="23"/>
  <c r="I268" i="23" l="1"/>
  <c r="D266" i="23"/>
  <c r="I400" i="23"/>
  <c r="D400" i="23"/>
  <c r="H44" i="17"/>
  <c r="D44" i="17"/>
  <c r="I239" i="23"/>
  <c r="D237" i="23"/>
  <c r="I316" i="23"/>
  <c r="D314" i="23"/>
  <c r="I207" i="23"/>
  <c r="D205" i="23"/>
  <c r="I264" i="23"/>
  <c r="D262" i="23"/>
  <c r="I336" i="23"/>
  <c r="J336" i="23" s="1"/>
  <c r="D335" i="23"/>
  <c r="E335" i="23" s="1"/>
  <c r="H34" i="4"/>
  <c r="D34" i="4"/>
  <c r="I170" i="23"/>
  <c r="D166" i="23"/>
  <c r="I363" i="23"/>
  <c r="D362" i="23"/>
  <c r="C362" i="23"/>
  <c r="I279" i="23"/>
  <c r="D277" i="23"/>
  <c r="I21" i="23"/>
  <c r="D15" i="23"/>
  <c r="I58" i="23"/>
  <c r="D53" i="23"/>
  <c r="I127" i="23"/>
  <c r="D121" i="23"/>
  <c r="H9" i="4"/>
  <c r="D9" i="4"/>
  <c r="L4" i="10" l="1"/>
  <c r="H41" i="14" l="1"/>
  <c r="D41" i="14"/>
  <c r="H42" i="12"/>
  <c r="D42" i="12"/>
  <c r="H6" i="25"/>
  <c r="D6" i="25"/>
  <c r="H7" i="25"/>
  <c r="D7" i="25"/>
  <c r="AE38" i="14"/>
  <c r="AE10" i="14"/>
  <c r="AE9" i="14"/>
  <c r="AE5" i="14"/>
  <c r="AE4" i="14"/>
  <c r="AE26" i="12"/>
  <c r="AE23" i="12"/>
  <c r="AE9" i="12"/>
  <c r="AE8" i="12"/>
  <c r="AE6" i="12"/>
  <c r="AE5" i="12"/>
  <c r="AE4" i="12"/>
  <c r="H5" i="25" l="1"/>
  <c r="D5" i="25"/>
  <c r="F22" i="22"/>
  <c r="C16" i="22"/>
  <c r="F68" i="22"/>
  <c r="C61" i="22"/>
  <c r="H22" i="23"/>
  <c r="J22" i="23" s="1"/>
  <c r="C16" i="23"/>
  <c r="E16" i="23" s="1"/>
  <c r="H17" i="4"/>
  <c r="D17" i="4"/>
  <c r="H78" i="23"/>
  <c r="J78" i="23" s="1"/>
  <c r="C71" i="23"/>
  <c r="E71" i="23" s="1"/>
  <c r="H9" i="6"/>
  <c r="D9" i="6"/>
  <c r="F127" i="22"/>
  <c r="C125" i="22"/>
  <c r="H309" i="23"/>
  <c r="C307" i="23"/>
  <c r="G45" i="21"/>
  <c r="F45" i="21"/>
  <c r="C45" i="21"/>
  <c r="B45" i="21"/>
  <c r="H44" i="21"/>
  <c r="D44" i="21"/>
  <c r="H43" i="21"/>
  <c r="D43" i="21"/>
  <c r="H41" i="21"/>
  <c r="D41" i="21"/>
  <c r="H40" i="21"/>
  <c r="D40" i="21"/>
  <c r="H39" i="21"/>
  <c r="D39" i="21"/>
  <c r="H38" i="21"/>
  <c r="D38" i="21"/>
  <c r="H37" i="21"/>
  <c r="D37" i="21"/>
  <c r="H36" i="21"/>
  <c r="D36" i="21"/>
  <c r="H35" i="21"/>
  <c r="D35" i="21"/>
  <c r="H34" i="21"/>
  <c r="D34" i="21"/>
  <c r="H32" i="21"/>
  <c r="D32" i="21"/>
  <c r="H30" i="21"/>
  <c r="D30" i="21"/>
  <c r="H29" i="21"/>
  <c r="D29" i="21"/>
  <c r="H28" i="21"/>
  <c r="D28" i="21"/>
  <c r="H27" i="21"/>
  <c r="D27" i="21"/>
  <c r="L28" i="21"/>
  <c r="H26" i="21"/>
  <c r="D26" i="21"/>
  <c r="H25" i="21"/>
  <c r="D25" i="21"/>
  <c r="H23" i="21"/>
  <c r="D23" i="21"/>
  <c r="H22" i="21"/>
  <c r="D22" i="21"/>
  <c r="H20" i="21"/>
  <c r="D20" i="21"/>
  <c r="H19" i="21"/>
  <c r="D19" i="21"/>
  <c r="H18" i="21"/>
  <c r="D18" i="21"/>
  <c r="H16" i="21"/>
  <c r="D16" i="21"/>
  <c r="H15" i="21"/>
  <c r="D15" i="21"/>
  <c r="H13" i="21"/>
  <c r="D13" i="21"/>
  <c r="H12" i="21"/>
  <c r="D12" i="21"/>
  <c r="H11" i="21"/>
  <c r="D11" i="21"/>
  <c r="AG11" i="21"/>
  <c r="AG10" i="21"/>
  <c r="H10" i="21"/>
  <c r="D10" i="21"/>
  <c r="AG9" i="21"/>
  <c r="H8" i="21"/>
  <c r="D8" i="21"/>
  <c r="H6" i="21"/>
  <c r="D6" i="21"/>
  <c r="H5" i="21"/>
  <c r="D5" i="21"/>
  <c r="H4" i="21"/>
  <c r="D4" i="21"/>
  <c r="H3" i="21"/>
  <c r="D3" i="21"/>
  <c r="O52" i="20"/>
  <c r="R50" i="20"/>
  <c r="O50" i="20"/>
  <c r="L42" i="20"/>
  <c r="F39" i="20"/>
  <c r="H39" i="20" s="1"/>
  <c r="B39" i="20"/>
  <c r="D39" i="20" s="1"/>
  <c r="L41" i="20"/>
  <c r="L36" i="20"/>
  <c r="R35" i="20"/>
  <c r="L34" i="20"/>
  <c r="L29" i="20"/>
  <c r="O28" i="20"/>
  <c r="O27" i="20"/>
  <c r="R22" i="20"/>
  <c r="L21" i="20"/>
  <c r="R20" i="20"/>
  <c r="R19" i="20"/>
  <c r="O19" i="20"/>
  <c r="L19" i="20"/>
  <c r="AI13" i="20"/>
  <c r="AO12" i="20"/>
  <c r="AO10" i="20"/>
  <c r="AL10" i="20"/>
  <c r="AI10" i="20"/>
  <c r="AF10" i="20"/>
  <c r="L9" i="20"/>
  <c r="G47" i="19"/>
  <c r="H47" i="19" s="1"/>
  <c r="C47" i="19"/>
  <c r="D47" i="19" s="1"/>
  <c r="O35" i="19"/>
  <c r="L35" i="19"/>
  <c r="L34" i="19"/>
  <c r="R29" i="19"/>
  <c r="L29" i="19"/>
  <c r="R15" i="19"/>
  <c r="O15" i="19"/>
  <c r="AQ7" i="19"/>
  <c r="AN7" i="19"/>
  <c r="AK7" i="19"/>
  <c r="G44" i="18"/>
  <c r="H44" i="18" s="1"/>
  <c r="C44" i="18"/>
  <c r="D44" i="18" s="1"/>
  <c r="L41" i="18"/>
  <c r="L40" i="18"/>
  <c r="L39" i="18"/>
  <c r="AE34" i="18"/>
  <c r="AK30" i="18"/>
  <c r="AH30" i="18"/>
  <c r="AK27" i="18"/>
  <c r="R22" i="18"/>
  <c r="O22" i="18"/>
  <c r="O21" i="18"/>
  <c r="L20" i="18"/>
  <c r="R19" i="18"/>
  <c r="R18" i="18"/>
  <c r="L17" i="18"/>
  <c r="O16" i="18"/>
  <c r="O15" i="18"/>
  <c r="AQ9" i="18"/>
  <c r="AN9" i="18"/>
  <c r="AK9" i="18"/>
  <c r="AK5" i="18"/>
  <c r="AK4" i="18"/>
  <c r="H52" i="17"/>
  <c r="D52" i="17"/>
  <c r="H51" i="17"/>
  <c r="D51" i="17"/>
  <c r="H50" i="17"/>
  <c r="D50" i="17"/>
  <c r="L31" i="17"/>
  <c r="H49" i="17"/>
  <c r="D49" i="17"/>
  <c r="H46" i="17"/>
  <c r="D46" i="17"/>
  <c r="R30" i="17"/>
  <c r="O30" i="17"/>
  <c r="L30" i="17"/>
  <c r="H41" i="17"/>
  <c r="D41" i="17"/>
  <c r="L29" i="17"/>
  <c r="H40" i="17"/>
  <c r="H39" i="17"/>
  <c r="D39" i="17"/>
  <c r="H38" i="17"/>
  <c r="D38" i="17"/>
  <c r="L27" i="17"/>
  <c r="H37" i="17"/>
  <c r="D37" i="17"/>
  <c r="H36" i="17"/>
  <c r="D36" i="17"/>
  <c r="H35" i="17"/>
  <c r="D35" i="17"/>
  <c r="H34" i="17"/>
  <c r="D34" i="17"/>
  <c r="H33" i="17"/>
  <c r="D33" i="17"/>
  <c r="H32" i="17"/>
  <c r="D32" i="17"/>
  <c r="H31" i="17"/>
  <c r="D31" i="17"/>
  <c r="H30" i="17"/>
  <c r="D30" i="17"/>
  <c r="AV21" i="17"/>
  <c r="AS21" i="17"/>
  <c r="AM21" i="17"/>
  <c r="AJ21" i="17"/>
  <c r="AG21" i="17"/>
  <c r="H29" i="17"/>
  <c r="D29" i="17"/>
  <c r="H28" i="17"/>
  <c r="D28" i="17"/>
  <c r="H26" i="17"/>
  <c r="D26" i="17"/>
  <c r="H25" i="17"/>
  <c r="D25" i="17"/>
  <c r="H24" i="17"/>
  <c r="D24" i="17"/>
  <c r="H23" i="17"/>
  <c r="D23" i="17"/>
  <c r="H22" i="17"/>
  <c r="D22" i="17"/>
  <c r="H21" i="17"/>
  <c r="D21" i="17"/>
  <c r="H20" i="17"/>
  <c r="D20" i="17"/>
  <c r="AV11" i="17"/>
  <c r="AG11" i="17"/>
  <c r="H19" i="17"/>
  <c r="D19" i="17"/>
  <c r="AS10" i="17"/>
  <c r="AP10" i="17"/>
  <c r="AM10" i="17"/>
  <c r="AG10" i="17"/>
  <c r="H16" i="17"/>
  <c r="D16" i="17"/>
  <c r="H14" i="17"/>
  <c r="D14" i="17"/>
  <c r="H12" i="17"/>
  <c r="D12" i="17"/>
  <c r="H11" i="17"/>
  <c r="D11" i="17"/>
  <c r="H9" i="17"/>
  <c r="D9" i="17"/>
  <c r="H7" i="17"/>
  <c r="D7" i="17"/>
  <c r="H6" i="17"/>
  <c r="D6" i="17"/>
  <c r="H4" i="17"/>
  <c r="D4" i="17"/>
  <c r="H51" i="16"/>
  <c r="D51" i="16"/>
  <c r="H50" i="16"/>
  <c r="D50" i="16"/>
  <c r="H48" i="16"/>
  <c r="D48" i="16"/>
  <c r="H47" i="16"/>
  <c r="D47" i="16"/>
  <c r="H46" i="16"/>
  <c r="D46" i="16"/>
  <c r="H44" i="16"/>
  <c r="D44" i="16"/>
  <c r="H43" i="16"/>
  <c r="D43" i="16"/>
  <c r="H42" i="16"/>
  <c r="D42" i="16"/>
  <c r="H41" i="16"/>
  <c r="D41" i="16"/>
  <c r="R26" i="16"/>
  <c r="O26" i="16"/>
  <c r="L26" i="16"/>
  <c r="H40" i="16"/>
  <c r="D40" i="16"/>
  <c r="L25" i="16"/>
  <c r="H39" i="16"/>
  <c r="D39" i="16"/>
  <c r="L24" i="16"/>
  <c r="H38" i="16"/>
  <c r="D38" i="16"/>
  <c r="H36" i="16"/>
  <c r="D36" i="16"/>
  <c r="H33" i="16"/>
  <c r="D33" i="16"/>
  <c r="H32" i="16"/>
  <c r="D32" i="16"/>
  <c r="H31" i="16"/>
  <c r="D31" i="16"/>
  <c r="H29" i="16"/>
  <c r="D29" i="16"/>
  <c r="AV18" i="16"/>
  <c r="AP18" i="16"/>
  <c r="AM18" i="16"/>
  <c r="AJ18" i="16"/>
  <c r="H28" i="16"/>
  <c r="D28" i="16"/>
  <c r="H27" i="16"/>
  <c r="D27" i="16"/>
  <c r="H25" i="16"/>
  <c r="D25" i="16"/>
  <c r="H22" i="16"/>
  <c r="D22" i="16"/>
  <c r="H21" i="16"/>
  <c r="D21" i="16"/>
  <c r="H18" i="16"/>
  <c r="D18" i="16"/>
  <c r="H17" i="16"/>
  <c r="D17" i="16"/>
  <c r="H16" i="16"/>
  <c r="D16" i="16"/>
  <c r="H15" i="16"/>
  <c r="D15" i="16"/>
  <c r="H14" i="16"/>
  <c r="D14" i="16"/>
  <c r="AG11" i="16"/>
  <c r="H13" i="16"/>
  <c r="D13" i="16"/>
  <c r="AV10" i="16"/>
  <c r="AS10" i="16"/>
  <c r="AP10" i="16"/>
  <c r="AM10" i="16"/>
  <c r="AG10" i="16"/>
  <c r="H11" i="16"/>
  <c r="D11" i="16"/>
  <c r="H10" i="16"/>
  <c r="D10" i="16"/>
  <c r="AP9" i="16"/>
  <c r="AG9" i="16"/>
  <c r="H8" i="16"/>
  <c r="D8" i="16"/>
  <c r="AM7" i="16"/>
  <c r="H7" i="16"/>
  <c r="D7" i="16"/>
  <c r="H5" i="16"/>
  <c r="D5" i="16"/>
  <c r="AP5" i="16"/>
  <c r="AM5" i="16"/>
  <c r="H4" i="16"/>
  <c r="D4" i="16"/>
  <c r="H3" i="16"/>
  <c r="D3" i="16"/>
  <c r="T46" i="15"/>
  <c r="T41" i="15"/>
  <c r="I45" i="15"/>
  <c r="G45" i="15"/>
  <c r="D45" i="15"/>
  <c r="B45" i="15"/>
  <c r="J44" i="15"/>
  <c r="E44" i="15"/>
  <c r="AM36" i="15"/>
  <c r="J42" i="15"/>
  <c r="E42" i="15"/>
  <c r="AM35" i="15"/>
  <c r="J41" i="15"/>
  <c r="E41" i="15"/>
  <c r="J40" i="15"/>
  <c r="E40" i="15"/>
  <c r="J39" i="15"/>
  <c r="E39" i="15"/>
  <c r="J38" i="15"/>
  <c r="E38" i="15"/>
  <c r="AM31" i="15"/>
  <c r="J37" i="15"/>
  <c r="E37" i="15"/>
  <c r="J36" i="15"/>
  <c r="E36" i="15"/>
  <c r="J35" i="15"/>
  <c r="E35" i="15"/>
  <c r="J32" i="15"/>
  <c r="E32" i="15"/>
  <c r="Q26" i="15"/>
  <c r="J29" i="15"/>
  <c r="E29" i="15"/>
  <c r="T25" i="15"/>
  <c r="J26" i="15"/>
  <c r="E26" i="15"/>
  <c r="N24" i="15"/>
  <c r="J25" i="15"/>
  <c r="E25" i="15"/>
  <c r="T23" i="15"/>
  <c r="Q23" i="15"/>
  <c r="J24" i="15"/>
  <c r="E24" i="15"/>
  <c r="N22" i="15"/>
  <c r="J23" i="15"/>
  <c r="E23" i="15"/>
  <c r="N21" i="15"/>
  <c r="J22" i="15"/>
  <c r="E22" i="15"/>
  <c r="T20" i="15"/>
  <c r="J21" i="15"/>
  <c r="E21" i="15"/>
  <c r="Q19" i="15"/>
  <c r="J20" i="15"/>
  <c r="E20" i="15"/>
  <c r="J19" i="15"/>
  <c r="E19" i="15"/>
  <c r="J18" i="15"/>
  <c r="E18" i="15"/>
  <c r="J17" i="15"/>
  <c r="E17" i="15"/>
  <c r="J16" i="15"/>
  <c r="E16" i="15"/>
  <c r="J15" i="15"/>
  <c r="E15" i="15"/>
  <c r="J13" i="15"/>
  <c r="E13" i="15"/>
  <c r="J12" i="15"/>
  <c r="E12" i="15"/>
  <c r="AM10" i="15"/>
  <c r="J11" i="15"/>
  <c r="E11" i="15"/>
  <c r="AS9" i="15"/>
  <c r="AP9" i="15"/>
  <c r="AM9" i="15"/>
  <c r="J10" i="15"/>
  <c r="E10" i="15"/>
  <c r="J9" i="15"/>
  <c r="E9" i="15"/>
  <c r="AP7" i="15"/>
  <c r="J8" i="15"/>
  <c r="E8" i="15"/>
  <c r="J7" i="15"/>
  <c r="E7" i="15"/>
  <c r="J6" i="15"/>
  <c r="E6" i="15"/>
  <c r="AM4" i="15"/>
  <c r="J5" i="15"/>
  <c r="E5" i="15"/>
  <c r="J3" i="15"/>
  <c r="E3" i="15"/>
  <c r="G44" i="14"/>
  <c r="F44" i="14"/>
  <c r="C44" i="14"/>
  <c r="B44" i="14"/>
  <c r="H43" i="14"/>
  <c r="D43" i="14"/>
  <c r="H42" i="14"/>
  <c r="D42" i="14"/>
  <c r="H40" i="14"/>
  <c r="D40" i="14"/>
  <c r="H39" i="14"/>
  <c r="D39" i="14"/>
  <c r="H38" i="14"/>
  <c r="D38" i="14"/>
  <c r="H37" i="14"/>
  <c r="D37" i="14"/>
  <c r="AK39" i="14"/>
  <c r="AH39" i="14"/>
  <c r="H36" i="14"/>
  <c r="D36" i="14"/>
  <c r="H35" i="14"/>
  <c r="D35" i="14"/>
  <c r="AK37" i="14"/>
  <c r="AH37" i="14"/>
  <c r="H34" i="14"/>
  <c r="D34" i="14"/>
  <c r="H33" i="14"/>
  <c r="D33" i="14"/>
  <c r="H32" i="14"/>
  <c r="D32" i="14"/>
  <c r="H31" i="14"/>
  <c r="D31" i="14"/>
  <c r="H30" i="14"/>
  <c r="D30" i="14"/>
  <c r="H29" i="14"/>
  <c r="D29" i="14"/>
  <c r="R30" i="14"/>
  <c r="H28" i="14"/>
  <c r="D28" i="14"/>
  <c r="L29" i="14"/>
  <c r="H27" i="14"/>
  <c r="D27" i="14"/>
  <c r="H26" i="14"/>
  <c r="D26" i="14"/>
  <c r="H25" i="14"/>
  <c r="D25" i="14"/>
  <c r="L26" i="14"/>
  <c r="H24" i="14"/>
  <c r="D24" i="14"/>
  <c r="H23" i="14"/>
  <c r="D23" i="14"/>
  <c r="L24" i="14"/>
  <c r="H22" i="14"/>
  <c r="D22" i="14"/>
  <c r="R23" i="14"/>
  <c r="H21" i="14"/>
  <c r="D21" i="14"/>
  <c r="H20" i="14"/>
  <c r="D20" i="14"/>
  <c r="H19" i="14"/>
  <c r="D19" i="14"/>
  <c r="H18" i="14"/>
  <c r="D18" i="14"/>
  <c r="H17" i="14"/>
  <c r="D17" i="14"/>
  <c r="H16" i="14"/>
  <c r="D16" i="14"/>
  <c r="H15" i="14"/>
  <c r="D15" i="14"/>
  <c r="H14" i="14"/>
  <c r="D14" i="14"/>
  <c r="H13" i="14"/>
  <c r="D13" i="14"/>
  <c r="H12" i="14"/>
  <c r="D12" i="14"/>
  <c r="H11" i="14"/>
  <c r="D11" i="14"/>
  <c r="AN11" i="14"/>
  <c r="H10" i="14"/>
  <c r="D10" i="14"/>
  <c r="AN10" i="14"/>
  <c r="AK10" i="14"/>
  <c r="H9" i="14"/>
  <c r="D9" i="14"/>
  <c r="AN9" i="14"/>
  <c r="AK9" i="14"/>
  <c r="H8" i="14"/>
  <c r="D8" i="14"/>
  <c r="H7" i="14"/>
  <c r="D7" i="14"/>
  <c r="H6" i="14"/>
  <c r="D6" i="14"/>
  <c r="H5" i="14"/>
  <c r="D5" i="14"/>
  <c r="AQ4" i="14"/>
  <c r="AN4" i="14"/>
  <c r="AK4" i="14"/>
  <c r="AH4" i="14"/>
  <c r="H4" i="14"/>
  <c r="D4" i="14"/>
  <c r="H3" i="14"/>
  <c r="D3" i="14"/>
  <c r="G47" i="25"/>
  <c r="F47" i="25"/>
  <c r="C47" i="25"/>
  <c r="B47" i="25"/>
  <c r="H46" i="25"/>
  <c r="D46" i="25"/>
  <c r="H44" i="25"/>
  <c r="D44" i="25"/>
  <c r="H43" i="25"/>
  <c r="D43" i="25"/>
  <c r="H42" i="25"/>
  <c r="D42" i="25"/>
  <c r="H41" i="25"/>
  <c r="D41" i="25"/>
  <c r="H40" i="25"/>
  <c r="D40" i="25"/>
  <c r="H39" i="25"/>
  <c r="D39" i="25"/>
  <c r="H38" i="25"/>
  <c r="D38" i="25"/>
  <c r="H36" i="25"/>
  <c r="D36" i="25"/>
  <c r="H35" i="25"/>
  <c r="D35" i="25"/>
  <c r="H33" i="25"/>
  <c r="D33" i="25"/>
  <c r="H29" i="25"/>
  <c r="D29" i="25"/>
  <c r="H28" i="25"/>
  <c r="D28" i="25"/>
  <c r="H27" i="25"/>
  <c r="D27" i="25"/>
  <c r="H26" i="25"/>
  <c r="D26" i="25"/>
  <c r="H25" i="25"/>
  <c r="D25" i="25"/>
  <c r="H24" i="25"/>
  <c r="D24" i="25"/>
  <c r="H23" i="25"/>
  <c r="D23" i="25"/>
  <c r="H22" i="25"/>
  <c r="D22" i="25"/>
  <c r="H21" i="25"/>
  <c r="D21" i="25"/>
  <c r="H20" i="25"/>
  <c r="D20" i="25"/>
  <c r="H19" i="25"/>
  <c r="D19" i="25"/>
  <c r="H18" i="25"/>
  <c r="D18" i="25"/>
  <c r="H17" i="25"/>
  <c r="D17" i="25"/>
  <c r="L19" i="25"/>
  <c r="H16" i="25"/>
  <c r="D16" i="25"/>
  <c r="L18" i="25"/>
  <c r="H15" i="25"/>
  <c r="D15" i="25"/>
  <c r="H14" i="25"/>
  <c r="D14" i="25"/>
  <c r="H13" i="25"/>
  <c r="D13" i="25"/>
  <c r="H12" i="25"/>
  <c r="D12" i="25"/>
  <c r="H11" i="25"/>
  <c r="D11" i="25"/>
  <c r="H10" i="25"/>
  <c r="D10" i="25"/>
  <c r="H9" i="25"/>
  <c r="D9" i="25"/>
  <c r="H8" i="25"/>
  <c r="D8" i="25"/>
  <c r="H4" i="25"/>
  <c r="D4" i="25"/>
  <c r="H3" i="25"/>
  <c r="D3" i="25"/>
  <c r="G46" i="7"/>
  <c r="F46" i="7"/>
  <c r="C46" i="7"/>
  <c r="B46" i="7"/>
  <c r="H45" i="7"/>
  <c r="D45" i="7"/>
  <c r="H44" i="7"/>
  <c r="D44" i="7"/>
  <c r="H43" i="7"/>
  <c r="D43" i="7"/>
  <c r="H39" i="7"/>
  <c r="D39" i="7"/>
  <c r="H38" i="7"/>
  <c r="D38" i="7"/>
  <c r="H37" i="7"/>
  <c r="D37" i="7"/>
  <c r="H36" i="7"/>
  <c r="D36" i="7"/>
  <c r="H35" i="7"/>
  <c r="D35" i="7"/>
  <c r="H34" i="7"/>
  <c r="D34" i="7"/>
  <c r="H33" i="7"/>
  <c r="D33" i="7"/>
  <c r="H30" i="7"/>
  <c r="D30" i="7"/>
  <c r="H29" i="7"/>
  <c r="D29" i="7"/>
  <c r="O23" i="7"/>
  <c r="L23" i="7"/>
  <c r="H28" i="7"/>
  <c r="D28" i="7"/>
  <c r="L22" i="7"/>
  <c r="H27" i="7"/>
  <c r="D27" i="7"/>
  <c r="O21" i="7"/>
  <c r="L21" i="7"/>
  <c r="H26" i="7"/>
  <c r="D26" i="7"/>
  <c r="R20" i="7"/>
  <c r="O20" i="7"/>
  <c r="L20" i="7"/>
  <c r="H25" i="7"/>
  <c r="D25" i="7"/>
  <c r="H22" i="7"/>
  <c r="D22" i="7"/>
  <c r="H21" i="7"/>
  <c r="D21" i="7"/>
  <c r="H20" i="7"/>
  <c r="D20" i="7"/>
  <c r="H18" i="7"/>
  <c r="D18" i="7"/>
  <c r="H17" i="7"/>
  <c r="D17" i="7"/>
  <c r="AJ15" i="7"/>
  <c r="AG15" i="7"/>
  <c r="AD15" i="7"/>
  <c r="H16" i="7"/>
  <c r="D16" i="7"/>
  <c r="H15" i="7"/>
  <c r="D15" i="7"/>
  <c r="AS13" i="7"/>
  <c r="AD13" i="7"/>
  <c r="H14" i="7"/>
  <c r="D14" i="7"/>
  <c r="AV12" i="7"/>
  <c r="AP12" i="7"/>
  <c r="AM12" i="7"/>
  <c r="AJ12" i="7"/>
  <c r="AG12" i="7"/>
  <c r="H13" i="7"/>
  <c r="D13" i="7"/>
  <c r="H12" i="7"/>
  <c r="D12" i="7"/>
  <c r="H11" i="7"/>
  <c r="D11" i="7"/>
  <c r="H10" i="7"/>
  <c r="D10" i="7"/>
  <c r="H9" i="7"/>
  <c r="D9" i="7"/>
  <c r="AP7" i="7"/>
  <c r="AM7" i="7"/>
  <c r="AJ7" i="7"/>
  <c r="AG7" i="7"/>
  <c r="AS6" i="7"/>
  <c r="AP6" i="7"/>
  <c r="AG6" i="7"/>
  <c r="H6" i="7"/>
  <c r="D6" i="7"/>
  <c r="AP5" i="7"/>
  <c r="AM5" i="7"/>
  <c r="AJ5" i="7"/>
  <c r="AG5" i="7"/>
  <c r="H5" i="7"/>
  <c r="D5" i="7"/>
  <c r="AV4" i="7"/>
  <c r="AS4" i="7"/>
  <c r="AP4" i="7"/>
  <c r="AM4" i="7"/>
  <c r="AG4" i="7"/>
  <c r="H4" i="7"/>
  <c r="D4" i="7"/>
  <c r="H3" i="7"/>
  <c r="D3" i="7"/>
  <c r="I41" i="11"/>
  <c r="D41" i="11"/>
  <c r="E41" i="11" s="1"/>
  <c r="N23" i="11"/>
  <c r="N18" i="11"/>
  <c r="Q17" i="11"/>
  <c r="T16" i="11"/>
  <c r="Q15" i="11"/>
  <c r="T14" i="11"/>
  <c r="AP9" i="11"/>
  <c r="AM9" i="11"/>
  <c r="AP7" i="11"/>
  <c r="AM7" i="11"/>
  <c r="H44" i="10"/>
  <c r="D44" i="10"/>
  <c r="H37" i="10"/>
  <c r="D37" i="10"/>
  <c r="H36" i="10"/>
  <c r="D36" i="10"/>
  <c r="H35" i="10"/>
  <c r="D35" i="10"/>
  <c r="H34" i="10"/>
  <c r="D34" i="10"/>
  <c r="H33" i="10"/>
  <c r="D33" i="10"/>
  <c r="L33" i="10"/>
  <c r="H32" i="10"/>
  <c r="D32" i="10"/>
  <c r="L32" i="10"/>
  <c r="H31" i="10"/>
  <c r="D31" i="10"/>
  <c r="L31" i="10"/>
  <c r="H30" i="10"/>
  <c r="D30" i="10"/>
  <c r="H29" i="10"/>
  <c r="D29" i="10"/>
  <c r="H28" i="10"/>
  <c r="D28" i="10"/>
  <c r="H27" i="10"/>
  <c r="D27" i="10"/>
  <c r="H26" i="10"/>
  <c r="D26" i="10"/>
  <c r="R26" i="10"/>
  <c r="H25" i="10"/>
  <c r="D25" i="10"/>
  <c r="H24" i="10"/>
  <c r="D24" i="10"/>
  <c r="H23" i="10"/>
  <c r="D23" i="10"/>
  <c r="H22" i="10"/>
  <c r="D22" i="10"/>
  <c r="R22" i="10"/>
  <c r="H21" i="10"/>
  <c r="D21" i="10"/>
  <c r="H20" i="10"/>
  <c r="D20" i="10"/>
  <c r="H19" i="10"/>
  <c r="D19" i="10"/>
  <c r="H18" i="10"/>
  <c r="D18" i="10"/>
  <c r="H17" i="10"/>
  <c r="D17" i="10"/>
  <c r="O17" i="10"/>
  <c r="H16" i="10"/>
  <c r="D16" i="10"/>
  <c r="R16" i="10"/>
  <c r="H15" i="10"/>
  <c r="D15" i="10"/>
  <c r="O15" i="10"/>
  <c r="L15" i="10"/>
  <c r="H14" i="10"/>
  <c r="D14" i="10"/>
  <c r="H13" i="10"/>
  <c r="D13" i="10"/>
  <c r="H12" i="10"/>
  <c r="D12" i="10"/>
  <c r="H11" i="10"/>
  <c r="D11" i="10"/>
  <c r="H10" i="10"/>
  <c r="D10" i="10"/>
  <c r="AR10" i="10"/>
  <c r="H9" i="10"/>
  <c r="D9" i="10"/>
  <c r="AR8" i="10"/>
  <c r="AO8" i="10"/>
  <c r="AL8" i="10"/>
  <c r="H8" i="10"/>
  <c r="D8" i="10"/>
  <c r="H7" i="10"/>
  <c r="D7" i="10"/>
  <c r="AR5" i="10"/>
  <c r="AO5" i="10"/>
  <c r="AL5" i="10"/>
  <c r="H5" i="10"/>
  <c r="D5" i="10"/>
  <c r="H4" i="10"/>
  <c r="D4" i="10"/>
  <c r="H3" i="10"/>
  <c r="D3" i="10"/>
  <c r="H43" i="9"/>
  <c r="D43" i="9"/>
  <c r="H42" i="9"/>
  <c r="D42" i="9"/>
  <c r="H40" i="9"/>
  <c r="D40" i="9"/>
  <c r="H38" i="9"/>
  <c r="D38" i="9"/>
  <c r="H37" i="9"/>
  <c r="D37" i="9"/>
  <c r="H36" i="9"/>
  <c r="D36" i="9"/>
  <c r="H35" i="9"/>
  <c r="D35" i="9"/>
  <c r="H34" i="9"/>
  <c r="D34" i="9"/>
  <c r="H33" i="9"/>
  <c r="D33" i="9"/>
  <c r="H32" i="9"/>
  <c r="D32" i="9"/>
  <c r="H31" i="9"/>
  <c r="D31" i="9"/>
  <c r="H30" i="9"/>
  <c r="D30" i="9"/>
  <c r="H29" i="9"/>
  <c r="D29" i="9"/>
  <c r="H28" i="9"/>
  <c r="D28" i="9"/>
  <c r="H27" i="9"/>
  <c r="D27" i="9"/>
  <c r="L26" i="9"/>
  <c r="H26" i="9"/>
  <c r="D26" i="9"/>
  <c r="H24" i="9"/>
  <c r="D24" i="9"/>
  <c r="R24" i="9"/>
  <c r="O24" i="9"/>
  <c r="L24" i="9"/>
  <c r="H23" i="9"/>
  <c r="D23" i="9"/>
  <c r="H22" i="9"/>
  <c r="D22" i="9"/>
  <c r="H21" i="9"/>
  <c r="D21" i="9"/>
  <c r="H19" i="9"/>
  <c r="D19" i="9"/>
  <c r="H18" i="9"/>
  <c r="D18" i="9"/>
  <c r="AS18" i="9"/>
  <c r="AP18" i="9"/>
  <c r="H17" i="9"/>
  <c r="D17" i="9"/>
  <c r="H16" i="9"/>
  <c r="D16" i="9"/>
  <c r="AY16" i="9"/>
  <c r="AV16" i="9"/>
  <c r="AP16" i="9"/>
  <c r="AM16" i="9"/>
  <c r="AJ16" i="9"/>
  <c r="H15" i="9"/>
  <c r="D15" i="9"/>
  <c r="H14" i="9"/>
  <c r="D14" i="9"/>
  <c r="H11" i="9"/>
  <c r="D11" i="9"/>
  <c r="H10" i="9"/>
  <c r="D10" i="9"/>
  <c r="H9" i="9"/>
  <c r="D9" i="9"/>
  <c r="H8" i="9"/>
  <c r="D8" i="9"/>
  <c r="AV9" i="9"/>
  <c r="AS9" i="9"/>
  <c r="H7" i="9"/>
  <c r="D7" i="9"/>
  <c r="AG7" i="9"/>
  <c r="H6" i="9"/>
  <c r="D6" i="9"/>
  <c r="H5" i="9"/>
  <c r="D5" i="9"/>
  <c r="AV4" i="9"/>
  <c r="AS4" i="9"/>
  <c r="AP4" i="9"/>
  <c r="AM4" i="9"/>
  <c r="AG4" i="9"/>
  <c r="H4" i="9"/>
  <c r="D4" i="9"/>
  <c r="H3" i="9"/>
  <c r="D3" i="9"/>
  <c r="G50" i="8"/>
  <c r="F50" i="8"/>
  <c r="C50" i="8"/>
  <c r="B50" i="8"/>
  <c r="H49" i="8"/>
  <c r="D49" i="8"/>
  <c r="H46" i="8"/>
  <c r="D46" i="8"/>
  <c r="H45" i="8"/>
  <c r="D45" i="8"/>
  <c r="H44" i="8"/>
  <c r="D44" i="8"/>
  <c r="H41" i="8"/>
  <c r="D41" i="8"/>
  <c r="L26" i="8"/>
  <c r="H40" i="8"/>
  <c r="D40" i="8"/>
  <c r="H38" i="8"/>
  <c r="D38" i="8"/>
  <c r="H37" i="8"/>
  <c r="D37" i="8"/>
  <c r="L25" i="8"/>
  <c r="H36" i="8"/>
  <c r="D36" i="8"/>
  <c r="H33" i="8"/>
  <c r="D33" i="8"/>
  <c r="H31" i="8"/>
  <c r="D31" i="8"/>
  <c r="H29" i="8"/>
  <c r="D29" i="8"/>
  <c r="H28" i="8"/>
  <c r="D28" i="8"/>
  <c r="H27" i="8"/>
  <c r="D27" i="8"/>
  <c r="H26" i="8"/>
  <c r="D26" i="8"/>
  <c r="H25" i="8"/>
  <c r="D25" i="8"/>
  <c r="H24" i="8"/>
  <c r="D24" i="8"/>
  <c r="H23" i="8"/>
  <c r="D23" i="8"/>
  <c r="H22" i="8"/>
  <c r="D22" i="8"/>
  <c r="H21" i="8"/>
  <c r="D21" i="8"/>
  <c r="H20" i="8"/>
  <c r="D20" i="8"/>
  <c r="H19" i="8"/>
  <c r="D19" i="8"/>
  <c r="H17" i="8"/>
  <c r="D17" i="8"/>
  <c r="H16" i="8"/>
  <c r="D16" i="8"/>
  <c r="AS11" i="8"/>
  <c r="H15" i="8"/>
  <c r="D15" i="8"/>
  <c r="H14" i="8"/>
  <c r="D14" i="8"/>
  <c r="H13" i="8"/>
  <c r="D13" i="8"/>
  <c r="H11" i="8"/>
  <c r="D11" i="8"/>
  <c r="H10" i="8"/>
  <c r="D10" i="8"/>
  <c r="AP6" i="8"/>
  <c r="AM6" i="8"/>
  <c r="AG6" i="8"/>
  <c r="H9" i="8"/>
  <c r="D9" i="8"/>
  <c r="AG5" i="8"/>
  <c r="H7" i="8"/>
  <c r="D7" i="8"/>
  <c r="AG4" i="8"/>
  <c r="H6" i="8"/>
  <c r="D6" i="8"/>
  <c r="H4" i="8"/>
  <c r="D4" i="8"/>
  <c r="H3" i="8"/>
  <c r="D3" i="8"/>
  <c r="H52" i="12"/>
  <c r="D52" i="12"/>
  <c r="H51" i="12"/>
  <c r="D51" i="12"/>
  <c r="H50" i="12"/>
  <c r="D50" i="12"/>
  <c r="H49" i="12"/>
  <c r="D49" i="12"/>
  <c r="H48" i="12"/>
  <c r="D48" i="12"/>
  <c r="H47" i="12"/>
  <c r="D47" i="12"/>
  <c r="H46" i="12"/>
  <c r="D46" i="12"/>
  <c r="H45" i="12"/>
  <c r="D45" i="12"/>
  <c r="H44" i="12"/>
  <c r="D44" i="12"/>
  <c r="H43" i="12"/>
  <c r="D43" i="12"/>
  <c r="H41" i="12"/>
  <c r="D41" i="12"/>
  <c r="H40" i="12"/>
  <c r="D40" i="12"/>
  <c r="H39" i="12"/>
  <c r="D39" i="12"/>
  <c r="H38" i="12"/>
  <c r="D38" i="12"/>
  <c r="H37" i="12"/>
  <c r="D37" i="12"/>
  <c r="H36" i="12"/>
  <c r="D36" i="12"/>
  <c r="AK26" i="12"/>
  <c r="AH26" i="12"/>
  <c r="H35" i="12"/>
  <c r="D35" i="12"/>
  <c r="H34" i="12"/>
  <c r="D34" i="12"/>
  <c r="H33" i="12"/>
  <c r="D33" i="12"/>
  <c r="H32" i="12"/>
  <c r="D32" i="12"/>
  <c r="AH24" i="12"/>
  <c r="H31" i="12"/>
  <c r="D31" i="12"/>
  <c r="AH23" i="12"/>
  <c r="H30" i="12"/>
  <c r="D30" i="12"/>
  <c r="H29" i="12"/>
  <c r="D29" i="12"/>
  <c r="H28" i="12"/>
  <c r="D28" i="12"/>
  <c r="H27" i="12"/>
  <c r="D27" i="12"/>
  <c r="H26" i="12"/>
  <c r="D26" i="12"/>
  <c r="L18" i="12"/>
  <c r="H25" i="12"/>
  <c r="D25" i="12"/>
  <c r="L17" i="12"/>
  <c r="H24" i="12"/>
  <c r="D24" i="12"/>
  <c r="R16" i="12"/>
  <c r="O16" i="12"/>
  <c r="H22" i="12"/>
  <c r="D22" i="12"/>
  <c r="H20" i="12"/>
  <c r="D20" i="12"/>
  <c r="H19" i="12"/>
  <c r="D19" i="12"/>
  <c r="O15" i="12"/>
  <c r="L15" i="12"/>
  <c r="H18" i="12"/>
  <c r="D18" i="12"/>
  <c r="H17" i="12"/>
  <c r="D17" i="12"/>
  <c r="H16" i="12"/>
  <c r="D16" i="12"/>
  <c r="H15" i="12"/>
  <c r="D15" i="12"/>
  <c r="H14" i="12"/>
  <c r="D14" i="12"/>
  <c r="AN10" i="12"/>
  <c r="H13" i="12"/>
  <c r="D13" i="12"/>
  <c r="H12" i="12"/>
  <c r="D12" i="12"/>
  <c r="AQ8" i="12"/>
  <c r="AN8" i="12"/>
  <c r="AK8" i="12"/>
  <c r="AH8" i="12"/>
  <c r="H11" i="12"/>
  <c r="D11" i="12"/>
  <c r="H10" i="12"/>
  <c r="D10" i="12"/>
  <c r="H9" i="12"/>
  <c r="D9" i="12"/>
  <c r="AK5" i="12"/>
  <c r="H8" i="12"/>
  <c r="D8" i="12"/>
  <c r="AN4" i="12"/>
  <c r="AK4" i="12"/>
  <c r="AH4" i="12"/>
  <c r="H7" i="12"/>
  <c r="D7" i="12"/>
  <c r="H4" i="12"/>
  <c r="D4" i="12"/>
  <c r="G59" i="6"/>
  <c r="F59" i="6"/>
  <c r="C59" i="6"/>
  <c r="B59" i="6"/>
  <c r="H58" i="6"/>
  <c r="D58" i="6"/>
  <c r="H57" i="6"/>
  <c r="D57" i="6"/>
  <c r="H56" i="6"/>
  <c r="D56" i="6"/>
  <c r="H55" i="6"/>
  <c r="D55" i="6"/>
  <c r="H54" i="6"/>
  <c r="D54" i="6"/>
  <c r="H52" i="6"/>
  <c r="D52" i="6"/>
  <c r="H48" i="6"/>
  <c r="D48" i="6"/>
  <c r="H47" i="6"/>
  <c r="D47" i="6"/>
  <c r="O33" i="6"/>
  <c r="L33" i="6"/>
  <c r="H46" i="6"/>
  <c r="D46" i="6"/>
  <c r="O32" i="6"/>
  <c r="H45" i="6"/>
  <c r="D45" i="6"/>
  <c r="H44" i="6"/>
  <c r="D44" i="6"/>
  <c r="H43" i="6"/>
  <c r="D43" i="6"/>
  <c r="H41" i="6"/>
  <c r="D41" i="6"/>
  <c r="H40" i="6"/>
  <c r="D40" i="6"/>
  <c r="H39" i="6"/>
  <c r="D39" i="6"/>
  <c r="H38" i="6"/>
  <c r="D38" i="6"/>
  <c r="H37" i="6"/>
  <c r="D37" i="6"/>
  <c r="H36" i="6"/>
  <c r="D36" i="6"/>
  <c r="AJ25" i="6"/>
  <c r="H34" i="6"/>
  <c r="D34" i="6"/>
  <c r="H33" i="6"/>
  <c r="D33" i="6"/>
  <c r="H29" i="6"/>
  <c r="D29" i="6"/>
  <c r="AM20" i="6"/>
  <c r="H27" i="6"/>
  <c r="D27" i="6"/>
  <c r="H26" i="6"/>
  <c r="D26" i="6"/>
  <c r="H25" i="6"/>
  <c r="D25" i="6"/>
  <c r="H24" i="6"/>
  <c r="D24" i="6"/>
  <c r="H23" i="6"/>
  <c r="D23" i="6"/>
  <c r="AV15" i="6"/>
  <c r="AS15" i="6"/>
  <c r="AP15" i="6"/>
  <c r="H20" i="6"/>
  <c r="D20" i="6"/>
  <c r="H19" i="6"/>
  <c r="D19" i="6"/>
  <c r="AM12" i="6"/>
  <c r="AG12" i="6"/>
  <c r="H17" i="6"/>
  <c r="D17" i="6"/>
  <c r="H13" i="6"/>
  <c r="D13" i="6"/>
  <c r="H12" i="6"/>
  <c r="D12" i="6"/>
  <c r="AG9" i="6"/>
  <c r="H11" i="6"/>
  <c r="D11" i="6"/>
  <c r="AP7" i="6"/>
  <c r="H7" i="6"/>
  <c r="D7" i="6"/>
  <c r="AG6" i="6"/>
  <c r="H5" i="6"/>
  <c r="D5" i="6"/>
  <c r="AS4" i="6"/>
  <c r="AP4" i="6"/>
  <c r="H4" i="6"/>
  <c r="D4" i="6"/>
  <c r="H3" i="6"/>
  <c r="D3" i="6"/>
  <c r="H44" i="5"/>
  <c r="D44" i="5"/>
  <c r="H41" i="5"/>
  <c r="D41" i="5"/>
  <c r="H39" i="5"/>
  <c r="D39" i="5"/>
  <c r="H38" i="5"/>
  <c r="D38" i="5"/>
  <c r="H37" i="5"/>
  <c r="D37" i="5"/>
  <c r="H36" i="5"/>
  <c r="D36" i="5"/>
  <c r="AJ33" i="5"/>
  <c r="H35" i="5"/>
  <c r="D35" i="5"/>
  <c r="AG32" i="5"/>
  <c r="H34" i="5"/>
  <c r="D34" i="5"/>
  <c r="H33" i="5"/>
  <c r="D33" i="5"/>
  <c r="H31" i="5"/>
  <c r="D31" i="5"/>
  <c r="H29" i="5"/>
  <c r="D29" i="5"/>
  <c r="H28" i="5"/>
  <c r="D28" i="5"/>
  <c r="L26" i="5"/>
  <c r="H27" i="5"/>
  <c r="D27" i="5"/>
  <c r="H26" i="5"/>
  <c r="D26" i="5"/>
  <c r="H25" i="5"/>
  <c r="D25" i="5"/>
  <c r="H24" i="5"/>
  <c r="D24" i="5"/>
  <c r="H23" i="5"/>
  <c r="D23" i="5"/>
  <c r="R21" i="5"/>
  <c r="O21" i="5"/>
  <c r="H22" i="5"/>
  <c r="D22" i="5"/>
  <c r="L20" i="5"/>
  <c r="H21" i="5"/>
  <c r="D21" i="5"/>
  <c r="R19" i="5"/>
  <c r="H20" i="5"/>
  <c r="D20" i="5"/>
  <c r="O18" i="5"/>
  <c r="H19" i="5"/>
  <c r="D19" i="5"/>
  <c r="L17" i="5"/>
  <c r="H18" i="5"/>
  <c r="D18" i="5"/>
  <c r="L16" i="5"/>
  <c r="H17" i="5"/>
  <c r="D17" i="5"/>
  <c r="H16" i="5"/>
  <c r="D16" i="5"/>
  <c r="H15" i="5"/>
  <c r="D15" i="5"/>
  <c r="H14" i="5"/>
  <c r="D14" i="5"/>
  <c r="H13" i="5"/>
  <c r="D13" i="5"/>
  <c r="H12" i="5"/>
  <c r="D12" i="5"/>
  <c r="H11" i="5"/>
  <c r="D11" i="5"/>
  <c r="H10" i="5"/>
  <c r="D10" i="5"/>
  <c r="H9" i="5"/>
  <c r="D9" i="5"/>
  <c r="H8" i="5"/>
  <c r="D8" i="5"/>
  <c r="H7" i="5"/>
  <c r="H5" i="5"/>
  <c r="D5" i="5"/>
  <c r="H4" i="5"/>
  <c r="D4" i="5"/>
  <c r="H44" i="4"/>
  <c r="D44" i="4"/>
  <c r="H43" i="4"/>
  <c r="D43" i="4"/>
  <c r="H42" i="4"/>
  <c r="D42" i="4"/>
  <c r="H41" i="4"/>
  <c r="D41" i="4"/>
  <c r="H40" i="4"/>
  <c r="D40" i="4"/>
  <c r="H37" i="4"/>
  <c r="D37" i="4"/>
  <c r="H35" i="4"/>
  <c r="D35" i="4"/>
  <c r="H32" i="4"/>
  <c r="D32" i="4"/>
  <c r="R23" i="4"/>
  <c r="O23" i="4"/>
  <c r="L23" i="4"/>
  <c r="H27" i="4"/>
  <c r="D27" i="4"/>
  <c r="L22" i="4"/>
  <c r="H26" i="4"/>
  <c r="D26" i="4"/>
  <c r="H25" i="4"/>
  <c r="D25" i="4"/>
  <c r="H24" i="4"/>
  <c r="D24" i="4"/>
  <c r="H22" i="4"/>
  <c r="D22" i="4"/>
  <c r="H20" i="4"/>
  <c r="D20" i="4"/>
  <c r="AW15" i="4"/>
  <c r="AT15" i="4"/>
  <c r="H19" i="4"/>
  <c r="D19" i="4"/>
  <c r="AQ14" i="4"/>
  <c r="AN14" i="4"/>
  <c r="AK14" i="4"/>
  <c r="H18" i="4"/>
  <c r="D18" i="4"/>
  <c r="H16" i="4"/>
  <c r="D16" i="4"/>
  <c r="H15" i="4"/>
  <c r="D15" i="4"/>
  <c r="H14" i="4"/>
  <c r="D14" i="4"/>
  <c r="H13" i="4"/>
  <c r="D13" i="4"/>
  <c r="AH9" i="4"/>
  <c r="H12" i="4"/>
  <c r="D12" i="4"/>
  <c r="H11" i="4"/>
  <c r="D11" i="4"/>
  <c r="AH7" i="4"/>
  <c r="H10" i="4"/>
  <c r="D10" i="4"/>
  <c r="AW6" i="4"/>
  <c r="AT6" i="4"/>
  <c r="AQ6" i="4"/>
  <c r="AN6" i="4"/>
  <c r="H8" i="4"/>
  <c r="D8" i="4"/>
  <c r="AW5" i="4"/>
  <c r="AT5" i="4"/>
  <c r="AQ5" i="4"/>
  <c r="AH5" i="4"/>
  <c r="H7" i="4"/>
  <c r="D7" i="4"/>
  <c r="G35" i="24"/>
  <c r="H35" i="24" s="1"/>
  <c r="C35" i="24"/>
  <c r="D35" i="24" s="1"/>
  <c r="L12" i="24"/>
  <c r="L11" i="24"/>
  <c r="O6" i="24"/>
  <c r="L6" i="24"/>
  <c r="O50" i="3"/>
  <c r="O49" i="3"/>
  <c r="L48" i="3"/>
  <c r="O47" i="3"/>
  <c r="L46" i="3"/>
  <c r="O45" i="3"/>
  <c r="G46" i="3"/>
  <c r="H46" i="3" s="1"/>
  <c r="L43" i="3"/>
  <c r="O42" i="3"/>
  <c r="R37" i="3"/>
  <c r="O37" i="3"/>
  <c r="L36" i="3"/>
  <c r="R35" i="3"/>
  <c r="O34" i="3"/>
  <c r="R33" i="3"/>
  <c r="O33" i="3"/>
  <c r="L33" i="3"/>
  <c r="L32" i="3"/>
  <c r="O31" i="3"/>
  <c r="O16" i="3"/>
  <c r="R15" i="3"/>
  <c r="R14" i="3"/>
  <c r="AN9" i="3"/>
  <c r="AK9" i="3"/>
  <c r="AQ8" i="3"/>
  <c r="AQ7" i="3"/>
  <c r="AN7" i="3"/>
  <c r="AK6" i="3"/>
  <c r="G54" i="2"/>
  <c r="F54" i="2"/>
  <c r="C54" i="2"/>
  <c r="B54" i="2"/>
  <c r="H53" i="2"/>
  <c r="D53" i="2"/>
  <c r="H51" i="2"/>
  <c r="D51" i="2"/>
  <c r="H49" i="2"/>
  <c r="D49" i="2"/>
  <c r="H48" i="2"/>
  <c r="D48" i="2"/>
  <c r="H47" i="2"/>
  <c r="D47" i="2"/>
  <c r="H45" i="2"/>
  <c r="D45" i="2"/>
  <c r="H42" i="2"/>
  <c r="D42" i="2"/>
  <c r="H41" i="2"/>
  <c r="D41" i="2"/>
  <c r="H39" i="2"/>
  <c r="D39" i="2"/>
  <c r="R28" i="2"/>
  <c r="O28" i="2"/>
  <c r="H37" i="2"/>
  <c r="D37" i="2"/>
  <c r="H36" i="2"/>
  <c r="D36" i="2"/>
  <c r="L27" i="2"/>
  <c r="H35" i="2"/>
  <c r="D35" i="2"/>
  <c r="H34" i="2"/>
  <c r="D34" i="2"/>
  <c r="H30" i="2"/>
  <c r="D30" i="2"/>
  <c r="H29" i="2"/>
  <c r="D29" i="2"/>
  <c r="H28" i="2"/>
  <c r="D28" i="2"/>
  <c r="H25" i="2"/>
  <c r="D25" i="2"/>
  <c r="AD20" i="2"/>
  <c r="H24" i="2"/>
  <c r="D24" i="2"/>
  <c r="AP19" i="2"/>
  <c r="AJ19" i="2"/>
  <c r="AD19" i="2"/>
  <c r="H23" i="2"/>
  <c r="D23" i="2"/>
  <c r="H22" i="2"/>
  <c r="D22" i="2"/>
  <c r="H21" i="2"/>
  <c r="D21" i="2"/>
  <c r="H20" i="2"/>
  <c r="D20" i="2"/>
  <c r="H18" i="2"/>
  <c r="D18" i="2"/>
  <c r="H17" i="2"/>
  <c r="D17" i="2"/>
  <c r="H15" i="2"/>
  <c r="D15" i="2"/>
  <c r="H14" i="2"/>
  <c r="D14" i="2"/>
  <c r="H13" i="2"/>
  <c r="D13" i="2"/>
  <c r="H12" i="2"/>
  <c r="D12" i="2"/>
  <c r="AJ9" i="2"/>
  <c r="AG9" i="2"/>
  <c r="H11" i="2"/>
  <c r="D11" i="2"/>
  <c r="AV7" i="2"/>
  <c r="AS7" i="2"/>
  <c r="AP7" i="2"/>
  <c r="AM7" i="2"/>
  <c r="AJ7" i="2"/>
  <c r="AG7" i="2"/>
  <c r="H10" i="2"/>
  <c r="D10" i="2"/>
  <c r="H9" i="2"/>
  <c r="D9" i="2"/>
  <c r="H6" i="2"/>
  <c r="D6" i="2"/>
  <c r="H5" i="2"/>
  <c r="D5" i="2"/>
  <c r="H4" i="2"/>
  <c r="D4" i="2"/>
  <c r="H3" i="2"/>
  <c r="D3" i="2"/>
  <c r="H46" i="1"/>
  <c r="D46" i="1"/>
  <c r="H45" i="1"/>
  <c r="D45" i="1"/>
  <c r="H44" i="1"/>
  <c r="D44" i="1"/>
  <c r="H43" i="1"/>
  <c r="D43" i="1"/>
  <c r="H42" i="1"/>
  <c r="D42" i="1"/>
  <c r="H41" i="1"/>
  <c r="D41" i="1"/>
  <c r="H37" i="1"/>
  <c r="D37" i="1"/>
  <c r="H36" i="1"/>
  <c r="D36" i="1"/>
  <c r="H33" i="1"/>
  <c r="D33" i="1"/>
  <c r="H31" i="1"/>
  <c r="D31" i="1"/>
  <c r="H28" i="1"/>
  <c r="D28" i="1"/>
  <c r="H27" i="1"/>
  <c r="D27" i="1"/>
  <c r="H26" i="1"/>
  <c r="D26" i="1"/>
  <c r="H25" i="1"/>
  <c r="D25" i="1"/>
  <c r="O26" i="1"/>
  <c r="H24" i="1"/>
  <c r="D24" i="1"/>
  <c r="R25" i="1"/>
  <c r="H23" i="1"/>
  <c r="D23" i="1"/>
  <c r="R24" i="1"/>
  <c r="O24" i="1"/>
  <c r="L24" i="1"/>
  <c r="R23" i="1"/>
  <c r="H22" i="1"/>
  <c r="D22" i="1"/>
  <c r="L22" i="1"/>
  <c r="H21" i="1"/>
  <c r="D21" i="1"/>
  <c r="O21" i="1"/>
  <c r="L21" i="1"/>
  <c r="H20" i="1"/>
  <c r="D20" i="1"/>
  <c r="H19" i="1"/>
  <c r="D19" i="1"/>
  <c r="H17" i="1"/>
  <c r="D17" i="1"/>
  <c r="H15" i="1"/>
  <c r="D15" i="1"/>
  <c r="H14" i="1"/>
  <c r="D14" i="1"/>
  <c r="H13" i="1"/>
  <c r="D13" i="1"/>
  <c r="H12" i="1"/>
  <c r="D12" i="1"/>
  <c r="AM14" i="1"/>
  <c r="AJ14" i="1"/>
  <c r="AG14" i="1"/>
  <c r="H11" i="1"/>
  <c r="D11" i="1"/>
  <c r="H10" i="1"/>
  <c r="D10" i="1"/>
  <c r="H9" i="1"/>
  <c r="D9" i="1"/>
  <c r="H8" i="1"/>
  <c r="D8" i="1"/>
  <c r="H7" i="1"/>
  <c r="D7" i="1"/>
  <c r="H6" i="1"/>
  <c r="D6" i="1"/>
  <c r="AS5" i="1"/>
  <c r="AP5" i="1"/>
  <c r="AM5" i="1"/>
  <c r="AG5" i="1"/>
  <c r="H5" i="1"/>
  <c r="D5" i="1"/>
  <c r="H4" i="1"/>
  <c r="D4" i="1"/>
  <c r="I430" i="23"/>
  <c r="J430" i="23" s="1"/>
  <c r="D430" i="23"/>
  <c r="E430" i="23" s="1"/>
  <c r="J400" i="23"/>
  <c r="E400" i="23"/>
  <c r="I427" i="23"/>
  <c r="J427" i="23" s="1"/>
  <c r="D427" i="23"/>
  <c r="E427" i="23" s="1"/>
  <c r="I422" i="23"/>
  <c r="H422" i="23"/>
  <c r="D422" i="23"/>
  <c r="C422" i="23"/>
  <c r="I421" i="23"/>
  <c r="H421" i="23"/>
  <c r="D421" i="23"/>
  <c r="C421" i="23"/>
  <c r="J419" i="23"/>
  <c r="E419" i="23"/>
  <c r="H418" i="23"/>
  <c r="J418" i="23" s="1"/>
  <c r="C418" i="23"/>
  <c r="E418" i="23" s="1"/>
  <c r="E417" i="23"/>
  <c r="J416" i="23"/>
  <c r="E416" i="23"/>
  <c r="J345" i="23"/>
  <c r="E344" i="23"/>
  <c r="I413" i="23"/>
  <c r="J413" i="23" s="1"/>
  <c r="D413" i="23"/>
  <c r="E413" i="23" s="1"/>
  <c r="H412" i="23"/>
  <c r="J412" i="23" s="1"/>
  <c r="C412" i="23"/>
  <c r="E412" i="23" s="1"/>
  <c r="I420" i="23"/>
  <c r="J420" i="23" s="1"/>
  <c r="D420" i="23"/>
  <c r="E420" i="23" s="1"/>
  <c r="J408" i="23"/>
  <c r="E408" i="23"/>
  <c r="I407" i="23"/>
  <c r="H407" i="23"/>
  <c r="D407" i="23"/>
  <c r="C407" i="23"/>
  <c r="H399" i="23"/>
  <c r="C399" i="23"/>
  <c r="J396" i="23"/>
  <c r="E396" i="23"/>
  <c r="J395" i="23"/>
  <c r="E395" i="23"/>
  <c r="I57" i="23"/>
  <c r="H57" i="23"/>
  <c r="D52" i="23"/>
  <c r="C52" i="23"/>
  <c r="I394" i="23"/>
  <c r="J394" i="23" s="1"/>
  <c r="D394" i="23"/>
  <c r="E394" i="23" s="1"/>
  <c r="J392" i="23"/>
  <c r="E392" i="23"/>
  <c r="J58" i="23"/>
  <c r="E53" i="23"/>
  <c r="H386" i="23"/>
  <c r="J386" i="23" s="1"/>
  <c r="C386" i="23"/>
  <c r="E386" i="23" s="1"/>
  <c r="J383" i="23"/>
  <c r="E383" i="23"/>
  <c r="I381" i="23"/>
  <c r="J381" i="23" s="1"/>
  <c r="D381" i="23"/>
  <c r="E381" i="23" s="1"/>
  <c r="E378" i="23"/>
  <c r="J376" i="23"/>
  <c r="E376" i="23"/>
  <c r="J374" i="23"/>
  <c r="E374" i="23"/>
  <c r="J411" i="23"/>
  <c r="E411" i="23"/>
  <c r="H373" i="23"/>
  <c r="C373" i="23"/>
  <c r="J370" i="23"/>
  <c r="E370" i="23"/>
  <c r="J369" i="23"/>
  <c r="E369" i="23"/>
  <c r="J364" i="23"/>
  <c r="E363" i="23"/>
  <c r="J409" i="23"/>
  <c r="E409" i="23"/>
  <c r="C368" i="23"/>
  <c r="I385" i="23"/>
  <c r="D385" i="23"/>
  <c r="H363" i="23"/>
  <c r="J360" i="23"/>
  <c r="I358" i="23"/>
  <c r="J358" i="23" s="1"/>
  <c r="E359" i="23"/>
  <c r="D357" i="23"/>
  <c r="E357" i="23" s="1"/>
  <c r="I356" i="23"/>
  <c r="H356" i="23"/>
  <c r="I355" i="23"/>
  <c r="J355" i="23" s="1"/>
  <c r="D355" i="23"/>
  <c r="C355" i="23"/>
  <c r="H353" i="23"/>
  <c r="J353" i="23" s="1"/>
  <c r="D47" i="23"/>
  <c r="C47" i="23"/>
  <c r="J343" i="23"/>
  <c r="D354" i="23"/>
  <c r="E354" i="23" s="1"/>
  <c r="J347" i="23"/>
  <c r="C352" i="23"/>
  <c r="E352" i="23" s="1"/>
  <c r="I329" i="23"/>
  <c r="J329" i="23" s="1"/>
  <c r="E342" i="23"/>
  <c r="J52" i="23"/>
  <c r="E346" i="23"/>
  <c r="I346" i="23"/>
  <c r="H346" i="23"/>
  <c r="D327" i="23"/>
  <c r="E327" i="23" s="1"/>
  <c r="I344" i="23"/>
  <c r="H344" i="23"/>
  <c r="E46" i="23"/>
  <c r="D345" i="23"/>
  <c r="C345" i="23"/>
  <c r="D343" i="23"/>
  <c r="C343" i="23"/>
  <c r="I342" i="23"/>
  <c r="J342" i="23" s="1"/>
  <c r="I338" i="23"/>
  <c r="J338" i="23" s="1"/>
  <c r="J333" i="23"/>
  <c r="D341" i="23"/>
  <c r="E341" i="23" s="1"/>
  <c r="I330" i="23"/>
  <c r="H330" i="23"/>
  <c r="D337" i="23"/>
  <c r="E337" i="23" s="1"/>
  <c r="J285" i="23"/>
  <c r="D10" i="23"/>
  <c r="C10" i="23"/>
  <c r="J327" i="23"/>
  <c r="E332" i="23"/>
  <c r="I323" i="23"/>
  <c r="D328" i="23"/>
  <c r="C328" i="23"/>
  <c r="I318" i="23"/>
  <c r="H318" i="23"/>
  <c r="E283" i="23"/>
  <c r="E325" i="23"/>
  <c r="J321" i="23"/>
  <c r="D321" i="23"/>
  <c r="I313" i="23"/>
  <c r="H313" i="23"/>
  <c r="D319" i="23"/>
  <c r="C319" i="23"/>
  <c r="J317" i="23"/>
  <c r="E314" i="23"/>
  <c r="J320" i="23"/>
  <c r="E318" i="23"/>
  <c r="H31" i="23"/>
  <c r="D311" i="23"/>
  <c r="C311" i="23"/>
  <c r="J319" i="23"/>
  <c r="E315" i="23"/>
  <c r="J315" i="23"/>
  <c r="E317" i="23"/>
  <c r="I311" i="23"/>
  <c r="J311" i="23" s="1"/>
  <c r="C45" i="23"/>
  <c r="J310" i="23"/>
  <c r="E316" i="23"/>
  <c r="I309" i="23"/>
  <c r="E313" i="23"/>
  <c r="J213" i="23"/>
  <c r="D309" i="23"/>
  <c r="E309" i="23" s="1"/>
  <c r="J289" i="23"/>
  <c r="E308" i="23"/>
  <c r="H51" i="23"/>
  <c r="J51" i="23" s="1"/>
  <c r="D307" i="23"/>
  <c r="I302" i="23"/>
  <c r="J302" i="23" s="1"/>
  <c r="E211" i="23"/>
  <c r="H300" i="23"/>
  <c r="D305" i="23"/>
  <c r="C305" i="23"/>
  <c r="E287" i="23"/>
  <c r="C44" i="23"/>
  <c r="E44" i="23" s="1"/>
  <c r="I50" i="23"/>
  <c r="J50" i="23" s="1"/>
  <c r="D300" i="23"/>
  <c r="E300" i="23" s="1"/>
  <c r="J297" i="23"/>
  <c r="D298" i="23"/>
  <c r="C298" i="23"/>
  <c r="J275" i="23"/>
  <c r="I296" i="23"/>
  <c r="H296" i="23"/>
  <c r="D43" i="23"/>
  <c r="E43" i="23" s="1"/>
  <c r="I293" i="23"/>
  <c r="E295" i="23"/>
  <c r="E273" i="23"/>
  <c r="D294" i="23"/>
  <c r="C294" i="23"/>
  <c r="J286" i="23"/>
  <c r="D291" i="23"/>
  <c r="J278" i="23"/>
  <c r="J284" i="23"/>
  <c r="E286" i="23"/>
  <c r="J282" i="23"/>
  <c r="E284" i="23"/>
  <c r="I280" i="23"/>
  <c r="H280" i="23"/>
  <c r="E276" i="23"/>
  <c r="J147" i="23"/>
  <c r="E282" i="23"/>
  <c r="I26" i="23"/>
  <c r="H26" i="23"/>
  <c r="I277" i="23"/>
  <c r="E280" i="23"/>
  <c r="J276" i="23"/>
  <c r="D278" i="23"/>
  <c r="C278" i="23"/>
  <c r="J274" i="23"/>
  <c r="E141" i="23"/>
  <c r="I273" i="23"/>
  <c r="J273" i="23" s="1"/>
  <c r="D20" i="23"/>
  <c r="C20" i="23"/>
  <c r="H271" i="23"/>
  <c r="J271" i="23" s="1"/>
  <c r="D275" i="23"/>
  <c r="J268" i="23"/>
  <c r="E274" i="23"/>
  <c r="I267" i="23"/>
  <c r="J267" i="23" s="1"/>
  <c r="E272" i="23"/>
  <c r="J48" i="23"/>
  <c r="D271" i="23"/>
  <c r="E271" i="23" s="1"/>
  <c r="J266" i="23"/>
  <c r="C269" i="23"/>
  <c r="E269" i="23" s="1"/>
  <c r="E266" i="23"/>
  <c r="I46" i="23"/>
  <c r="J46" i="23" s="1"/>
  <c r="D265" i="23"/>
  <c r="E265" i="23" s="1"/>
  <c r="E41" i="23"/>
  <c r="I262" i="23"/>
  <c r="J262" i="23" s="1"/>
  <c r="E264" i="23"/>
  <c r="H261" i="23"/>
  <c r="I260" i="23"/>
  <c r="J260" i="23" s="1"/>
  <c r="D39" i="23"/>
  <c r="E39" i="23" s="1"/>
  <c r="J105" i="23"/>
  <c r="J250" i="23"/>
  <c r="D260" i="23"/>
  <c r="E260" i="23" s="1"/>
  <c r="C259" i="23"/>
  <c r="J308" i="23"/>
  <c r="D258" i="23"/>
  <c r="E258" i="23" s="1"/>
  <c r="J248" i="23"/>
  <c r="E98" i="23"/>
  <c r="J341" i="23"/>
  <c r="C250" i="23"/>
  <c r="E250" i="23" s="1"/>
  <c r="J246" i="23"/>
  <c r="E248" i="23"/>
  <c r="I243" i="23"/>
  <c r="J243" i="23" s="1"/>
  <c r="E247" i="23"/>
  <c r="J242" i="23"/>
  <c r="E306" i="23"/>
  <c r="H241" i="23"/>
  <c r="J241" i="23" s="1"/>
  <c r="E246" i="23"/>
  <c r="J335" i="23"/>
  <c r="E340" i="23"/>
  <c r="E244" i="23"/>
  <c r="I238" i="23"/>
  <c r="J238" i="23" s="1"/>
  <c r="D241" i="23"/>
  <c r="E241" i="23" s="1"/>
  <c r="I237" i="23"/>
  <c r="E240" i="23"/>
  <c r="C239" i="23"/>
  <c r="E334" i="23"/>
  <c r="J233" i="23"/>
  <c r="E237" i="23"/>
  <c r="I231" i="23"/>
  <c r="H231" i="23"/>
  <c r="D236" i="23"/>
  <c r="E236" i="23" s="1"/>
  <c r="I229" i="23"/>
  <c r="J229" i="23" s="1"/>
  <c r="D235" i="23"/>
  <c r="I230" i="23"/>
  <c r="J227" i="23"/>
  <c r="H226" i="23"/>
  <c r="E231" i="23"/>
  <c r="D229" i="23"/>
  <c r="C229" i="23"/>
  <c r="J42" i="23"/>
  <c r="D227" i="23"/>
  <c r="E227" i="23" s="1"/>
  <c r="H25" i="23"/>
  <c r="D228" i="23"/>
  <c r="I244" i="23"/>
  <c r="H244" i="23"/>
  <c r="E225" i="23"/>
  <c r="C224" i="23"/>
  <c r="I24" i="23"/>
  <c r="H24" i="23"/>
  <c r="J222" i="23"/>
  <c r="E35" i="23"/>
  <c r="J221" i="23"/>
  <c r="C19" i="23"/>
  <c r="J220" i="23"/>
  <c r="D242" i="23"/>
  <c r="C242" i="23"/>
  <c r="I219" i="23"/>
  <c r="J219" i="23" s="1"/>
  <c r="D18" i="23"/>
  <c r="C18" i="23"/>
  <c r="J211" i="23"/>
  <c r="E220" i="23"/>
  <c r="J216" i="23"/>
  <c r="E219" i="23"/>
  <c r="J41" i="23"/>
  <c r="E218" i="23"/>
  <c r="I212" i="23"/>
  <c r="J212" i="23" s="1"/>
  <c r="D217" i="23"/>
  <c r="E217" i="23" s="1"/>
  <c r="H40" i="23"/>
  <c r="J40" i="23" s="1"/>
  <c r="I209" i="23"/>
  <c r="H209" i="23"/>
  <c r="E209" i="23"/>
  <c r="I208" i="23"/>
  <c r="H208" i="23"/>
  <c r="E214" i="23"/>
  <c r="J207" i="23"/>
  <c r="E34" i="23"/>
  <c r="J205" i="23"/>
  <c r="D210" i="23"/>
  <c r="E210" i="23" s="1"/>
  <c r="I204" i="23"/>
  <c r="H204" i="23"/>
  <c r="C33" i="23"/>
  <c r="E33" i="23" s="1"/>
  <c r="I203" i="23"/>
  <c r="H203" i="23"/>
  <c r="D207" i="23"/>
  <c r="C207" i="23"/>
  <c r="J168" i="23"/>
  <c r="D206" i="23"/>
  <c r="C206" i="23"/>
  <c r="J202" i="23"/>
  <c r="E205" i="23"/>
  <c r="H199" i="23"/>
  <c r="J199" i="23" s="1"/>
  <c r="E203" i="23"/>
  <c r="J198" i="23"/>
  <c r="D202" i="23"/>
  <c r="C202" i="23"/>
  <c r="I197" i="23"/>
  <c r="H197" i="23"/>
  <c r="D201" i="23"/>
  <c r="C201" i="23"/>
  <c r="J127" i="23"/>
  <c r="E164" i="23"/>
  <c r="J305" i="23"/>
  <c r="E200" i="23"/>
  <c r="J414" i="23"/>
  <c r="C197" i="23"/>
  <c r="E197" i="23" s="1"/>
  <c r="I13" i="23"/>
  <c r="H13" i="23"/>
  <c r="E196" i="23"/>
  <c r="D195" i="23"/>
  <c r="C195" i="23"/>
  <c r="I192" i="23"/>
  <c r="E121" i="23"/>
  <c r="J191" i="23"/>
  <c r="E303" i="23"/>
  <c r="H188" i="23"/>
  <c r="E414" i="23"/>
  <c r="H187" i="23"/>
  <c r="D8" i="23"/>
  <c r="C8" i="23"/>
  <c r="J185" i="23"/>
  <c r="I182" i="23"/>
  <c r="H182" i="23"/>
  <c r="D190" i="23"/>
  <c r="J181" i="23"/>
  <c r="E189" i="23"/>
  <c r="C186" i="23"/>
  <c r="C185" i="23"/>
  <c r="J175" i="23"/>
  <c r="E182" i="23"/>
  <c r="I174" i="23"/>
  <c r="J174" i="23" s="1"/>
  <c r="E183" i="23"/>
  <c r="I173" i="23"/>
  <c r="H173" i="23"/>
  <c r="D179" i="23"/>
  <c r="C179" i="23"/>
  <c r="J160" i="23"/>
  <c r="E178" i="23"/>
  <c r="J169" i="23"/>
  <c r="E175" i="23"/>
  <c r="I166" i="23"/>
  <c r="H166" i="23"/>
  <c r="E172" i="23"/>
  <c r="J165" i="23"/>
  <c r="C171" i="23"/>
  <c r="J164" i="23"/>
  <c r="D170" i="23"/>
  <c r="E170" i="23" s="1"/>
  <c r="I163" i="23"/>
  <c r="D169" i="23"/>
  <c r="C169" i="23"/>
  <c r="I161" i="23"/>
  <c r="H161" i="23"/>
  <c r="E156" i="23"/>
  <c r="I159" i="23"/>
  <c r="J159" i="23" s="1"/>
  <c r="E165" i="23"/>
  <c r="J158" i="23"/>
  <c r="D162" i="23"/>
  <c r="C162" i="23"/>
  <c r="J156" i="23"/>
  <c r="H38" i="23"/>
  <c r="J38" i="23" s="1"/>
  <c r="E161" i="23"/>
  <c r="I153" i="23"/>
  <c r="H153" i="23"/>
  <c r="E160" i="23"/>
  <c r="D159" i="23"/>
  <c r="J37" i="23"/>
  <c r="D157" i="23"/>
  <c r="C157" i="23"/>
  <c r="H150" i="23"/>
  <c r="D154" i="23"/>
  <c r="E154" i="23" s="1"/>
  <c r="I149" i="23"/>
  <c r="E153" i="23"/>
  <c r="I35" i="23"/>
  <c r="J35" i="23" s="1"/>
  <c r="E151" i="23"/>
  <c r="J148" i="23"/>
  <c r="C31" i="23"/>
  <c r="E31" i="23" s="1"/>
  <c r="H141" i="23"/>
  <c r="J141" i="23" s="1"/>
  <c r="D147" i="23"/>
  <c r="C147" i="23"/>
  <c r="I142" i="23"/>
  <c r="E30" i="23"/>
  <c r="J139" i="23"/>
  <c r="C144" i="23"/>
  <c r="J138" i="23"/>
  <c r="E143" i="23"/>
  <c r="J137" i="23"/>
  <c r="D28" i="23"/>
  <c r="E28" i="23" s="1"/>
  <c r="J104" i="23"/>
  <c r="E142" i="23"/>
  <c r="J136" i="23"/>
  <c r="C135" i="23"/>
  <c r="E135" i="23" s="1"/>
  <c r="I134" i="23"/>
  <c r="H134" i="23"/>
  <c r="D136" i="23"/>
  <c r="I133" i="23"/>
  <c r="H133" i="23"/>
  <c r="E134" i="23"/>
  <c r="J132" i="23"/>
  <c r="E133" i="23"/>
  <c r="I130" i="23"/>
  <c r="J130" i="23" s="1"/>
  <c r="E132" i="23"/>
  <c r="J129" i="23"/>
  <c r="E131" i="23"/>
  <c r="I121" i="23"/>
  <c r="J121" i="23" s="1"/>
  <c r="E97" i="23"/>
  <c r="H125" i="23"/>
  <c r="J125" i="23" s="1"/>
  <c r="E130" i="23"/>
  <c r="J47" i="23"/>
  <c r="D128" i="23"/>
  <c r="C128" i="23"/>
  <c r="J120" i="23"/>
  <c r="D127" i="23"/>
  <c r="C127" i="23"/>
  <c r="J123" i="23"/>
  <c r="E126" i="23"/>
  <c r="I113" i="23"/>
  <c r="E124" i="23"/>
  <c r="J384" i="23"/>
  <c r="E123" i="23"/>
  <c r="D114" i="23"/>
  <c r="E114" i="23" s="1"/>
  <c r="J115" i="23"/>
  <c r="C119" i="23"/>
  <c r="E119" i="23" s="1"/>
  <c r="H114" i="23"/>
  <c r="E40" i="23"/>
  <c r="J312" i="23"/>
  <c r="E113" i="23"/>
  <c r="I112" i="23"/>
  <c r="H112" i="23"/>
  <c r="E117" i="23"/>
  <c r="I110" i="23"/>
  <c r="C115" i="23"/>
  <c r="I109" i="23"/>
  <c r="D106" i="23"/>
  <c r="J67" i="23"/>
  <c r="E384" i="23"/>
  <c r="J12" i="23"/>
  <c r="I108" i="23"/>
  <c r="J108" i="23" s="1"/>
  <c r="E108" i="23"/>
  <c r="I107" i="23"/>
  <c r="J107" i="23" s="1"/>
  <c r="C107" i="23"/>
  <c r="J89" i="23"/>
  <c r="E310" i="23"/>
  <c r="C105" i="23"/>
  <c r="E105" i="23" s="1"/>
  <c r="J352" i="23"/>
  <c r="D103" i="23"/>
  <c r="E103" i="23" s="1"/>
  <c r="I102" i="23"/>
  <c r="H102" i="23"/>
  <c r="D102" i="23"/>
  <c r="J63" i="23"/>
  <c r="E60" i="23"/>
  <c r="J128" i="23"/>
  <c r="E7" i="23"/>
  <c r="J99" i="23"/>
  <c r="D101" i="23"/>
  <c r="E101" i="23" s="1"/>
  <c r="J351" i="23"/>
  <c r="D100" i="23"/>
  <c r="E100" i="23" s="1"/>
  <c r="J97" i="23"/>
  <c r="E82" i="23"/>
  <c r="I95" i="23"/>
  <c r="J95" i="23" s="1"/>
  <c r="E25" i="23"/>
  <c r="I94" i="23"/>
  <c r="C99" i="23"/>
  <c r="E99" i="23" s="1"/>
  <c r="J93" i="23"/>
  <c r="E351" i="23"/>
  <c r="I90" i="23"/>
  <c r="D95" i="23"/>
  <c r="C95" i="23"/>
  <c r="J87" i="23"/>
  <c r="E56" i="23"/>
  <c r="H85" i="23"/>
  <c r="J85" i="23" s="1"/>
  <c r="E122" i="23"/>
  <c r="I84" i="23"/>
  <c r="J84" i="23" s="1"/>
  <c r="E92" i="23"/>
  <c r="H82" i="23"/>
  <c r="J82" i="23" s="1"/>
  <c r="E350" i="23"/>
  <c r="E90" i="23"/>
  <c r="D88" i="23"/>
  <c r="E88" i="23" s="1"/>
  <c r="D87" i="23"/>
  <c r="J76" i="23"/>
  <c r="E86" i="23"/>
  <c r="H75" i="23"/>
  <c r="J75" i="23" s="1"/>
  <c r="D83" i="23"/>
  <c r="I74" i="23"/>
  <c r="H74" i="23"/>
  <c r="E80" i="23"/>
  <c r="I73" i="23"/>
  <c r="H73" i="23"/>
  <c r="C78" i="23"/>
  <c r="E78" i="23" s="1"/>
  <c r="I71" i="23"/>
  <c r="J71" i="23" s="1"/>
  <c r="D77" i="23"/>
  <c r="E77" i="23" s="1"/>
  <c r="J70" i="23"/>
  <c r="C75" i="23"/>
  <c r="E75" i="23" s="1"/>
  <c r="I68" i="23"/>
  <c r="J68" i="23" s="1"/>
  <c r="I66" i="23"/>
  <c r="H66" i="23"/>
  <c r="I64" i="23"/>
  <c r="E69" i="23"/>
  <c r="I61" i="23"/>
  <c r="H61" i="23"/>
  <c r="C68" i="23"/>
  <c r="E68" i="23" s="1"/>
  <c r="I17" i="23"/>
  <c r="H17" i="23"/>
  <c r="D67" i="23"/>
  <c r="C67" i="23"/>
  <c r="H106" i="23"/>
  <c r="J106" i="23" s="1"/>
  <c r="D66" i="23"/>
  <c r="C66" i="23"/>
  <c r="I423" i="23"/>
  <c r="H423" i="23"/>
  <c r="D64" i="23"/>
  <c r="E64" i="23" s="1"/>
  <c r="I29" i="23"/>
  <c r="H29" i="23"/>
  <c r="E63" i="23"/>
  <c r="H410" i="23"/>
  <c r="J410" i="23" s="1"/>
  <c r="I404" i="23"/>
  <c r="H404" i="23"/>
  <c r="E61" i="23"/>
  <c r="H377" i="23"/>
  <c r="J377" i="23" s="1"/>
  <c r="D59" i="23"/>
  <c r="C59" i="23"/>
  <c r="I15" i="23"/>
  <c r="H15" i="23"/>
  <c r="D57" i="23"/>
  <c r="H368" i="23"/>
  <c r="D54" i="23"/>
  <c r="C54" i="23"/>
  <c r="H362" i="23"/>
  <c r="J362" i="23" s="1"/>
  <c r="D12" i="23"/>
  <c r="C12" i="23"/>
  <c r="D423" i="23"/>
  <c r="C423" i="23"/>
  <c r="I322" i="23"/>
  <c r="H322" i="23"/>
  <c r="D23" i="23"/>
  <c r="C23" i="23"/>
  <c r="I27" i="23"/>
  <c r="H27" i="23"/>
  <c r="C410" i="23"/>
  <c r="E410" i="23" s="1"/>
  <c r="H279" i="23"/>
  <c r="J279" i="23" s="1"/>
  <c r="D404" i="23"/>
  <c r="C404" i="23"/>
  <c r="H45" i="23"/>
  <c r="J45" i="23" s="1"/>
  <c r="C377" i="23"/>
  <c r="E377" i="23" s="1"/>
  <c r="I258" i="23"/>
  <c r="H258" i="23"/>
  <c r="D11" i="23"/>
  <c r="C11" i="23"/>
  <c r="H247" i="23"/>
  <c r="J247" i="23" s="1"/>
  <c r="C361" i="23"/>
  <c r="E361" i="23" s="1"/>
  <c r="H44" i="23"/>
  <c r="H228" i="23"/>
  <c r="J228" i="23" s="1"/>
  <c r="D320" i="23"/>
  <c r="C320" i="23"/>
  <c r="I217" i="23"/>
  <c r="H217" i="23"/>
  <c r="D21" i="23"/>
  <c r="C21" i="23"/>
  <c r="H39" i="23"/>
  <c r="J39" i="23" s="1"/>
  <c r="C277" i="23"/>
  <c r="E277" i="23" s="1"/>
  <c r="I184" i="23"/>
  <c r="H184" i="23"/>
  <c r="C38" i="23"/>
  <c r="E38" i="23" s="1"/>
  <c r="H183" i="23"/>
  <c r="J183" i="23" s="1"/>
  <c r="C256" i="23"/>
  <c r="E256" i="23" s="1"/>
  <c r="I176" i="23"/>
  <c r="H176" i="23"/>
  <c r="C245" i="23"/>
  <c r="E245" i="23" s="1"/>
  <c r="H170" i="23"/>
  <c r="J170" i="23" s="1"/>
  <c r="C37" i="23"/>
  <c r="H162" i="23"/>
  <c r="J162" i="23" s="1"/>
  <c r="C226" i="23"/>
  <c r="E226" i="23" s="1"/>
  <c r="H36" i="23"/>
  <c r="J36" i="23" s="1"/>
  <c r="D215" i="23"/>
  <c r="C215" i="23"/>
  <c r="H131" i="23"/>
  <c r="J131" i="23" s="1"/>
  <c r="C32" i="23"/>
  <c r="E32" i="23" s="1"/>
  <c r="I19" i="23"/>
  <c r="H19" i="23"/>
  <c r="D181" i="23"/>
  <c r="C181" i="23"/>
  <c r="I119" i="23"/>
  <c r="H119" i="23"/>
  <c r="C180" i="23"/>
  <c r="E180" i="23" s="1"/>
  <c r="I34" i="23"/>
  <c r="H34" i="23"/>
  <c r="D173" i="23"/>
  <c r="C173" i="23"/>
  <c r="I101" i="23"/>
  <c r="H101" i="23"/>
  <c r="C166" i="23"/>
  <c r="E166" i="23" s="1"/>
  <c r="H32" i="23"/>
  <c r="J32" i="23" s="1"/>
  <c r="C158" i="23"/>
  <c r="E158" i="23" s="1"/>
  <c r="I9" i="23"/>
  <c r="H9" i="23"/>
  <c r="C29" i="23"/>
  <c r="E29" i="23" s="1"/>
  <c r="I307" i="23"/>
  <c r="H307" i="23"/>
  <c r="C125" i="23"/>
  <c r="E125" i="23" s="1"/>
  <c r="H252" i="23"/>
  <c r="J252" i="23" s="1"/>
  <c r="C27" i="23"/>
  <c r="E27" i="23" s="1"/>
  <c r="H20" i="23"/>
  <c r="J20" i="23" s="1"/>
  <c r="D14" i="23"/>
  <c r="C14" i="23"/>
  <c r="I53" i="23"/>
  <c r="H53" i="23"/>
  <c r="D112" i="23"/>
  <c r="C112" i="23"/>
  <c r="I294" i="23"/>
  <c r="H294" i="23"/>
  <c r="D26" i="23"/>
  <c r="C26" i="23"/>
  <c r="I263" i="23"/>
  <c r="H263" i="23"/>
  <c r="D94" i="23"/>
  <c r="C94" i="23"/>
  <c r="H180" i="23"/>
  <c r="J180" i="23" s="1"/>
  <c r="C24" i="23"/>
  <c r="E24" i="23" s="1"/>
  <c r="I171" i="23"/>
  <c r="H171" i="23"/>
  <c r="D4" i="23"/>
  <c r="C4" i="23"/>
  <c r="H21" i="23"/>
  <c r="J21" i="23" s="1"/>
  <c r="D58" i="23"/>
  <c r="C58" i="23"/>
  <c r="I154" i="23"/>
  <c r="H154" i="23"/>
  <c r="D48" i="23"/>
  <c r="C48" i="23"/>
  <c r="N11" i="23"/>
  <c r="M11" i="23"/>
  <c r="O11" i="23" s="1"/>
  <c r="H86" i="23"/>
  <c r="J86" i="23" s="1"/>
  <c r="D312" i="23"/>
  <c r="C312" i="23"/>
  <c r="N15" i="23"/>
  <c r="M15" i="23"/>
  <c r="I65" i="23"/>
  <c r="H65" i="23"/>
  <c r="D292" i="23"/>
  <c r="C292" i="23"/>
  <c r="I314" i="23"/>
  <c r="H314" i="23"/>
  <c r="D261" i="23"/>
  <c r="C261" i="23"/>
  <c r="N39" i="23"/>
  <c r="M39" i="23"/>
  <c r="H54" i="23"/>
  <c r="C177" i="23"/>
  <c r="E177" i="23" s="1"/>
  <c r="N9" i="23"/>
  <c r="M9" i="23"/>
  <c r="O9" i="23" s="1"/>
  <c r="I257" i="23"/>
  <c r="H257" i="23"/>
  <c r="D167" i="23"/>
  <c r="C167" i="23"/>
  <c r="N4" i="23"/>
  <c r="M4" i="23"/>
  <c r="I7" i="23"/>
  <c r="H7" i="23"/>
  <c r="C15" i="23"/>
  <c r="E15" i="23" s="1"/>
  <c r="N5" i="23"/>
  <c r="M5" i="23"/>
  <c r="I397" i="23"/>
  <c r="H397" i="23"/>
  <c r="D148" i="23"/>
  <c r="C148" i="23"/>
  <c r="N8" i="23"/>
  <c r="M8" i="23"/>
  <c r="H8" i="23"/>
  <c r="C79" i="23"/>
  <c r="E79" i="23" s="1"/>
  <c r="I4" i="23"/>
  <c r="H4" i="23"/>
  <c r="C49" i="23"/>
  <c r="N6" i="23"/>
  <c r="M6" i="23"/>
  <c r="I6" i="23"/>
  <c r="H6" i="23"/>
  <c r="D255" i="23"/>
  <c r="C255" i="23"/>
  <c r="H5" i="23"/>
  <c r="D397" i="23"/>
  <c r="C397" i="23"/>
  <c r="F72" i="26"/>
  <c r="F103" i="26"/>
  <c r="F102" i="26"/>
  <c r="F101" i="26"/>
  <c r="F100" i="26"/>
  <c r="F28" i="26"/>
  <c r="C103" i="26"/>
  <c r="F56" i="26"/>
  <c r="C102" i="26"/>
  <c r="C101" i="26"/>
  <c r="F47" i="26"/>
  <c r="C100" i="26"/>
  <c r="F45" i="26"/>
  <c r="C21" i="26"/>
  <c r="F10" i="26"/>
  <c r="C49" i="26"/>
  <c r="F84" i="26"/>
  <c r="F83" i="26"/>
  <c r="C39" i="26"/>
  <c r="F41" i="26"/>
  <c r="C91" i="26"/>
  <c r="F40" i="26"/>
  <c r="C37" i="26"/>
  <c r="F38" i="26"/>
  <c r="C4" i="26"/>
  <c r="F22" i="26"/>
  <c r="C36" i="26"/>
  <c r="C79" i="26"/>
  <c r="F71" i="26"/>
  <c r="C9" i="26"/>
  <c r="C78" i="26"/>
  <c r="C32" i="26"/>
  <c r="F37" i="26"/>
  <c r="C73" i="26"/>
  <c r="F66" i="26"/>
  <c r="C31" i="26"/>
  <c r="F65" i="26"/>
  <c r="C29" i="26"/>
  <c r="F12" i="26"/>
  <c r="C15" i="26"/>
  <c r="F6" i="26"/>
  <c r="F16" i="26"/>
  <c r="C65" i="26"/>
  <c r="F79" i="26"/>
  <c r="F42" i="26"/>
  <c r="C28" i="26"/>
  <c r="F82" i="26"/>
  <c r="C59" i="26"/>
  <c r="F78" i="26"/>
  <c r="C58" i="26"/>
  <c r="F35" i="26"/>
  <c r="C57" i="26"/>
  <c r="J10" i="26"/>
  <c r="I10" i="26"/>
  <c r="F4" i="26"/>
  <c r="C96" i="26"/>
  <c r="J4" i="26"/>
  <c r="I4" i="26"/>
  <c r="F97" i="26"/>
  <c r="C33" i="26"/>
  <c r="I8" i="26"/>
  <c r="F32" i="26"/>
  <c r="C77" i="26"/>
  <c r="F67" i="26"/>
  <c r="C72" i="26"/>
  <c r="F8" i="26"/>
  <c r="C26" i="26"/>
  <c r="F95" i="26"/>
  <c r="C23" i="26"/>
  <c r="F40" i="22"/>
  <c r="C33" i="22"/>
  <c r="F156" i="22"/>
  <c r="F153" i="22"/>
  <c r="F150" i="22"/>
  <c r="F57" i="22"/>
  <c r="C156" i="22"/>
  <c r="F148" i="22"/>
  <c r="C153" i="22"/>
  <c r="F144" i="22"/>
  <c r="C150" i="22"/>
  <c r="C52" i="22"/>
  <c r="F140" i="22"/>
  <c r="C148" i="22"/>
  <c r="F137" i="22"/>
  <c r="C144" i="22"/>
  <c r="F136" i="22"/>
  <c r="C143" i="22"/>
  <c r="F135" i="22"/>
  <c r="F130" i="22"/>
  <c r="C139" i="22"/>
  <c r="F129" i="22"/>
  <c r="C47" i="22"/>
  <c r="F31" i="22"/>
  <c r="C136" i="22"/>
  <c r="C135" i="22"/>
  <c r="C10" i="22"/>
  <c r="F125" i="22"/>
  <c r="C133" i="22"/>
  <c r="C128" i="22"/>
  <c r="F124" i="22"/>
  <c r="C127" i="22"/>
  <c r="C45" i="22"/>
  <c r="F119" i="22"/>
  <c r="C124" i="22"/>
  <c r="F26" i="22"/>
  <c r="F110" i="22"/>
  <c r="C123" i="22"/>
  <c r="F109" i="22"/>
  <c r="F107" i="22"/>
  <c r="C122" i="22"/>
  <c r="F25" i="22"/>
  <c r="F111" i="22"/>
  <c r="C117" i="22"/>
  <c r="C20" i="22"/>
  <c r="F24" i="22"/>
  <c r="C108" i="22"/>
  <c r="F103" i="22"/>
  <c r="C107" i="22"/>
  <c r="C105" i="22"/>
  <c r="F102" i="22"/>
  <c r="C19" i="22"/>
  <c r="F101" i="22"/>
  <c r="C109" i="22"/>
  <c r="F13" i="22"/>
  <c r="C18" i="22"/>
  <c r="F99" i="22"/>
  <c r="F98" i="22"/>
  <c r="F85" i="22"/>
  <c r="C101" i="22"/>
  <c r="F139" i="22"/>
  <c r="F94" i="22"/>
  <c r="C100" i="22"/>
  <c r="F91" i="22"/>
  <c r="C99" i="22"/>
  <c r="F89" i="22"/>
  <c r="C8" i="22"/>
  <c r="F38" i="22"/>
  <c r="C97" i="22"/>
  <c r="F88" i="22"/>
  <c r="C96" i="22"/>
  <c r="F87" i="22"/>
  <c r="C79" i="22"/>
  <c r="F84" i="22"/>
  <c r="C138" i="22"/>
  <c r="F83" i="22"/>
  <c r="C91" i="22"/>
  <c r="F79" i="22"/>
  <c r="C90" i="22"/>
  <c r="F77" i="22"/>
  <c r="C87" i="22"/>
  <c r="C85" i="22"/>
  <c r="C31" i="22"/>
  <c r="F75" i="22"/>
  <c r="C82" i="22"/>
  <c r="F71" i="22"/>
  <c r="C81" i="22"/>
  <c r="F69" i="22"/>
  <c r="C78" i="22"/>
  <c r="F66" i="22"/>
  <c r="C77" i="22"/>
  <c r="F65" i="22"/>
  <c r="C73" i="22"/>
  <c r="C72" i="22"/>
  <c r="F61" i="22"/>
  <c r="C70" i="22"/>
  <c r="F17" i="22"/>
  <c r="F76" i="22"/>
  <c r="F157" i="22"/>
  <c r="C68" i="22"/>
  <c r="F29" i="22"/>
  <c r="C64" i="22"/>
  <c r="F155" i="22"/>
  <c r="C62" i="22"/>
  <c r="F152" i="22"/>
  <c r="C59" i="22"/>
  <c r="F146" i="22"/>
  <c r="C58" i="22"/>
  <c r="F15" i="22"/>
  <c r="F143" i="22"/>
  <c r="C54" i="22"/>
  <c r="F141" i="22"/>
  <c r="C12" i="22"/>
  <c r="C157" i="22"/>
  <c r="F133" i="22"/>
  <c r="C23" i="22"/>
  <c r="F27" i="22"/>
  <c r="C155" i="22"/>
  <c r="F118" i="22"/>
  <c r="C152" i="22"/>
  <c r="F45" i="22"/>
  <c r="C146" i="22"/>
  <c r="F115" i="22"/>
  <c r="C11" i="22"/>
  <c r="F112" i="22"/>
  <c r="C140" i="22"/>
  <c r="F44" i="22"/>
  <c r="F108" i="22"/>
  <c r="C131" i="22"/>
  <c r="F105" i="22"/>
  <c r="C21" i="22"/>
  <c r="F39" i="22"/>
  <c r="C116" i="22"/>
  <c r="F97" i="22"/>
  <c r="C38" i="22"/>
  <c r="C113" i="22"/>
  <c r="F95" i="22"/>
  <c r="C110" i="22"/>
  <c r="F92" i="22"/>
  <c r="C37" i="22"/>
  <c r="F90" i="22"/>
  <c r="C106" i="22"/>
  <c r="F36" i="22"/>
  <c r="C103" i="22"/>
  <c r="F82" i="22"/>
  <c r="C32" i="22"/>
  <c r="F19" i="22"/>
  <c r="C94" i="22"/>
  <c r="F78" i="22"/>
  <c r="F34" i="22"/>
  <c r="C92" i="22"/>
  <c r="F74" i="22"/>
  <c r="C88" i="22"/>
  <c r="F32" i="22"/>
  <c r="C86" i="22"/>
  <c r="F9" i="22"/>
  <c r="C29" i="22"/>
  <c r="F126" i="22"/>
  <c r="C76" i="22"/>
  <c r="C27" i="22"/>
  <c r="F20" i="22"/>
  <c r="C14" i="22"/>
  <c r="F53" i="22"/>
  <c r="C71" i="22"/>
  <c r="F123" i="22"/>
  <c r="C26" i="22"/>
  <c r="F116" i="22"/>
  <c r="C67" i="22"/>
  <c r="F96" i="22"/>
  <c r="C24" i="22"/>
  <c r="F93" i="22"/>
  <c r="C4" i="22"/>
  <c r="F21" i="22"/>
  <c r="C55" i="22"/>
  <c r="C48" i="22"/>
  <c r="F72" i="22"/>
  <c r="C126" i="22"/>
  <c r="F62" i="22"/>
  <c r="C121" i="22"/>
  <c r="F128" i="22"/>
  <c r="C114" i="22"/>
  <c r="F54" i="22"/>
  <c r="C93" i="22"/>
  <c r="F114" i="22"/>
  <c r="C89" i="22"/>
  <c r="F7" i="22"/>
  <c r="C15" i="22"/>
  <c r="F151" i="22"/>
  <c r="F8" i="22"/>
  <c r="C65" i="22"/>
  <c r="F4" i="22"/>
  <c r="C49" i="22"/>
  <c r="F6" i="22"/>
  <c r="C112" i="22"/>
  <c r="F5" i="22"/>
  <c r="C151" i="22"/>
  <c r="O8" i="23" l="1"/>
  <c r="H45" i="4"/>
  <c r="D45" i="4"/>
  <c r="C107" i="26"/>
  <c r="F107" i="26"/>
  <c r="O4" i="23"/>
  <c r="O5" i="23"/>
  <c r="O7" i="23"/>
  <c r="D50" i="8"/>
  <c r="J309" i="23"/>
  <c r="D45" i="5"/>
  <c r="H45" i="5"/>
  <c r="H46" i="7"/>
  <c r="K9" i="26"/>
  <c r="H45" i="10"/>
  <c r="D45" i="10"/>
  <c r="D47" i="1"/>
  <c r="H47" i="1"/>
  <c r="K4" i="26"/>
  <c r="D53" i="17"/>
  <c r="H53" i="17"/>
  <c r="K10" i="26"/>
  <c r="D46" i="7"/>
  <c r="D44" i="9"/>
  <c r="J176" i="23"/>
  <c r="D59" i="6"/>
  <c r="H50" i="8"/>
  <c r="J69" i="23"/>
  <c r="K5" i="26"/>
  <c r="J299" i="23"/>
  <c r="H45" i="21"/>
  <c r="E94" i="23"/>
  <c r="E224" i="23"/>
  <c r="H54" i="2"/>
  <c r="J422" i="23"/>
  <c r="E10" i="23"/>
  <c r="J209" i="23"/>
  <c r="J94" i="23"/>
  <c r="D54" i="2"/>
  <c r="K13" i="26"/>
  <c r="E321" i="23"/>
  <c r="J344" i="23"/>
  <c r="J161" i="23"/>
  <c r="E255" i="23"/>
  <c r="J110" i="23"/>
  <c r="E263" i="23"/>
  <c r="E285" i="23"/>
  <c r="J19" i="23"/>
  <c r="J385" i="23"/>
  <c r="J318" i="23"/>
  <c r="J25" i="23"/>
  <c r="D53" i="16"/>
  <c r="J57" i="23"/>
  <c r="J134" i="23"/>
  <c r="J399" i="23"/>
  <c r="H53" i="16"/>
  <c r="E52" i="23"/>
  <c r="E26" i="23"/>
  <c r="J112" i="23"/>
  <c r="E208" i="23"/>
  <c r="J64" i="23"/>
  <c r="J149" i="23"/>
  <c r="E206" i="23"/>
  <c r="E216" i="23"/>
  <c r="E19" i="23"/>
  <c r="E345" i="23"/>
  <c r="E355" i="23"/>
  <c r="J17" i="23"/>
  <c r="J210" i="23"/>
  <c r="J397" i="23"/>
  <c r="E195" i="23"/>
  <c r="J5" i="23"/>
  <c r="E48" i="23"/>
  <c r="J101" i="23"/>
  <c r="E128" i="23"/>
  <c r="J230" i="23"/>
  <c r="J265" i="23"/>
  <c r="E110" i="23"/>
  <c r="E319" i="23"/>
  <c r="E95" i="23"/>
  <c r="J223" i="23"/>
  <c r="J81" i="23"/>
  <c r="E305" i="23"/>
  <c r="H44" i="9"/>
  <c r="J45" i="15"/>
  <c r="E45" i="15"/>
  <c r="E339" i="23"/>
  <c r="D45" i="21"/>
  <c r="J154" i="23"/>
  <c r="J404" i="23"/>
  <c r="J192" i="23"/>
  <c r="J283" i="23"/>
  <c r="E336" i="23"/>
  <c r="J55" i="23"/>
  <c r="J366" i="23"/>
  <c r="E14" i="23"/>
  <c r="J249" i="23"/>
  <c r="E338" i="23"/>
  <c r="E181" i="23"/>
  <c r="J182" i="23"/>
  <c r="J300" i="23"/>
  <c r="E144" i="23"/>
  <c r="E179" i="23"/>
  <c r="J102" i="23"/>
  <c r="E47" i="23"/>
  <c r="J79" i="23"/>
  <c r="J109" i="23"/>
  <c r="E157" i="23"/>
  <c r="J203" i="23"/>
  <c r="E385" i="23"/>
  <c r="K8" i="26"/>
  <c r="E233" i="23"/>
  <c r="E281" i="23"/>
  <c r="J287" i="23"/>
  <c r="E366" i="23"/>
  <c r="J316" i="23"/>
  <c r="J113" i="23"/>
  <c r="J24" i="23"/>
  <c r="J407" i="23"/>
  <c r="J33" i="23"/>
  <c r="E145" i="23"/>
  <c r="E159" i="23"/>
  <c r="J163" i="23"/>
  <c r="J296" i="23"/>
  <c r="J337" i="23"/>
  <c r="E62" i="23"/>
  <c r="J218" i="23"/>
  <c r="J237" i="23"/>
  <c r="E72" i="23"/>
  <c r="J184" i="23"/>
  <c r="E278" i="23"/>
  <c r="J330" i="23"/>
  <c r="J346" i="23"/>
  <c r="E312" i="23"/>
  <c r="J263" i="23"/>
  <c r="E404" i="23"/>
  <c r="E74" i="23"/>
  <c r="J90" i="23"/>
  <c r="J293" i="23"/>
  <c r="E356" i="23"/>
  <c r="J378" i="23"/>
  <c r="J9" i="23"/>
  <c r="J235" i="23"/>
  <c r="E379" i="23"/>
  <c r="E87" i="23"/>
  <c r="E18" i="23"/>
  <c r="J379" i="23"/>
  <c r="J423" i="23"/>
  <c r="E102" i="23"/>
  <c r="J178" i="23"/>
  <c r="J314" i="23"/>
  <c r="J166" i="23"/>
  <c r="J208" i="23"/>
  <c r="J26" i="23"/>
  <c r="J340" i="23"/>
  <c r="E50" i="23"/>
  <c r="E380" i="23"/>
  <c r="E421" i="23"/>
  <c r="E23" i="23"/>
  <c r="J117" i="23"/>
  <c r="E275" i="23"/>
  <c r="E373" i="23"/>
  <c r="J380" i="23"/>
  <c r="J421" i="23"/>
  <c r="E169" i="23"/>
  <c r="E49" i="23"/>
  <c r="J61" i="23"/>
  <c r="J80" i="23"/>
  <c r="E190" i="23"/>
  <c r="E422" i="23"/>
  <c r="J171" i="23"/>
  <c r="J34" i="23"/>
  <c r="E423" i="23"/>
  <c r="E54" i="23"/>
  <c r="E115" i="23"/>
  <c r="J264" i="23"/>
  <c r="E12" i="23"/>
  <c r="J29" i="23"/>
  <c r="E136" i="23"/>
  <c r="E8" i="23"/>
  <c r="J239" i="23"/>
  <c r="J323" i="23"/>
  <c r="J357" i="23"/>
  <c r="J65" i="23"/>
  <c r="J133" i="23"/>
  <c r="E162" i="23"/>
  <c r="J188" i="23"/>
  <c r="E207" i="23"/>
  <c r="E228" i="23"/>
  <c r="E234" i="23"/>
  <c r="J236" i="23"/>
  <c r="E262" i="23"/>
  <c r="E343" i="23"/>
  <c r="E173" i="23"/>
  <c r="E57" i="23"/>
  <c r="J66" i="23"/>
  <c r="E201" i="23"/>
  <c r="J257" i="23"/>
  <c r="J15" i="23"/>
  <c r="E66" i="23"/>
  <c r="E73" i="23"/>
  <c r="E83" i="23"/>
  <c r="E106" i="23"/>
  <c r="J140" i="23"/>
  <c r="J150" i="23"/>
  <c r="J197" i="23"/>
  <c r="J313" i="23"/>
  <c r="J417" i="23"/>
  <c r="E397" i="23"/>
  <c r="E297" i="23"/>
  <c r="E202" i="23"/>
  <c r="J204" i="23"/>
  <c r="E235" i="23"/>
  <c r="E67" i="23"/>
  <c r="E221" i="23"/>
  <c r="E294" i="23"/>
  <c r="E298" i="23"/>
  <c r="J54" i="23"/>
  <c r="J142" i="23"/>
  <c r="E229" i="23"/>
  <c r="E311" i="23"/>
  <c r="J339" i="23"/>
  <c r="E148" i="23"/>
  <c r="J307" i="23"/>
  <c r="J277" i="23"/>
  <c r="J288" i="23"/>
  <c r="J231" i="23"/>
  <c r="E399" i="23"/>
  <c r="E107" i="23"/>
  <c r="E11" i="23"/>
  <c r="J6" i="23"/>
  <c r="E261" i="23"/>
  <c r="J294" i="23"/>
  <c r="J258" i="23"/>
  <c r="J151" i="23"/>
  <c r="J173" i="23"/>
  <c r="J13" i="23"/>
  <c r="E58" i="23"/>
  <c r="J226" i="23"/>
  <c r="E112" i="23"/>
  <c r="J356" i="23"/>
  <c r="E292" i="23"/>
  <c r="J53" i="23"/>
  <c r="J73" i="23"/>
  <c r="J244" i="23"/>
  <c r="E239" i="23"/>
  <c r="E20" i="23"/>
  <c r="E291" i="23"/>
  <c r="J261" i="23"/>
  <c r="E186" i="23"/>
  <c r="J187" i="23"/>
  <c r="E171" i="23"/>
  <c r="E185" i="23"/>
  <c r="E37" i="23"/>
  <c r="J44" i="23"/>
  <c r="E362" i="23"/>
  <c r="J31" i="23"/>
  <c r="H53" i="12"/>
  <c r="D44" i="14"/>
  <c r="H44" i="14"/>
  <c r="D53" i="12"/>
  <c r="D47" i="25"/>
  <c r="H47" i="25"/>
  <c r="J4" i="23"/>
  <c r="J153" i="23"/>
  <c r="J363" i="23"/>
  <c r="J373" i="23"/>
  <c r="J7" i="23"/>
  <c r="J322" i="23"/>
  <c r="J114" i="23"/>
  <c r="J119" i="23"/>
  <c r="J74" i="23"/>
  <c r="J280" i="23"/>
  <c r="J27" i="23"/>
  <c r="J368" i="23"/>
  <c r="E167" i="23"/>
  <c r="E21" i="23"/>
  <c r="E242" i="23"/>
  <c r="E4" i="23"/>
  <c r="E320" i="23"/>
  <c r="E407" i="23"/>
  <c r="E147" i="23"/>
  <c r="E45" i="23"/>
  <c r="E259" i="23"/>
  <c r="E328" i="23"/>
  <c r="E307" i="23"/>
  <c r="E59" i="23"/>
  <c r="E127" i="23"/>
  <c r="E368" i="23"/>
  <c r="I431" i="23"/>
  <c r="D431" i="23"/>
  <c r="J8" i="23"/>
  <c r="O6" i="23"/>
  <c r="H59" i="6"/>
  <c r="C159" i="22"/>
  <c r="C431" i="23"/>
  <c r="H431" i="23"/>
  <c r="F159" i="22"/>
  <c r="J217" i="23"/>
  <c r="E215" i="23"/>
  <c r="J431" i="23" l="1"/>
  <c r="E431" i="23"/>
</calcChain>
</file>

<file path=xl/sharedStrings.xml><?xml version="1.0" encoding="utf-8"?>
<sst xmlns="http://schemas.openxmlformats.org/spreadsheetml/2006/main" count="16357" uniqueCount="1480">
  <si>
    <t>TRIES</t>
  </si>
  <si>
    <t>Tot</t>
  </si>
  <si>
    <t>POINTS</t>
  </si>
  <si>
    <t>TOTALS</t>
  </si>
  <si>
    <t>Penalty Tries</t>
  </si>
  <si>
    <t>Ford</t>
  </si>
  <si>
    <t>George</t>
  </si>
  <si>
    <t>Wilson</t>
  </si>
  <si>
    <t>Scully</t>
  </si>
  <si>
    <t>Stevens</t>
  </si>
  <si>
    <t>Braid</t>
  </si>
  <si>
    <t>Thompson</t>
  </si>
  <si>
    <t>Att</t>
  </si>
  <si>
    <t>%</t>
  </si>
  <si>
    <t>Goals</t>
  </si>
  <si>
    <t>Ordered</t>
  </si>
  <si>
    <t>ordered</t>
  </si>
  <si>
    <t>-</t>
  </si>
  <si>
    <t>Slade</t>
  </si>
  <si>
    <t>Taylor</t>
  </si>
  <si>
    <t xml:space="preserve"> </t>
  </si>
  <si>
    <t>Smith</t>
  </si>
  <si>
    <t>Burger</t>
  </si>
  <si>
    <t>Matera</t>
  </si>
  <si>
    <t>Francis</t>
  </si>
  <si>
    <t>Socino</t>
  </si>
  <si>
    <t>Dolan</t>
  </si>
  <si>
    <t>Mamukashvili</t>
  </si>
  <si>
    <t>© Hillsport Media Ltd</t>
  </si>
  <si>
    <t>Tuala</t>
  </si>
  <si>
    <t>Ioane</t>
  </si>
  <si>
    <t>INT</t>
  </si>
  <si>
    <t>Last Match</t>
  </si>
  <si>
    <t>WORLD CUP</t>
  </si>
  <si>
    <t>RUGBY CHAMPS</t>
  </si>
  <si>
    <t>SIX NATIONS</t>
  </si>
  <si>
    <t>6N</t>
  </si>
  <si>
    <t>Pisi T</t>
  </si>
  <si>
    <t>Stanley M</t>
  </si>
  <si>
    <t>Watson</t>
  </si>
  <si>
    <t>Faletau</t>
  </si>
  <si>
    <t>Khmaladze</t>
  </si>
  <si>
    <t>Kolelishvili</t>
  </si>
  <si>
    <t>Lobzhanidze</t>
  </si>
  <si>
    <t>Lomidze</t>
  </si>
  <si>
    <t>Maisuradze</t>
  </si>
  <si>
    <t>Todua</t>
  </si>
  <si>
    <t>Zirakashvili</t>
  </si>
  <si>
    <t>Alemanno</t>
  </si>
  <si>
    <t>Lavanini</t>
  </si>
  <si>
    <t>Sanchez</t>
  </si>
  <si>
    <t>Slipper</t>
  </si>
  <si>
    <t>Beukeboom</t>
  </si>
  <si>
    <t>Hirayama</t>
  </si>
  <si>
    <t>Olmstead</t>
  </si>
  <si>
    <t>Sears-Duru</t>
  </si>
  <si>
    <t>Underwood</t>
  </si>
  <si>
    <t>Matawalu</t>
  </si>
  <si>
    <t>Nadolo</t>
  </si>
  <si>
    <t>Volavola</t>
  </si>
  <si>
    <t>Fickou</t>
  </si>
  <si>
    <t>Furlong</t>
  </si>
  <si>
    <t>Henderson</t>
  </si>
  <si>
    <t>Henshaw</t>
  </si>
  <si>
    <t>Murray</t>
  </si>
  <si>
    <t>Allan</t>
  </si>
  <si>
    <t>Goromaru</t>
  </si>
  <si>
    <t>Tamura</t>
  </si>
  <si>
    <t>Tatekawa</t>
  </si>
  <si>
    <t>Greyling</t>
  </si>
  <si>
    <t>Kitshoff</t>
  </si>
  <si>
    <t>Kotze</t>
  </si>
  <si>
    <t>Redelinghuys</t>
  </si>
  <si>
    <t>van Lill</t>
  </si>
  <si>
    <t>Capatana</t>
  </si>
  <si>
    <t>Vlaicu</t>
  </si>
  <si>
    <t>Faapale</t>
  </si>
  <si>
    <t>Gilchrist</t>
  </si>
  <si>
    <t>Russell</t>
  </si>
  <si>
    <t>Etzebeth</t>
  </si>
  <si>
    <t>Kolisi</t>
  </si>
  <si>
    <t>Pollard</t>
  </si>
  <si>
    <t>Steyn</t>
  </si>
  <si>
    <t>Fosita</t>
  </si>
  <si>
    <t>Halaifonua</t>
  </si>
  <si>
    <t>Lilo</t>
  </si>
  <si>
    <t>Morath</t>
  </si>
  <si>
    <t>Takulua</t>
  </si>
  <si>
    <t>PACIFIC NATIONS CUP</t>
  </si>
  <si>
    <t>Lamositele</t>
  </si>
  <si>
    <t>MacGinty</t>
  </si>
  <si>
    <t>Peterson</t>
  </si>
  <si>
    <t>Suniula A</t>
  </si>
  <si>
    <t>Berchesi</t>
  </si>
  <si>
    <t>Duran A</t>
  </si>
  <si>
    <t>Ormaechea</t>
  </si>
  <si>
    <t>Roman</t>
  </si>
  <si>
    <t>Sanguinetti</t>
  </si>
  <si>
    <t>Silva</t>
  </si>
  <si>
    <t>Gonzalez Iglesias</t>
  </si>
  <si>
    <t>Pritchard</t>
  </si>
  <si>
    <t>McRorie</t>
  </si>
  <si>
    <t>Taofifenua</t>
  </si>
  <si>
    <t>Giorgadze I</t>
  </si>
  <si>
    <t>Morisi</t>
  </si>
  <si>
    <t>NATIONS CUP</t>
  </si>
  <si>
    <t>Apikotoa</t>
  </si>
  <si>
    <t>Anscombe</t>
  </si>
  <si>
    <t>Calafeteanu</t>
  </si>
  <si>
    <t>Padovani</t>
  </si>
  <si>
    <t>Totals</t>
  </si>
  <si>
    <t>Nakamura</t>
  </si>
  <si>
    <t>ALL TESTS</t>
  </si>
  <si>
    <t>Serin</t>
  </si>
  <si>
    <t>Hodge</t>
  </si>
  <si>
    <t>Kerevi</t>
  </si>
  <si>
    <t>Lienert-Brown</t>
  </si>
  <si>
    <t>Barrett B</t>
  </si>
  <si>
    <t>Daly</t>
  </si>
  <si>
    <t>Ollivon</t>
  </si>
  <si>
    <t>Ringrose</t>
  </si>
  <si>
    <t>Seq</t>
  </si>
  <si>
    <t>Price</t>
  </si>
  <si>
    <t>Coetzee</t>
  </si>
  <si>
    <t>Boffelli</t>
  </si>
  <si>
    <t>Fifita</t>
  </si>
  <si>
    <t>Matsuda</t>
  </si>
  <si>
    <t>Penaud</t>
  </si>
  <si>
    <t>AMERICAS CHAMPS</t>
  </si>
  <si>
    <t>Povey</t>
  </si>
  <si>
    <t>Trainor</t>
  </si>
  <si>
    <t>Staller</t>
  </si>
  <si>
    <t>O'Leary</t>
  </si>
  <si>
    <t>RUGBY EUROPE CHAMPS</t>
  </si>
  <si>
    <t>REC</t>
  </si>
  <si>
    <t>Matiashvili</t>
  </si>
  <si>
    <t>Ogura</t>
  </si>
  <si>
    <t>Yamasawa</t>
  </si>
  <si>
    <t>Campbell</t>
  </si>
  <si>
    <t>Tameilau</t>
  </si>
  <si>
    <t>Malcolm</t>
  </si>
  <si>
    <t>Civetta</t>
  </si>
  <si>
    <t>Dotti</t>
  </si>
  <si>
    <t>Freitas</t>
  </si>
  <si>
    <t>Vilaseca</t>
  </si>
  <si>
    <t>S AMERICA CHAMPS</t>
  </si>
  <si>
    <t>van der Flier</t>
  </si>
  <si>
    <t>Marx</t>
  </si>
  <si>
    <t>WORLD CUP QUALIFYING</t>
  </si>
  <si>
    <t>Barrett J</t>
  </si>
  <si>
    <t>Loubser</t>
  </si>
  <si>
    <t>McKenzie D</t>
  </si>
  <si>
    <t>Gls</t>
  </si>
  <si>
    <t>Barrett S</t>
  </si>
  <si>
    <t>Koroibete</t>
  </si>
  <si>
    <t>Himeno</t>
  </si>
  <si>
    <t>Ferrari</t>
  </si>
  <si>
    <t>Herring</t>
  </si>
  <si>
    <t>Thomas</t>
  </si>
  <si>
    <t>Belleau</t>
  </si>
  <si>
    <t>Kremer</t>
  </si>
  <si>
    <t>Mbonambi</t>
  </si>
  <si>
    <t>Mostert</t>
  </si>
  <si>
    <t>Rodriguez</t>
  </si>
  <si>
    <t>Lomani</t>
  </si>
  <si>
    <t>AUS</t>
  </si>
  <si>
    <t>NZL</t>
  </si>
  <si>
    <t>IRE</t>
  </si>
  <si>
    <t>ENG</t>
  </si>
  <si>
    <t>SCO</t>
  </si>
  <si>
    <t>RSA</t>
  </si>
  <si>
    <t>ARG</t>
  </si>
  <si>
    <t>ITA</t>
  </si>
  <si>
    <t>WAL</t>
  </si>
  <si>
    <t>NAT</t>
  </si>
  <si>
    <t xml:space="preserve">Penalty Tries </t>
  </si>
  <si>
    <t xml:space="preserve">Barrett B </t>
  </si>
  <si>
    <t xml:space="preserve">Barrett J </t>
  </si>
  <si>
    <t xml:space="preserve">Barrett S </t>
  </si>
  <si>
    <t xml:space="preserve">Savea A </t>
  </si>
  <si>
    <t>GLS</t>
  </si>
  <si>
    <t>ATT</t>
  </si>
  <si>
    <t>FRA</t>
  </si>
  <si>
    <t xml:space="preserve">Jones H </t>
  </si>
  <si>
    <t>Ford G</t>
  </si>
  <si>
    <t>Taylor C</t>
  </si>
  <si>
    <t>Watson H</t>
  </si>
  <si>
    <t>Favaro</t>
  </si>
  <si>
    <t>2019 Process</t>
  </si>
  <si>
    <t>Kessler</t>
  </si>
  <si>
    <t>2018*</t>
  </si>
  <si>
    <t>*Also World Cup match v Can on 27 Jan (Berchesi 6/10)</t>
  </si>
  <si>
    <t>Aki</t>
  </si>
  <si>
    <t>Kveseladze</t>
  </si>
  <si>
    <t>du Toit</t>
  </si>
  <si>
    <t>Lasike</t>
  </si>
  <si>
    <t>Moungaloa</t>
  </si>
  <si>
    <t>Wooching</t>
  </si>
  <si>
    <t>Baillie</t>
  </si>
  <si>
    <t>Lloyd</t>
  </si>
  <si>
    <t>Rumball</t>
  </si>
  <si>
    <t>Kinghorn</t>
  </si>
  <si>
    <t>Mapimpi</t>
  </si>
  <si>
    <t>Mapimpi M</t>
  </si>
  <si>
    <t>Elias R</t>
  </si>
  <si>
    <t>Ioane R</t>
  </si>
  <si>
    <t>de Klerk</t>
  </si>
  <si>
    <t>de Allende</t>
  </si>
  <si>
    <t>le Roux</t>
  </si>
  <si>
    <t>de Klerk F</t>
  </si>
  <si>
    <t>Itoje</t>
  </si>
  <si>
    <t>Itoje M</t>
  </si>
  <si>
    <t>Daly E</t>
  </si>
  <si>
    <t>Allan T</t>
  </si>
  <si>
    <t>Turner G</t>
  </si>
  <si>
    <t>Turner</t>
  </si>
  <si>
    <t>Kinghorn B</t>
  </si>
  <si>
    <t>Radradra</t>
  </si>
  <si>
    <t>Tupou</t>
  </si>
  <si>
    <t>ASIAN CHAMPS</t>
  </si>
  <si>
    <t>Steenkamp</t>
  </si>
  <si>
    <t>Furlong T</t>
  </si>
  <si>
    <t>Montoya</t>
  </si>
  <si>
    <t>Montoya J</t>
  </si>
  <si>
    <t>Adams</t>
  </si>
  <si>
    <t>Adams J</t>
  </si>
  <si>
    <t>Mata</t>
  </si>
  <si>
    <t>Serin B</t>
  </si>
  <si>
    <t>Aki B</t>
  </si>
  <si>
    <t>Katjijeko</t>
  </si>
  <si>
    <t>Horne G</t>
  </si>
  <si>
    <t>de Haas</t>
  </si>
  <si>
    <t>WORLD CUP QUAL</t>
  </si>
  <si>
    <t>Matera P</t>
  </si>
  <si>
    <t>Marx M</t>
  </si>
  <si>
    <t>Moroni M</t>
  </si>
  <si>
    <t>Mostert F</t>
  </si>
  <si>
    <t>Kolisi S</t>
  </si>
  <si>
    <t>Mo'unga</t>
  </si>
  <si>
    <t>Mo'unga R</t>
  </si>
  <si>
    <t>Russell F</t>
  </si>
  <si>
    <t>Ringrose G</t>
  </si>
  <si>
    <t>Mbonambi B</t>
  </si>
  <si>
    <t>Kolbe</t>
  </si>
  <si>
    <t>Kolbe C</t>
  </si>
  <si>
    <t>Padovani E</t>
  </si>
  <si>
    <t>de Allende D</t>
  </si>
  <si>
    <t>Hastings</t>
  </si>
  <si>
    <t>Hastings A</t>
  </si>
  <si>
    <t>Beirne</t>
  </si>
  <si>
    <t>Byrne R</t>
  </si>
  <si>
    <t>Beirne T</t>
  </si>
  <si>
    <t>Larmour J</t>
  </si>
  <si>
    <t>Thomas T</t>
  </si>
  <si>
    <t>Henshaw R</t>
  </si>
  <si>
    <t>Fickou G</t>
  </si>
  <si>
    <t>Koroibete M</t>
  </si>
  <si>
    <t>Lienert-Brown A</t>
  </si>
  <si>
    <t>Melinte</t>
  </si>
  <si>
    <t>Plai</t>
  </si>
  <si>
    <t>Ritchie</t>
  </si>
  <si>
    <t>Ritchie J</t>
  </si>
  <si>
    <t>Leuila</t>
  </si>
  <si>
    <t>Ardron</t>
  </si>
  <si>
    <t>Evans</t>
  </si>
  <si>
    <t>Sauder</t>
  </si>
  <si>
    <t>Tupou T</t>
  </si>
  <si>
    <t>Tuisova</t>
  </si>
  <si>
    <t>Aprasidze</t>
  </si>
  <si>
    <t>Abzhandadze</t>
  </si>
  <si>
    <t>Faletau T</t>
  </si>
  <si>
    <t>Conan J</t>
  </si>
  <si>
    <t>McCloskey S</t>
  </si>
  <si>
    <t>George J</t>
  </si>
  <si>
    <t>Slade H</t>
  </si>
  <si>
    <t>Ollivon C</t>
  </si>
  <si>
    <t>Penaud D</t>
  </si>
  <si>
    <t>Henderson I</t>
  </si>
  <si>
    <t>Herring R</t>
  </si>
  <si>
    <t>van der Flier J</t>
  </si>
  <si>
    <t>Alemanno M</t>
  </si>
  <si>
    <t>Kremer M</t>
  </si>
  <si>
    <t>Kerevi S</t>
  </si>
  <si>
    <t>du Toit P-S</t>
  </si>
  <si>
    <t>Etzebeth E</t>
  </si>
  <si>
    <t>Price A</t>
  </si>
  <si>
    <t>Harris</t>
  </si>
  <si>
    <t>Harris C</t>
  </si>
  <si>
    <t>Watkin O</t>
  </si>
  <si>
    <t>Alldritt</t>
  </si>
  <si>
    <t>Ntamack</t>
  </si>
  <si>
    <t>Ramos</t>
  </si>
  <si>
    <t>Ramos T</t>
  </si>
  <si>
    <t>Alldritt G</t>
  </si>
  <si>
    <t>Ntamack R</t>
  </si>
  <si>
    <t>GOAL-KICKERS*</t>
  </si>
  <si>
    <t>Curry T</t>
  </si>
  <si>
    <t>Graham D</t>
  </si>
  <si>
    <t>Dupont</t>
  </si>
  <si>
    <t>Dupont A</t>
  </si>
  <si>
    <t>Carty</t>
  </si>
  <si>
    <t>Pujadas</t>
  </si>
  <si>
    <t>Hearn</t>
  </si>
  <si>
    <t>Popa</t>
  </si>
  <si>
    <t>Gigauri</t>
  </si>
  <si>
    <t>Gigashvili</t>
  </si>
  <si>
    <t>Tsutseridze</t>
  </si>
  <si>
    <t>Cojocaru</t>
  </si>
  <si>
    <t>Ardao</t>
  </si>
  <si>
    <t>Leindekar</t>
  </si>
  <si>
    <t>Chirica</t>
  </si>
  <si>
    <t>Reinach</t>
  </si>
  <si>
    <t>de Jager L</t>
  </si>
  <si>
    <t>Seuteni</t>
  </si>
  <si>
    <t>Alatimu</t>
  </si>
  <si>
    <t>Sakalia</t>
  </si>
  <si>
    <t>Tameifuna</t>
  </si>
  <si>
    <t>Faiva</t>
  </si>
  <si>
    <t>Matavesi, Josh</t>
  </si>
  <si>
    <t>Isa</t>
  </si>
  <si>
    <t>Isa F</t>
  </si>
  <si>
    <t>Pifeleti</t>
  </si>
  <si>
    <t>Nelson</t>
  </si>
  <si>
    <t>Taefu</t>
  </si>
  <si>
    <t>Genge</t>
  </si>
  <si>
    <t>Cowan-Dickie L</t>
  </si>
  <si>
    <t>Urdapilleta</t>
  </si>
  <si>
    <t>Ferrari S</t>
  </si>
  <si>
    <t>Genge E</t>
  </si>
  <si>
    <t>Piutau</t>
  </si>
  <si>
    <t>Labuschagne</t>
  </si>
  <si>
    <t>Mawi</t>
  </si>
  <si>
    <t>Negri</t>
  </si>
  <si>
    <t>Negri S</t>
  </si>
  <si>
    <t>Frizell</t>
  </si>
  <si>
    <t>Frizell S</t>
  </si>
  <si>
    <t>Petaia</t>
  </si>
  <si>
    <t>Petaia J</t>
  </si>
  <si>
    <t>Willemse</t>
  </si>
  <si>
    <t>Mallia</t>
  </si>
  <si>
    <t>Mallia J C</t>
  </si>
  <si>
    <t>Fagerson Z</t>
  </si>
  <si>
    <t>Wainwright</t>
  </si>
  <si>
    <t>Wainwright A</t>
  </si>
  <si>
    <t>Tompkins</t>
  </si>
  <si>
    <t>Tompkins N</t>
  </si>
  <si>
    <t>Chkoidze</t>
  </si>
  <si>
    <t>Jalibert</t>
  </si>
  <si>
    <t>Jalibert M</t>
  </si>
  <si>
    <t>Willemse P</t>
  </si>
  <si>
    <t>Porter</t>
  </si>
  <si>
    <t>Porter A</t>
  </si>
  <si>
    <t>Tabutsadze</t>
  </si>
  <si>
    <t>Onutu</t>
  </si>
  <si>
    <t>Tapladze</t>
  </si>
  <si>
    <t>na</t>
  </si>
  <si>
    <t>Daugunu F</t>
  </si>
  <si>
    <t>van der Merwe</t>
  </si>
  <si>
    <t>van der Merwe D</t>
  </si>
  <si>
    <t>Keenan</t>
  </si>
  <si>
    <t>Keenan H</t>
  </si>
  <si>
    <t>Garbisi P</t>
  </si>
  <si>
    <t>Baille</t>
  </si>
  <si>
    <t>Baille C</t>
  </si>
  <si>
    <t>Lolesio</t>
  </si>
  <si>
    <t>Lowe</t>
  </si>
  <si>
    <t>Burns</t>
  </si>
  <si>
    <t>AUTUMN NATIONS CUP</t>
  </si>
  <si>
    <t>Lowe J</t>
  </si>
  <si>
    <t>Sheedy</t>
  </si>
  <si>
    <t>Jordan</t>
  </si>
  <si>
    <t>Jordan W</t>
  </si>
  <si>
    <t>Villiere</t>
  </si>
  <si>
    <t>Carbonel</t>
  </si>
  <si>
    <t>Danty J</t>
  </si>
  <si>
    <t>Villiere G</t>
  </si>
  <si>
    <t>Saginadze</t>
  </si>
  <si>
    <t>Dyer</t>
  </si>
  <si>
    <t>Hardy K</t>
  </si>
  <si>
    <t>Vincent A</t>
  </si>
  <si>
    <t>Ioane M</t>
  </si>
  <si>
    <t>Kelleher R</t>
  </si>
  <si>
    <t>Bigi</t>
  </si>
  <si>
    <t>Bigi L</t>
  </si>
  <si>
    <t>Conan</t>
  </si>
  <si>
    <t>Taofifenua R</t>
  </si>
  <si>
    <t>Smith K</t>
  </si>
  <si>
    <t>Bealham</t>
  </si>
  <si>
    <t>Bealham F</t>
  </si>
  <si>
    <t>Gonzalez</t>
  </si>
  <si>
    <t>Rowlands</t>
  </si>
  <si>
    <t>Basham</t>
  </si>
  <si>
    <t>Botham J</t>
  </si>
  <si>
    <t>Rowlands W</t>
  </si>
  <si>
    <t>Basham T</t>
  </si>
  <si>
    <t>Coats</t>
  </si>
  <si>
    <t>Papali'i</t>
  </si>
  <si>
    <t>Jacobson</t>
  </si>
  <si>
    <t>Papali'I D</t>
  </si>
  <si>
    <t>Jacobson L</t>
  </si>
  <si>
    <t>Smith M</t>
  </si>
  <si>
    <t>Lawrence O</t>
  </si>
  <si>
    <t>Fa'anana-Shultz</t>
  </si>
  <si>
    <t>Braude</t>
  </si>
  <si>
    <t>Havili</t>
  </si>
  <si>
    <t>Tuisue</t>
  </si>
  <si>
    <t>Byrne H</t>
  </si>
  <si>
    <t>Gordon J</t>
  </si>
  <si>
    <t>McDermott T</t>
  </si>
  <si>
    <t>Woki</t>
  </si>
  <si>
    <t>Woki C</t>
  </si>
  <si>
    <t>Taukei'aho</t>
  </si>
  <si>
    <t>Taukei'aho S</t>
  </si>
  <si>
    <t>Taumateine</t>
  </si>
  <si>
    <t>2023 Process</t>
  </si>
  <si>
    <t>Sutherland R</t>
  </si>
  <si>
    <t>Savin</t>
  </si>
  <si>
    <t>Kellaway</t>
  </si>
  <si>
    <t>Kellaway A</t>
  </si>
  <si>
    <t>Banks T</t>
  </si>
  <si>
    <t>LeSage</t>
  </si>
  <si>
    <t>Lopeti</t>
  </si>
  <si>
    <t>2023 PROCESS</t>
  </si>
  <si>
    <t>White</t>
  </si>
  <si>
    <t>Fainga'a F</t>
  </si>
  <si>
    <t>Ikitau</t>
  </si>
  <si>
    <t>Ikitau L</t>
  </si>
  <si>
    <t>Boffelli E</t>
  </si>
  <si>
    <t>Vaa'I</t>
  </si>
  <si>
    <t>Vaa'I T</t>
  </si>
  <si>
    <t>Gattas</t>
  </si>
  <si>
    <t>Higgins</t>
  </si>
  <si>
    <t>Howard</t>
  </si>
  <si>
    <t>Leota</t>
  </si>
  <si>
    <t>Augspurger</t>
  </si>
  <si>
    <t>de Groot</t>
  </si>
  <si>
    <t>de Groot E</t>
  </si>
  <si>
    <t>Schoeman</t>
  </si>
  <si>
    <t>Steyn K</t>
  </si>
  <si>
    <t>Schoeman P</t>
  </si>
  <si>
    <t>Anscombe G</t>
  </si>
  <si>
    <t>Gibson-Park</t>
  </si>
  <si>
    <t>Gibson-Park J</t>
  </si>
  <si>
    <t>Flament</t>
  </si>
  <si>
    <t>Mauvaka P</t>
  </si>
  <si>
    <t>Flament T</t>
  </si>
  <si>
    <t>Mitchell A</t>
  </si>
  <si>
    <t>Tuicuvu</t>
  </si>
  <si>
    <t>Vaovasa</t>
  </si>
  <si>
    <t>Jalagonia</t>
  </si>
  <si>
    <t>Niniashvili</t>
  </si>
  <si>
    <t>Babunashvili</t>
  </si>
  <si>
    <t>Ashman</t>
  </si>
  <si>
    <t>Ashman E</t>
  </si>
  <si>
    <t>Varney</t>
  </si>
  <si>
    <t>Varney S</t>
  </si>
  <si>
    <t>Doris</t>
  </si>
  <si>
    <t>Doris C</t>
  </si>
  <si>
    <t>Jones</t>
  </si>
  <si>
    <t>Steward</t>
  </si>
  <si>
    <t>Steward F</t>
  </si>
  <si>
    <t>Elias</t>
  </si>
  <si>
    <t>Bardasu</t>
  </si>
  <si>
    <t>Boldor</t>
  </si>
  <si>
    <t>Kata</t>
  </si>
  <si>
    <t>Ryan J</t>
  </si>
  <si>
    <t>Sheehan</t>
  </si>
  <si>
    <t>Sheehan D</t>
  </si>
  <si>
    <t>Bucur</t>
  </si>
  <si>
    <t>White B</t>
  </si>
  <si>
    <t>Menoncello</t>
  </si>
  <si>
    <t>Menoncello T</t>
  </si>
  <si>
    <t>Japaridze</t>
  </si>
  <si>
    <t>Giorgadze O</t>
  </si>
  <si>
    <t>Graham</t>
  </si>
  <si>
    <t>Horne</t>
  </si>
  <si>
    <t>Hansen</t>
  </si>
  <si>
    <t>Hansen M</t>
  </si>
  <si>
    <t>Darge</t>
  </si>
  <si>
    <t>Darge R</t>
  </si>
  <si>
    <t>Moefana</t>
  </si>
  <si>
    <t>Danty</t>
  </si>
  <si>
    <t>Moefana Y</t>
  </si>
  <si>
    <t>Simionescu</t>
  </si>
  <si>
    <t>Baird</t>
  </si>
  <si>
    <t>Baird R</t>
  </si>
  <si>
    <t>Capuozzo</t>
  </si>
  <si>
    <t>Capuozzo A</t>
  </si>
  <si>
    <t>Braley C</t>
  </si>
  <si>
    <t>Rupanu</t>
  </si>
  <si>
    <t>Gorgadze</t>
  </si>
  <si>
    <t>Lake</t>
  </si>
  <si>
    <t>Lake D</t>
  </si>
  <si>
    <t>Healy</t>
  </si>
  <si>
    <t>Healy C</t>
  </si>
  <si>
    <t>Cros</t>
  </si>
  <si>
    <t>Cros F</t>
  </si>
  <si>
    <t>Horikoshi</t>
  </si>
  <si>
    <t>Riley</t>
  </si>
  <si>
    <t>Lee</t>
  </si>
  <si>
    <t>Rossouw</t>
  </si>
  <si>
    <t>Wainiqolo</t>
  </si>
  <si>
    <t>Ravouvou</t>
  </si>
  <si>
    <t>Habosi</t>
  </si>
  <si>
    <t>Tela</t>
  </si>
  <si>
    <t>Iona</t>
  </si>
  <si>
    <t>Cannone N</t>
  </si>
  <si>
    <t>Garbisi A</t>
  </si>
  <si>
    <t>Nicotera</t>
  </si>
  <si>
    <t>Nicotera G</t>
  </si>
  <si>
    <t>Bourgarit</t>
  </si>
  <si>
    <t>Savea</t>
  </si>
  <si>
    <t>Willemse D</t>
  </si>
  <si>
    <t>Carreras S</t>
  </si>
  <si>
    <t>McFarland</t>
  </si>
  <si>
    <t>Manu</t>
  </si>
  <si>
    <t>Lucu</t>
  </si>
  <si>
    <t>Lucu M</t>
  </si>
  <si>
    <t>Fagerson M</t>
  </si>
  <si>
    <t>Bowd</t>
  </si>
  <si>
    <t>Reffell</t>
  </si>
  <si>
    <t>Tetaz Chaparro</t>
  </si>
  <si>
    <t>Tetaz Chaparro N</t>
  </si>
  <si>
    <t>Dosantos</t>
  </si>
  <si>
    <t>Muresan</t>
  </si>
  <si>
    <t>Arendse</t>
  </si>
  <si>
    <t>le Roux W</t>
  </si>
  <si>
    <t>Arendse K-L</t>
  </si>
  <si>
    <t>McReight</t>
  </si>
  <si>
    <t>McReight F</t>
  </si>
  <si>
    <t>Clarke</t>
  </si>
  <si>
    <t>Clarke C</t>
  </si>
  <si>
    <t>Moodie</t>
  </si>
  <si>
    <t>Moodie C</t>
  </si>
  <si>
    <t>Valetini</t>
  </si>
  <si>
    <t>Valetini R</t>
  </si>
  <si>
    <t>Wiese</t>
  </si>
  <si>
    <t>Wiese J</t>
  </si>
  <si>
    <t>Reffell T</t>
  </si>
  <si>
    <t>Dearns</t>
  </si>
  <si>
    <t>Fawsitt</t>
  </si>
  <si>
    <t>Sosene-Feagai</t>
  </si>
  <si>
    <t>Mausia</t>
  </si>
  <si>
    <t>Fifita L</t>
  </si>
  <si>
    <t>Botitu</t>
  </si>
  <si>
    <t>Brex</t>
  </si>
  <si>
    <t>Bruno</t>
  </si>
  <si>
    <t>Cannone L</t>
  </si>
  <si>
    <t>Bruno P</t>
  </si>
  <si>
    <t>Paia'aua</t>
  </si>
  <si>
    <t>Dyer R</t>
  </si>
  <si>
    <t>Marchand</t>
  </si>
  <si>
    <t>Marchand J</t>
  </si>
  <si>
    <t>Tonga'uiha</t>
  </si>
  <si>
    <t>Lousi</t>
  </si>
  <si>
    <t>Fainga'anuku</t>
  </si>
  <si>
    <t>Larsen</t>
  </si>
  <si>
    <t>Retief</t>
  </si>
  <si>
    <t>Crowley</t>
  </si>
  <si>
    <t>Crowley J</t>
  </si>
  <si>
    <t>Kuruvoli</t>
  </si>
  <si>
    <t>Donaldson</t>
  </si>
  <si>
    <t>Donaldson B</t>
  </si>
  <si>
    <t>Saito</t>
  </si>
  <si>
    <t>Williams T</t>
  </si>
  <si>
    <t>Williams L</t>
  </si>
  <si>
    <t>Falatea</t>
  </si>
  <si>
    <t>Morgan</t>
  </si>
  <si>
    <t>Matkava</t>
  </si>
  <si>
    <t>Morgan J</t>
  </si>
  <si>
    <t>Kitshoff S</t>
  </si>
  <si>
    <t>Libbok</t>
  </si>
  <si>
    <t>Libbok M</t>
  </si>
  <si>
    <t>Tuipulotu</t>
  </si>
  <si>
    <t>Tuipulotu S</t>
  </si>
  <si>
    <t>Redpath</t>
  </si>
  <si>
    <t>Redpath C</t>
  </si>
  <si>
    <t>Ruiz</t>
  </si>
  <si>
    <t>Ruiz I</t>
  </si>
  <si>
    <t>Stuart</t>
  </si>
  <si>
    <t>Stuart W</t>
  </si>
  <si>
    <t>Fifita V</t>
  </si>
  <si>
    <t>Quattrin</t>
  </si>
  <si>
    <t>Toala</t>
  </si>
  <si>
    <t>Kelleher</t>
  </si>
  <si>
    <t>Ryan</t>
  </si>
  <si>
    <t>Malins</t>
  </si>
  <si>
    <t>Malins M</t>
  </si>
  <si>
    <t>Dumortier</t>
  </si>
  <si>
    <t>Dumortier E</t>
  </si>
  <si>
    <t>Popoaia</t>
  </si>
  <si>
    <t>Butnariu</t>
  </si>
  <si>
    <t>Gajion</t>
  </si>
  <si>
    <t>Gontineac</t>
  </si>
  <si>
    <t>Dinu</t>
  </si>
  <si>
    <t>Marta</t>
  </si>
  <si>
    <t>Lima</t>
  </si>
  <si>
    <t>Lucas</t>
  </si>
  <si>
    <t>Mikautadze</t>
  </si>
  <si>
    <t>Lashkhi</t>
  </si>
  <si>
    <t>Alania</t>
  </si>
  <si>
    <t>Chessum O</t>
  </si>
  <si>
    <t>Riccioni</t>
  </si>
  <si>
    <t>Riccioni M</t>
  </si>
  <si>
    <t>Fusco</t>
  </si>
  <si>
    <t>Fusco A</t>
  </si>
  <si>
    <t>Tadjer</t>
  </si>
  <si>
    <t>Marques</t>
  </si>
  <si>
    <t>Portela</t>
  </si>
  <si>
    <t>Chachanidze</t>
  </si>
  <si>
    <t>Gachechiladze</t>
  </si>
  <si>
    <t>Tomane</t>
  </si>
  <si>
    <t>Madeira</t>
  </si>
  <si>
    <t>Bettencourt</t>
  </si>
  <si>
    <t>Diniz</t>
  </si>
  <si>
    <t>Lawrence</t>
  </si>
  <si>
    <t>Brex N</t>
  </si>
  <si>
    <t>Williams O</t>
  </si>
  <si>
    <t>Atonio</t>
  </si>
  <si>
    <t>Atonio U</t>
  </si>
  <si>
    <t>Pop</t>
  </si>
  <si>
    <t>Appleton</t>
  </si>
  <si>
    <t>Bento</t>
  </si>
  <si>
    <t>Fernandes</t>
  </si>
  <si>
    <t>Granate</t>
  </si>
  <si>
    <t>Gordon C</t>
  </si>
  <si>
    <t>Sordoni</t>
  </si>
  <si>
    <t xml:space="preserve">Creevy A </t>
  </si>
  <si>
    <t>Sordoni L</t>
  </si>
  <si>
    <t>McKenzie</t>
  </si>
  <si>
    <t>Narawa</t>
  </si>
  <si>
    <t>Savea A</t>
  </si>
  <si>
    <t>Narawa E</t>
  </si>
  <si>
    <t>Carreras M</t>
  </si>
  <si>
    <t>Gonzalez J M</t>
  </si>
  <si>
    <t>Muntz</t>
  </si>
  <si>
    <t>PACIFIC NATS CUP</t>
  </si>
  <si>
    <t>Maile</t>
  </si>
  <si>
    <t>Leali'ifano</t>
  </si>
  <si>
    <t>Bayliss</t>
  </si>
  <si>
    <t>Healy B</t>
  </si>
  <si>
    <t>Bayliss J</t>
  </si>
  <si>
    <t>Ikanivere</t>
  </si>
  <si>
    <t>Masi</t>
  </si>
  <si>
    <t>Masirewa</t>
  </si>
  <si>
    <t>Naikabula</t>
  </si>
  <si>
    <t>Martinez</t>
  </si>
  <si>
    <t>Basso</t>
  </si>
  <si>
    <t>Chessum</t>
  </si>
  <si>
    <t>Dan</t>
  </si>
  <si>
    <t>Earl</t>
  </si>
  <si>
    <t>Martin</t>
  </si>
  <si>
    <t>Rodd</t>
  </si>
  <si>
    <t>Newell</t>
  </si>
  <si>
    <t>Tuungafasi</t>
  </si>
  <si>
    <t>Williams</t>
  </si>
  <si>
    <t>Lomax</t>
  </si>
  <si>
    <t>Roigard</t>
  </si>
  <si>
    <t>Fainga'anuku L</t>
  </si>
  <si>
    <t>Dan T</t>
  </si>
  <si>
    <t>Earl B</t>
  </si>
  <si>
    <t>Rodd B</t>
  </si>
  <si>
    <t>Newell F</t>
  </si>
  <si>
    <t>Roigard C</t>
  </si>
  <si>
    <t>Bielle Biarrey</t>
  </si>
  <si>
    <t>Bielle Biarrey L</t>
  </si>
  <si>
    <t>McCloskey</t>
  </si>
  <si>
    <t>Frawley</t>
  </si>
  <si>
    <t>Frawley C</t>
  </si>
  <si>
    <t>Pani</t>
  </si>
  <si>
    <t>Malolo</t>
  </si>
  <si>
    <t>Fa'ilagi</t>
  </si>
  <si>
    <t>Finau</t>
  </si>
  <si>
    <t>Finau S</t>
  </si>
  <si>
    <t>Hooper T</t>
  </si>
  <si>
    <t>Surugiu</t>
  </si>
  <si>
    <t>Sikuea</t>
  </si>
  <si>
    <t>McCarthy</t>
  </si>
  <si>
    <t>Deus</t>
  </si>
  <si>
    <t>Arcos Perez</t>
  </si>
  <si>
    <t>Zuccarino</t>
  </si>
  <si>
    <t>Swanepoel</t>
  </si>
  <si>
    <t>Gomez Kodela</t>
  </si>
  <si>
    <t>Sclavi</t>
  </si>
  <si>
    <t>Bello</t>
  </si>
  <si>
    <t>Petti</t>
  </si>
  <si>
    <t>Rubiolo</t>
  </si>
  <si>
    <t>Bazan</t>
  </si>
  <si>
    <t>Chocobares</t>
  </si>
  <si>
    <t>Cinti</t>
  </si>
  <si>
    <t>Isgro</t>
  </si>
  <si>
    <t>Bogado</t>
  </si>
  <si>
    <t>Bogado M</t>
  </si>
  <si>
    <t>Chocobares S</t>
  </si>
  <si>
    <t>Isgro R</t>
  </si>
  <si>
    <t>Sclavi J</t>
  </si>
  <si>
    <t>Koch</t>
  </si>
  <si>
    <t>Nche</t>
  </si>
  <si>
    <t>Kleyn</t>
  </si>
  <si>
    <t>Orie</t>
  </si>
  <si>
    <t>Snyman</t>
  </si>
  <si>
    <t>van Staden</t>
  </si>
  <si>
    <t>Esterhuizen</t>
  </si>
  <si>
    <t>Kriel</t>
  </si>
  <si>
    <t>Fourie D</t>
  </si>
  <si>
    <t>Kriel J</t>
  </si>
  <si>
    <t>Snyman RG</t>
  </si>
  <si>
    <t>van Staden M</t>
  </si>
  <si>
    <t>Williams G</t>
  </si>
  <si>
    <t>Fa'amausili</t>
  </si>
  <si>
    <t>Schoupp</t>
  </si>
  <si>
    <t>Bell</t>
  </si>
  <si>
    <t>Porecki</t>
  </si>
  <si>
    <t>Faessler</t>
  </si>
  <si>
    <t>Uelese</t>
  </si>
  <si>
    <t>Frost</t>
  </si>
  <si>
    <t>Skelton</t>
  </si>
  <si>
    <t>Gleeson</t>
  </si>
  <si>
    <t>Fines-Leleiwasa</t>
  </si>
  <si>
    <t>McDermott</t>
  </si>
  <si>
    <t>Perese</t>
  </si>
  <si>
    <t>Kemeny</t>
  </si>
  <si>
    <t>Arnold R</t>
  </si>
  <si>
    <t>Bell A</t>
  </si>
  <si>
    <t>Matavesi</t>
  </si>
  <si>
    <t>Togiatama</t>
  </si>
  <si>
    <t>Nasilasila</t>
  </si>
  <si>
    <t>Mayanavanua</t>
  </si>
  <si>
    <t>Tagitagivalu</t>
  </si>
  <si>
    <t>Miramira</t>
  </si>
  <si>
    <t>Maqala</t>
  </si>
  <si>
    <t>Droasese</t>
  </si>
  <si>
    <t>Lam B</t>
  </si>
  <si>
    <t>Sopoaga</t>
  </si>
  <si>
    <t>Enari</t>
  </si>
  <si>
    <t>Fa'aso'o</t>
  </si>
  <si>
    <t>Faumuina</t>
  </si>
  <si>
    <t>Alaalatoa</t>
  </si>
  <si>
    <t>Luatua</t>
  </si>
  <si>
    <t>Tolai</t>
  </si>
  <si>
    <t>Mitchell</t>
  </si>
  <si>
    <t>Pani L</t>
  </si>
  <si>
    <t>Bhatti</t>
  </si>
  <si>
    <t>Crosbie</t>
  </si>
  <si>
    <t>Cummings</t>
  </si>
  <si>
    <t>Dempsey</t>
  </si>
  <si>
    <t>Gray R</t>
  </si>
  <si>
    <t>Sebastian</t>
  </si>
  <si>
    <t>Skinner</t>
  </si>
  <si>
    <t>Sutherland</t>
  </si>
  <si>
    <t>Dempsey J</t>
  </si>
  <si>
    <t>Vailanu</t>
  </si>
  <si>
    <t>Sousa Guedes</t>
  </si>
  <si>
    <t>Sigren</t>
  </si>
  <si>
    <t>Saavedra D</t>
  </si>
  <si>
    <t>Cretu</t>
  </si>
  <si>
    <t>Ser</t>
  </si>
  <si>
    <t>Boboc</t>
  </si>
  <si>
    <t>Rosu</t>
  </si>
  <si>
    <t>Stratila</t>
  </si>
  <si>
    <t>Conache</t>
  </si>
  <si>
    <t>Fonovai</t>
  </si>
  <si>
    <t>Manumua</t>
  </si>
  <si>
    <t>Carrasco</t>
  </si>
  <si>
    <t>Lues</t>
  </si>
  <si>
    <t>Dittus</t>
  </si>
  <si>
    <t>Gurruchaga</t>
  </si>
  <si>
    <t>Inostroza</t>
  </si>
  <si>
    <t>Bohme</t>
  </si>
  <si>
    <t>Dussaillant</t>
  </si>
  <si>
    <t>Eissmann</t>
  </si>
  <si>
    <t>Huete</t>
  </si>
  <si>
    <t>Pedrero</t>
  </si>
  <si>
    <t>Escobar A</t>
  </si>
  <si>
    <t>Escobar D</t>
  </si>
  <si>
    <t>Saavedra C</t>
  </si>
  <si>
    <t>Carvallo</t>
  </si>
  <si>
    <t>Torrealba</t>
  </si>
  <si>
    <t>Videla S</t>
  </si>
  <si>
    <t>Videla B</t>
  </si>
  <si>
    <t>Casas</t>
  </si>
  <si>
    <t>Larenas</t>
  </si>
  <si>
    <t>Velarde</t>
  </si>
  <si>
    <t>Garafulic M</t>
  </si>
  <si>
    <t>Garafulic N</t>
  </si>
  <si>
    <t>Urroz</t>
  </si>
  <si>
    <t>Koo</t>
  </si>
  <si>
    <t>Kakinaga</t>
  </si>
  <si>
    <t>Ai Valu</t>
  </si>
  <si>
    <t>Horie</t>
  </si>
  <si>
    <t>Cornelsen</t>
  </si>
  <si>
    <t>Helu</t>
  </si>
  <si>
    <t>Leitch</t>
  </si>
  <si>
    <t>Fukuda</t>
  </si>
  <si>
    <t>Osada</t>
  </si>
  <si>
    <t>Olson</t>
  </si>
  <si>
    <t>Williams J</t>
  </si>
  <si>
    <t>Beard</t>
  </si>
  <si>
    <t>Dee</t>
  </si>
  <si>
    <t>Domachowski</t>
  </si>
  <si>
    <t>Jenkins</t>
  </si>
  <si>
    <t>Thomas G</t>
  </si>
  <si>
    <t>Thomas H</t>
  </si>
  <si>
    <t>Tshiunza</t>
  </si>
  <si>
    <t>Costelow</t>
  </si>
  <si>
    <t>Grady</t>
  </si>
  <si>
    <t>Costelow S</t>
  </si>
  <si>
    <t>Dee E</t>
  </si>
  <si>
    <t>Fotuaika</t>
  </si>
  <si>
    <t>Koloamatangi</t>
  </si>
  <si>
    <t>Mafi</t>
  </si>
  <si>
    <t>Paea S</t>
  </si>
  <si>
    <t>Funaki</t>
  </si>
  <si>
    <t>Paea M</t>
  </si>
  <si>
    <t>Fekitoa</t>
  </si>
  <si>
    <t>Moala</t>
  </si>
  <si>
    <t>Inisi</t>
  </si>
  <si>
    <t>Parry</t>
  </si>
  <si>
    <t>Evans C</t>
  </si>
  <si>
    <t>Parry S</t>
  </si>
  <si>
    <t>Lamb</t>
  </si>
  <si>
    <t>Lamb D</t>
  </si>
  <si>
    <t>Odogwu</t>
  </si>
  <si>
    <t>Odogwu P</t>
  </si>
  <si>
    <t>Macalou</t>
  </si>
  <si>
    <t>Macalou S</t>
  </si>
  <si>
    <t>Mauvaka</t>
  </si>
  <si>
    <t>Ceccarelli</t>
  </si>
  <si>
    <t>Fischetti</t>
  </si>
  <si>
    <t>Nemer</t>
  </si>
  <si>
    <t>Ruzza</t>
  </si>
  <si>
    <t>Lamaro</t>
  </si>
  <si>
    <t>Pettinelli</t>
  </si>
  <si>
    <t>Zuliani</t>
  </si>
  <si>
    <t>Page-Relo</t>
  </si>
  <si>
    <t>Faiva H</t>
  </si>
  <si>
    <t>Lamaro M</t>
  </si>
  <si>
    <t>Page-Relo M</t>
  </si>
  <si>
    <t>Zuliani M</t>
  </si>
  <si>
    <t>Wardi</t>
  </si>
  <si>
    <t>Aldegheri</t>
  </si>
  <si>
    <t>Boudehent, Paul</t>
  </si>
  <si>
    <t>Hastoy</t>
  </si>
  <si>
    <t>Vincent</t>
  </si>
  <si>
    <t>Bielle-Biarrey L</t>
  </si>
  <si>
    <t>Hastoy A</t>
  </si>
  <si>
    <t>Benitez</t>
  </si>
  <si>
    <t>Peculo</t>
  </si>
  <si>
    <t>Arbelo</t>
  </si>
  <si>
    <t>Piussi</t>
  </si>
  <si>
    <t>Aliaga</t>
  </si>
  <si>
    <t>Diana</t>
  </si>
  <si>
    <t>Blanchi</t>
  </si>
  <si>
    <t>Bianchi</t>
  </si>
  <si>
    <t>Arata</t>
  </si>
  <si>
    <t>Benade</t>
  </si>
  <si>
    <t>Sethie</t>
  </si>
  <si>
    <t>van Jaarsveld</t>
  </si>
  <si>
    <t>Viviers</t>
  </si>
  <si>
    <t>Hardwick</t>
  </si>
  <si>
    <t>Tjeriko</t>
  </si>
  <si>
    <t>Uanivi</t>
  </si>
  <si>
    <t>Gaoseb</t>
  </si>
  <si>
    <t>Blaauw</t>
  </si>
  <si>
    <t>Theron</t>
  </si>
  <si>
    <t>van der Berg</t>
  </si>
  <si>
    <t>Casey</t>
  </si>
  <si>
    <t>Casey C</t>
  </si>
  <si>
    <t>Loughman</t>
  </si>
  <si>
    <t>O'Toole</t>
  </si>
  <si>
    <t>McCarthy J</t>
  </si>
  <si>
    <t>Lay, James</t>
  </si>
  <si>
    <t>Lay, Jordan</t>
  </si>
  <si>
    <t>Ivanishvili</t>
  </si>
  <si>
    <t>Leaali'ifano</t>
  </si>
  <si>
    <t>Pollard H</t>
  </si>
  <si>
    <t>Brex J I</t>
  </si>
  <si>
    <t>Cheishvili</t>
  </si>
  <si>
    <t>Zamtaradze</t>
  </si>
  <si>
    <t>Storti</t>
  </si>
  <si>
    <t>Machado Santos</t>
  </si>
  <si>
    <t>Alves</t>
  </si>
  <si>
    <t>Torgal</t>
  </si>
  <si>
    <t>Cerqueira</t>
  </si>
  <si>
    <t>de Freitas</t>
  </si>
  <si>
    <t>Wallis</t>
  </si>
  <si>
    <t>Belo M</t>
  </si>
  <si>
    <t>Belo J</t>
  </si>
  <si>
    <t>Pinto</t>
  </si>
  <si>
    <t>Cardoso Pinto</t>
  </si>
  <si>
    <t>Talitui</t>
  </si>
  <si>
    <t>Matthews</t>
  </si>
  <si>
    <t>Pellegrini</t>
  </si>
  <si>
    <t>Taumoepeau</t>
  </si>
  <si>
    <t>Taumoefolau</t>
  </si>
  <si>
    <t>Gabrillagues</t>
  </si>
  <si>
    <t>Gabrillagues P</t>
  </si>
  <si>
    <t>Nash</t>
  </si>
  <si>
    <t>Nash C</t>
  </si>
  <si>
    <t>Botham</t>
  </si>
  <si>
    <t>Mann</t>
  </si>
  <si>
    <t>Mann A</t>
  </si>
  <si>
    <t>Dingwall</t>
  </si>
  <si>
    <t>Dingwall F</t>
  </si>
  <si>
    <t>*Ford</t>
  </si>
  <si>
    <t>*Ford 2024 attempts include conversion not taken v Wales (charged down)</t>
  </si>
  <si>
    <t>Furbank</t>
  </si>
  <si>
    <t>Furbank G</t>
  </si>
  <si>
    <t>Feyi-Waboso</t>
  </si>
  <si>
    <t>Feyi-Waboso I</t>
  </si>
  <si>
    <t>Smith F</t>
  </si>
  <si>
    <t>Lynagh</t>
  </si>
  <si>
    <t>Lynagh L</t>
  </si>
  <si>
    <t>Skinner S</t>
  </si>
  <si>
    <t>le Garrec</t>
  </si>
  <si>
    <t>le Garrec N</t>
  </si>
  <si>
    <t>Colombe</t>
  </si>
  <si>
    <t>Colombe G-H</t>
  </si>
  <si>
    <t>Grady M</t>
  </si>
  <si>
    <t>Barre</t>
  </si>
  <si>
    <t>Barre L</t>
  </si>
  <si>
    <t>Freeman</t>
  </si>
  <si>
    <t>Freeman T</t>
  </si>
  <si>
    <t>Aubry</t>
  </si>
  <si>
    <t>Spanderashvili</t>
  </si>
  <si>
    <t>Modebadze</t>
  </si>
  <si>
    <t>Gomes Camacho</t>
  </si>
  <si>
    <t>Begic</t>
  </si>
  <si>
    <t>Baptista</t>
  </si>
  <si>
    <t>Rodrigues</t>
  </si>
  <si>
    <t>Peranidze</t>
  </si>
  <si>
    <t>Martins L</t>
  </si>
  <si>
    <t>Martins N</t>
  </si>
  <si>
    <t>Tangimana</t>
  </si>
  <si>
    <t>Mitu</t>
  </si>
  <si>
    <t>Nezuka</t>
  </si>
  <si>
    <t>PNC</t>
  </si>
  <si>
    <t>Cunningham-Sth</t>
  </si>
  <si>
    <t>Cunningham-Sth C</t>
  </si>
  <si>
    <t>Underhill</t>
  </si>
  <si>
    <t>Underhill S</t>
  </si>
  <si>
    <t>Randall</t>
  </si>
  <si>
    <t>Randall H</t>
  </si>
  <si>
    <t>Hendrikse, Jordan</t>
  </si>
  <si>
    <t>van der Merwe E</t>
  </si>
  <si>
    <t>Feinberg-M'zulu</t>
  </si>
  <si>
    <t>Feinberg-M'zulu S</t>
  </si>
  <si>
    <t>Moleli</t>
  </si>
  <si>
    <t>Dakuwaqa</t>
  </si>
  <si>
    <t>Reece</t>
  </si>
  <si>
    <t>Reece S</t>
  </si>
  <si>
    <t>Richardson</t>
  </si>
  <si>
    <t>Warr</t>
  </si>
  <si>
    <t>Reed</t>
  </si>
  <si>
    <t>McDowall</t>
  </si>
  <si>
    <t>McDowall S</t>
  </si>
  <si>
    <t>Dobie</t>
  </si>
  <si>
    <t>Paterson</t>
  </si>
  <si>
    <t>Richardson D</t>
  </si>
  <si>
    <t>Warr G</t>
  </si>
  <si>
    <t>Reed A</t>
  </si>
  <si>
    <t>Dobie J</t>
  </si>
  <si>
    <t>Paterson H</t>
  </si>
  <si>
    <t>Thompson R</t>
  </si>
  <si>
    <t>Daugunu</t>
  </si>
  <si>
    <t>Wright</t>
  </si>
  <si>
    <t>Wright T</t>
  </si>
  <si>
    <t>Lolesio N</t>
  </si>
  <si>
    <t>Lynagh T</t>
  </si>
  <si>
    <t>Thomas B</t>
  </si>
  <si>
    <t>Osborne</t>
  </si>
  <si>
    <t>Osborne J</t>
  </si>
  <si>
    <t>Albornoz</t>
  </si>
  <si>
    <t>Albornoz T</t>
  </si>
  <si>
    <t>Frisch</t>
  </si>
  <si>
    <t>Frisch A</t>
  </si>
  <si>
    <t>Attissogbe T</t>
  </si>
  <si>
    <t>Attissogbe</t>
  </si>
  <si>
    <t>Couilloud</t>
  </si>
  <si>
    <t>Tuilagi</t>
  </si>
  <si>
    <t>Berdeu</t>
  </si>
  <si>
    <t>Segonds</t>
  </si>
  <si>
    <t>Couilloud B</t>
  </si>
  <si>
    <t>Tuilagi P</t>
  </si>
  <si>
    <t>Berdeu L</t>
  </si>
  <si>
    <t>Segonds J</t>
  </si>
  <si>
    <t>Taulani</t>
  </si>
  <si>
    <t>taulani</t>
  </si>
  <si>
    <t>Paea F</t>
  </si>
  <si>
    <t>Trulla</t>
  </si>
  <si>
    <t>Trulla J</t>
  </si>
  <si>
    <t>Boni</t>
  </si>
  <si>
    <t>Benn</t>
  </si>
  <si>
    <t>Neculau</t>
  </si>
  <si>
    <t>Niue</t>
  </si>
  <si>
    <t>Tele'a</t>
  </si>
  <si>
    <t>Tele'a M</t>
  </si>
  <si>
    <t>Alaalatoa A</t>
  </si>
  <si>
    <t>Javakhia</t>
  </si>
  <si>
    <t>Paiva dos Santos</t>
  </si>
  <si>
    <t>Cabral</t>
  </si>
  <si>
    <t>Vareiro</t>
  </si>
  <si>
    <t>Bello E</t>
  </si>
  <si>
    <t>Gailleton</t>
  </si>
  <si>
    <t>Gailleton E</t>
  </si>
  <si>
    <t>Game</t>
  </si>
  <si>
    <t>Pulini</t>
  </si>
  <si>
    <t>Ratima</t>
  </si>
  <si>
    <t>Ratima C</t>
  </si>
  <si>
    <t>Proctor</t>
  </si>
  <si>
    <t>Proctor B</t>
  </si>
  <si>
    <t>Bell G</t>
  </si>
  <si>
    <t>Armstrong-Ravula</t>
  </si>
  <si>
    <t>Kailea</t>
  </si>
  <si>
    <t>Kailea I</t>
  </si>
  <si>
    <t>Paisami</t>
  </si>
  <si>
    <t>Paisami H</t>
  </si>
  <si>
    <t>Wessels</t>
  </si>
  <si>
    <t>Buthelezi</t>
  </si>
  <si>
    <t>Buthelezi P</t>
  </si>
  <si>
    <t>Dixon</t>
  </si>
  <si>
    <t>Dixon B-J</t>
  </si>
  <si>
    <t>Am</t>
  </si>
  <si>
    <t>Am L</t>
  </si>
  <si>
    <t>Venter A-H</t>
  </si>
  <si>
    <t>Horn</t>
  </si>
  <si>
    <t>Horn Q</t>
  </si>
  <si>
    <t>Wessels J-H</t>
  </si>
  <si>
    <t>de Moura</t>
  </si>
  <si>
    <t>Mendy</t>
  </si>
  <si>
    <t>Mendy I</t>
  </si>
  <si>
    <t>Moro</t>
  </si>
  <si>
    <t>Moro J</t>
  </si>
  <si>
    <t>Oviedo</t>
  </si>
  <si>
    <t>Oviedo J</t>
  </si>
  <si>
    <t>Cordero S</t>
  </si>
  <si>
    <t>Coria</t>
  </si>
  <si>
    <t>Coria F</t>
  </si>
  <si>
    <t>Salas</t>
  </si>
  <si>
    <t>Rowe</t>
  </si>
  <si>
    <t>Rowe K</t>
  </si>
  <si>
    <t>Currie</t>
  </si>
  <si>
    <t>Currie M</t>
  </si>
  <si>
    <t>Zambonin</t>
  </si>
  <si>
    <t>Zambonin A</t>
  </si>
  <si>
    <t>Vintcent</t>
  </si>
  <si>
    <t>Vintcent R</t>
  </si>
  <si>
    <t>Marin</t>
  </si>
  <si>
    <t>Marin L</t>
  </si>
  <si>
    <t>Alvarez S</t>
  </si>
  <si>
    <t>Alvarez I</t>
  </si>
  <si>
    <t>Crosbie L</t>
  </si>
  <si>
    <t>Harrison</t>
  </si>
  <si>
    <t>Harrison P</t>
  </si>
  <si>
    <t>Darry</t>
  </si>
  <si>
    <t>Darry S</t>
  </si>
  <si>
    <t>Molina</t>
  </si>
  <si>
    <t>Molina F</t>
  </si>
  <si>
    <t>Cinti L</t>
  </si>
  <si>
    <t>Creevy</t>
  </si>
  <si>
    <t>Creevy A</t>
  </si>
  <si>
    <t>Fassi</t>
  </si>
  <si>
    <t>Fassi A</t>
  </si>
  <si>
    <t>Baleiwairiki</t>
  </si>
  <si>
    <t>Leilua</t>
  </si>
  <si>
    <t>Coe</t>
  </si>
  <si>
    <t>McMullin, Talon</t>
  </si>
  <si>
    <t>McMullin, Takoda</t>
  </si>
  <si>
    <t>Shimokawa</t>
  </si>
  <si>
    <t>RAC</t>
  </si>
  <si>
    <t>Majiedt</t>
  </si>
  <si>
    <t>Bruwer</t>
  </si>
  <si>
    <t>Diergaard</t>
  </si>
  <si>
    <t>Jacobs</t>
  </si>
  <si>
    <t>Jacobs L</t>
  </si>
  <si>
    <t>Karuuombe</t>
  </si>
  <si>
    <t>Illi</t>
  </si>
  <si>
    <t>Mooneyham</t>
  </si>
  <si>
    <t>Canakaivata</t>
  </si>
  <si>
    <t>Derenalagi</t>
  </si>
  <si>
    <t>Tabuavou</t>
  </si>
  <si>
    <t>Waqa</t>
  </si>
  <si>
    <t>McCurran</t>
  </si>
  <si>
    <t>Harada</t>
  </si>
  <si>
    <t>Tizzano</t>
  </si>
  <si>
    <t>Tizzano C</t>
  </si>
  <si>
    <t>Tapueluelu</t>
  </si>
  <si>
    <t>Unga</t>
  </si>
  <si>
    <t>Mattina</t>
  </si>
  <si>
    <t>Lalomilo</t>
  </si>
  <si>
    <t>Fujiwara</t>
  </si>
  <si>
    <t>Takahashi</t>
  </si>
  <si>
    <t>Fricker</t>
  </si>
  <si>
    <t>Loganimasi</t>
  </si>
  <si>
    <t>Faessler M</t>
  </si>
  <si>
    <t>Reinach C</t>
  </si>
  <si>
    <t>Hendrikse, Jaden</t>
  </si>
  <si>
    <t>Tchimino</t>
  </si>
  <si>
    <t>Saab</t>
  </si>
  <si>
    <t>Makisi</t>
  </si>
  <si>
    <t>Matsunaga</t>
  </si>
  <si>
    <t>Love</t>
  </si>
  <si>
    <t>Love R</t>
  </si>
  <si>
    <t>Tosi</t>
  </si>
  <si>
    <t>Tosi P</t>
  </si>
  <si>
    <t>Tuipulotu P</t>
  </si>
  <si>
    <t>van d Merwe D</t>
  </si>
  <si>
    <t>Feinberg-M S</t>
  </si>
  <si>
    <t>Sleightholme</t>
  </si>
  <si>
    <t>Sleightholme O</t>
  </si>
  <si>
    <t>Wilson H</t>
  </si>
  <si>
    <t>Jorgensen</t>
  </si>
  <si>
    <t>Jorgensen M</t>
  </si>
  <si>
    <t>Filimone</t>
  </si>
  <si>
    <t>Delguy</t>
  </si>
  <si>
    <t>Delguy B</t>
  </si>
  <si>
    <t>Gros J-B</t>
  </si>
  <si>
    <t>Roumat</t>
  </si>
  <si>
    <t>Roumat A</t>
  </si>
  <si>
    <t>Gros</t>
  </si>
  <si>
    <t>Murray B</t>
  </si>
  <si>
    <t>Bevan</t>
  </si>
  <si>
    <t>Bevan E</t>
  </si>
  <si>
    <t>du Toit T</t>
  </si>
  <si>
    <t>Hendrikse, Ja</t>
  </si>
  <si>
    <t>Hendrikse, Jo</t>
  </si>
  <si>
    <t>Hurd</t>
  </si>
  <si>
    <t>Hurd W</t>
  </si>
  <si>
    <t>Jordan T</t>
  </si>
  <si>
    <t>Buros</t>
  </si>
  <si>
    <t>Buros R</t>
  </si>
  <si>
    <t>Lakai</t>
  </si>
  <si>
    <t>Lakai P</t>
  </si>
  <si>
    <t>Gallagher</t>
  </si>
  <si>
    <t>Frost N</t>
  </si>
  <si>
    <t>McCarthy G</t>
  </si>
  <si>
    <t>Prendergast</t>
  </si>
  <si>
    <t>Prendergast S</t>
  </si>
  <si>
    <t>Turagacoke</t>
  </si>
  <si>
    <t>Louw E</t>
  </si>
  <si>
    <t>Steenekamp</t>
  </si>
  <si>
    <t>Steenekamp G</t>
  </si>
  <si>
    <t>Potter</t>
  </si>
  <si>
    <t>Potter H</t>
  </si>
  <si>
    <t>Cowan-Dickie</t>
  </si>
  <si>
    <t>Roebuck</t>
  </si>
  <si>
    <t>Roebuck T</t>
  </si>
  <si>
    <t>Neagu</t>
  </si>
  <si>
    <t>Horvat</t>
  </si>
  <si>
    <t>Besag</t>
  </si>
  <si>
    <t>Iscaro</t>
  </si>
  <si>
    <t>Nginingini</t>
  </si>
  <si>
    <t>Tonga</t>
  </si>
  <si>
    <t>O'Keeffe</t>
  </si>
  <si>
    <t>Ahokovi</t>
  </si>
  <si>
    <t>*Qual 5 attempts</t>
  </si>
  <si>
    <t>CANADA 2025 SCORERS</t>
  </si>
  <si>
    <t>CHILE 2025 SCORERS</t>
  </si>
  <si>
    <t>FIJI 2025 SCORERS</t>
  </si>
  <si>
    <t>GEORGIA 2025 SCORERS</t>
  </si>
  <si>
    <t>JAPAN 2025 SCORERS</t>
  </si>
  <si>
    <t>NAMIBIA 2025 SCORERS</t>
  </si>
  <si>
    <t>PORTUGAL 2025 SCORERS</t>
  </si>
  <si>
    <t>ROMANIA 2025 SCORERS</t>
  </si>
  <si>
    <t>SAMOA 2025 SCORERS</t>
  </si>
  <si>
    <t>TONGA 2025 SCORERS</t>
  </si>
  <si>
    <t>USA 2025 SCORERS</t>
  </si>
  <si>
    <t>URUGUAY 2025 SCORERS</t>
  </si>
  <si>
    <t>Ramos slotted 19 on the trot from 19 Mar 2024 to 31 Jan 2025</t>
  </si>
  <si>
    <t>Le Garrec</t>
  </si>
  <si>
    <t>Le Garrec N</t>
  </si>
  <si>
    <t>Murley</t>
  </si>
  <si>
    <t>Murley C</t>
  </si>
  <si>
    <t>Edwards</t>
  </si>
  <si>
    <t>Edwards D</t>
  </si>
  <si>
    <t>Baxter</t>
  </si>
  <si>
    <t>Baxter F</t>
  </si>
  <si>
    <t>Manole</t>
  </si>
  <si>
    <t>Graure</t>
  </si>
  <si>
    <t>Aptsiauri</t>
  </si>
  <si>
    <t>Shvangiradze</t>
  </si>
  <si>
    <t>Kakhoidze</t>
  </si>
  <si>
    <t>Khaindrava</t>
  </si>
  <si>
    <t>Moura</t>
  </si>
  <si>
    <t>SPAIN 2025 SCORERS</t>
  </si>
  <si>
    <t>Bay</t>
  </si>
  <si>
    <t>Garcia</t>
  </si>
  <si>
    <t>Mateu</t>
  </si>
  <si>
    <t>Ovejero</t>
  </si>
  <si>
    <t>Nieto</t>
  </si>
  <si>
    <t>Mamalashvili</t>
  </si>
  <si>
    <t>Iliesa</t>
  </si>
  <si>
    <t>Santamaria</t>
  </si>
  <si>
    <t>Ariceta</t>
  </si>
  <si>
    <t>Cian</t>
  </si>
  <si>
    <t>Casteglioni</t>
  </si>
  <si>
    <t>Imaz</t>
  </si>
  <si>
    <t>Pinheiro Ruiz</t>
  </si>
  <si>
    <t>Pinto de Magalhaes</t>
  </si>
  <si>
    <t>Foulds</t>
  </si>
  <si>
    <t>Boronat</t>
  </si>
  <si>
    <t>Vinuesa</t>
  </si>
  <si>
    <t>Vinuese</t>
  </si>
  <si>
    <t>Karkadze</t>
  </si>
  <si>
    <t>Kvatadze</t>
  </si>
  <si>
    <t>Papunashvili</t>
  </si>
  <si>
    <t>Rogers</t>
  </si>
  <si>
    <t>Rogers T</t>
  </si>
  <si>
    <t>*Russell's 2021 tallies do not include Lions kicks</t>
  </si>
  <si>
    <t>Mauvaca P</t>
  </si>
  <si>
    <t>Guillard</t>
  </si>
  <si>
    <t>Guillard M</t>
  </si>
  <si>
    <t>Barassi</t>
  </si>
  <si>
    <t>da Re G</t>
  </si>
  <si>
    <t>Barassi P</t>
  </si>
  <si>
    <t>Rebelo Andrade J</t>
  </si>
  <si>
    <t>Rebelo Andrade A</t>
  </si>
  <si>
    <t>Minguillon</t>
  </si>
  <si>
    <t>Akhaladze</t>
  </si>
  <si>
    <t>Jegou</t>
  </si>
  <si>
    <t>Jegou O</t>
  </si>
  <si>
    <t>Llewellyn</t>
  </si>
  <si>
    <t>Lloyd E</t>
  </si>
  <si>
    <t>Llewellyn M</t>
  </si>
  <si>
    <t>Evans J</t>
  </si>
  <si>
    <t>at end of tournament</t>
  </si>
  <si>
    <t>Pollock H</t>
  </si>
  <si>
    <t>Pollock</t>
  </si>
  <si>
    <t>Heyes</t>
  </si>
  <si>
    <t>Heyes J</t>
  </si>
  <si>
    <t>Abuladze</t>
  </si>
  <si>
    <t>Mascarenhas</t>
  </si>
  <si>
    <t>Immelman</t>
  </si>
  <si>
    <t>Spagnolo</t>
  </si>
  <si>
    <t>Gesi S</t>
  </si>
  <si>
    <t>Spagnolo M</t>
  </si>
  <si>
    <t>Nakakusu</t>
  </si>
  <si>
    <t>Vailea</t>
  </si>
  <si>
    <t>van den Berg</t>
  </si>
  <si>
    <t>van den Berg M</t>
  </si>
  <si>
    <t>Koch V</t>
  </si>
  <si>
    <t>Dimcheff</t>
  </si>
  <si>
    <t>Dimcheff P</t>
  </si>
  <si>
    <t>O'Brien T</t>
  </si>
  <si>
    <t>Timoney</t>
  </si>
  <si>
    <t>Timoney N</t>
  </si>
  <si>
    <t>Ayarza</t>
  </si>
  <si>
    <t>Maftei</t>
  </si>
  <si>
    <t>Rubiolo P</t>
  </si>
  <si>
    <t>Hilsenbeck</t>
  </si>
  <si>
    <t>Alikhan</t>
  </si>
  <si>
    <t>Daniel</t>
  </si>
  <si>
    <t>Bonasso</t>
  </si>
  <si>
    <t>Porecki D</t>
  </si>
  <si>
    <t>Rayasi</t>
  </si>
  <si>
    <t>Burke</t>
  </si>
  <si>
    <t>Burke F</t>
  </si>
  <si>
    <t>Takeuchi</t>
  </si>
  <si>
    <t>Lee slotted 29 kicks in a row from Jul 13 2024 to Jul 12 2025</t>
  </si>
  <si>
    <t>Hardy</t>
  </si>
  <si>
    <t>Brennan</t>
  </si>
  <si>
    <t>Brennan J</t>
  </si>
  <si>
    <t>Bolton</t>
  </si>
  <si>
    <t>Prendergast C</t>
  </si>
  <si>
    <t>Clarkson</t>
  </si>
  <si>
    <t>Gavin</t>
  </si>
  <si>
    <t>Murphy B</t>
  </si>
  <si>
    <t>Kendellen</t>
  </si>
  <si>
    <t>Kendellen A</t>
  </si>
  <si>
    <t>Bolton S</t>
  </si>
  <si>
    <t>Clarkson T</t>
  </si>
  <si>
    <t>Gavin H</t>
  </si>
  <si>
    <t>Mitrea</t>
  </si>
  <si>
    <t>Atkinson S</t>
  </si>
  <si>
    <t>van Poortvliet</t>
  </si>
  <si>
    <t>van Poortvliet J</t>
  </si>
  <si>
    <t>Morra</t>
  </si>
  <si>
    <t>Meyer</t>
  </si>
  <si>
    <t>Combrinck</t>
  </si>
  <si>
    <t>Kearns</t>
  </si>
  <si>
    <t>Malan</t>
  </si>
  <si>
    <t>Booysen</t>
  </si>
  <si>
    <t>BIL/SCO</t>
  </si>
  <si>
    <t>Nel</t>
  </si>
  <si>
    <t>RUGBY AFRICA</t>
  </si>
  <si>
    <t>WCQ</t>
  </si>
  <si>
    <t>Hutchinson</t>
  </si>
  <si>
    <t>Hutchinson R</t>
  </si>
  <si>
    <t>Gilchrist G</t>
  </si>
  <si>
    <t>Nee-Nee</t>
  </si>
  <si>
    <t>Umaga</t>
  </si>
  <si>
    <t>Oworu</t>
  </si>
  <si>
    <t>PACIFIC NATIONS</t>
  </si>
  <si>
    <t>AMERICAS CMPS</t>
  </si>
  <si>
    <t>Aira</t>
  </si>
  <si>
    <t>Lopez</t>
  </si>
  <si>
    <t>RUGBY EUROPE</t>
  </si>
  <si>
    <t>Kirifi</t>
  </si>
  <si>
    <t>Kirifi D</t>
  </si>
  <si>
    <t>McAlister</t>
  </si>
  <si>
    <t>McAlister B</t>
  </si>
  <si>
    <t>Venter B</t>
  </si>
  <si>
    <t>van der Merwe M</t>
  </si>
  <si>
    <t>Moroni</t>
  </si>
  <si>
    <t>Piccardo</t>
  </si>
  <si>
    <t>Moyano</t>
  </si>
  <si>
    <t>Moyano A</t>
  </si>
  <si>
    <t>Roger</t>
  </si>
  <si>
    <t>Roger N</t>
  </si>
  <si>
    <t>Klein</t>
  </si>
  <si>
    <t>Pittman</t>
  </si>
  <si>
    <t>Langdon</t>
  </si>
  <si>
    <t>Langdon C</t>
  </si>
  <si>
    <t>Northmore</t>
  </si>
  <si>
    <t>Northmore L</t>
  </si>
  <si>
    <t>Oghre</t>
  </si>
  <si>
    <t>Oghre G</t>
  </si>
  <si>
    <t>Atkinson C</t>
  </si>
  <si>
    <t>Slipper J</t>
  </si>
  <si>
    <t>Kurz</t>
  </si>
  <si>
    <t>Mukwilongo</t>
  </si>
  <si>
    <t>Ludick A</t>
  </si>
  <si>
    <t>2027 PROCESS</t>
  </si>
  <si>
    <t>Etcheverry F</t>
  </si>
  <si>
    <t>Etcheverry T</t>
  </si>
  <si>
    <t>Amarillo</t>
  </si>
  <si>
    <t>2027 Process</t>
  </si>
  <si>
    <t>Etcheverry f</t>
  </si>
  <si>
    <t>Pietsch</t>
  </si>
  <si>
    <t>Pietsch D</t>
  </si>
  <si>
    <t>Esterhuizen A</t>
  </si>
  <si>
    <t>Suaalii</t>
  </si>
  <si>
    <t>Suaalii J</t>
  </si>
  <si>
    <t>O'Connor</t>
  </si>
  <si>
    <t>O'Connor J</t>
  </si>
  <si>
    <t>Amaya</t>
  </si>
  <si>
    <t>Toole</t>
  </si>
  <si>
    <t>Toole C</t>
  </si>
  <si>
    <t>Paenga-Amosa</t>
  </si>
  <si>
    <t>Paenga-Amosa B</t>
  </si>
  <si>
    <t>Garcia G</t>
  </si>
  <si>
    <t>McLean</t>
  </si>
  <si>
    <t>Moli</t>
  </si>
  <si>
    <t>Tuitama</t>
  </si>
  <si>
    <t>Nanai</t>
  </si>
  <si>
    <t>Tamanivalu</t>
  </si>
  <si>
    <t>Rakuro</t>
  </si>
  <si>
    <t>Pulu</t>
  </si>
  <si>
    <t>WORLD CUP QUALS</t>
  </si>
  <si>
    <t>Fakatava</t>
  </si>
  <si>
    <t>Greene</t>
  </si>
  <si>
    <t>Gunter</t>
  </si>
  <si>
    <t>Ishida</t>
  </si>
  <si>
    <t>Mackail</t>
  </si>
  <si>
    <t>RC</t>
  </si>
  <si>
    <t>White N</t>
  </si>
  <si>
    <t>Tupaea</t>
  </si>
  <si>
    <t>Tupaea Q</t>
  </si>
  <si>
    <t>Pollard slotted 24 consecutive Test kicks from 10 Nov 2024 to 6 Sep 2025</t>
  </si>
  <si>
    <t>Ah-Sue</t>
  </si>
  <si>
    <t>Lam J</t>
  </si>
  <si>
    <t>PN</t>
  </si>
  <si>
    <t>Telea</t>
  </si>
  <si>
    <t>Edmed</t>
  </si>
  <si>
    <t>Edmed T</t>
  </si>
  <si>
    <t>Carter</t>
  </si>
  <si>
    <t>Carter L</t>
  </si>
  <si>
    <t>Damm</t>
  </si>
  <si>
    <t>Geiger</t>
  </si>
  <si>
    <t>Lokotui</t>
  </si>
  <si>
    <t>Poloniati</t>
  </si>
  <si>
    <t>Era</t>
  </si>
  <si>
    <t>Sato</t>
  </si>
  <si>
    <t>Tamefusa</t>
  </si>
  <si>
    <t>Vocevoce</t>
  </si>
  <si>
    <t>Nasova</t>
  </si>
  <si>
    <t>Afungia</t>
  </si>
  <si>
    <t>Fisi'ihoi</t>
  </si>
  <si>
    <t>Steffany</t>
  </si>
  <si>
    <t>Motuga</t>
  </si>
  <si>
    <t>Mau'u</t>
  </si>
  <si>
    <t>Talapusi</t>
  </si>
  <si>
    <t>Pollard B</t>
  </si>
  <si>
    <t>Bower</t>
  </si>
  <si>
    <t>Bower G</t>
  </si>
  <si>
    <t>Champion de  C'ny</t>
  </si>
  <si>
    <t>Champion de C'ny N</t>
  </si>
  <si>
    <t>Flook</t>
  </si>
  <si>
    <t>Flook J</t>
  </si>
  <si>
    <t>*Daly's 2021 &amp; 2017 tallies do not include Lions kicks</t>
  </si>
  <si>
    <t>Louw W</t>
  </si>
  <si>
    <t>Yazaki</t>
  </si>
  <si>
    <t>Smith L</t>
  </si>
  <si>
    <t>Sititi</t>
  </si>
  <si>
    <t>Sititi W</t>
  </si>
  <si>
    <t>Armstrong-Rav</t>
  </si>
  <si>
    <t>McCarthy P</t>
  </si>
  <si>
    <t>Suarez</t>
  </si>
  <si>
    <t>Cotarmanach</t>
  </si>
  <si>
    <t>Waddell</t>
  </si>
  <si>
    <t>von Dadelszen</t>
  </si>
  <si>
    <t>Flesch</t>
  </si>
  <si>
    <t>Arundell</t>
  </si>
  <si>
    <t>Arundell H</t>
  </si>
  <si>
    <t>Sanerivi</t>
  </si>
  <si>
    <t>Apelu Maliko</t>
  </si>
  <si>
    <t>Mapu</t>
  </si>
  <si>
    <t>Deysel</t>
  </si>
  <si>
    <t>Luttig</t>
  </si>
  <si>
    <t>Lutting</t>
  </si>
  <si>
    <t>Delgado</t>
  </si>
  <si>
    <t>Delgado P</t>
  </si>
  <si>
    <t>Prisciantelli</t>
  </si>
  <si>
    <t>Prisciantelli G</t>
  </si>
  <si>
    <t>Benitez Cruz</t>
  </si>
  <si>
    <t>Benitez Cruz S</t>
  </si>
  <si>
    <t>Grondona S</t>
  </si>
  <si>
    <t>Hooker</t>
  </si>
  <si>
    <t>Hooker E</t>
  </si>
  <si>
    <t>Rees-Zammit</t>
  </si>
  <si>
    <t>Rees-Zammit L</t>
  </si>
  <si>
    <t>Depoortere</t>
  </si>
  <si>
    <t>Depoortere N</t>
  </si>
  <si>
    <t>Ravutaumada</t>
  </si>
  <si>
    <t>Piccardo J</t>
  </si>
  <si>
    <t>da Re</t>
  </si>
  <si>
    <t>Ah Kiong</t>
  </si>
  <si>
    <t>Bester</t>
  </si>
  <si>
    <t>Di Bartolomeo</t>
  </si>
  <si>
    <t>Di Bartolomeo T</t>
  </si>
  <si>
    <t>Lamothe</t>
  </si>
  <si>
    <t>Lamothe M</t>
  </si>
  <si>
    <t>Nasser</t>
  </si>
  <si>
    <t>Nasser J</t>
  </si>
  <si>
    <t>Williamson</t>
  </si>
  <si>
    <t>Williamson M</t>
  </si>
  <si>
    <t>Ojomoh</t>
  </si>
  <si>
    <t>Ojiomoh</t>
  </si>
  <si>
    <t>Ojomoh M</t>
  </si>
  <si>
    <t>Myszka</t>
  </si>
  <si>
    <t>Vasconcelos</t>
  </si>
  <si>
    <t>Di Nardo</t>
  </si>
  <si>
    <t>Laforga</t>
  </si>
  <si>
    <t>Sokobale</t>
  </si>
  <si>
    <t>Nortje</t>
  </si>
  <si>
    <t>Nortje R</t>
  </si>
  <si>
    <t>2026 SIX NATIONS SCORERS</t>
  </si>
  <si>
    <t>NC</t>
  </si>
  <si>
    <t>FRANCE 2026 SCORERS</t>
  </si>
  <si>
    <t>Milne</t>
  </si>
  <si>
    <t>IRELAND 2026 SCORERS</t>
  </si>
  <si>
    <t>Milne M</t>
  </si>
  <si>
    <t>SOUTH AFRICA 2026 SCORERS</t>
  </si>
  <si>
    <t>AUSTRALIA 2026 SCORERS</t>
  </si>
  <si>
    <t>ARGENTINA 2026 SCORERS</t>
  </si>
  <si>
    <t>NEW ZEALAND 2026 SCORERS</t>
  </si>
  <si>
    <t>ENGLAND 2026 SCORERS</t>
  </si>
  <si>
    <t>WALES 2026 SCORERS</t>
  </si>
  <si>
    <t>ITALY 2026 SCORERS</t>
  </si>
  <si>
    <t>2026 RUGBY CHAMPIONSHIP SCORERS</t>
  </si>
  <si>
    <t>SCOTLAND 2026 SCORERS</t>
  </si>
  <si>
    <t>Russell slotted 18 in a row for SCO in all comps from 6 Mar 2025 to 7 Feb 2026</t>
  </si>
  <si>
    <t>*Russell's 2025 tallies do not include Lions kicks</t>
  </si>
  <si>
    <t>Baloucoune</t>
  </si>
  <si>
    <t>Baloucoune R</t>
  </si>
  <si>
    <t>Carre</t>
  </si>
  <si>
    <t>Carre R</t>
  </si>
  <si>
    <t>Brau-Boirie</t>
  </si>
  <si>
    <t>Brau-Boirie F</t>
  </si>
  <si>
    <t>2026 TIER 1 TEST MATCH SCORERS (those who play in Nations Championship teams)</t>
  </si>
  <si>
    <t>Meafou</t>
  </si>
  <si>
    <t>Meafou E</t>
  </si>
  <si>
    <t>Drean</t>
  </si>
  <si>
    <t>Drean G</t>
  </si>
  <si>
    <t>Stockdale</t>
  </si>
  <si>
    <t>Stockdale J</t>
  </si>
  <si>
    <t>as at 13/03/26</t>
  </si>
  <si>
    <t>Qual = 10 attempts</t>
  </si>
  <si>
    <t>at 13/03/26</t>
  </si>
  <si>
    <t>*Qual 10 attempts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</si>
</sst>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6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70C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FFC0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FFC000"/>
      <name val="Calibri"/>
      <family val="2"/>
      <scheme val="minor"/>
    </font>
    <font>
      <sz val="11"/>
      <color theme="6"/>
      <name val="Calibri"/>
      <family val="2"/>
      <scheme val="minor"/>
    </font>
    <font>
      <b/>
      <sz val="12"/>
      <color rgb="FF00B0F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B0F0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2"/>
      <color theme="6" tint="-0.499984740745262"/>
      <name val="Calibri"/>
      <family val="2"/>
      <scheme val="minor"/>
    </font>
    <font>
      <b/>
      <sz val="12"/>
      <color rgb="FFE2AC00"/>
      <name val="Calibri"/>
      <family val="2"/>
      <scheme val="minor"/>
    </font>
    <font>
      <b/>
      <sz val="11"/>
      <color rgb="FFE2AC00"/>
      <name val="Calibri"/>
      <family val="2"/>
      <scheme val="minor"/>
    </font>
    <font>
      <b/>
      <sz val="12"/>
      <color theme="8" tint="0.39997558519241921"/>
      <name val="Calibri"/>
      <family val="2"/>
      <scheme val="minor"/>
    </font>
    <font>
      <b/>
      <sz val="11"/>
      <color theme="8" tint="0.39997558519241921"/>
      <name val="Calibri"/>
      <family val="2"/>
      <scheme val="minor"/>
    </font>
    <font>
      <b/>
      <sz val="12"/>
      <color rgb="FF00B05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sz val="12"/>
      <name val="Calibri"/>
      <family val="2"/>
      <scheme val="minor"/>
    </font>
    <font>
      <b/>
      <sz val="11"/>
      <color theme="6" tint="0.39997558519241921"/>
      <name val="Calibri"/>
      <family val="2"/>
      <scheme val="minor"/>
    </font>
    <font>
      <b/>
      <sz val="12"/>
      <color rgb="FFFFC00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color theme="0" tint="-0.14999847407452621"/>
      <name val="Calibri"/>
      <family val="2"/>
      <scheme val="minor"/>
    </font>
    <font>
      <sz val="11"/>
      <color theme="1"/>
      <name val="Calibri"/>
      <family val="2"/>
    </font>
    <font>
      <sz val="8"/>
      <color theme="1"/>
      <name val="Calibri"/>
      <family val="2"/>
    </font>
    <font>
      <sz val="12"/>
      <color theme="1"/>
      <name val="Calibri"/>
      <family val="2"/>
      <scheme val="minor"/>
    </font>
    <font>
      <b/>
      <sz val="11"/>
      <color theme="4" tint="0.39997558519241921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b/>
      <sz val="11"/>
      <color theme="4" tint="0.59999389629810485"/>
      <name val="Calibri"/>
      <family val="2"/>
      <scheme val="minor"/>
    </font>
    <font>
      <b/>
      <sz val="11"/>
      <color rgb="FFFFCF37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2"/>
      <color theme="3" tint="-0.249977111117893"/>
      <name val="Calibri"/>
      <family val="2"/>
      <scheme val="minor"/>
    </font>
    <font>
      <sz val="11"/>
      <color theme="3" tint="-0.249977111117893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b/>
      <sz val="11"/>
      <color theme="7" tint="0.39997558519241921"/>
      <name val="Calibri"/>
      <family val="2"/>
      <scheme val="minor"/>
    </font>
    <font>
      <b/>
      <sz val="12"/>
      <color rgb="FFC00000"/>
      <name val="Calibri"/>
      <family val="2"/>
      <scheme val="minor"/>
    </font>
    <font>
      <b/>
      <sz val="11"/>
      <color theme="4" tint="0.79998168889431442"/>
      <name val="Calibri"/>
      <family val="2"/>
      <scheme val="minor"/>
    </font>
    <font>
      <b/>
      <sz val="11"/>
      <color theme="8" tint="0.59999389629810485"/>
      <name val="Calibri"/>
      <family val="2"/>
      <scheme val="minor"/>
    </font>
    <font>
      <b/>
      <sz val="11"/>
      <color theme="8" tint="0.79998168889431442"/>
      <name val="Calibri"/>
      <family val="2"/>
      <scheme val="minor"/>
    </font>
    <font>
      <b/>
      <sz val="11"/>
      <color theme="0" tint="-0.249977111117893"/>
      <name val="Calibri"/>
      <family val="2"/>
      <scheme val="minor"/>
    </font>
    <font>
      <b/>
      <sz val="12"/>
      <color theme="0" tint="-0.249977111117893"/>
      <name val="Calibri"/>
      <family val="2"/>
      <scheme val="minor"/>
    </font>
    <font>
      <b/>
      <sz val="11"/>
      <color theme="7" tint="-0.499984740745262"/>
      <name val="Calibri"/>
      <family val="2"/>
      <scheme val="minor"/>
    </font>
    <font>
      <b/>
      <sz val="12"/>
      <color theme="0" tint="-0.14999847407452621"/>
      <name val="Calibri"/>
      <family val="2"/>
      <scheme val="minor"/>
    </font>
    <font>
      <b/>
      <sz val="11"/>
      <color rgb="FFFFFF00"/>
      <name val="Calibri"/>
      <family val="2"/>
      <scheme val="minor"/>
    </font>
    <font>
      <b/>
      <sz val="11"/>
      <color theme="1"/>
      <name val="Calibri"/>
      <family val="2"/>
    </font>
    <font>
      <b/>
      <sz val="11"/>
      <color theme="5" tint="0.39997558519241921"/>
      <name val="Calibri"/>
      <family val="2"/>
      <scheme val="minor"/>
    </font>
    <font>
      <sz val="11"/>
      <color theme="5" tint="0.39997558519241921"/>
      <name val="Calibri"/>
      <family val="2"/>
      <scheme val="minor"/>
    </font>
    <font>
      <b/>
      <sz val="12"/>
      <color theme="5" tint="0.39997558519241921"/>
      <name val="Calibri"/>
      <family val="2"/>
      <scheme val="minor"/>
    </font>
    <font>
      <b/>
      <sz val="11"/>
      <color theme="0" tint="-0.34998626667073579"/>
      <name val="Calibri"/>
      <family val="2"/>
      <scheme val="minor"/>
    </font>
    <font>
      <b/>
      <sz val="11"/>
      <color theme="8" tint="-0.499984740745262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  <font>
      <b/>
      <sz val="12"/>
      <color rgb="FF002060"/>
      <name val="Calibri"/>
      <family val="2"/>
      <scheme val="minor"/>
    </font>
    <font>
      <b/>
      <sz val="12"/>
      <color theme="1"/>
      <name val="Calibri"/>
      <family val="2"/>
    </font>
    <font>
      <b/>
      <sz val="12"/>
      <color rgb="FF00843D"/>
      <name val="Calibri"/>
      <family val="2"/>
      <scheme val="minor"/>
    </font>
    <font>
      <b/>
      <sz val="11"/>
      <color rgb="FF00843D"/>
      <name val="Calibri"/>
      <family val="2"/>
      <scheme val="minor"/>
    </font>
    <font>
      <sz val="11"/>
      <color rgb="FFFFFF00"/>
      <name val="Calibri"/>
      <family val="2"/>
      <scheme val="minor"/>
    </font>
    <font>
      <b/>
      <sz val="12"/>
      <color rgb="FFFFFF00"/>
      <name val="Calibri"/>
      <family val="2"/>
      <scheme val="minor"/>
    </font>
  </fonts>
  <fills count="32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C09200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-0.499984740745262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95">
    <xf numFmtId="0" fontId="0" fillId="0" borderId="0" xfId="0"/>
    <xf numFmtId="0" fontId="9" fillId="7" borderId="4" xfId="0" applyFont="1" applyFill="1" applyBorder="1" applyAlignment="1">
      <alignment horizontal="right" vertical="center" wrapText="1"/>
    </xf>
    <xf numFmtId="0" fontId="9" fillId="0" borderId="0" xfId="0" applyFont="1"/>
    <xf numFmtId="0" fontId="15" fillId="9" borderId="0" xfId="0" applyFont="1" applyFill="1" applyAlignment="1">
      <alignment vertical="center"/>
    </xf>
    <xf numFmtId="14" fontId="17" fillId="9" borderId="3" xfId="0" applyNumberFormat="1" applyFont="1" applyFill="1" applyBorder="1" applyAlignment="1">
      <alignment horizontal="left" vertical="center" wrapText="1"/>
    </xf>
    <xf numFmtId="0" fontId="7" fillId="9" borderId="0" xfId="0" applyFont="1" applyFill="1"/>
    <xf numFmtId="0" fontId="14" fillId="9" borderId="0" xfId="0" applyFont="1" applyFill="1"/>
    <xf numFmtId="0" fontId="0" fillId="9" borderId="9" xfId="0" applyFill="1" applyBorder="1"/>
    <xf numFmtId="0" fontId="5" fillId="9" borderId="0" xfId="0" applyFont="1" applyFill="1"/>
    <xf numFmtId="0" fontId="0" fillId="9" borderId="0" xfId="0" applyFill="1"/>
    <xf numFmtId="0" fontId="7" fillId="9" borderId="9" xfId="0" applyFont="1" applyFill="1" applyBorder="1"/>
    <xf numFmtId="0" fontId="0" fillId="0" borderId="9" xfId="0" applyBorder="1"/>
    <xf numFmtId="0" fontId="1" fillId="9" borderId="9" xfId="0" applyFont="1" applyFill="1" applyBorder="1" applyAlignment="1">
      <alignment vertical="center" wrapText="1"/>
    </xf>
    <xf numFmtId="0" fontId="20" fillId="9" borderId="9" xfId="0" applyFont="1" applyFill="1" applyBorder="1" applyAlignment="1">
      <alignment horizontal="right" vertical="center" wrapText="1"/>
    </xf>
    <xf numFmtId="0" fontId="3" fillId="9" borderId="9" xfId="0" applyFont="1" applyFill="1" applyBorder="1" applyAlignment="1">
      <alignment horizontal="right" vertical="center" wrapText="1"/>
    </xf>
    <xf numFmtId="0" fontId="19" fillId="9" borderId="0" xfId="0" applyFont="1" applyFill="1" applyAlignment="1">
      <alignment horizontal="right" vertical="center" wrapText="1"/>
    </xf>
    <xf numFmtId="0" fontId="11" fillId="9" borderId="0" xfId="0" applyFont="1" applyFill="1" applyAlignment="1">
      <alignment vertical="center" wrapText="1"/>
    </xf>
    <xf numFmtId="0" fontId="10" fillId="9" borderId="0" xfId="0" applyFont="1" applyFill="1" applyAlignment="1">
      <alignment horizontal="right" vertical="center" wrapText="1"/>
    </xf>
    <xf numFmtId="0" fontId="9" fillId="9" borderId="0" xfId="0" applyFont="1" applyFill="1" applyAlignment="1">
      <alignment horizontal="right" vertical="center" wrapText="1"/>
    </xf>
    <xf numFmtId="0" fontId="9" fillId="9" borderId="9" xfId="0" applyFont="1" applyFill="1" applyBorder="1" applyAlignment="1">
      <alignment horizontal="right" vertical="center" wrapText="1"/>
    </xf>
    <xf numFmtId="0" fontId="10" fillId="9" borderId="9" xfId="0" applyFont="1" applyFill="1" applyBorder="1" applyAlignment="1">
      <alignment horizontal="right" vertical="center" wrapText="1"/>
    </xf>
    <xf numFmtId="0" fontId="9" fillId="9" borderId="9" xfId="0" applyFont="1" applyFill="1" applyBorder="1" applyAlignment="1">
      <alignment vertical="center" wrapText="1"/>
    </xf>
    <xf numFmtId="0" fontId="7" fillId="0" borderId="0" xfId="0" applyFont="1"/>
    <xf numFmtId="0" fontId="7" fillId="0" borderId="9" xfId="0" applyFont="1" applyBorder="1"/>
    <xf numFmtId="1" fontId="16" fillId="9" borderId="0" xfId="0" applyNumberFormat="1" applyFont="1" applyFill="1" applyAlignment="1">
      <alignment horizontal="right" vertical="center" wrapText="1"/>
    </xf>
    <xf numFmtId="0" fontId="16" fillId="8" borderId="4" xfId="0" applyFont="1" applyFill="1" applyBorder="1" applyAlignment="1">
      <alignment vertical="center" wrapText="1"/>
    </xf>
    <xf numFmtId="0" fontId="16" fillId="8" borderId="3" xfId="0" applyFont="1" applyFill="1" applyBorder="1" applyAlignment="1">
      <alignment vertical="center" wrapText="1"/>
    </xf>
    <xf numFmtId="0" fontId="16" fillId="8" borderId="4" xfId="0" applyFont="1" applyFill="1" applyBorder="1" applyAlignment="1">
      <alignment horizontal="right" vertical="center" wrapText="1"/>
    </xf>
    <xf numFmtId="0" fontId="22" fillId="8" borderId="4" xfId="0" applyFont="1" applyFill="1" applyBorder="1" applyAlignment="1">
      <alignment horizontal="right" vertical="center" wrapText="1"/>
    </xf>
    <xf numFmtId="0" fontId="24" fillId="8" borderId="4" xfId="0" applyFont="1" applyFill="1" applyBorder="1" applyAlignment="1">
      <alignment horizontal="right" vertical="center" wrapText="1"/>
    </xf>
    <xf numFmtId="0" fontId="17" fillId="9" borderId="0" xfId="0" applyFont="1" applyFill="1" applyAlignment="1">
      <alignment vertical="center" wrapText="1"/>
    </xf>
    <xf numFmtId="0" fontId="27" fillId="9" borderId="14" xfId="0" applyFont="1" applyFill="1" applyBorder="1" applyAlignment="1">
      <alignment vertical="center"/>
    </xf>
    <xf numFmtId="0" fontId="11" fillId="8" borderId="3" xfId="0" applyFont="1" applyFill="1" applyBorder="1" applyAlignment="1">
      <alignment vertical="center" wrapText="1"/>
    </xf>
    <xf numFmtId="0" fontId="11" fillId="8" borderId="4" xfId="0" applyFont="1" applyFill="1" applyBorder="1" applyAlignment="1">
      <alignment vertical="center" wrapText="1"/>
    </xf>
    <xf numFmtId="0" fontId="11" fillId="8" borderId="4" xfId="0" applyFont="1" applyFill="1" applyBorder="1" applyAlignment="1">
      <alignment horizontal="right" vertical="center" wrapText="1"/>
    </xf>
    <xf numFmtId="0" fontId="18" fillId="9" borderId="0" xfId="0" applyFont="1" applyFill="1" applyAlignment="1">
      <alignment horizontal="right" vertical="center" wrapText="1"/>
    </xf>
    <xf numFmtId="0" fontId="12" fillId="9" borderId="0" xfId="0" applyFont="1" applyFill="1" applyAlignment="1">
      <alignment horizontal="right" vertical="center" wrapText="1"/>
    </xf>
    <xf numFmtId="1" fontId="12" fillId="9" borderId="0" xfId="0" applyNumberFormat="1" applyFont="1" applyFill="1" applyAlignment="1">
      <alignment horizontal="right" vertical="center" wrapText="1"/>
    </xf>
    <xf numFmtId="0" fontId="16" fillId="9" borderId="0" xfId="0" applyFont="1" applyFill="1" applyAlignment="1">
      <alignment horizontal="right" vertical="center" wrapText="1"/>
    </xf>
    <xf numFmtId="0" fontId="16" fillId="9" borderId="0" xfId="0" applyFont="1" applyFill="1" applyAlignment="1">
      <alignment vertical="center" wrapText="1"/>
    </xf>
    <xf numFmtId="0" fontId="11" fillId="9" borderId="14" xfId="0" applyFont="1" applyFill="1" applyBorder="1" applyAlignment="1">
      <alignment vertical="center" wrapText="1"/>
    </xf>
    <xf numFmtId="0" fontId="11" fillId="9" borderId="0" xfId="0" applyFont="1" applyFill="1" applyAlignment="1">
      <alignment horizontal="right" vertical="center" wrapText="1"/>
    </xf>
    <xf numFmtId="14" fontId="17" fillId="9" borderId="0" xfId="0" applyNumberFormat="1" applyFont="1" applyFill="1" applyAlignment="1">
      <alignment horizontal="left" vertical="center" wrapText="1"/>
    </xf>
    <xf numFmtId="1" fontId="11" fillId="9" borderId="0" xfId="0" applyNumberFormat="1" applyFont="1" applyFill="1" applyAlignment="1">
      <alignment horizontal="right" vertical="center" wrapText="1"/>
    </xf>
    <xf numFmtId="0" fontId="19" fillId="9" borderId="0" xfId="0" applyFont="1" applyFill="1" applyAlignment="1">
      <alignment vertical="center" wrapText="1"/>
    </xf>
    <xf numFmtId="0" fontId="28" fillId="9" borderId="0" xfId="0" applyFont="1" applyFill="1" applyAlignment="1">
      <alignment horizontal="right" vertical="center" wrapText="1"/>
    </xf>
    <xf numFmtId="0" fontId="12" fillId="9" borderId="0" xfId="0" applyFont="1" applyFill="1" applyAlignment="1">
      <alignment vertical="center" wrapText="1"/>
    </xf>
    <xf numFmtId="0" fontId="26" fillId="9" borderId="0" xfId="0" applyFont="1" applyFill="1" applyAlignment="1">
      <alignment vertical="center" wrapText="1"/>
    </xf>
    <xf numFmtId="0" fontId="26" fillId="9" borderId="0" xfId="0" applyFont="1" applyFill="1" applyAlignment="1">
      <alignment horizontal="right" vertical="center" wrapText="1"/>
    </xf>
    <xf numFmtId="1" fontId="26" fillId="9" borderId="0" xfId="0" applyNumberFormat="1" applyFont="1" applyFill="1" applyAlignment="1">
      <alignment horizontal="right" vertical="center" wrapText="1"/>
    </xf>
    <xf numFmtId="0" fontId="13" fillId="9" borderId="0" xfId="0" applyFont="1" applyFill="1" applyAlignment="1">
      <alignment horizontal="right" vertical="center" wrapText="1"/>
    </xf>
    <xf numFmtId="1" fontId="13" fillId="9" borderId="0" xfId="0" applyNumberFormat="1" applyFont="1" applyFill="1" applyAlignment="1">
      <alignment horizontal="right" vertical="center" wrapText="1"/>
    </xf>
    <xf numFmtId="0" fontId="11" fillId="7" borderId="3" xfId="0" applyFont="1" applyFill="1" applyBorder="1" applyAlignment="1">
      <alignment vertical="center" wrapText="1"/>
    </xf>
    <xf numFmtId="0" fontId="11" fillId="7" borderId="4" xfId="0" applyFont="1" applyFill="1" applyBorder="1" applyAlignment="1">
      <alignment horizontal="right" vertical="center" wrapText="1"/>
    </xf>
    <xf numFmtId="0" fontId="16" fillId="2" borderId="4" xfId="0" applyFont="1" applyFill="1" applyBorder="1" applyAlignment="1">
      <alignment horizontal="right" vertical="center" wrapText="1"/>
    </xf>
    <xf numFmtId="1" fontId="16" fillId="2" borderId="4" xfId="0" applyNumberFormat="1" applyFont="1" applyFill="1" applyBorder="1" applyAlignment="1">
      <alignment horizontal="right" vertical="center" wrapText="1"/>
    </xf>
    <xf numFmtId="0" fontId="16" fillId="6" borderId="3" xfId="0" applyFont="1" applyFill="1" applyBorder="1" applyAlignment="1">
      <alignment vertical="center" wrapText="1"/>
    </xf>
    <xf numFmtId="0" fontId="16" fillId="6" borderId="4" xfId="0" applyFont="1" applyFill="1" applyBorder="1" applyAlignment="1">
      <alignment horizontal="right" vertical="center" wrapText="1"/>
    </xf>
    <xf numFmtId="1" fontId="16" fillId="6" borderId="4" xfId="0" applyNumberFormat="1" applyFont="1" applyFill="1" applyBorder="1" applyAlignment="1">
      <alignment horizontal="right" vertical="center" wrapText="1"/>
    </xf>
    <xf numFmtId="0" fontId="30" fillId="10" borderId="3" xfId="0" applyFont="1" applyFill="1" applyBorder="1" applyAlignment="1">
      <alignment vertical="center" wrapText="1"/>
    </xf>
    <xf numFmtId="0" fontId="30" fillId="10" borderId="4" xfId="0" applyFont="1" applyFill="1" applyBorder="1" applyAlignment="1">
      <alignment horizontal="right" vertical="center" wrapText="1"/>
    </xf>
    <xf numFmtId="0" fontId="30" fillId="14" borderId="4" xfId="0" applyFont="1" applyFill="1" applyBorder="1" applyAlignment="1">
      <alignment horizontal="right" vertical="center" wrapText="1"/>
    </xf>
    <xf numFmtId="1" fontId="30" fillId="10" borderId="4" xfId="0" applyNumberFormat="1" applyFont="1" applyFill="1" applyBorder="1" applyAlignment="1">
      <alignment horizontal="right" vertical="center" wrapText="1"/>
    </xf>
    <xf numFmtId="0" fontId="30" fillId="17" borderId="3" xfId="0" applyFont="1" applyFill="1" applyBorder="1" applyAlignment="1">
      <alignment vertical="center" wrapText="1"/>
    </xf>
    <xf numFmtId="0" fontId="16" fillId="5" borderId="3" xfId="0" applyFont="1" applyFill="1" applyBorder="1" applyAlignment="1">
      <alignment vertical="center" wrapText="1"/>
    </xf>
    <xf numFmtId="0" fontId="16" fillId="5" borderId="4" xfId="0" applyFont="1" applyFill="1" applyBorder="1" applyAlignment="1">
      <alignment horizontal="right" vertical="center" wrapText="1"/>
    </xf>
    <xf numFmtId="0" fontId="16" fillId="12" borderId="3" xfId="0" applyFont="1" applyFill="1" applyBorder="1" applyAlignment="1">
      <alignment vertical="center" wrapText="1"/>
    </xf>
    <xf numFmtId="0" fontId="16" fillId="12" borderId="4" xfId="0" applyFont="1" applyFill="1" applyBorder="1" applyAlignment="1">
      <alignment horizontal="right" vertical="center" wrapText="1"/>
    </xf>
    <xf numFmtId="1" fontId="16" fillId="5" borderId="4" xfId="0" applyNumberFormat="1" applyFont="1" applyFill="1" applyBorder="1" applyAlignment="1">
      <alignment horizontal="right" vertical="center" wrapText="1"/>
    </xf>
    <xf numFmtId="0" fontId="16" fillId="19" borderId="3" xfId="0" applyFont="1" applyFill="1" applyBorder="1" applyAlignment="1">
      <alignment vertical="center" wrapText="1"/>
    </xf>
    <xf numFmtId="0" fontId="16" fillId="19" borderId="4" xfId="0" applyFont="1" applyFill="1" applyBorder="1" applyAlignment="1">
      <alignment horizontal="right" vertical="center" wrapText="1"/>
    </xf>
    <xf numFmtId="1" fontId="16" fillId="19" borderId="4" xfId="0" applyNumberFormat="1" applyFont="1" applyFill="1" applyBorder="1" applyAlignment="1">
      <alignment horizontal="right" vertical="center" wrapText="1"/>
    </xf>
    <xf numFmtId="0" fontId="16" fillId="3" borderId="3" xfId="0" applyFont="1" applyFill="1" applyBorder="1" applyAlignment="1">
      <alignment vertical="center" wrapText="1"/>
    </xf>
    <xf numFmtId="0" fontId="16" fillId="3" borderId="4" xfId="0" applyFont="1" applyFill="1" applyBorder="1" applyAlignment="1">
      <alignment horizontal="right" vertical="center" wrapText="1"/>
    </xf>
    <xf numFmtId="0" fontId="22" fillId="3" borderId="4" xfId="0" applyFont="1" applyFill="1" applyBorder="1" applyAlignment="1">
      <alignment horizontal="right" vertical="center" wrapText="1"/>
    </xf>
    <xf numFmtId="0" fontId="24" fillId="3" borderId="4" xfId="0" applyFont="1" applyFill="1" applyBorder="1" applyAlignment="1">
      <alignment horizontal="right" vertical="center" wrapText="1"/>
    </xf>
    <xf numFmtId="0" fontId="11" fillId="20" borderId="3" xfId="0" applyFont="1" applyFill="1" applyBorder="1" applyAlignment="1">
      <alignment vertical="center" wrapText="1"/>
    </xf>
    <xf numFmtId="0" fontId="24" fillId="20" borderId="4" xfId="0" applyFont="1" applyFill="1" applyBorder="1" applyAlignment="1">
      <alignment horizontal="right" vertical="center" wrapText="1"/>
    </xf>
    <xf numFmtId="0" fontId="11" fillId="20" borderId="4" xfId="0" applyFont="1" applyFill="1" applyBorder="1" applyAlignment="1">
      <alignment horizontal="right" vertical="center" wrapText="1"/>
    </xf>
    <xf numFmtId="1" fontId="11" fillId="20" borderId="4" xfId="0" applyNumberFormat="1" applyFont="1" applyFill="1" applyBorder="1" applyAlignment="1">
      <alignment horizontal="right" vertical="center" wrapText="1"/>
    </xf>
    <xf numFmtId="1" fontId="16" fillId="3" borderId="4" xfId="0" applyNumberFormat="1" applyFont="1" applyFill="1" applyBorder="1" applyAlignment="1">
      <alignment horizontal="right" vertical="center" wrapText="1"/>
    </xf>
    <xf numFmtId="0" fontId="1" fillId="9" borderId="0" xfId="0" applyFont="1" applyFill="1" applyAlignment="1">
      <alignment horizontal="center" vertical="center" wrapText="1"/>
    </xf>
    <xf numFmtId="0" fontId="17" fillId="0" borderId="0" xfId="0" applyFont="1"/>
    <xf numFmtId="0" fontId="16" fillId="11" borderId="3" xfId="0" applyFont="1" applyFill="1" applyBorder="1" applyAlignment="1">
      <alignment vertical="center" wrapText="1"/>
    </xf>
    <xf numFmtId="0" fontId="16" fillId="11" borderId="4" xfId="0" applyFont="1" applyFill="1" applyBorder="1" applyAlignment="1">
      <alignment horizontal="right" vertical="center" wrapText="1"/>
    </xf>
    <xf numFmtId="1" fontId="16" fillId="11" borderId="4" xfId="0" applyNumberFormat="1" applyFont="1" applyFill="1" applyBorder="1" applyAlignment="1">
      <alignment horizontal="right" vertical="center" wrapText="1"/>
    </xf>
    <xf numFmtId="0" fontId="17" fillId="9" borderId="0" xfId="0" applyFont="1" applyFill="1"/>
    <xf numFmtId="0" fontId="11" fillId="8" borderId="2" xfId="0" applyFont="1" applyFill="1" applyBorder="1" applyAlignment="1">
      <alignment horizontal="right" vertical="center" wrapText="1"/>
    </xf>
    <xf numFmtId="0" fontId="31" fillId="4" borderId="3" xfId="0" applyFont="1" applyFill="1" applyBorder="1" applyAlignment="1">
      <alignment vertical="center" wrapText="1"/>
    </xf>
    <xf numFmtId="0" fontId="31" fillId="4" borderId="4" xfId="0" applyFont="1" applyFill="1" applyBorder="1" applyAlignment="1">
      <alignment horizontal="right" vertical="center" wrapText="1"/>
    </xf>
    <xf numFmtId="1" fontId="31" fillId="4" borderId="4" xfId="0" applyNumberFormat="1" applyFont="1" applyFill="1" applyBorder="1" applyAlignment="1">
      <alignment horizontal="right" vertical="center" wrapText="1"/>
    </xf>
    <xf numFmtId="0" fontId="31" fillId="4" borderId="6" xfId="0" applyFont="1" applyFill="1" applyBorder="1" applyAlignment="1">
      <alignment vertical="center" wrapText="1"/>
    </xf>
    <xf numFmtId="0" fontId="16" fillId="13" borderId="3" xfId="0" applyFont="1" applyFill="1" applyBorder="1" applyAlignment="1">
      <alignment vertical="center" wrapText="1"/>
    </xf>
    <xf numFmtId="0" fontId="16" fillId="13" borderId="4" xfId="0" applyFont="1" applyFill="1" applyBorder="1" applyAlignment="1">
      <alignment vertical="center" wrapText="1"/>
    </xf>
    <xf numFmtId="0" fontId="16" fillId="13" borderId="4" xfId="0" applyFont="1" applyFill="1" applyBorder="1" applyAlignment="1">
      <alignment horizontal="right" vertical="center" wrapText="1"/>
    </xf>
    <xf numFmtId="1" fontId="16" fillId="12" borderId="4" xfId="0" applyNumberFormat="1" applyFont="1" applyFill="1" applyBorder="1" applyAlignment="1">
      <alignment horizontal="right" vertical="center" wrapText="1"/>
    </xf>
    <xf numFmtId="14" fontId="30" fillId="10" borderId="3" xfId="0" applyNumberFormat="1" applyFont="1" applyFill="1" applyBorder="1" applyAlignment="1">
      <alignment horizontal="left" vertical="center" wrapText="1"/>
    </xf>
    <xf numFmtId="0" fontId="16" fillId="2" borderId="3" xfId="0" applyFont="1" applyFill="1" applyBorder="1" applyAlignment="1">
      <alignment vertical="center" wrapText="1"/>
    </xf>
    <xf numFmtId="0" fontId="3" fillId="23" borderId="2" xfId="0" applyFont="1" applyFill="1" applyBorder="1" applyAlignment="1">
      <alignment vertical="center" wrapText="1"/>
    </xf>
    <xf numFmtId="0" fontId="32" fillId="0" borderId="0" xfId="0" applyFont="1"/>
    <xf numFmtId="0" fontId="3" fillId="8" borderId="2" xfId="0" applyFont="1" applyFill="1" applyBorder="1" applyAlignment="1">
      <alignment horizontal="center" vertical="center" wrapText="1"/>
    </xf>
    <xf numFmtId="0" fontId="11" fillId="8" borderId="4" xfId="0" applyFont="1" applyFill="1" applyBorder="1" applyAlignment="1">
      <alignment horizontal="center" vertical="center" wrapText="1"/>
    </xf>
    <xf numFmtId="0" fontId="11" fillId="23" borderId="4" xfId="0" applyFont="1" applyFill="1" applyBorder="1" applyAlignment="1">
      <alignment horizontal="center" vertical="center" wrapText="1"/>
    </xf>
    <xf numFmtId="0" fontId="29" fillId="8" borderId="2" xfId="0" applyFont="1" applyFill="1" applyBorder="1" applyAlignment="1">
      <alignment horizontal="center" vertical="center" wrapText="1"/>
    </xf>
    <xf numFmtId="0" fontId="13" fillId="8" borderId="4" xfId="0" applyFont="1" applyFill="1" applyBorder="1" applyAlignment="1">
      <alignment horizontal="center" vertical="center" wrapText="1"/>
    </xf>
    <xf numFmtId="0" fontId="21" fillId="23" borderId="2" xfId="0" applyFont="1" applyFill="1" applyBorder="1" applyAlignment="1">
      <alignment horizontal="center" vertical="center" wrapText="1"/>
    </xf>
    <xf numFmtId="0" fontId="3" fillId="23" borderId="2" xfId="0" applyFont="1" applyFill="1" applyBorder="1" applyAlignment="1">
      <alignment horizontal="center" vertical="center" wrapText="1"/>
    </xf>
    <xf numFmtId="0" fontId="13" fillId="23" borderId="4" xfId="0" applyFont="1" applyFill="1" applyBorder="1" applyAlignment="1">
      <alignment horizontal="center" vertical="center" wrapText="1"/>
    </xf>
    <xf numFmtId="0" fontId="11" fillId="8" borderId="1" xfId="0" applyFont="1" applyFill="1" applyBorder="1" applyAlignment="1">
      <alignment vertical="center" wrapText="1"/>
    </xf>
    <xf numFmtId="0" fontId="11" fillId="8" borderId="2" xfId="0" applyFont="1" applyFill="1" applyBorder="1" applyAlignment="1">
      <alignment horizontal="center" vertical="center" wrapText="1"/>
    </xf>
    <xf numFmtId="0" fontId="6" fillId="0" borderId="0" xfId="0" applyFont="1"/>
    <xf numFmtId="0" fontId="8" fillId="8" borderId="1" xfId="0" applyFont="1" applyFill="1" applyBorder="1" applyAlignment="1">
      <alignment vertical="center" wrapText="1"/>
    </xf>
    <xf numFmtId="0" fontId="16" fillId="8" borderId="1" xfId="0" applyFont="1" applyFill="1" applyBorder="1" applyAlignment="1">
      <alignment vertical="center" wrapText="1"/>
    </xf>
    <xf numFmtId="0" fontId="16" fillId="23" borderId="3" xfId="0" applyFont="1" applyFill="1" applyBorder="1" applyAlignment="1">
      <alignment vertical="center" wrapText="1"/>
    </xf>
    <xf numFmtId="0" fontId="16" fillId="23" borderId="1" xfId="0" applyFont="1" applyFill="1" applyBorder="1" applyAlignment="1">
      <alignment vertical="center" wrapText="1"/>
    </xf>
    <xf numFmtId="14" fontId="7" fillId="9" borderId="3" xfId="0" applyNumberFormat="1" applyFont="1" applyFill="1" applyBorder="1" applyAlignment="1">
      <alignment horizontal="left" vertical="center" wrapText="1"/>
    </xf>
    <xf numFmtId="0" fontId="33" fillId="0" borderId="0" xfId="0" applyFont="1"/>
    <xf numFmtId="0" fontId="11" fillId="23" borderId="2" xfId="0" applyFont="1" applyFill="1" applyBorder="1" applyAlignment="1">
      <alignment horizontal="center" vertical="center" wrapText="1"/>
    </xf>
    <xf numFmtId="0" fontId="11" fillId="9" borderId="9" xfId="0" applyFont="1" applyFill="1" applyBorder="1" applyAlignment="1">
      <alignment horizontal="right" vertical="center" wrapText="1"/>
    </xf>
    <xf numFmtId="0" fontId="9" fillId="9" borderId="4" xfId="0" applyFont="1" applyFill="1" applyBorder="1" applyAlignment="1">
      <alignment horizontal="right" vertical="center" wrapText="1"/>
    </xf>
    <xf numFmtId="0" fontId="1" fillId="9" borderId="5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1" fillId="9" borderId="16" xfId="0" applyFont="1" applyFill="1" applyBorder="1" applyAlignment="1">
      <alignment vertical="center" wrapText="1"/>
    </xf>
    <xf numFmtId="0" fontId="9" fillId="9" borderId="0" xfId="0" applyFont="1" applyFill="1" applyAlignment="1">
      <alignment horizontal="center" vertical="center" wrapText="1"/>
    </xf>
    <xf numFmtId="0" fontId="3" fillId="9" borderId="5" xfId="0" applyFont="1" applyFill="1" applyBorder="1" applyAlignment="1">
      <alignment horizontal="center" vertical="center" wrapText="1"/>
    </xf>
    <xf numFmtId="0" fontId="3" fillId="9" borderId="0" xfId="0" applyFont="1" applyFill="1" applyAlignment="1">
      <alignment horizontal="center" vertical="center" wrapText="1"/>
    </xf>
    <xf numFmtId="0" fontId="9" fillId="9" borderId="5" xfId="0" applyFont="1" applyFill="1" applyBorder="1" applyAlignment="1">
      <alignment horizontal="right" vertical="center" wrapText="1"/>
    </xf>
    <xf numFmtId="0" fontId="0" fillId="9" borderId="0" xfId="0" applyFill="1" applyAlignment="1">
      <alignment horizontal="center" vertical="center" wrapText="1"/>
    </xf>
    <xf numFmtId="0" fontId="11" fillId="9" borderId="4" xfId="0" applyFont="1" applyFill="1" applyBorder="1" applyAlignment="1">
      <alignment horizontal="right" vertical="center" wrapText="1"/>
    </xf>
    <xf numFmtId="1" fontId="16" fillId="8" borderId="4" xfId="0" applyNumberFormat="1" applyFont="1" applyFill="1" applyBorder="1" applyAlignment="1">
      <alignment horizontal="right" vertical="center" wrapText="1"/>
    </xf>
    <xf numFmtId="0" fontId="0" fillId="9" borderId="5" xfId="0" applyFill="1" applyBorder="1" applyAlignment="1">
      <alignment horizontal="center" vertical="center" wrapText="1"/>
    </xf>
    <xf numFmtId="14" fontId="16" fillId="8" borderId="3" xfId="0" applyNumberFormat="1" applyFont="1" applyFill="1" applyBorder="1" applyAlignment="1">
      <alignment horizontal="left" vertical="center" wrapText="1"/>
    </xf>
    <xf numFmtId="0" fontId="13" fillId="8" borderId="1" xfId="0" applyFont="1" applyFill="1" applyBorder="1" applyAlignment="1">
      <alignment horizontal="center"/>
    </xf>
    <xf numFmtId="0" fontId="9" fillId="8" borderId="1" xfId="0" applyFont="1" applyFill="1" applyBorder="1" applyAlignment="1">
      <alignment horizontal="center"/>
    </xf>
    <xf numFmtId="0" fontId="12" fillId="9" borderId="3" xfId="0" applyFont="1" applyFill="1" applyBorder="1" applyAlignment="1">
      <alignment vertical="center" wrapText="1"/>
    </xf>
    <xf numFmtId="0" fontId="11" fillId="9" borderId="13" xfId="0" applyFont="1" applyFill="1" applyBorder="1" applyAlignment="1">
      <alignment horizontal="right" vertical="center" wrapText="1"/>
    </xf>
    <xf numFmtId="0" fontId="0" fillId="0" borderId="14" xfId="0" applyBorder="1"/>
    <xf numFmtId="0" fontId="16" fillId="9" borderId="14" xfId="0" applyFont="1" applyFill="1" applyBorder="1" applyAlignment="1">
      <alignment vertical="center" wrapText="1"/>
    </xf>
    <xf numFmtId="0" fontId="16" fillId="9" borderId="13" xfId="0" applyFont="1" applyFill="1" applyBorder="1" applyAlignment="1">
      <alignment horizontal="right" vertical="center" wrapText="1"/>
    </xf>
    <xf numFmtId="1" fontId="16" fillId="9" borderId="13" xfId="0" applyNumberFormat="1" applyFont="1" applyFill="1" applyBorder="1" applyAlignment="1">
      <alignment horizontal="right" vertical="center" wrapText="1"/>
    </xf>
    <xf numFmtId="0" fontId="16" fillId="9" borderId="9" xfId="0" applyFont="1" applyFill="1" applyBorder="1" applyAlignment="1">
      <alignment horizontal="right" vertical="center" wrapText="1"/>
    </xf>
    <xf numFmtId="0" fontId="16" fillId="6" borderId="4" xfId="0" applyFont="1" applyFill="1" applyBorder="1" applyAlignment="1">
      <alignment vertical="center" wrapText="1"/>
    </xf>
    <xf numFmtId="1" fontId="31" fillId="4" borderId="5" xfId="0" applyNumberFormat="1" applyFont="1" applyFill="1" applyBorder="1" applyAlignment="1">
      <alignment horizontal="right" vertical="center" wrapText="1"/>
    </xf>
    <xf numFmtId="0" fontId="30" fillId="9" borderId="0" xfId="0" applyFont="1" applyFill="1" applyAlignment="1">
      <alignment horizontal="right" vertical="center" wrapText="1"/>
    </xf>
    <xf numFmtId="0" fontId="30" fillId="9" borderId="14" xfId="0" applyFont="1" applyFill="1" applyBorder="1" applyAlignment="1">
      <alignment vertical="center" wrapText="1"/>
    </xf>
    <xf numFmtId="0" fontId="30" fillId="9" borderId="13" xfId="0" applyFont="1" applyFill="1" applyBorder="1" applyAlignment="1">
      <alignment horizontal="right" vertical="center" wrapText="1"/>
    </xf>
    <xf numFmtId="1" fontId="30" fillId="9" borderId="0" xfId="0" applyNumberFormat="1" applyFont="1" applyFill="1" applyAlignment="1">
      <alignment horizontal="right" vertical="center" wrapText="1"/>
    </xf>
    <xf numFmtId="0" fontId="30" fillId="9" borderId="9" xfId="0" applyFont="1" applyFill="1" applyBorder="1" applyAlignment="1">
      <alignment horizontal="right" vertical="center" wrapText="1"/>
    </xf>
    <xf numFmtId="0" fontId="16" fillId="9" borderId="12" xfId="0" applyFont="1" applyFill="1" applyBorder="1" applyAlignment="1">
      <alignment vertical="center" wrapText="1"/>
    </xf>
    <xf numFmtId="0" fontId="13" fillId="5" borderId="4" xfId="0" applyFont="1" applyFill="1" applyBorder="1" applyAlignment="1">
      <alignment horizontal="right" vertical="center" wrapText="1"/>
    </xf>
    <xf numFmtId="0" fontId="13" fillId="12" borderId="4" xfId="0" applyFont="1" applyFill="1" applyBorder="1" applyAlignment="1">
      <alignment horizontal="right" vertical="center" wrapText="1"/>
    </xf>
    <xf numFmtId="0" fontId="6" fillId="9" borderId="0" xfId="0" applyFont="1" applyFill="1"/>
    <xf numFmtId="0" fontId="11" fillId="24" borderId="4" xfId="0" applyFont="1" applyFill="1" applyBorder="1" applyAlignment="1">
      <alignment horizontal="right" vertical="center" wrapText="1"/>
    </xf>
    <xf numFmtId="0" fontId="13" fillId="2" borderId="4" xfId="0" applyFont="1" applyFill="1" applyBorder="1" applyAlignment="1">
      <alignment horizontal="right" vertical="center" wrapText="1"/>
    </xf>
    <xf numFmtId="0" fontId="13" fillId="8" borderId="4" xfId="0" applyFont="1" applyFill="1" applyBorder="1" applyAlignment="1">
      <alignment horizontal="right" vertical="center" wrapText="1"/>
    </xf>
    <xf numFmtId="0" fontId="18" fillId="10" borderId="4" xfId="0" applyFont="1" applyFill="1" applyBorder="1" applyAlignment="1">
      <alignment horizontal="right" vertical="center" wrapText="1"/>
    </xf>
    <xf numFmtId="0" fontId="18" fillId="14" borderId="4" xfId="0" applyFont="1" applyFill="1" applyBorder="1" applyAlignment="1">
      <alignment horizontal="right" vertical="center" wrapText="1"/>
    </xf>
    <xf numFmtId="0" fontId="35" fillId="3" borderId="4" xfId="0" applyFont="1" applyFill="1" applyBorder="1" applyAlignment="1">
      <alignment horizontal="right" vertical="center" wrapText="1"/>
    </xf>
    <xf numFmtId="14" fontId="11" fillId="9" borderId="4" xfId="0" applyNumberFormat="1" applyFont="1" applyFill="1" applyBorder="1" applyAlignment="1">
      <alignment horizontal="right" vertical="center" wrapText="1"/>
    </xf>
    <xf numFmtId="0" fontId="12" fillId="9" borderId="14" xfId="0" applyFont="1" applyFill="1" applyBorder="1" applyAlignment="1">
      <alignment vertical="center" wrapText="1"/>
    </xf>
    <xf numFmtId="0" fontId="5" fillId="0" borderId="14" xfId="0" applyFont="1" applyBorder="1"/>
    <xf numFmtId="0" fontId="5" fillId="0" borderId="0" xfId="0" applyFont="1"/>
    <xf numFmtId="0" fontId="0" fillId="0" borderId="11" xfId="0" applyBorder="1" applyAlignment="1">
      <alignment vertical="center" wrapText="1"/>
    </xf>
    <xf numFmtId="0" fontId="11" fillId="9" borderId="4" xfId="0" applyFont="1" applyFill="1" applyBorder="1" applyAlignment="1">
      <alignment vertical="center" wrapText="1"/>
    </xf>
    <xf numFmtId="1" fontId="11" fillId="9" borderId="2" xfId="0" applyNumberFormat="1" applyFont="1" applyFill="1" applyBorder="1" applyAlignment="1">
      <alignment horizontal="right" vertical="center" wrapText="1"/>
    </xf>
    <xf numFmtId="0" fontId="11" fillId="9" borderId="2" xfId="0" applyFont="1" applyFill="1" applyBorder="1" applyAlignment="1">
      <alignment horizontal="right" vertical="center" wrapText="1"/>
    </xf>
    <xf numFmtId="0" fontId="25" fillId="24" borderId="9" xfId="0" applyFont="1" applyFill="1" applyBorder="1" applyAlignment="1">
      <alignment vertical="center"/>
    </xf>
    <xf numFmtId="0" fontId="25" fillId="24" borderId="7" xfId="0" applyFont="1" applyFill="1" applyBorder="1" applyAlignment="1">
      <alignment vertical="center"/>
    </xf>
    <xf numFmtId="0" fontId="11" fillId="24" borderId="2" xfId="0" applyFont="1" applyFill="1" applyBorder="1" applyAlignment="1">
      <alignment horizontal="right" vertical="center" wrapText="1"/>
    </xf>
    <xf numFmtId="0" fontId="11" fillId="18" borderId="2" xfId="0" applyFont="1" applyFill="1" applyBorder="1" applyAlignment="1">
      <alignment horizontal="right" vertical="center" wrapText="1"/>
    </xf>
    <xf numFmtId="0" fontId="11" fillId="18" borderId="4" xfId="0" applyFont="1" applyFill="1" applyBorder="1" applyAlignment="1">
      <alignment horizontal="right" vertical="center" wrapText="1"/>
    </xf>
    <xf numFmtId="0" fontId="9" fillId="9" borderId="3" xfId="0" applyFont="1" applyFill="1" applyBorder="1" applyAlignment="1">
      <alignment horizontal="right" vertical="center" wrapText="1"/>
    </xf>
    <xf numFmtId="14" fontId="11" fillId="9" borderId="4" xfId="0" applyNumberFormat="1" applyFont="1" applyFill="1" applyBorder="1" applyAlignment="1">
      <alignment horizontal="left" vertical="center" wrapText="1"/>
    </xf>
    <xf numFmtId="0" fontId="16" fillId="19" borderId="1" xfId="0" applyFont="1" applyFill="1" applyBorder="1" applyAlignment="1">
      <alignment vertical="center" wrapText="1"/>
    </xf>
    <xf numFmtId="0" fontId="16" fillId="19" borderId="2" xfId="0" applyFont="1" applyFill="1" applyBorder="1" applyAlignment="1">
      <alignment horizontal="right" vertical="center" wrapText="1"/>
    </xf>
    <xf numFmtId="0" fontId="16" fillId="8" borderId="2" xfId="0" applyFont="1" applyFill="1" applyBorder="1" applyAlignment="1">
      <alignment vertical="center" wrapText="1"/>
    </xf>
    <xf numFmtId="0" fontId="22" fillId="8" borderId="2" xfId="0" applyFont="1" applyFill="1" applyBorder="1" applyAlignment="1">
      <alignment horizontal="right" vertical="center" wrapText="1"/>
    </xf>
    <xf numFmtId="0" fontId="24" fillId="8" borderId="2" xfId="0" applyFont="1" applyFill="1" applyBorder="1" applyAlignment="1">
      <alignment horizontal="right" vertical="center" wrapText="1"/>
    </xf>
    <xf numFmtId="0" fontId="16" fillId="8" borderId="2" xfId="0" applyFont="1" applyFill="1" applyBorder="1" applyAlignment="1">
      <alignment horizontal="right" vertical="center" wrapText="1"/>
    </xf>
    <xf numFmtId="0" fontId="0" fillId="0" borderId="13" xfId="0" applyBorder="1"/>
    <xf numFmtId="0" fontId="0" fillId="0" borderId="14" xfId="0" applyBorder="1" applyAlignment="1">
      <alignment vertical="center" wrapText="1"/>
    </xf>
    <xf numFmtId="0" fontId="11" fillId="7" borderId="4" xfId="0" applyFont="1" applyFill="1" applyBorder="1" applyAlignment="1">
      <alignment horizontal="center" vertical="center" wrapText="1"/>
    </xf>
    <xf numFmtId="14" fontId="11" fillId="7" borderId="4" xfId="0" applyNumberFormat="1" applyFont="1" applyFill="1" applyBorder="1" applyAlignment="1">
      <alignment horizontal="left" vertical="center" wrapText="1"/>
    </xf>
    <xf numFmtId="0" fontId="9" fillId="7" borderId="4" xfId="0" applyFont="1" applyFill="1" applyBorder="1" applyAlignment="1">
      <alignment horizontal="center" vertical="center" wrapText="1"/>
    </xf>
    <xf numFmtId="0" fontId="31" fillId="4" borderId="1" xfId="0" applyFont="1" applyFill="1" applyBorder="1" applyAlignment="1">
      <alignment vertical="center" wrapText="1"/>
    </xf>
    <xf numFmtId="0" fontId="31" fillId="4" borderId="2" xfId="0" applyFont="1" applyFill="1" applyBorder="1" applyAlignment="1">
      <alignment horizontal="right" vertical="center" wrapText="1"/>
    </xf>
    <xf numFmtId="0" fontId="16" fillId="3" borderId="1" xfId="0" applyFont="1" applyFill="1" applyBorder="1" applyAlignment="1">
      <alignment vertical="center" wrapText="1"/>
    </xf>
    <xf numFmtId="0" fontId="16" fillId="3" borderId="2" xfId="0" applyFont="1" applyFill="1" applyBorder="1" applyAlignment="1">
      <alignment horizontal="right" vertical="center" wrapText="1"/>
    </xf>
    <xf numFmtId="14" fontId="11" fillId="7" borderId="4" xfId="0" applyNumberFormat="1" applyFont="1" applyFill="1" applyBorder="1" applyAlignment="1">
      <alignment horizontal="right" vertical="center" wrapText="1"/>
    </xf>
    <xf numFmtId="0" fontId="11" fillId="8" borderId="2" xfId="0" applyFont="1" applyFill="1" applyBorder="1" applyAlignment="1">
      <alignment vertical="center" wrapText="1"/>
    </xf>
    <xf numFmtId="0" fontId="16" fillId="11" borderId="1" xfId="0" applyFont="1" applyFill="1" applyBorder="1" applyAlignment="1">
      <alignment vertical="center" wrapText="1"/>
    </xf>
    <xf numFmtId="0" fontId="24" fillId="11" borderId="2" xfId="0" applyFont="1" applyFill="1" applyBorder="1" applyAlignment="1">
      <alignment horizontal="right" vertical="center" wrapText="1"/>
    </xf>
    <xf numFmtId="0" fontId="16" fillId="11" borderId="2" xfId="0" applyFont="1" applyFill="1" applyBorder="1" applyAlignment="1">
      <alignment horizontal="right" vertical="center" wrapText="1"/>
    </xf>
    <xf numFmtId="0" fontId="24" fillId="11" borderId="4" xfId="0" applyFont="1" applyFill="1" applyBorder="1" applyAlignment="1">
      <alignment horizontal="right" vertical="center" wrapText="1"/>
    </xf>
    <xf numFmtId="0" fontId="13" fillId="5" borderId="2" xfId="0" applyFont="1" applyFill="1" applyBorder="1" applyAlignment="1">
      <alignment horizontal="right" vertical="center" wrapText="1"/>
    </xf>
    <xf numFmtId="0" fontId="16" fillId="5" borderId="2" xfId="0" applyFont="1" applyFill="1" applyBorder="1" applyAlignment="1">
      <alignment horizontal="right" vertical="center" wrapText="1"/>
    </xf>
    <xf numFmtId="0" fontId="13" fillId="8" borderId="2" xfId="0" applyFont="1" applyFill="1" applyBorder="1" applyAlignment="1">
      <alignment horizontal="right" vertical="center" wrapText="1"/>
    </xf>
    <xf numFmtId="0" fontId="35" fillId="3" borderId="2" xfId="0" applyFont="1" applyFill="1" applyBorder="1" applyAlignment="1">
      <alignment horizontal="right" vertical="center" wrapText="1"/>
    </xf>
    <xf numFmtId="0" fontId="16" fillId="2" borderId="1" xfId="0" applyFont="1" applyFill="1" applyBorder="1" applyAlignment="1">
      <alignment vertical="center" wrapText="1"/>
    </xf>
    <xf numFmtId="0" fontId="13" fillId="2" borderId="2" xfId="0" applyFont="1" applyFill="1" applyBorder="1" applyAlignment="1">
      <alignment horizontal="right" vertical="center" wrapText="1"/>
    </xf>
    <xf numFmtId="0" fontId="16" fillId="2" borderId="2" xfId="0" applyFont="1" applyFill="1" applyBorder="1" applyAlignment="1">
      <alignment horizontal="right" vertical="center" wrapText="1"/>
    </xf>
    <xf numFmtId="0" fontId="11" fillId="7" borderId="2" xfId="0" applyFont="1" applyFill="1" applyBorder="1" applyAlignment="1">
      <alignment horizontal="right" vertical="center" wrapText="1"/>
    </xf>
    <xf numFmtId="0" fontId="16" fillId="12" borderId="1" xfId="0" applyFont="1" applyFill="1" applyBorder="1" applyAlignment="1">
      <alignment vertical="center" wrapText="1"/>
    </xf>
    <xf numFmtId="0" fontId="24" fillId="12" borderId="2" xfId="0" applyFont="1" applyFill="1" applyBorder="1" applyAlignment="1">
      <alignment horizontal="right" vertical="center" wrapText="1"/>
    </xf>
    <xf numFmtId="0" fontId="16" fillId="12" borderId="2" xfId="0" applyFont="1" applyFill="1" applyBorder="1" applyAlignment="1">
      <alignment horizontal="center" vertical="center" wrapText="1"/>
    </xf>
    <xf numFmtId="0" fontId="16" fillId="13" borderId="2" xfId="0" applyFont="1" applyFill="1" applyBorder="1" applyAlignment="1">
      <alignment vertical="center" wrapText="1"/>
    </xf>
    <xf numFmtId="0" fontId="16" fillId="13" borderId="2" xfId="0" applyFont="1" applyFill="1" applyBorder="1" applyAlignment="1">
      <alignment horizontal="right" vertical="center" wrapText="1"/>
    </xf>
    <xf numFmtId="0" fontId="30" fillId="10" borderId="1" xfId="0" applyFont="1" applyFill="1" applyBorder="1" applyAlignment="1">
      <alignment vertical="center" wrapText="1"/>
    </xf>
    <xf numFmtId="0" fontId="18" fillId="10" borderId="2" xfId="0" applyFont="1" applyFill="1" applyBorder="1" applyAlignment="1">
      <alignment horizontal="right" vertical="center" wrapText="1"/>
    </xf>
    <xf numFmtId="0" fontId="30" fillId="10" borderId="2" xfId="0" applyFont="1" applyFill="1" applyBorder="1" applyAlignment="1">
      <alignment horizontal="right" vertical="center" wrapText="1"/>
    </xf>
    <xf numFmtId="0" fontId="30" fillId="17" borderId="2" xfId="0" applyFont="1" applyFill="1" applyBorder="1" applyAlignment="1">
      <alignment vertical="center" wrapText="1"/>
    </xf>
    <xf numFmtId="0" fontId="18" fillId="14" borderId="2" xfId="0" applyFont="1" applyFill="1" applyBorder="1" applyAlignment="1">
      <alignment horizontal="right" vertical="center" wrapText="1"/>
    </xf>
    <xf numFmtId="0" fontId="30" fillId="14" borderId="2" xfId="0" applyFont="1" applyFill="1" applyBorder="1" applyAlignment="1">
      <alignment horizontal="right" vertical="center" wrapText="1"/>
    </xf>
    <xf numFmtId="0" fontId="16" fillId="6" borderId="1" xfId="0" applyFont="1" applyFill="1" applyBorder="1" applyAlignment="1">
      <alignment vertical="center" wrapText="1"/>
    </xf>
    <xf numFmtId="0" fontId="16" fillId="6" borderId="2" xfId="0" applyFont="1" applyFill="1" applyBorder="1" applyAlignment="1">
      <alignment horizontal="right" vertical="center" wrapText="1"/>
    </xf>
    <xf numFmtId="0" fontId="16" fillId="12" borderId="2" xfId="0" applyFont="1" applyFill="1" applyBorder="1" applyAlignment="1">
      <alignment vertical="center" wrapText="1"/>
    </xf>
    <xf numFmtId="0" fontId="16" fillId="12" borderId="2" xfId="0" applyFont="1" applyFill="1" applyBorder="1" applyAlignment="1">
      <alignment horizontal="right" vertical="center" wrapText="1"/>
    </xf>
    <xf numFmtId="0" fontId="16" fillId="5" borderId="1" xfId="0" applyFont="1" applyFill="1" applyBorder="1" applyAlignment="1">
      <alignment vertical="center" wrapText="1"/>
    </xf>
    <xf numFmtId="0" fontId="13" fillId="12" borderId="2" xfId="0" applyFont="1" applyFill="1" applyBorder="1" applyAlignment="1">
      <alignment horizontal="right" vertical="center" wrapText="1"/>
    </xf>
    <xf numFmtId="0" fontId="24" fillId="3" borderId="2" xfId="0" applyFont="1" applyFill="1" applyBorder="1" applyAlignment="1">
      <alignment horizontal="right" vertical="center" wrapText="1"/>
    </xf>
    <xf numFmtId="0" fontId="11" fillId="20" borderId="1" xfId="0" applyFont="1" applyFill="1" applyBorder="1" applyAlignment="1">
      <alignment vertical="center" wrapText="1"/>
    </xf>
    <xf numFmtId="0" fontId="24" fillId="20" borderId="2" xfId="0" applyFont="1" applyFill="1" applyBorder="1" applyAlignment="1">
      <alignment horizontal="right" vertical="center" wrapText="1"/>
    </xf>
    <xf numFmtId="0" fontId="11" fillId="20" borderId="2" xfId="0" applyFont="1" applyFill="1" applyBorder="1" applyAlignment="1">
      <alignment horizontal="right" vertical="center" wrapText="1"/>
    </xf>
    <xf numFmtId="0" fontId="22" fillId="3" borderId="2" xfId="0" applyFont="1" applyFill="1" applyBorder="1" applyAlignment="1">
      <alignment horizontal="right" vertical="center" wrapText="1"/>
    </xf>
    <xf numFmtId="0" fontId="8" fillId="8" borderId="2" xfId="0" applyFont="1" applyFill="1" applyBorder="1" applyAlignment="1">
      <alignment vertical="center" wrapText="1"/>
    </xf>
    <xf numFmtId="0" fontId="16" fillId="23" borderId="4" xfId="0" applyFont="1" applyFill="1" applyBorder="1" applyAlignment="1">
      <alignment vertical="center" wrapText="1"/>
    </xf>
    <xf numFmtId="14" fontId="11" fillId="8" borderId="1" xfId="0" applyNumberFormat="1" applyFont="1" applyFill="1" applyBorder="1" applyAlignment="1">
      <alignment horizontal="center" vertical="center" wrapText="1"/>
    </xf>
    <xf numFmtId="0" fontId="11" fillId="8" borderId="1" xfId="0" applyFont="1" applyFill="1" applyBorder="1" applyAlignment="1">
      <alignment horizontal="center"/>
    </xf>
    <xf numFmtId="0" fontId="11" fillId="9" borderId="3" xfId="0" applyFont="1" applyFill="1" applyBorder="1" applyAlignment="1">
      <alignment horizontal="right" vertical="center" wrapText="1"/>
    </xf>
    <xf numFmtId="0" fontId="3" fillId="9" borderId="14" xfId="0" applyFont="1" applyFill="1" applyBorder="1" applyAlignment="1">
      <alignment horizontal="center" vertical="center" wrapText="1"/>
    </xf>
    <xf numFmtId="1" fontId="11" fillId="9" borderId="1" xfId="0" applyNumberFormat="1" applyFont="1" applyFill="1" applyBorder="1" applyAlignment="1">
      <alignment horizontal="right" vertical="center" wrapText="1"/>
    </xf>
    <xf numFmtId="1" fontId="11" fillId="9" borderId="4" xfId="0" applyNumberFormat="1" applyFont="1" applyFill="1" applyBorder="1" applyAlignment="1">
      <alignment horizontal="right" vertical="center" wrapText="1"/>
    </xf>
    <xf numFmtId="0" fontId="11" fillId="9" borderId="1" xfId="0" applyFont="1" applyFill="1" applyBorder="1" applyAlignment="1">
      <alignment horizontal="right" vertical="center" wrapText="1"/>
    </xf>
    <xf numFmtId="14" fontId="16" fillId="2" borderId="3" xfId="0" applyNumberFormat="1" applyFont="1" applyFill="1" applyBorder="1" applyAlignment="1">
      <alignment horizontal="left" vertical="center" wrapText="1"/>
    </xf>
    <xf numFmtId="14" fontId="11" fillId="9" borderId="3" xfId="0" applyNumberFormat="1" applyFont="1" applyFill="1" applyBorder="1" applyAlignment="1">
      <alignment horizontal="right" vertical="center" wrapText="1"/>
    </xf>
    <xf numFmtId="0" fontId="1" fillId="9" borderId="14" xfId="0" applyFont="1" applyFill="1" applyBorder="1" applyAlignment="1">
      <alignment horizontal="center" vertical="center" wrapText="1"/>
    </xf>
    <xf numFmtId="0" fontId="17" fillId="9" borderId="10" xfId="0" applyFont="1" applyFill="1" applyBorder="1" applyAlignment="1">
      <alignment vertical="center" wrapText="1"/>
    </xf>
    <xf numFmtId="0" fontId="0" fillId="0" borderId="0" xfId="0" applyAlignment="1">
      <alignment horizontal="center" vertical="center" wrapText="1"/>
    </xf>
    <xf numFmtId="0" fontId="11" fillId="20" borderId="1" xfId="0" applyFont="1" applyFill="1" applyBorder="1" applyAlignment="1">
      <alignment horizontal="right" vertical="center" wrapText="1"/>
    </xf>
    <xf numFmtId="0" fontId="24" fillId="3" borderId="1" xfId="0" applyFont="1" applyFill="1" applyBorder="1" applyAlignment="1">
      <alignment vertical="center" wrapText="1"/>
    </xf>
    <xf numFmtId="0" fontId="24" fillId="3" borderId="3" xfId="0" applyFont="1" applyFill="1" applyBorder="1" applyAlignment="1">
      <alignment vertical="center" wrapText="1"/>
    </xf>
    <xf numFmtId="1" fontId="24" fillId="3" borderId="4" xfId="0" applyNumberFormat="1" applyFont="1" applyFill="1" applyBorder="1" applyAlignment="1">
      <alignment horizontal="right" vertical="center" wrapText="1"/>
    </xf>
    <xf numFmtId="0" fontId="11" fillId="9" borderId="4" xfId="0" applyFont="1" applyFill="1" applyBorder="1" applyAlignment="1">
      <alignment horizontal="center" vertical="center" wrapText="1"/>
    </xf>
    <xf numFmtId="0" fontId="11" fillId="9" borderId="11" xfId="0" applyFont="1" applyFill="1" applyBorder="1" applyAlignment="1">
      <alignment horizontal="right" vertical="center" wrapText="1"/>
    </xf>
    <xf numFmtId="0" fontId="0" fillId="0" borderId="15" xfId="0" applyBorder="1" applyAlignment="1">
      <alignment vertical="center" wrapText="1"/>
    </xf>
    <xf numFmtId="0" fontId="11" fillId="9" borderId="3" xfId="0" applyFont="1" applyFill="1" applyBorder="1" applyAlignment="1">
      <alignment vertical="center" wrapText="1"/>
    </xf>
    <xf numFmtId="0" fontId="11" fillId="9" borderId="1" xfId="0" applyFont="1" applyFill="1" applyBorder="1" applyAlignment="1">
      <alignment vertical="center" wrapText="1"/>
    </xf>
    <xf numFmtId="0" fontId="11" fillId="9" borderId="11" xfId="0" applyFont="1" applyFill="1" applyBorder="1" applyAlignment="1">
      <alignment vertical="center" wrapText="1"/>
    </xf>
    <xf numFmtId="0" fontId="3" fillId="9" borderId="15" xfId="0" applyFont="1" applyFill="1" applyBorder="1" applyAlignment="1">
      <alignment horizontal="center" vertical="center" wrapText="1"/>
    </xf>
    <xf numFmtId="14" fontId="16" fillId="6" borderId="4" xfId="0" applyNumberFormat="1" applyFont="1" applyFill="1" applyBorder="1" applyAlignment="1">
      <alignment horizontal="left" vertical="center" wrapText="1"/>
    </xf>
    <xf numFmtId="1" fontId="9" fillId="9" borderId="4" xfId="0" applyNumberFormat="1" applyFont="1" applyFill="1" applyBorder="1" applyAlignment="1">
      <alignment horizontal="right" vertical="center" wrapText="1"/>
    </xf>
    <xf numFmtId="0" fontId="16" fillId="12" borderId="5" xfId="0" applyFont="1" applyFill="1" applyBorder="1" applyAlignment="1">
      <alignment horizontal="right" vertical="center" wrapText="1"/>
    </xf>
    <xf numFmtId="0" fontId="0" fillId="0" borderId="15" xfId="0" applyBorder="1"/>
    <xf numFmtId="0" fontId="34" fillId="9" borderId="0" xfId="0" applyFont="1" applyFill="1" applyAlignment="1">
      <alignment horizontal="center" vertical="center" wrapText="1"/>
    </xf>
    <xf numFmtId="0" fontId="38" fillId="8" borderId="2" xfId="0" applyFont="1" applyFill="1" applyBorder="1" applyAlignment="1">
      <alignment horizontal="right" vertical="center" wrapText="1"/>
    </xf>
    <xf numFmtId="0" fontId="38" fillId="8" borderId="4" xfId="0" applyFont="1" applyFill="1" applyBorder="1" applyAlignment="1">
      <alignment horizontal="right" vertical="center" wrapText="1"/>
    </xf>
    <xf numFmtId="0" fontId="22" fillId="9" borderId="2" xfId="0" applyFont="1" applyFill="1" applyBorder="1" applyAlignment="1">
      <alignment horizontal="right" vertical="center" wrapText="1"/>
    </xf>
    <xf numFmtId="0" fontId="22" fillId="9" borderId="4" xfId="0" applyFont="1" applyFill="1" applyBorder="1" applyAlignment="1">
      <alignment horizontal="right" vertical="center" wrapText="1"/>
    </xf>
    <xf numFmtId="0" fontId="38" fillId="6" borderId="2" xfId="0" applyFont="1" applyFill="1" applyBorder="1" applyAlignment="1">
      <alignment horizontal="right" vertical="center" wrapText="1"/>
    </xf>
    <xf numFmtId="0" fontId="38" fillId="6" borderId="4" xfId="0" applyFont="1" applyFill="1" applyBorder="1" applyAlignment="1">
      <alignment horizontal="right" vertical="center" wrapText="1"/>
    </xf>
    <xf numFmtId="14" fontId="11" fillId="9" borderId="3" xfId="0" applyNumberFormat="1" applyFont="1" applyFill="1" applyBorder="1" applyAlignment="1">
      <alignment horizontal="left" vertical="center" wrapText="1"/>
    </xf>
    <xf numFmtId="0" fontId="16" fillId="3" borderId="1" xfId="0" applyFont="1" applyFill="1" applyBorder="1" applyAlignment="1">
      <alignment horizontal="right" vertical="center" wrapText="1"/>
    </xf>
    <xf numFmtId="0" fontId="31" fillId="27" borderId="2" xfId="0" applyFont="1" applyFill="1" applyBorder="1" applyAlignment="1">
      <alignment horizontal="right" vertical="center" wrapText="1"/>
    </xf>
    <xf numFmtId="0" fontId="31" fillId="27" borderId="2" xfId="0" applyFont="1" applyFill="1" applyBorder="1" applyAlignment="1">
      <alignment vertical="center" wrapText="1"/>
    </xf>
    <xf numFmtId="0" fontId="31" fillId="27" borderId="3" xfId="0" applyFont="1" applyFill="1" applyBorder="1" applyAlignment="1">
      <alignment vertical="center" wrapText="1"/>
    </xf>
    <xf numFmtId="0" fontId="31" fillId="27" borderId="4" xfId="0" applyFont="1" applyFill="1" applyBorder="1" applyAlignment="1">
      <alignment horizontal="right" vertical="center" wrapText="1"/>
    </xf>
    <xf numFmtId="0" fontId="31" fillId="27" borderId="4" xfId="0" applyFont="1" applyFill="1" applyBorder="1" applyAlignment="1">
      <alignment vertical="center" wrapText="1"/>
    </xf>
    <xf numFmtId="0" fontId="16" fillId="8" borderId="1" xfId="0" applyFont="1" applyFill="1" applyBorder="1" applyAlignment="1">
      <alignment horizontal="right" vertical="center" wrapText="1"/>
    </xf>
    <xf numFmtId="0" fontId="39" fillId="8" borderId="4" xfId="0" applyFont="1" applyFill="1" applyBorder="1" applyAlignment="1">
      <alignment horizontal="right" vertical="center" wrapText="1"/>
    </xf>
    <xf numFmtId="1" fontId="16" fillId="3" borderId="1" xfId="0" applyNumberFormat="1" applyFont="1" applyFill="1" applyBorder="1" applyAlignment="1">
      <alignment horizontal="right" vertical="center" wrapText="1"/>
    </xf>
    <xf numFmtId="0" fontId="27" fillId="9" borderId="0" xfId="0" applyFont="1" applyFill="1" applyAlignment="1">
      <alignment horizontal="center" vertical="center" wrapText="1"/>
    </xf>
    <xf numFmtId="0" fontId="9" fillId="21" borderId="4" xfId="0" applyFont="1" applyFill="1" applyBorder="1" applyAlignment="1">
      <alignment horizontal="right" vertical="center" wrapText="1"/>
    </xf>
    <xf numFmtId="0" fontId="9" fillId="21" borderId="2" xfId="0" applyFont="1" applyFill="1" applyBorder="1" applyAlignment="1">
      <alignment horizontal="right" vertical="center" wrapText="1"/>
    </xf>
    <xf numFmtId="0" fontId="9" fillId="9" borderId="3" xfId="0" applyFont="1" applyFill="1" applyBorder="1" applyAlignment="1">
      <alignment horizontal="center" vertical="center" wrapText="1"/>
    </xf>
    <xf numFmtId="0" fontId="11" fillId="9" borderId="3" xfId="0" applyFont="1" applyFill="1" applyBorder="1" applyAlignment="1">
      <alignment horizontal="center" vertical="center" wrapText="1"/>
    </xf>
    <xf numFmtId="0" fontId="16" fillId="12" borderId="4" xfId="0" applyFont="1" applyFill="1" applyBorder="1" applyAlignment="1">
      <alignment vertical="center" wrapText="1"/>
    </xf>
    <xf numFmtId="0" fontId="40" fillId="9" borderId="9" xfId="0" applyFont="1" applyFill="1" applyBorder="1" applyAlignment="1">
      <alignment horizontal="right" vertical="center" wrapText="1"/>
    </xf>
    <xf numFmtId="0" fontId="41" fillId="9" borderId="0" xfId="0" applyFont="1" applyFill="1"/>
    <xf numFmtId="0" fontId="41" fillId="0" borderId="0" xfId="0" applyFont="1"/>
    <xf numFmtId="0" fontId="18" fillId="9" borderId="2" xfId="0" applyFont="1" applyFill="1" applyBorder="1" applyAlignment="1">
      <alignment horizontal="right" vertical="center" wrapText="1"/>
    </xf>
    <xf numFmtId="0" fontId="18" fillId="9" borderId="4" xfId="0" applyFont="1" applyFill="1" applyBorder="1" applyAlignment="1">
      <alignment horizontal="right" vertical="center" wrapText="1"/>
    </xf>
    <xf numFmtId="0" fontId="42" fillId="13" borderId="2" xfId="0" applyFont="1" applyFill="1" applyBorder="1" applyAlignment="1">
      <alignment horizontal="right" vertical="center" wrapText="1"/>
    </xf>
    <xf numFmtId="0" fontId="42" fillId="13" borderId="4" xfId="0" applyFont="1" applyFill="1" applyBorder="1" applyAlignment="1">
      <alignment horizontal="right" vertical="center" wrapText="1"/>
    </xf>
    <xf numFmtId="0" fontId="11" fillId="9" borderId="9" xfId="0" applyFont="1" applyFill="1" applyBorder="1" applyAlignment="1">
      <alignment vertical="center" wrapText="1"/>
    </xf>
    <xf numFmtId="0" fontId="0" fillId="0" borderId="14" xfId="0" applyBorder="1" applyAlignment="1">
      <alignment horizontal="center" vertical="center" wrapText="1"/>
    </xf>
    <xf numFmtId="0" fontId="27" fillId="9" borderId="14" xfId="0" applyFont="1" applyFill="1" applyBorder="1" applyAlignment="1">
      <alignment horizontal="center" vertical="center" wrapText="1"/>
    </xf>
    <xf numFmtId="0" fontId="43" fillId="12" borderId="2" xfId="0" applyFont="1" applyFill="1" applyBorder="1" applyAlignment="1">
      <alignment horizontal="right" vertical="center" wrapText="1"/>
    </xf>
    <xf numFmtId="0" fontId="43" fillId="12" borderId="4" xfId="0" applyFont="1" applyFill="1" applyBorder="1" applyAlignment="1">
      <alignment horizontal="right" vertical="center" wrapText="1"/>
    </xf>
    <xf numFmtId="0" fontId="0" fillId="0" borderId="15" xfId="0" applyBorder="1" applyAlignment="1">
      <alignment vertical="center"/>
    </xf>
    <xf numFmtId="0" fontId="39" fillId="2" borderId="1" xfId="0" applyFont="1" applyFill="1" applyBorder="1" applyAlignment="1">
      <alignment vertical="center" wrapText="1"/>
    </xf>
    <xf numFmtId="0" fontId="39" fillId="2" borderId="2" xfId="0" applyFont="1" applyFill="1" applyBorder="1" applyAlignment="1">
      <alignment horizontal="right" vertical="center" wrapText="1"/>
    </xf>
    <xf numFmtId="0" fontId="39" fillId="2" borderId="4" xfId="0" applyFont="1" applyFill="1" applyBorder="1" applyAlignment="1">
      <alignment horizontal="right" vertical="center" wrapText="1"/>
    </xf>
    <xf numFmtId="0" fontId="39" fillId="17" borderId="2" xfId="0" applyFont="1" applyFill="1" applyBorder="1" applyAlignment="1">
      <alignment vertical="center" wrapText="1"/>
    </xf>
    <xf numFmtId="0" fontId="39" fillId="2" borderId="3" xfId="0" applyFont="1" applyFill="1" applyBorder="1" applyAlignment="1">
      <alignment vertical="center" wrapText="1"/>
    </xf>
    <xf numFmtId="0" fontId="39" fillId="17" borderId="3" xfId="0" applyFont="1" applyFill="1" applyBorder="1" applyAlignment="1">
      <alignment vertical="center" wrapText="1"/>
    </xf>
    <xf numFmtId="0" fontId="45" fillId="2" borderId="2" xfId="0" applyFont="1" applyFill="1" applyBorder="1" applyAlignment="1">
      <alignment horizontal="right" vertical="center" wrapText="1"/>
    </xf>
    <xf numFmtId="0" fontId="45" fillId="2" borderId="4" xfId="0" applyFont="1" applyFill="1" applyBorder="1" applyAlignment="1">
      <alignment horizontal="right" vertical="center" wrapText="1"/>
    </xf>
    <xf numFmtId="0" fontId="46" fillId="2" borderId="2" xfId="0" applyFont="1" applyFill="1" applyBorder="1" applyAlignment="1">
      <alignment horizontal="right" vertical="center" wrapText="1"/>
    </xf>
    <xf numFmtId="0" fontId="46" fillId="2" borderId="4" xfId="0" applyFont="1" applyFill="1" applyBorder="1" applyAlignment="1">
      <alignment horizontal="right" vertical="center" wrapText="1"/>
    </xf>
    <xf numFmtId="1" fontId="39" fillId="2" borderId="4" xfId="0" applyNumberFormat="1" applyFont="1" applyFill="1" applyBorder="1" applyAlignment="1">
      <alignment horizontal="right" vertical="center" wrapText="1"/>
    </xf>
    <xf numFmtId="0" fontId="36" fillId="10" borderId="2" xfId="0" applyFont="1" applyFill="1" applyBorder="1" applyAlignment="1">
      <alignment horizontal="right" vertical="center" wrapText="1"/>
    </xf>
    <xf numFmtId="0" fontId="36" fillId="10" borderId="4" xfId="0" applyFont="1" applyFill="1" applyBorder="1" applyAlignment="1">
      <alignment horizontal="right" vertical="center" wrapText="1"/>
    </xf>
    <xf numFmtId="0" fontId="36" fillId="14" borderId="2" xfId="0" applyFont="1" applyFill="1" applyBorder="1" applyAlignment="1">
      <alignment horizontal="right" vertical="center" wrapText="1"/>
    </xf>
    <xf numFmtId="0" fontId="36" fillId="14" borderId="4" xfId="0" applyFont="1" applyFill="1" applyBorder="1" applyAlignment="1">
      <alignment horizontal="right" vertical="center" wrapText="1"/>
    </xf>
    <xf numFmtId="0" fontId="11" fillId="9" borderId="10" xfId="0" applyFont="1" applyFill="1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24" fillId="8" borderId="4" xfId="0" applyFont="1" applyFill="1" applyBorder="1" applyAlignment="1">
      <alignment vertical="center" wrapText="1"/>
    </xf>
    <xf numFmtId="0" fontId="10" fillId="9" borderId="2" xfId="0" applyFont="1" applyFill="1" applyBorder="1" applyAlignment="1">
      <alignment horizontal="right" vertical="center" wrapText="1"/>
    </xf>
    <xf numFmtId="0" fontId="10" fillId="9" borderId="4" xfId="0" applyFont="1" applyFill="1" applyBorder="1" applyAlignment="1">
      <alignment vertical="center" wrapText="1"/>
    </xf>
    <xf numFmtId="0" fontId="10" fillId="8" borderId="2" xfId="0" applyFont="1" applyFill="1" applyBorder="1" applyAlignment="1">
      <alignment horizontal="right" vertical="center" wrapText="1"/>
    </xf>
    <xf numFmtId="0" fontId="10" fillId="8" borderId="4" xfId="0" applyFont="1" applyFill="1" applyBorder="1" applyAlignment="1">
      <alignment vertical="center" wrapText="1"/>
    </xf>
    <xf numFmtId="0" fontId="10" fillId="8" borderId="2" xfId="0" applyFont="1" applyFill="1" applyBorder="1" applyAlignment="1">
      <alignment vertical="center" wrapText="1"/>
    </xf>
    <xf numFmtId="14" fontId="16" fillId="8" borderId="1" xfId="0" applyNumberFormat="1" applyFont="1" applyFill="1" applyBorder="1" applyAlignment="1">
      <alignment horizontal="left" vertical="center" wrapText="1"/>
    </xf>
    <xf numFmtId="0" fontId="24" fillId="6" borderId="2" xfId="0" applyFont="1" applyFill="1" applyBorder="1" applyAlignment="1">
      <alignment horizontal="right" vertical="center" wrapText="1"/>
    </xf>
    <xf numFmtId="0" fontId="24" fillId="6" borderId="4" xfId="0" applyFont="1" applyFill="1" applyBorder="1" applyAlignment="1">
      <alignment vertical="center" wrapText="1"/>
    </xf>
    <xf numFmtId="0" fontId="10" fillId="8" borderId="4" xfId="0" applyFont="1" applyFill="1" applyBorder="1" applyAlignment="1">
      <alignment horizontal="right" vertical="center" wrapText="1"/>
    </xf>
    <xf numFmtId="0" fontId="6" fillId="8" borderId="4" xfId="0" applyFont="1" applyFill="1" applyBorder="1" applyAlignment="1">
      <alignment horizontal="center" vertical="center" wrapText="1"/>
    </xf>
    <xf numFmtId="0" fontId="6" fillId="8" borderId="1" xfId="0" applyFont="1" applyFill="1" applyBorder="1" applyAlignment="1">
      <alignment horizontal="center" vertical="center" wrapText="1"/>
    </xf>
    <xf numFmtId="0" fontId="6" fillId="23" borderId="4" xfId="0" applyFont="1" applyFill="1" applyBorder="1" applyAlignment="1">
      <alignment horizontal="center" vertical="center" wrapText="1"/>
    </xf>
    <xf numFmtId="0" fontId="6" fillId="23" borderId="1" xfId="0" applyFont="1" applyFill="1" applyBorder="1" applyAlignment="1">
      <alignment horizontal="center" vertical="center" wrapText="1"/>
    </xf>
    <xf numFmtId="0" fontId="48" fillId="3" borderId="3" xfId="0" applyFont="1" applyFill="1" applyBorder="1" applyAlignment="1">
      <alignment vertical="center" wrapText="1"/>
    </xf>
    <xf numFmtId="14" fontId="48" fillId="3" borderId="3" xfId="0" applyNumberFormat="1" applyFont="1" applyFill="1" applyBorder="1" applyAlignment="1">
      <alignment horizontal="left" vertical="center" wrapText="1"/>
    </xf>
    <xf numFmtId="0" fontId="48" fillId="3" borderId="4" xfId="0" applyFont="1" applyFill="1" applyBorder="1" applyAlignment="1">
      <alignment horizontal="right" vertical="center" wrapText="1"/>
    </xf>
    <xf numFmtId="1" fontId="48" fillId="3" borderId="4" xfId="0" applyNumberFormat="1" applyFont="1" applyFill="1" applyBorder="1" applyAlignment="1">
      <alignment horizontal="right" vertical="center" wrapText="1"/>
    </xf>
    <xf numFmtId="0" fontId="39" fillId="9" borderId="4" xfId="0" applyFont="1" applyFill="1" applyBorder="1" applyAlignment="1">
      <alignment horizontal="right" vertical="center" wrapText="1"/>
    </xf>
    <xf numFmtId="0" fontId="8" fillId="23" borderId="1" xfId="0" applyFont="1" applyFill="1" applyBorder="1" applyAlignment="1">
      <alignment vertical="center" wrapText="1"/>
    </xf>
    <xf numFmtId="0" fontId="24" fillId="12" borderId="4" xfId="0" applyFont="1" applyFill="1" applyBorder="1" applyAlignment="1">
      <alignment vertical="center" wrapText="1"/>
    </xf>
    <xf numFmtId="0" fontId="9" fillId="9" borderId="2" xfId="0" applyFont="1" applyFill="1" applyBorder="1" applyAlignment="1">
      <alignment horizontal="right" vertical="center" wrapText="1"/>
    </xf>
    <xf numFmtId="0" fontId="39" fillId="9" borderId="2" xfId="0" applyFont="1" applyFill="1" applyBorder="1" applyAlignment="1">
      <alignment horizontal="right" vertical="center" wrapText="1"/>
    </xf>
    <xf numFmtId="0" fontId="39" fillId="17" borderId="4" xfId="0" applyFont="1" applyFill="1" applyBorder="1" applyAlignment="1">
      <alignment vertical="center" wrapText="1"/>
    </xf>
    <xf numFmtId="0" fontId="16" fillId="21" borderId="1" xfId="0" applyFont="1" applyFill="1" applyBorder="1" applyAlignment="1">
      <alignment vertical="center" wrapText="1"/>
    </xf>
    <xf numFmtId="0" fontId="16" fillId="21" borderId="3" xfId="0" applyFont="1" applyFill="1" applyBorder="1" applyAlignment="1">
      <alignment vertical="center" wrapText="1"/>
    </xf>
    <xf numFmtId="0" fontId="16" fillId="21" borderId="2" xfId="0" applyFont="1" applyFill="1" applyBorder="1" applyAlignment="1">
      <alignment horizontal="right" vertical="center" wrapText="1"/>
    </xf>
    <xf numFmtId="0" fontId="16" fillId="21" borderId="4" xfId="0" applyFont="1" applyFill="1" applyBorder="1" applyAlignment="1">
      <alignment horizontal="right" vertical="center" wrapText="1"/>
    </xf>
    <xf numFmtId="1" fontId="16" fillId="21" borderId="4" xfId="0" applyNumberFormat="1" applyFont="1" applyFill="1" applyBorder="1" applyAlignment="1">
      <alignment horizontal="right" vertical="center" wrapText="1"/>
    </xf>
    <xf numFmtId="14" fontId="16" fillId="21" borderId="3" xfId="0" applyNumberFormat="1" applyFont="1" applyFill="1" applyBorder="1" applyAlignment="1">
      <alignment horizontal="left" vertical="center" wrapText="1"/>
    </xf>
    <xf numFmtId="0" fontId="16" fillId="7" borderId="2" xfId="0" applyFont="1" applyFill="1" applyBorder="1" applyAlignment="1">
      <alignment horizontal="right" vertical="center" wrapText="1"/>
    </xf>
    <xf numFmtId="0" fontId="11" fillId="7" borderId="2" xfId="0" applyFont="1" applyFill="1" applyBorder="1" applyAlignment="1">
      <alignment vertical="center" wrapText="1"/>
    </xf>
    <xf numFmtId="0" fontId="16" fillId="7" borderId="4" xfId="0" applyFont="1" applyFill="1" applyBorder="1" applyAlignment="1">
      <alignment horizontal="right" vertical="center" wrapText="1"/>
    </xf>
    <xf numFmtId="0" fontId="11" fillId="7" borderId="4" xfId="0" applyFont="1" applyFill="1" applyBorder="1" applyAlignment="1">
      <alignment vertical="center" wrapText="1"/>
    </xf>
    <xf numFmtId="0" fontId="12" fillId="0" borderId="0" xfId="0" applyFont="1"/>
    <xf numFmtId="14" fontId="11" fillId="9" borderId="14" xfId="0" applyNumberFormat="1" applyFont="1" applyFill="1" applyBorder="1" applyAlignment="1">
      <alignment horizontal="right" vertical="center" wrapText="1"/>
    </xf>
    <xf numFmtId="0" fontId="11" fillId="9" borderId="14" xfId="0" applyFont="1" applyFill="1" applyBorder="1" applyAlignment="1">
      <alignment horizontal="right" vertical="center" wrapText="1"/>
    </xf>
    <xf numFmtId="14" fontId="11" fillId="9" borderId="0" xfId="0" applyNumberFormat="1" applyFont="1" applyFill="1" applyAlignment="1">
      <alignment horizontal="left" vertical="center" wrapText="1"/>
    </xf>
    <xf numFmtId="0" fontId="0" fillId="0" borderId="0" xfId="0" applyAlignment="1">
      <alignment vertical="center"/>
    </xf>
    <xf numFmtId="0" fontId="9" fillId="9" borderId="0" xfId="0" applyFont="1" applyFill="1" applyAlignment="1">
      <alignment horizontal="center" vertical="center"/>
    </xf>
    <xf numFmtId="0" fontId="9" fillId="9" borderId="14" xfId="0" applyFont="1" applyFill="1" applyBorder="1" applyAlignment="1">
      <alignment horizontal="right" vertical="center" wrapText="1"/>
    </xf>
    <xf numFmtId="1" fontId="11" fillId="9" borderId="14" xfId="0" applyNumberFormat="1" applyFont="1" applyFill="1" applyBorder="1" applyAlignment="1">
      <alignment horizontal="right" vertical="center" wrapText="1"/>
    </xf>
    <xf numFmtId="1" fontId="11" fillId="9" borderId="4" xfId="0" applyNumberFormat="1" applyFont="1" applyFill="1" applyBorder="1" applyAlignment="1">
      <alignment vertical="center" wrapText="1"/>
    </xf>
    <xf numFmtId="14" fontId="16" fillId="11" borderId="3" xfId="0" applyNumberFormat="1" applyFont="1" applyFill="1" applyBorder="1" applyAlignment="1">
      <alignment horizontal="left" vertical="center" wrapText="1"/>
    </xf>
    <xf numFmtId="0" fontId="50" fillId="13" borderId="2" xfId="0" applyFont="1" applyFill="1" applyBorder="1" applyAlignment="1">
      <alignment horizontal="right" vertical="center" wrapText="1"/>
    </xf>
    <xf numFmtId="0" fontId="50" fillId="13" borderId="4" xfId="0" applyFont="1" applyFill="1" applyBorder="1" applyAlignment="1">
      <alignment horizontal="right" vertical="center" wrapText="1"/>
    </xf>
    <xf numFmtId="0" fontId="24" fillId="3" borderId="4" xfId="0" applyFont="1" applyFill="1" applyBorder="1" applyAlignment="1">
      <alignment vertical="center" wrapText="1"/>
    </xf>
    <xf numFmtId="0" fontId="9" fillId="9" borderId="0" xfId="0" applyFont="1" applyFill="1" applyAlignment="1">
      <alignment vertical="center" wrapText="1"/>
    </xf>
    <xf numFmtId="0" fontId="10" fillId="9" borderId="4" xfId="0" applyFont="1" applyFill="1" applyBorder="1" applyAlignment="1">
      <alignment horizontal="right" vertical="center" wrapText="1"/>
    </xf>
    <xf numFmtId="0" fontId="45" fillId="3" borderId="2" xfId="0" applyFont="1" applyFill="1" applyBorder="1" applyAlignment="1">
      <alignment horizontal="right" vertical="center" wrapText="1"/>
    </xf>
    <xf numFmtId="0" fontId="46" fillId="3" borderId="2" xfId="0" applyFont="1" applyFill="1" applyBorder="1" applyAlignment="1">
      <alignment horizontal="right" vertical="center" wrapText="1"/>
    </xf>
    <xf numFmtId="0" fontId="45" fillId="3" borderId="4" xfId="0" applyFont="1" applyFill="1" applyBorder="1" applyAlignment="1">
      <alignment horizontal="right" vertical="center" wrapText="1"/>
    </xf>
    <xf numFmtId="0" fontId="46" fillId="3" borderId="4" xfId="0" applyFont="1" applyFill="1" applyBorder="1" applyAlignment="1">
      <alignment horizontal="right" vertical="center" wrapText="1"/>
    </xf>
    <xf numFmtId="0" fontId="13" fillId="3" borderId="1" xfId="0" applyFont="1" applyFill="1" applyBorder="1" applyAlignment="1">
      <alignment vertical="center" wrapText="1"/>
    </xf>
    <xf numFmtId="0" fontId="13" fillId="3" borderId="2" xfId="0" applyFont="1" applyFill="1" applyBorder="1" applyAlignment="1">
      <alignment horizontal="right" vertical="center" wrapText="1"/>
    </xf>
    <xf numFmtId="0" fontId="13" fillId="3" borderId="4" xfId="0" applyFont="1" applyFill="1" applyBorder="1" applyAlignment="1">
      <alignment horizontal="right" vertical="center" wrapText="1"/>
    </xf>
    <xf numFmtId="0" fontId="13" fillId="3" borderId="3" xfId="0" applyFont="1" applyFill="1" applyBorder="1" applyAlignment="1">
      <alignment vertical="center" wrapText="1"/>
    </xf>
    <xf numFmtId="0" fontId="9" fillId="8" borderId="4" xfId="0" applyFont="1" applyFill="1" applyBorder="1" applyAlignment="1">
      <alignment horizontal="right" vertical="center" wrapText="1"/>
    </xf>
    <xf numFmtId="0" fontId="9" fillId="8" borderId="2" xfId="0" applyFont="1" applyFill="1" applyBorder="1" applyAlignment="1">
      <alignment horizontal="right" vertical="center" wrapText="1"/>
    </xf>
    <xf numFmtId="0" fontId="13" fillId="8" borderId="3" xfId="0" applyFont="1" applyFill="1" applyBorder="1" applyAlignment="1">
      <alignment vertical="center" wrapText="1"/>
    </xf>
    <xf numFmtId="0" fontId="37" fillId="8" borderId="2" xfId="0" applyFont="1" applyFill="1" applyBorder="1" applyAlignment="1">
      <alignment horizontal="right" vertical="center" wrapText="1"/>
    </xf>
    <xf numFmtId="0" fontId="37" fillId="8" borderId="4" xfId="0" applyFont="1" applyFill="1" applyBorder="1" applyAlignment="1">
      <alignment horizontal="right" vertical="center" wrapText="1"/>
    </xf>
    <xf numFmtId="1" fontId="13" fillId="3" borderId="4" xfId="0" applyNumberFormat="1" applyFont="1" applyFill="1" applyBorder="1" applyAlignment="1">
      <alignment horizontal="right" vertical="center" wrapText="1"/>
    </xf>
    <xf numFmtId="0" fontId="13" fillId="8" borderId="2" xfId="0" applyFont="1" applyFill="1" applyBorder="1" applyAlignment="1">
      <alignment vertical="center" wrapText="1"/>
    </xf>
    <xf numFmtId="0" fontId="13" fillId="8" borderId="4" xfId="0" applyFont="1" applyFill="1" applyBorder="1" applyAlignment="1">
      <alignment vertical="center" wrapText="1"/>
    </xf>
    <xf numFmtId="0" fontId="39" fillId="9" borderId="1" xfId="0" applyFont="1" applyFill="1" applyBorder="1" applyAlignment="1">
      <alignment vertical="center" wrapText="1"/>
    </xf>
    <xf numFmtId="0" fontId="39" fillId="9" borderId="3" xfId="0" applyFont="1" applyFill="1" applyBorder="1" applyAlignment="1">
      <alignment vertical="center" wrapText="1"/>
    </xf>
    <xf numFmtId="1" fontId="39" fillId="9" borderId="4" xfId="0" applyNumberFormat="1" applyFont="1" applyFill="1" applyBorder="1" applyAlignment="1">
      <alignment horizontal="right" vertical="center" wrapText="1"/>
    </xf>
    <xf numFmtId="14" fontId="39" fillId="9" borderId="3" xfId="0" applyNumberFormat="1" applyFont="1" applyFill="1" applyBorder="1" applyAlignment="1">
      <alignment horizontal="left" vertical="center" wrapText="1"/>
    </xf>
    <xf numFmtId="0" fontId="12" fillId="9" borderId="2" xfId="0" applyFont="1" applyFill="1" applyBorder="1" applyAlignment="1">
      <alignment horizontal="right" vertical="center" wrapText="1"/>
    </xf>
    <xf numFmtId="14" fontId="17" fillId="3" borderId="3" xfId="0" applyNumberFormat="1" applyFont="1" applyFill="1" applyBorder="1" applyAlignment="1">
      <alignment horizontal="left" vertical="center" wrapText="1"/>
    </xf>
    <xf numFmtId="14" fontId="17" fillId="24" borderId="3" xfId="0" applyNumberFormat="1" applyFont="1" applyFill="1" applyBorder="1" applyAlignment="1">
      <alignment horizontal="left" vertical="center" wrapText="1"/>
    </xf>
    <xf numFmtId="0" fontId="52" fillId="12" borderId="4" xfId="0" applyFont="1" applyFill="1" applyBorder="1" applyAlignment="1">
      <alignment vertical="center" wrapText="1"/>
    </xf>
    <xf numFmtId="0" fontId="52" fillId="13" borderId="4" xfId="0" applyFont="1" applyFill="1" applyBorder="1" applyAlignment="1">
      <alignment vertical="center" wrapText="1"/>
    </xf>
    <xf numFmtId="14" fontId="17" fillId="5" borderId="3" xfId="0" applyNumberFormat="1" applyFont="1" applyFill="1" applyBorder="1" applyAlignment="1">
      <alignment horizontal="left" vertical="center" wrapText="1"/>
    </xf>
    <xf numFmtId="0" fontId="52" fillId="20" borderId="2" xfId="0" applyFont="1" applyFill="1" applyBorder="1" applyAlignment="1">
      <alignment horizontal="right" vertical="center" wrapText="1"/>
    </xf>
    <xf numFmtId="0" fontId="52" fillId="20" borderId="4" xfId="0" applyFont="1" applyFill="1" applyBorder="1" applyAlignment="1">
      <alignment horizontal="right" vertical="center" wrapText="1"/>
    </xf>
    <xf numFmtId="0" fontId="52" fillId="8" borderId="2" xfId="0" applyFont="1" applyFill="1" applyBorder="1" applyAlignment="1">
      <alignment horizontal="right" vertical="center" wrapText="1"/>
    </xf>
    <xf numFmtId="0" fontId="52" fillId="8" borderId="4" xfId="0" applyFont="1" applyFill="1" applyBorder="1" applyAlignment="1">
      <alignment horizontal="right" vertical="center" wrapText="1"/>
    </xf>
    <xf numFmtId="0" fontId="11" fillId="20" borderId="4" xfId="0" applyFont="1" applyFill="1" applyBorder="1" applyAlignment="1">
      <alignment vertical="center" wrapText="1"/>
    </xf>
    <xf numFmtId="14" fontId="17" fillId="20" borderId="3" xfId="0" applyNumberFormat="1" applyFont="1" applyFill="1" applyBorder="1" applyAlignment="1">
      <alignment horizontal="left" vertical="center" wrapText="1"/>
    </xf>
    <xf numFmtId="14" fontId="17" fillId="22" borderId="3" xfId="0" applyNumberFormat="1" applyFont="1" applyFill="1" applyBorder="1" applyAlignment="1">
      <alignment horizontal="left" vertical="center" wrapText="1"/>
    </xf>
    <xf numFmtId="14" fontId="17" fillId="25" borderId="3" xfId="0" applyNumberFormat="1" applyFont="1" applyFill="1" applyBorder="1" applyAlignment="1">
      <alignment horizontal="left" vertical="center" wrapText="1"/>
    </xf>
    <xf numFmtId="14" fontId="17" fillId="13" borderId="3" xfId="0" applyNumberFormat="1" applyFont="1" applyFill="1" applyBorder="1" applyAlignment="1">
      <alignment horizontal="left" vertical="center" wrapText="1"/>
    </xf>
    <xf numFmtId="0" fontId="53" fillId="0" borderId="0" xfId="0" applyFont="1"/>
    <xf numFmtId="0" fontId="24" fillId="8" borderId="2" xfId="0" applyFont="1" applyFill="1" applyBorder="1" applyAlignment="1">
      <alignment vertical="center" wrapText="1"/>
    </xf>
    <xf numFmtId="0" fontId="24" fillId="3" borderId="2" xfId="0" applyFont="1" applyFill="1" applyBorder="1" applyAlignment="1">
      <alignment vertical="center" wrapText="1"/>
    </xf>
    <xf numFmtId="0" fontId="11" fillId="3" borderId="2" xfId="0" applyFont="1" applyFill="1" applyBorder="1" applyAlignment="1">
      <alignment horizontal="right" vertical="center" wrapText="1"/>
    </xf>
    <xf numFmtId="0" fontId="11" fillId="3" borderId="4" xfId="0" applyFont="1" applyFill="1" applyBorder="1" applyAlignment="1">
      <alignment horizontal="right" vertical="center" wrapText="1"/>
    </xf>
    <xf numFmtId="0" fontId="37" fillId="5" borderId="4" xfId="0" applyFont="1" applyFill="1" applyBorder="1" applyAlignment="1">
      <alignment vertical="center" wrapText="1"/>
    </xf>
    <xf numFmtId="0" fontId="48" fillId="5" borderId="2" xfId="0" applyFont="1" applyFill="1" applyBorder="1" applyAlignment="1">
      <alignment horizontal="right" vertical="center" wrapText="1"/>
    </xf>
    <xf numFmtId="0" fontId="48" fillId="5" borderId="4" xfId="0" applyFont="1" applyFill="1" applyBorder="1" applyAlignment="1">
      <alignment horizontal="right" vertical="center" wrapText="1"/>
    </xf>
    <xf numFmtId="0" fontId="12" fillId="28" borderId="2" xfId="0" applyFont="1" applyFill="1" applyBorder="1" applyAlignment="1">
      <alignment vertical="center" wrapText="1"/>
    </xf>
    <xf numFmtId="0" fontId="11" fillId="28" borderId="2" xfId="0" applyFont="1" applyFill="1" applyBorder="1" applyAlignment="1">
      <alignment horizontal="right" vertical="center" wrapText="1"/>
    </xf>
    <xf numFmtId="0" fontId="12" fillId="28" borderId="2" xfId="0" applyFont="1" applyFill="1" applyBorder="1" applyAlignment="1">
      <alignment horizontal="right" vertical="center" wrapText="1"/>
    </xf>
    <xf numFmtId="0" fontId="11" fillId="28" borderId="4" xfId="0" applyFont="1" applyFill="1" applyBorder="1" applyAlignment="1">
      <alignment vertical="center" wrapText="1"/>
    </xf>
    <xf numFmtId="0" fontId="12" fillId="28" borderId="4" xfId="0" applyFont="1" applyFill="1" applyBorder="1" applyAlignment="1">
      <alignment horizontal="right" vertical="center" wrapText="1"/>
    </xf>
    <xf numFmtId="0" fontId="12" fillId="28" borderId="4" xfId="0" applyFont="1" applyFill="1" applyBorder="1" applyAlignment="1">
      <alignment vertical="center" wrapText="1"/>
    </xf>
    <xf numFmtId="0" fontId="12" fillId="28" borderId="3" xfId="0" applyFont="1" applyFill="1" applyBorder="1" applyAlignment="1">
      <alignment vertical="center" wrapText="1"/>
    </xf>
    <xf numFmtId="0" fontId="54" fillId="5" borderId="3" xfId="0" applyFont="1" applyFill="1" applyBorder="1" applyAlignment="1">
      <alignment vertical="center" wrapText="1"/>
    </xf>
    <xf numFmtId="14" fontId="55" fillId="5" borderId="3" xfId="0" applyNumberFormat="1" applyFont="1" applyFill="1" applyBorder="1" applyAlignment="1">
      <alignment horizontal="left" vertical="center" wrapText="1"/>
    </xf>
    <xf numFmtId="0" fontId="54" fillId="5" borderId="4" xfId="0" applyFont="1" applyFill="1" applyBorder="1" applyAlignment="1">
      <alignment horizontal="right" vertical="center" wrapText="1"/>
    </xf>
    <xf numFmtId="1" fontId="54" fillId="5" borderId="4" xfId="0" applyNumberFormat="1" applyFont="1" applyFill="1" applyBorder="1" applyAlignment="1">
      <alignment horizontal="right" vertical="center" wrapText="1"/>
    </xf>
    <xf numFmtId="0" fontId="54" fillId="5" borderId="1" xfId="0" applyFont="1" applyFill="1" applyBorder="1" applyAlignment="1">
      <alignment vertical="center" wrapText="1"/>
    </xf>
    <xf numFmtId="0" fontId="54" fillId="5" borderId="2" xfId="0" applyFont="1" applyFill="1" applyBorder="1" applyAlignment="1">
      <alignment horizontal="right" vertical="center" wrapText="1"/>
    </xf>
    <xf numFmtId="0" fontId="54" fillId="29" borderId="2" xfId="0" applyFont="1" applyFill="1" applyBorder="1" applyAlignment="1">
      <alignment vertical="center" wrapText="1"/>
    </xf>
    <xf numFmtId="0" fontId="54" fillId="29" borderId="4" xfId="0" applyFont="1" applyFill="1" applyBorder="1" applyAlignment="1">
      <alignment vertical="center" wrapText="1"/>
    </xf>
    <xf numFmtId="0" fontId="54" fillId="29" borderId="3" xfId="0" applyFont="1" applyFill="1" applyBorder="1" applyAlignment="1">
      <alignment vertical="center" wrapText="1"/>
    </xf>
    <xf numFmtId="0" fontId="54" fillId="29" borderId="2" xfId="0" applyFont="1" applyFill="1" applyBorder="1" applyAlignment="1">
      <alignment horizontal="right" vertical="center" wrapText="1"/>
    </xf>
    <xf numFmtId="0" fontId="54" fillId="29" borderId="4" xfId="0" applyFont="1" applyFill="1" applyBorder="1" applyAlignment="1">
      <alignment horizontal="right" vertical="center" wrapText="1"/>
    </xf>
    <xf numFmtId="0" fontId="57" fillId="29" borderId="2" xfId="0" applyFont="1" applyFill="1" applyBorder="1" applyAlignment="1">
      <alignment horizontal="right" vertical="center" wrapText="1"/>
    </xf>
    <xf numFmtId="0" fontId="57" fillId="29" borderId="4" xfId="0" applyFont="1" applyFill="1" applyBorder="1" applyAlignment="1">
      <alignment horizontal="right" vertical="center" wrapText="1"/>
    </xf>
    <xf numFmtId="0" fontId="24" fillId="29" borderId="4" xfId="0" applyFont="1" applyFill="1" applyBorder="1" applyAlignment="1">
      <alignment vertical="center" wrapText="1"/>
    </xf>
    <xf numFmtId="14" fontId="16" fillId="3" borderId="3" xfId="0" applyNumberFormat="1" applyFont="1" applyFill="1" applyBorder="1" applyAlignment="1">
      <alignment horizontal="left" vertical="center" wrapText="1"/>
    </xf>
    <xf numFmtId="0" fontId="57" fillId="11" borderId="2" xfId="0" applyFont="1" applyFill="1" applyBorder="1" applyAlignment="1">
      <alignment horizontal="right" vertical="center" wrapText="1"/>
    </xf>
    <xf numFmtId="0" fontId="57" fillId="11" borderId="4" xfId="0" applyFont="1" applyFill="1" applyBorder="1" applyAlignment="1">
      <alignment horizontal="right" vertical="center" wrapText="1"/>
    </xf>
    <xf numFmtId="0" fontId="48" fillId="8" borderId="2" xfId="0" applyFont="1" applyFill="1" applyBorder="1" applyAlignment="1">
      <alignment horizontal="right" vertical="center" wrapText="1"/>
    </xf>
    <xf numFmtId="0" fontId="48" fillId="8" borderId="4" xfId="0" applyFont="1" applyFill="1" applyBorder="1" applyAlignment="1">
      <alignment horizontal="right" vertical="center" wrapText="1"/>
    </xf>
    <xf numFmtId="0" fontId="24" fillId="11" borderId="4" xfId="0" applyFont="1" applyFill="1" applyBorder="1" applyAlignment="1">
      <alignment vertical="center" wrapText="1"/>
    </xf>
    <xf numFmtId="14" fontId="17" fillId="30" borderId="1" xfId="0" applyNumberFormat="1" applyFont="1" applyFill="1" applyBorder="1" applyAlignment="1">
      <alignment horizontal="left" vertical="center" wrapText="1"/>
    </xf>
    <xf numFmtId="14" fontId="17" fillId="30" borderId="3" xfId="0" applyNumberFormat="1" applyFont="1" applyFill="1" applyBorder="1" applyAlignment="1">
      <alignment horizontal="left" vertical="center" wrapText="1"/>
    </xf>
    <xf numFmtId="0" fontId="12" fillId="9" borderId="1" xfId="0" applyFont="1" applyFill="1" applyBorder="1" applyAlignment="1">
      <alignment vertical="center" wrapText="1"/>
    </xf>
    <xf numFmtId="0" fontId="35" fillId="9" borderId="2" xfId="0" applyFont="1" applyFill="1" applyBorder="1" applyAlignment="1">
      <alignment horizontal="right" vertical="center" wrapText="1"/>
    </xf>
    <xf numFmtId="0" fontId="35" fillId="9" borderId="4" xfId="0" applyFont="1" applyFill="1" applyBorder="1" applyAlignment="1">
      <alignment horizontal="right" vertical="center" wrapText="1"/>
    </xf>
    <xf numFmtId="0" fontId="35" fillId="9" borderId="4" xfId="0" applyFont="1" applyFill="1" applyBorder="1" applyAlignment="1">
      <alignment vertical="center" wrapText="1"/>
    </xf>
    <xf numFmtId="0" fontId="12" fillId="9" borderId="4" xfId="0" applyFont="1" applyFill="1" applyBorder="1" applyAlignment="1">
      <alignment horizontal="right" vertical="center" wrapText="1"/>
    </xf>
    <xf numFmtId="0" fontId="47" fillId="28" borderId="2" xfId="0" applyFont="1" applyFill="1" applyBorder="1" applyAlignment="1">
      <alignment horizontal="right" vertical="center" wrapText="1"/>
    </xf>
    <xf numFmtId="0" fontId="47" fillId="28" borderId="4" xfId="0" applyFont="1" applyFill="1" applyBorder="1" applyAlignment="1">
      <alignment horizontal="right" vertical="center" wrapText="1"/>
    </xf>
    <xf numFmtId="0" fontId="47" fillId="28" borderId="4" xfId="0" applyFont="1" applyFill="1" applyBorder="1" applyAlignment="1">
      <alignment vertical="center" wrapText="1"/>
    </xf>
    <xf numFmtId="14" fontId="5" fillId="9" borderId="3" xfId="0" applyNumberFormat="1" applyFont="1" applyFill="1" applyBorder="1" applyAlignment="1">
      <alignment horizontal="left" vertical="center" wrapText="1"/>
    </xf>
    <xf numFmtId="0" fontId="12" fillId="7" borderId="4" xfId="0" applyFont="1" applyFill="1" applyBorder="1" applyAlignment="1">
      <alignment horizontal="right" vertical="center" wrapText="1"/>
    </xf>
    <xf numFmtId="1" fontId="12" fillId="7" borderId="4" xfId="0" applyNumberFormat="1" applyFont="1" applyFill="1" applyBorder="1" applyAlignment="1">
      <alignment horizontal="right" vertical="center" wrapText="1"/>
    </xf>
    <xf numFmtId="0" fontId="12" fillId="7" borderId="3" xfId="0" applyFont="1" applyFill="1" applyBorder="1" applyAlignment="1">
      <alignment vertical="center" wrapText="1"/>
    </xf>
    <xf numFmtId="14" fontId="17" fillId="17" borderId="3" xfId="0" applyNumberFormat="1" applyFont="1" applyFill="1" applyBorder="1" applyAlignment="1">
      <alignment horizontal="left" vertical="center" wrapText="1"/>
    </xf>
    <xf numFmtId="14" fontId="17" fillId="6" borderId="1" xfId="0" applyNumberFormat="1" applyFont="1" applyFill="1" applyBorder="1" applyAlignment="1">
      <alignment horizontal="left" vertical="center" wrapText="1"/>
    </xf>
    <xf numFmtId="14" fontId="17" fillId="5" borderId="1" xfId="0" applyNumberFormat="1" applyFont="1" applyFill="1" applyBorder="1" applyAlignment="1">
      <alignment horizontal="left" vertical="center" wrapText="1"/>
    </xf>
    <xf numFmtId="14" fontId="17" fillId="26" borderId="3" xfId="0" applyNumberFormat="1" applyFont="1" applyFill="1" applyBorder="1" applyAlignment="1">
      <alignment horizontal="left" vertical="center" wrapText="1"/>
    </xf>
    <xf numFmtId="0" fontId="16" fillId="31" borderId="0" xfId="0" applyFont="1" applyFill="1"/>
    <xf numFmtId="0" fontId="7" fillId="31" borderId="0" xfId="0" applyFont="1" applyFill="1"/>
    <xf numFmtId="0" fontId="24" fillId="19" borderId="2" xfId="0" applyFont="1" applyFill="1" applyBorder="1" applyAlignment="1">
      <alignment horizontal="right" vertical="center" wrapText="1"/>
    </xf>
    <xf numFmtId="0" fontId="24" fillId="19" borderId="4" xfId="0" applyFont="1" applyFill="1" applyBorder="1" applyAlignment="1">
      <alignment horizontal="right" vertical="center" wrapText="1"/>
    </xf>
    <xf numFmtId="0" fontId="24" fillId="19" borderId="4" xfId="0" applyFont="1" applyFill="1" applyBorder="1" applyAlignment="1">
      <alignment vertical="center" wrapText="1"/>
    </xf>
    <xf numFmtId="0" fontId="37" fillId="5" borderId="2" xfId="0" applyFont="1" applyFill="1" applyBorder="1" applyAlignment="1">
      <alignment horizontal="right" vertical="center" wrapText="1"/>
    </xf>
    <xf numFmtId="0" fontId="24" fillId="29" borderId="2" xfId="0" applyFont="1" applyFill="1" applyBorder="1" applyAlignment="1">
      <alignment horizontal="right" vertical="center" wrapText="1"/>
    </xf>
    <xf numFmtId="0" fontId="58" fillId="24" borderId="2" xfId="0" applyFont="1" applyFill="1" applyBorder="1" applyAlignment="1">
      <alignment horizontal="right" vertical="center" wrapText="1"/>
    </xf>
    <xf numFmtId="0" fontId="58" fillId="24" borderId="4" xfId="0" applyFont="1" applyFill="1" applyBorder="1" applyAlignment="1">
      <alignment horizontal="right" vertical="center" wrapText="1"/>
    </xf>
    <xf numFmtId="0" fontId="58" fillId="18" borderId="2" xfId="0" applyFont="1" applyFill="1" applyBorder="1" applyAlignment="1">
      <alignment horizontal="right" vertical="center" wrapText="1"/>
    </xf>
    <xf numFmtId="0" fontId="58" fillId="18" borderId="4" xfId="0" applyFont="1" applyFill="1" applyBorder="1" applyAlignment="1">
      <alignment horizontal="right" vertical="center" wrapText="1"/>
    </xf>
    <xf numFmtId="0" fontId="10" fillId="28" borderId="3" xfId="0" applyFont="1" applyFill="1" applyBorder="1" applyAlignment="1">
      <alignment vertical="center" wrapText="1"/>
    </xf>
    <xf numFmtId="0" fontId="10" fillId="28" borderId="4" xfId="0" applyFont="1" applyFill="1" applyBorder="1" applyAlignment="1">
      <alignment vertical="center" wrapText="1"/>
    </xf>
    <xf numFmtId="0" fontId="10" fillId="28" borderId="4" xfId="0" applyFont="1" applyFill="1" applyBorder="1" applyAlignment="1">
      <alignment horizontal="center" vertical="center" wrapText="1"/>
    </xf>
    <xf numFmtId="0" fontId="10" fillId="28" borderId="4" xfId="0" applyFont="1" applyFill="1" applyBorder="1" applyAlignment="1">
      <alignment horizontal="right" vertical="center" wrapText="1"/>
    </xf>
    <xf numFmtId="1" fontId="10" fillId="28" borderId="4" xfId="0" applyNumberFormat="1" applyFont="1" applyFill="1" applyBorder="1" applyAlignment="1">
      <alignment horizontal="right" vertical="center" wrapText="1"/>
    </xf>
    <xf numFmtId="0" fontId="39" fillId="28" borderId="4" xfId="0" applyFont="1" applyFill="1" applyBorder="1" applyAlignment="1">
      <alignment horizontal="right" vertical="center" wrapText="1"/>
    </xf>
    <xf numFmtId="0" fontId="10" fillId="18" borderId="3" xfId="0" applyFont="1" applyFill="1" applyBorder="1" applyAlignment="1">
      <alignment vertical="center" wrapText="1"/>
    </xf>
    <xf numFmtId="0" fontId="10" fillId="18" borderId="4" xfId="0" applyFont="1" applyFill="1" applyBorder="1" applyAlignment="1">
      <alignment vertical="center" wrapText="1"/>
    </xf>
    <xf numFmtId="0" fontId="10" fillId="18" borderId="4" xfId="0" applyFont="1" applyFill="1" applyBorder="1" applyAlignment="1">
      <alignment horizontal="center" vertical="center" wrapText="1"/>
    </xf>
    <xf numFmtId="0" fontId="58" fillId="21" borderId="2" xfId="0" applyFont="1" applyFill="1" applyBorder="1" applyAlignment="1">
      <alignment horizontal="right" vertical="center" wrapText="1"/>
    </xf>
    <xf numFmtId="0" fontId="58" fillId="21" borderId="4" xfId="0" applyFont="1" applyFill="1" applyBorder="1" applyAlignment="1">
      <alignment horizontal="right" vertical="center" wrapText="1"/>
    </xf>
    <xf numFmtId="0" fontId="58" fillId="7" borderId="2" xfId="0" applyFont="1" applyFill="1" applyBorder="1" applyAlignment="1">
      <alignment horizontal="right" vertical="center" wrapText="1"/>
    </xf>
    <xf numFmtId="0" fontId="58" fillId="7" borderId="4" xfId="0" applyFont="1" applyFill="1" applyBorder="1" applyAlignment="1">
      <alignment horizontal="right" vertical="center" wrapText="1"/>
    </xf>
    <xf numFmtId="0" fontId="59" fillId="4" borderId="2" xfId="0" applyFont="1" applyFill="1" applyBorder="1" applyAlignment="1">
      <alignment horizontal="right" vertical="center" wrapText="1"/>
    </xf>
    <xf numFmtId="0" fontId="59" fillId="4" borderId="4" xfId="0" applyFont="1" applyFill="1" applyBorder="1" applyAlignment="1">
      <alignment horizontal="right" vertical="center" wrapText="1"/>
    </xf>
    <xf numFmtId="0" fontId="59" fillId="27" borderId="2" xfId="0" applyFont="1" applyFill="1" applyBorder="1" applyAlignment="1">
      <alignment horizontal="right" vertical="center" wrapText="1"/>
    </xf>
    <xf numFmtId="0" fontId="59" fillId="27" borderId="4" xfId="0" applyFont="1" applyFill="1" applyBorder="1" applyAlignment="1">
      <alignment horizontal="right" vertical="center" wrapText="1"/>
    </xf>
    <xf numFmtId="0" fontId="16" fillId="4" borderId="2" xfId="0" applyFont="1" applyFill="1" applyBorder="1" applyAlignment="1">
      <alignment horizontal="right" vertical="center" wrapText="1"/>
    </xf>
    <xf numFmtId="0" fontId="16" fillId="4" borderId="4" xfId="0" applyFont="1" applyFill="1" applyBorder="1" applyAlignment="1">
      <alignment horizontal="right" vertical="center" wrapText="1"/>
    </xf>
    <xf numFmtId="0" fontId="16" fillId="4" borderId="4" xfId="0" applyFont="1" applyFill="1" applyBorder="1" applyAlignment="1">
      <alignment vertical="center" wrapText="1"/>
    </xf>
    <xf numFmtId="0" fontId="16" fillId="27" borderId="2" xfId="0" applyFont="1" applyFill="1" applyBorder="1" applyAlignment="1">
      <alignment horizontal="right" vertical="center" wrapText="1"/>
    </xf>
    <xf numFmtId="0" fontId="16" fillId="27" borderId="4" xfId="0" applyFont="1" applyFill="1" applyBorder="1" applyAlignment="1">
      <alignment horizontal="right" vertical="center" wrapText="1"/>
    </xf>
    <xf numFmtId="0" fontId="16" fillId="27" borderId="4" xfId="0" applyFont="1" applyFill="1" applyBorder="1" applyAlignment="1">
      <alignment vertical="center" wrapText="1"/>
    </xf>
    <xf numFmtId="0" fontId="11" fillId="19" borderId="2" xfId="0" applyFont="1" applyFill="1" applyBorder="1" applyAlignment="1">
      <alignment horizontal="right" vertical="center" wrapText="1"/>
    </xf>
    <xf numFmtId="0" fontId="11" fillId="19" borderId="4" xfId="0" applyFont="1" applyFill="1" applyBorder="1" applyAlignment="1">
      <alignment horizontal="right" vertical="center" wrapText="1"/>
    </xf>
    <xf numFmtId="0" fontId="11" fillId="19" borderId="4" xfId="0" applyFont="1" applyFill="1" applyBorder="1" applyAlignment="1">
      <alignment vertical="center" wrapText="1"/>
    </xf>
    <xf numFmtId="0" fontId="60" fillId="28" borderId="1" xfId="0" applyFont="1" applyFill="1" applyBorder="1" applyAlignment="1">
      <alignment vertical="center" wrapText="1"/>
    </xf>
    <xf numFmtId="0" fontId="60" fillId="28" borderId="2" xfId="0" applyFont="1" applyFill="1" applyBorder="1" applyAlignment="1">
      <alignment vertical="center" wrapText="1"/>
    </xf>
    <xf numFmtId="0" fontId="60" fillId="28" borderId="2" xfId="0" applyFont="1" applyFill="1" applyBorder="1" applyAlignment="1">
      <alignment horizontal="center" vertical="center" wrapText="1"/>
    </xf>
    <xf numFmtId="0" fontId="60" fillId="18" borderId="2" xfId="0" applyFont="1" applyFill="1" applyBorder="1" applyAlignment="1">
      <alignment vertical="center" wrapText="1"/>
    </xf>
    <xf numFmtId="0" fontId="60" fillId="18" borderId="2" xfId="0" applyFont="1" applyFill="1" applyBorder="1" applyAlignment="1">
      <alignment horizontal="center" vertical="center" wrapText="1"/>
    </xf>
    <xf numFmtId="14" fontId="10" fillId="28" borderId="1" xfId="0" applyNumberFormat="1" applyFont="1" applyFill="1" applyBorder="1" applyAlignment="1">
      <alignment horizontal="left" vertical="center" wrapText="1"/>
    </xf>
    <xf numFmtId="0" fontId="10" fillId="28" borderId="1" xfId="0" applyFont="1" applyFill="1" applyBorder="1" applyAlignment="1">
      <alignment horizontal="center" vertical="center" wrapText="1"/>
    </xf>
    <xf numFmtId="0" fontId="61" fillId="0" borderId="0" xfId="0" applyFont="1"/>
    <xf numFmtId="0" fontId="54" fillId="5" borderId="1" xfId="0" applyFont="1" applyFill="1" applyBorder="1" applyAlignment="1">
      <alignment horizontal="right" vertical="center" wrapText="1"/>
    </xf>
    <xf numFmtId="1" fontId="54" fillId="5" borderId="1" xfId="0" applyNumberFormat="1" applyFont="1" applyFill="1" applyBorder="1" applyAlignment="1">
      <alignment horizontal="right" vertical="center" wrapText="1"/>
    </xf>
    <xf numFmtId="0" fontId="58" fillId="7" borderId="4" xfId="0" applyFont="1" applyFill="1" applyBorder="1" applyAlignment="1">
      <alignment vertical="center" wrapText="1"/>
    </xf>
    <xf numFmtId="0" fontId="16" fillId="7" borderId="2" xfId="0" applyFont="1" applyFill="1" applyBorder="1" applyAlignment="1">
      <alignment vertical="center" wrapText="1"/>
    </xf>
    <xf numFmtId="0" fontId="16" fillId="7" borderId="4" xfId="0" applyFont="1" applyFill="1" applyBorder="1" applyAlignment="1">
      <alignment vertical="center" wrapText="1"/>
    </xf>
    <xf numFmtId="0" fontId="16" fillId="7" borderId="3" xfId="0" applyFont="1" applyFill="1" applyBorder="1" applyAlignment="1">
      <alignment vertical="center" wrapText="1"/>
    </xf>
    <xf numFmtId="0" fontId="62" fillId="24" borderId="10" xfId="0" applyFont="1" applyFill="1" applyBorder="1" applyAlignment="1">
      <alignment vertical="center"/>
    </xf>
    <xf numFmtId="0" fontId="63" fillId="24" borderId="1" xfId="0" applyFont="1" applyFill="1" applyBorder="1" applyAlignment="1">
      <alignment vertical="center" wrapText="1"/>
    </xf>
    <xf numFmtId="0" fontId="63" fillId="24" borderId="3" xfId="0" applyFont="1" applyFill="1" applyBorder="1" applyAlignment="1">
      <alignment vertical="center" wrapText="1"/>
    </xf>
    <xf numFmtId="0" fontId="63" fillId="18" borderId="2" xfId="0" applyFont="1" applyFill="1" applyBorder="1" applyAlignment="1">
      <alignment vertical="center" wrapText="1"/>
    </xf>
    <xf numFmtId="0" fontId="63" fillId="18" borderId="3" xfId="0" applyFont="1" applyFill="1" applyBorder="1" applyAlignment="1">
      <alignment vertical="center" wrapText="1"/>
    </xf>
    <xf numFmtId="0" fontId="63" fillId="18" borderId="4" xfId="0" applyFont="1" applyFill="1" applyBorder="1" applyAlignment="1">
      <alignment vertical="center" wrapText="1"/>
    </xf>
    <xf numFmtId="0" fontId="63" fillId="24" borderId="2" xfId="0" applyFont="1" applyFill="1" applyBorder="1" applyAlignment="1">
      <alignment horizontal="right" vertical="center" wrapText="1"/>
    </xf>
    <xf numFmtId="0" fontId="63" fillId="24" borderId="4" xfId="0" applyFont="1" applyFill="1" applyBorder="1" applyAlignment="1">
      <alignment horizontal="right" vertical="center" wrapText="1"/>
    </xf>
    <xf numFmtId="0" fontId="63" fillId="18" borderId="2" xfId="0" applyFont="1" applyFill="1" applyBorder="1" applyAlignment="1">
      <alignment horizontal="right" vertical="center" wrapText="1"/>
    </xf>
    <xf numFmtId="0" fontId="63" fillId="18" borderId="4" xfId="0" applyFont="1" applyFill="1" applyBorder="1" applyAlignment="1">
      <alignment horizontal="right" vertical="center" wrapText="1"/>
    </xf>
    <xf numFmtId="14" fontId="63" fillId="24" borderId="3" xfId="0" applyNumberFormat="1" applyFont="1" applyFill="1" applyBorder="1" applyAlignment="1">
      <alignment horizontal="left" vertical="center" wrapText="1"/>
    </xf>
    <xf numFmtId="1" fontId="63" fillId="24" borderId="4" xfId="0" applyNumberFormat="1" applyFont="1" applyFill="1" applyBorder="1" applyAlignment="1">
      <alignment horizontal="right" vertical="center" wrapText="1"/>
    </xf>
    <xf numFmtId="0" fontId="52" fillId="12" borderId="2" xfId="0" applyFont="1" applyFill="1" applyBorder="1" applyAlignment="1">
      <alignment horizontal="right" vertical="center" wrapText="1"/>
    </xf>
    <xf numFmtId="0" fontId="52" fillId="13" borderId="2" xfId="0" applyFont="1" applyFill="1" applyBorder="1" applyAlignment="1">
      <alignment horizontal="right" vertical="center" wrapText="1"/>
    </xf>
    <xf numFmtId="0" fontId="64" fillId="0" borderId="9" xfId="0" applyFont="1" applyBorder="1"/>
    <xf numFmtId="0" fontId="9" fillId="3" borderId="2" xfId="0" applyFont="1" applyFill="1" applyBorder="1" applyAlignment="1">
      <alignment horizontal="right" vertical="center" wrapText="1"/>
    </xf>
    <xf numFmtId="0" fontId="9" fillId="3" borderId="4" xfId="0" applyFont="1" applyFill="1" applyBorder="1" applyAlignment="1">
      <alignment horizontal="right" vertical="center" wrapText="1"/>
    </xf>
    <xf numFmtId="0" fontId="9" fillId="13" borderId="2" xfId="0" applyFont="1" applyFill="1" applyBorder="1" applyAlignment="1">
      <alignment horizontal="right" vertical="center" wrapText="1"/>
    </xf>
    <xf numFmtId="0" fontId="9" fillId="13" borderId="4" xfId="0" applyFont="1" applyFill="1" applyBorder="1" applyAlignment="1">
      <alignment horizontal="right" vertical="center" wrapText="1"/>
    </xf>
    <xf numFmtId="0" fontId="52" fillId="6" borderId="2" xfId="0" applyFont="1" applyFill="1" applyBorder="1" applyAlignment="1">
      <alignment horizontal="right" vertical="center" wrapText="1"/>
    </xf>
    <xf numFmtId="0" fontId="52" fillId="6" borderId="4" xfId="0" applyFont="1" applyFill="1" applyBorder="1" applyAlignment="1">
      <alignment vertical="center" wrapText="1"/>
    </xf>
    <xf numFmtId="14" fontId="64" fillId="5" borderId="1" xfId="0" applyNumberFormat="1" applyFont="1" applyFill="1" applyBorder="1" applyAlignment="1">
      <alignment horizontal="left" vertical="center" wrapText="1"/>
    </xf>
    <xf numFmtId="0" fontId="52" fillId="3" borderId="2" xfId="0" applyFont="1" applyFill="1" applyBorder="1" applyAlignment="1">
      <alignment horizontal="right" vertical="center" wrapText="1"/>
    </xf>
    <xf numFmtId="0" fontId="52" fillId="3" borderId="4" xfId="0" applyFont="1" applyFill="1" applyBorder="1" applyAlignment="1">
      <alignment vertical="center" wrapText="1"/>
    </xf>
    <xf numFmtId="0" fontId="52" fillId="28" borderId="2" xfId="0" applyFont="1" applyFill="1" applyBorder="1" applyAlignment="1">
      <alignment horizontal="right" vertical="center" wrapText="1"/>
    </xf>
    <xf numFmtId="0" fontId="30" fillId="28" borderId="2" xfId="0" applyFont="1" applyFill="1" applyBorder="1" applyAlignment="1">
      <alignment horizontal="right" vertical="center" wrapText="1"/>
    </xf>
    <xf numFmtId="0" fontId="52" fillId="28" borderId="4" xfId="0" applyFont="1" applyFill="1" applyBorder="1" applyAlignment="1">
      <alignment vertical="center" wrapText="1"/>
    </xf>
    <xf numFmtId="0" fontId="30" fillId="28" borderId="4" xfId="0" applyFont="1" applyFill="1" applyBorder="1" applyAlignment="1">
      <alignment horizontal="right" vertical="center" wrapText="1"/>
    </xf>
    <xf numFmtId="0" fontId="10" fillId="28" borderId="2" xfId="0" applyFont="1" applyFill="1" applyBorder="1" applyAlignment="1">
      <alignment horizontal="right" vertical="center" wrapText="1"/>
    </xf>
    <xf numFmtId="0" fontId="10" fillId="7" borderId="4" xfId="0" applyFont="1" applyFill="1" applyBorder="1" applyAlignment="1">
      <alignment horizontal="right" vertical="center" wrapText="1"/>
    </xf>
    <xf numFmtId="0" fontId="10" fillId="3" borderId="2" xfId="0" applyFont="1" applyFill="1" applyBorder="1" applyAlignment="1">
      <alignment horizontal="right" vertical="center" wrapText="1"/>
    </xf>
    <xf numFmtId="0" fontId="10" fillId="3" borderId="4" xfId="0" applyFont="1" applyFill="1" applyBorder="1" applyAlignment="1">
      <alignment horizontal="right" vertical="center" wrapText="1"/>
    </xf>
    <xf numFmtId="14" fontId="64" fillId="5" borderId="3" xfId="0" applyNumberFormat="1" applyFont="1" applyFill="1" applyBorder="1" applyAlignment="1">
      <alignment horizontal="left" vertical="center" wrapText="1"/>
    </xf>
    <xf numFmtId="0" fontId="8" fillId="23" borderId="2" xfId="0" applyFont="1" applyFill="1" applyBorder="1" applyAlignment="1">
      <alignment vertical="center" wrapText="1"/>
    </xf>
    <xf numFmtId="0" fontId="8" fillId="23" borderId="2" xfId="0" applyFont="1" applyFill="1" applyBorder="1" applyAlignment="1">
      <alignment horizontal="center" vertical="center" wrapText="1"/>
    </xf>
    <xf numFmtId="0" fontId="16" fillId="8" borderId="1" xfId="0" applyFont="1" applyFill="1" applyBorder="1" applyAlignment="1">
      <alignment horizontal="center" vertical="center" wrapText="1"/>
    </xf>
    <xf numFmtId="0" fontId="13" fillId="4" borderId="0" xfId="0" applyFont="1" applyFill="1"/>
    <xf numFmtId="0" fontId="6" fillId="4" borderId="0" xfId="0" applyFont="1" applyFill="1"/>
    <xf numFmtId="0" fontId="65" fillId="8" borderId="2" xfId="0" applyFont="1" applyFill="1" applyBorder="1" applyAlignment="1">
      <alignment horizontal="center" vertical="center" wrapText="1"/>
    </xf>
    <xf numFmtId="0" fontId="65" fillId="23" borderId="2" xfId="0" applyFont="1" applyFill="1" applyBorder="1" applyAlignment="1">
      <alignment horizontal="center" vertical="center" wrapText="1"/>
    </xf>
    <xf numFmtId="0" fontId="64" fillId="8" borderId="4" xfId="0" applyFont="1" applyFill="1" applyBorder="1" applyAlignment="1">
      <alignment horizontal="center" vertical="center" wrapText="1"/>
    </xf>
    <xf numFmtId="0" fontId="64" fillId="8" borderId="2" xfId="0" applyFont="1" applyFill="1" applyBorder="1" applyAlignment="1">
      <alignment horizontal="center" vertical="center" wrapText="1"/>
    </xf>
    <xf numFmtId="0" fontId="64" fillId="23" borderId="4" xfId="0" applyFont="1" applyFill="1" applyBorder="1" applyAlignment="1">
      <alignment horizontal="center" vertical="center" wrapText="1"/>
    </xf>
    <xf numFmtId="0" fontId="64" fillId="23" borderId="1" xfId="0" applyFont="1" applyFill="1" applyBorder="1" applyAlignment="1">
      <alignment horizontal="center" vertical="center" wrapText="1"/>
    </xf>
    <xf numFmtId="0" fontId="64" fillId="23" borderId="2" xfId="0" applyFont="1" applyFill="1" applyBorder="1" applyAlignment="1">
      <alignment horizontal="center" vertical="center" wrapText="1"/>
    </xf>
    <xf numFmtId="0" fontId="52" fillId="5" borderId="2" xfId="0" applyFont="1" applyFill="1" applyBorder="1" applyAlignment="1">
      <alignment horizontal="right" vertical="center" wrapText="1"/>
    </xf>
    <xf numFmtId="0" fontId="52" fillId="5" borderId="4" xfId="0" applyFont="1" applyFill="1" applyBorder="1" applyAlignment="1">
      <alignment horizontal="right" vertical="center" wrapText="1"/>
    </xf>
    <xf numFmtId="0" fontId="52" fillId="2" borderId="2" xfId="0" applyFont="1" applyFill="1" applyBorder="1" applyAlignment="1">
      <alignment horizontal="right" vertical="center" wrapText="1"/>
    </xf>
    <xf numFmtId="0" fontId="52" fillId="2" borderId="4" xfId="0" applyFont="1" applyFill="1" applyBorder="1" applyAlignment="1">
      <alignment horizontal="right" vertical="center" wrapText="1"/>
    </xf>
    <xf numFmtId="0" fontId="52" fillId="0" borderId="0" xfId="0" applyFont="1"/>
    <xf numFmtId="0" fontId="64" fillId="0" borderId="0" xfId="0" applyFont="1"/>
    <xf numFmtId="0" fontId="64" fillId="9" borderId="0" xfId="0" applyFont="1" applyFill="1"/>
    <xf numFmtId="0" fontId="52" fillId="6" borderId="4" xfId="0" applyFont="1" applyFill="1" applyBorder="1" applyAlignment="1">
      <alignment horizontal="right" vertical="center" wrapText="1"/>
    </xf>
    <xf numFmtId="0" fontId="52" fillId="12" borderId="4" xfId="0" applyFont="1" applyFill="1" applyBorder="1" applyAlignment="1">
      <alignment horizontal="right" vertical="center" wrapText="1"/>
    </xf>
    <xf numFmtId="0" fontId="52" fillId="3" borderId="4" xfId="0" applyFont="1" applyFill="1" applyBorder="1" applyAlignment="1">
      <alignment horizontal="right" vertical="center" wrapText="1"/>
    </xf>
    <xf numFmtId="0" fontId="11" fillId="6" borderId="1" xfId="0" applyFont="1" applyFill="1" applyBorder="1" applyAlignment="1">
      <alignment vertical="center" wrapText="1"/>
    </xf>
    <xf numFmtId="0" fontId="11" fillId="6" borderId="3" xfId="0" applyFont="1" applyFill="1" applyBorder="1" applyAlignment="1">
      <alignment vertical="center" wrapText="1"/>
    </xf>
    <xf numFmtId="0" fontId="11" fillId="6" borderId="2" xfId="0" applyFont="1" applyFill="1" applyBorder="1" applyAlignment="1">
      <alignment horizontal="center" vertical="center" wrapText="1"/>
    </xf>
    <xf numFmtId="0" fontId="11" fillId="6" borderId="4" xfId="0" applyFont="1" applyFill="1" applyBorder="1" applyAlignment="1">
      <alignment horizontal="right" vertical="center" wrapText="1"/>
    </xf>
    <xf numFmtId="0" fontId="17" fillId="9" borderId="9" xfId="0" applyFont="1" applyFill="1" applyBorder="1"/>
    <xf numFmtId="1" fontId="11" fillId="6" borderId="4" xfId="0" applyNumberFormat="1" applyFont="1" applyFill="1" applyBorder="1" applyAlignment="1">
      <alignment horizontal="right" vertical="center" wrapText="1"/>
    </xf>
    <xf numFmtId="14" fontId="11" fillId="6" borderId="3" xfId="0" applyNumberFormat="1" applyFont="1" applyFill="1" applyBorder="1" applyAlignment="1">
      <alignment horizontal="left" vertical="center" wrapText="1"/>
    </xf>
    <xf numFmtId="14" fontId="11" fillId="6" borderId="1" xfId="0" applyNumberFormat="1" applyFont="1" applyFill="1" applyBorder="1" applyAlignment="1">
      <alignment horizontal="left" vertical="center" wrapText="1"/>
    </xf>
    <xf numFmtId="0" fontId="1" fillId="9" borderId="10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" fillId="9" borderId="9" xfId="0" applyFont="1" applyFill="1" applyBorder="1" applyAlignment="1">
      <alignment horizontal="center" vertical="center" wrapText="1"/>
    </xf>
    <xf numFmtId="0" fontId="1" fillId="9" borderId="7" xfId="0" applyFont="1" applyFill="1" applyBorder="1" applyAlignment="1">
      <alignment horizontal="center" vertical="center" wrapText="1"/>
    </xf>
    <xf numFmtId="0" fontId="1" fillId="9" borderId="11" xfId="0" applyFont="1" applyFill="1" applyBorder="1" applyAlignment="1">
      <alignment horizontal="center" vertical="center" wrapText="1"/>
    </xf>
    <xf numFmtId="0" fontId="1" fillId="9" borderId="5" xfId="0" applyFont="1" applyFill="1" applyBorder="1" applyAlignment="1">
      <alignment horizontal="center" vertical="center" wrapText="1"/>
    </xf>
    <xf numFmtId="0" fontId="1" fillId="9" borderId="4" xfId="0" applyFont="1" applyFill="1" applyBorder="1" applyAlignment="1">
      <alignment horizontal="center" vertical="center" wrapText="1"/>
    </xf>
    <xf numFmtId="0" fontId="3" fillId="9" borderId="10" xfId="0" applyFont="1" applyFill="1" applyBorder="1" applyAlignment="1">
      <alignment horizontal="center" vertical="center" wrapText="1"/>
    </xf>
    <xf numFmtId="0" fontId="3" fillId="9" borderId="9" xfId="0" applyFont="1" applyFill="1" applyBorder="1" applyAlignment="1">
      <alignment horizontal="center" vertical="center" wrapText="1"/>
    </xf>
    <xf numFmtId="0" fontId="3" fillId="9" borderId="7" xfId="0" applyFont="1" applyFill="1" applyBorder="1" applyAlignment="1">
      <alignment horizontal="center" vertical="center" wrapText="1"/>
    </xf>
    <xf numFmtId="0" fontId="3" fillId="9" borderId="11" xfId="0" applyFont="1" applyFill="1" applyBorder="1" applyAlignment="1">
      <alignment horizontal="center" vertical="center" wrapText="1"/>
    </xf>
    <xf numFmtId="0" fontId="3" fillId="9" borderId="5" xfId="0" applyFont="1" applyFill="1" applyBorder="1" applyAlignment="1">
      <alignment horizontal="center" vertical="center" wrapText="1"/>
    </xf>
    <xf numFmtId="0" fontId="3" fillId="9" borderId="4" xfId="0" applyFont="1" applyFill="1" applyBorder="1" applyAlignment="1">
      <alignment horizontal="center" vertical="center" wrapText="1"/>
    </xf>
    <xf numFmtId="0" fontId="3" fillId="6" borderId="10" xfId="0" applyFont="1" applyFill="1" applyBorder="1" applyAlignment="1">
      <alignment horizontal="left" vertical="center"/>
    </xf>
    <xf numFmtId="0" fontId="3" fillId="6" borderId="9" xfId="0" applyFont="1" applyFill="1" applyBorder="1" applyAlignment="1">
      <alignment horizontal="left" vertical="center"/>
    </xf>
    <xf numFmtId="0" fontId="3" fillId="6" borderId="7" xfId="0" applyFont="1" applyFill="1" applyBorder="1" applyAlignment="1">
      <alignment horizontal="left" vertical="center"/>
    </xf>
    <xf numFmtId="0" fontId="16" fillId="5" borderId="8" xfId="0" applyFont="1" applyFill="1" applyBorder="1" applyAlignment="1">
      <alignment vertical="center" wrapText="1"/>
    </xf>
    <xf numFmtId="0" fontId="16" fillId="5" borderId="3" xfId="0" applyFont="1" applyFill="1" applyBorder="1" applyAlignment="1">
      <alignment vertical="center" wrapText="1"/>
    </xf>
    <xf numFmtId="0" fontId="1" fillId="7" borderId="8" xfId="0" applyFont="1" applyFill="1" applyBorder="1" applyAlignment="1">
      <alignment horizontal="center" vertical="center" wrapText="1"/>
    </xf>
    <xf numFmtId="0" fontId="1" fillId="7" borderId="3" xfId="0" applyFont="1" applyFill="1" applyBorder="1" applyAlignment="1">
      <alignment horizontal="center" vertical="center" wrapText="1"/>
    </xf>
    <xf numFmtId="0" fontId="11" fillId="6" borderId="8" xfId="0" applyFont="1" applyFill="1" applyBorder="1" applyAlignment="1">
      <alignment horizontal="left" vertical="center" wrapText="1"/>
    </xf>
    <xf numFmtId="0" fontId="11" fillId="6" borderId="3" xfId="0" applyFont="1" applyFill="1" applyBorder="1" applyAlignment="1">
      <alignment horizontal="left" vertical="center" wrapText="1"/>
    </xf>
    <xf numFmtId="0" fontId="1" fillId="7" borderId="10" xfId="0" applyFont="1" applyFill="1" applyBorder="1" applyAlignment="1">
      <alignment horizontal="center" vertical="center" wrapText="1"/>
    </xf>
    <xf numFmtId="0" fontId="1" fillId="7" borderId="9" xfId="0" applyFont="1" applyFill="1" applyBorder="1" applyAlignment="1">
      <alignment horizontal="center" vertical="center" wrapText="1"/>
    </xf>
    <xf numFmtId="0" fontId="1" fillId="7" borderId="7" xfId="0" applyFont="1" applyFill="1" applyBorder="1" applyAlignment="1">
      <alignment horizontal="center" vertical="center" wrapText="1"/>
    </xf>
    <xf numFmtId="0" fontId="1" fillId="7" borderId="11" xfId="0" applyFont="1" applyFill="1" applyBorder="1" applyAlignment="1">
      <alignment horizontal="center" vertical="center" wrapText="1"/>
    </xf>
    <xf numFmtId="0" fontId="1" fillId="7" borderId="5" xfId="0" applyFont="1" applyFill="1" applyBorder="1" applyAlignment="1">
      <alignment horizontal="center" vertical="center" wrapText="1"/>
    </xf>
    <xf numFmtId="0" fontId="1" fillId="7" borderId="4" xfId="0" applyFont="1" applyFill="1" applyBorder="1" applyAlignment="1">
      <alignment horizontal="center" vertical="center" wrapText="1"/>
    </xf>
    <xf numFmtId="0" fontId="13" fillId="4" borderId="8" xfId="0" applyFont="1" applyFill="1" applyBorder="1" applyAlignment="1">
      <alignment vertical="center" wrapText="1"/>
    </xf>
    <xf numFmtId="0" fontId="13" fillId="4" borderId="3" xfId="0" applyFont="1" applyFill="1" applyBorder="1" applyAlignment="1">
      <alignment vertical="center" wrapText="1"/>
    </xf>
    <xf numFmtId="0" fontId="8" fillId="21" borderId="12" xfId="0" applyFont="1" applyFill="1" applyBorder="1" applyAlignment="1">
      <alignment horizontal="left"/>
    </xf>
    <xf numFmtId="0" fontId="8" fillId="21" borderId="13" xfId="0" applyFont="1" applyFill="1" applyBorder="1" applyAlignment="1">
      <alignment horizontal="left"/>
    </xf>
    <xf numFmtId="0" fontId="8" fillId="21" borderId="2" xfId="0" applyFont="1" applyFill="1" applyBorder="1" applyAlignment="1">
      <alignment horizontal="left"/>
    </xf>
    <xf numFmtId="0" fontId="16" fillId="21" borderId="8" xfId="0" applyFont="1" applyFill="1" applyBorder="1" applyAlignment="1">
      <alignment horizontal="left" vertical="center" wrapText="1"/>
    </xf>
    <xf numFmtId="0" fontId="16" fillId="21" borderId="3" xfId="0" applyFont="1" applyFill="1" applyBorder="1" applyAlignment="1">
      <alignment horizontal="left" vertical="center" wrapText="1"/>
    </xf>
    <xf numFmtId="0" fontId="3" fillId="7" borderId="10" xfId="0" applyFont="1" applyFill="1" applyBorder="1" applyAlignment="1">
      <alignment horizontal="center" vertical="center" wrapText="1"/>
    </xf>
    <xf numFmtId="0" fontId="34" fillId="7" borderId="9" xfId="0" applyFont="1" applyFill="1" applyBorder="1" applyAlignment="1">
      <alignment horizontal="center" vertical="center" wrapText="1"/>
    </xf>
    <xf numFmtId="0" fontId="34" fillId="7" borderId="7" xfId="0" applyFont="1" applyFill="1" applyBorder="1" applyAlignment="1">
      <alignment horizontal="center" vertical="center" wrapText="1"/>
    </xf>
    <xf numFmtId="0" fontId="34" fillId="7" borderId="11" xfId="0" applyFont="1" applyFill="1" applyBorder="1" applyAlignment="1">
      <alignment horizontal="center" vertical="center" wrapText="1"/>
    </xf>
    <xf numFmtId="0" fontId="34" fillId="7" borderId="5" xfId="0" applyFont="1" applyFill="1" applyBorder="1" applyAlignment="1">
      <alignment horizontal="center" vertical="center" wrapText="1"/>
    </xf>
    <xf numFmtId="0" fontId="34" fillId="7" borderId="4" xfId="0" applyFont="1" applyFill="1" applyBorder="1" applyAlignment="1">
      <alignment horizontal="center" vertical="center" wrapText="1"/>
    </xf>
    <xf numFmtId="0" fontId="27" fillId="9" borderId="9" xfId="0" applyFont="1" applyFill="1" applyBorder="1" applyAlignment="1">
      <alignment horizontal="center" vertical="center" wrapText="1"/>
    </xf>
    <xf numFmtId="0" fontId="27" fillId="9" borderId="7" xfId="0" applyFont="1" applyFill="1" applyBorder="1" applyAlignment="1">
      <alignment horizontal="center" vertical="center" wrapText="1"/>
    </xf>
    <xf numFmtId="0" fontId="27" fillId="9" borderId="11" xfId="0" applyFont="1" applyFill="1" applyBorder="1" applyAlignment="1">
      <alignment horizontal="center" vertical="center" wrapText="1"/>
    </xf>
    <xf numFmtId="0" fontId="27" fillId="9" borderId="5" xfId="0" applyFont="1" applyFill="1" applyBorder="1" applyAlignment="1">
      <alignment horizontal="center" vertical="center" wrapText="1"/>
    </xf>
    <xf numFmtId="0" fontId="27" fillId="9" borderId="4" xfId="0" applyFont="1" applyFill="1" applyBorder="1" applyAlignment="1">
      <alignment horizontal="center" vertical="center" wrapText="1"/>
    </xf>
    <xf numFmtId="0" fontId="16" fillId="31" borderId="8" xfId="0" applyFont="1" applyFill="1" applyBorder="1" applyAlignment="1">
      <alignment vertical="center" wrapText="1"/>
    </xf>
    <xf numFmtId="0" fontId="16" fillId="31" borderId="3" xfId="0" applyFont="1" applyFill="1" applyBorder="1" applyAlignment="1">
      <alignment vertical="center" wrapText="1"/>
    </xf>
    <xf numFmtId="0" fontId="34" fillId="9" borderId="9" xfId="0" applyFont="1" applyFill="1" applyBorder="1" applyAlignment="1">
      <alignment horizontal="center" vertical="center" wrapText="1"/>
    </xf>
    <xf numFmtId="0" fontId="34" fillId="9" borderId="7" xfId="0" applyFont="1" applyFill="1" applyBorder="1" applyAlignment="1">
      <alignment horizontal="center" vertical="center" wrapText="1"/>
    </xf>
    <xf numFmtId="0" fontId="34" fillId="9" borderId="11" xfId="0" applyFont="1" applyFill="1" applyBorder="1" applyAlignment="1">
      <alignment horizontal="center" vertical="center" wrapText="1"/>
    </xf>
    <xf numFmtId="0" fontId="34" fillId="9" borderId="5" xfId="0" applyFont="1" applyFill="1" applyBorder="1" applyAlignment="1">
      <alignment horizontal="center" vertical="center" wrapText="1"/>
    </xf>
    <xf numFmtId="0" fontId="34" fillId="9" borderId="4" xfId="0" applyFont="1" applyFill="1" applyBorder="1" applyAlignment="1">
      <alignment horizontal="center" vertical="center" wrapText="1"/>
    </xf>
    <xf numFmtId="0" fontId="3" fillId="9" borderId="0" xfId="0" applyFont="1" applyFill="1" applyAlignment="1">
      <alignment horizontal="center" vertical="center" wrapText="1"/>
    </xf>
    <xf numFmtId="0" fontId="34" fillId="9" borderId="0" xfId="0" applyFont="1" applyFill="1" applyAlignment="1">
      <alignment horizontal="center" vertical="center" wrapText="1"/>
    </xf>
    <xf numFmtId="0" fontId="1" fillId="9" borderId="0" xfId="0" applyFont="1" applyFill="1" applyAlignment="1">
      <alignment horizontal="center" vertical="center" wrapText="1"/>
    </xf>
    <xf numFmtId="0" fontId="0" fillId="9" borderId="9" xfId="0" applyFill="1" applyBorder="1" applyAlignment="1">
      <alignment horizontal="center" vertical="center" wrapText="1"/>
    </xf>
    <xf numFmtId="0" fontId="0" fillId="9" borderId="7" xfId="0" applyFill="1" applyBorder="1" applyAlignment="1">
      <alignment horizontal="center" vertical="center" wrapText="1"/>
    </xf>
    <xf numFmtId="0" fontId="0" fillId="9" borderId="11" xfId="0" applyFill="1" applyBorder="1" applyAlignment="1">
      <alignment horizontal="center" vertical="center" wrapText="1"/>
    </xf>
    <xf numFmtId="0" fontId="0" fillId="9" borderId="5" xfId="0" applyFill="1" applyBorder="1" applyAlignment="1">
      <alignment horizontal="center" vertical="center" wrapText="1"/>
    </xf>
    <xf numFmtId="0" fontId="0" fillId="9" borderId="4" xfId="0" applyFill="1" applyBorder="1" applyAlignment="1">
      <alignment horizontal="center" vertical="center" wrapText="1"/>
    </xf>
    <xf numFmtId="0" fontId="27" fillId="9" borderId="0" xfId="0" applyFont="1" applyFill="1" applyAlignment="1">
      <alignment horizontal="center" vertical="center" wrapText="1"/>
    </xf>
    <xf numFmtId="0" fontId="63" fillId="24" borderId="8" xfId="0" applyFont="1" applyFill="1" applyBorder="1" applyAlignment="1">
      <alignment horizontal="left" vertical="center" wrapText="1"/>
    </xf>
    <xf numFmtId="0" fontId="63" fillId="24" borderId="3" xfId="0" applyFont="1" applyFill="1" applyBorder="1" applyAlignment="1">
      <alignment horizontal="left" vertical="center" wrapText="1"/>
    </xf>
    <xf numFmtId="0" fontId="34" fillId="0" borderId="9" xfId="0" applyFont="1" applyBorder="1" applyAlignment="1">
      <alignment horizontal="center" vertical="center" wrapText="1"/>
    </xf>
    <xf numFmtId="0" fontId="34" fillId="0" borderId="7" xfId="0" applyFont="1" applyBorder="1" applyAlignment="1">
      <alignment horizontal="center" vertical="center" wrapText="1"/>
    </xf>
    <xf numFmtId="0" fontId="34" fillId="0" borderId="11" xfId="0" applyFont="1" applyBorder="1" applyAlignment="1">
      <alignment horizontal="center" vertical="center" wrapText="1"/>
    </xf>
    <xf numFmtId="0" fontId="34" fillId="0" borderId="5" xfId="0" applyFont="1" applyBorder="1" applyAlignment="1">
      <alignment horizontal="center" vertical="center" wrapText="1"/>
    </xf>
    <xf numFmtId="0" fontId="34" fillId="0" borderId="4" xfId="0" applyFont="1" applyBorder="1" applyAlignment="1">
      <alignment horizontal="center" vertical="center" wrapText="1"/>
    </xf>
    <xf numFmtId="0" fontId="11" fillId="16" borderId="8" xfId="0" applyFont="1" applyFill="1" applyBorder="1" applyAlignment="1">
      <alignment vertical="center" wrapText="1"/>
    </xf>
    <xf numFmtId="0" fontId="11" fillId="16" borderId="3" xfId="0" applyFont="1" applyFill="1" applyBorder="1" applyAlignment="1">
      <alignment vertical="center" wrapText="1"/>
    </xf>
    <xf numFmtId="0" fontId="52" fillId="5" borderId="8" xfId="0" applyFont="1" applyFill="1" applyBorder="1" applyAlignment="1">
      <alignment vertical="center" wrapText="1"/>
    </xf>
    <xf numFmtId="0" fontId="52" fillId="5" borderId="3" xfId="0" applyFont="1" applyFill="1" applyBorder="1" applyAlignment="1">
      <alignment vertical="center" wrapText="1"/>
    </xf>
    <xf numFmtId="0" fontId="11" fillId="9" borderId="14" xfId="0" applyFont="1" applyFill="1" applyBorder="1" applyAlignment="1">
      <alignment vertical="center" wrapText="1"/>
    </xf>
    <xf numFmtId="0" fontId="0" fillId="0" borderId="0" xfId="0"/>
    <xf numFmtId="0" fontId="8" fillId="3" borderId="10" xfId="0" applyFont="1" applyFill="1" applyBorder="1" applyAlignment="1">
      <alignment horizontal="left" vertical="center"/>
    </xf>
    <xf numFmtId="0" fontId="8" fillId="3" borderId="9" xfId="0" applyFont="1" applyFill="1" applyBorder="1" applyAlignment="1">
      <alignment horizontal="left" vertical="center"/>
    </xf>
    <xf numFmtId="0" fontId="8" fillId="3" borderId="7" xfId="0" applyFont="1" applyFill="1" applyBorder="1" applyAlignment="1">
      <alignment horizontal="left" vertical="center"/>
    </xf>
    <xf numFmtId="0" fontId="16" fillId="3" borderId="8" xfId="0" applyFont="1" applyFill="1" applyBorder="1" applyAlignment="1">
      <alignment horizontal="left" vertical="center" wrapText="1"/>
    </xf>
    <xf numFmtId="0" fontId="16" fillId="3" borderId="3" xfId="0" applyFont="1" applyFill="1" applyBorder="1" applyAlignment="1">
      <alignment horizontal="left" vertical="center" wrapText="1"/>
    </xf>
    <xf numFmtId="0" fontId="23" fillId="3" borderId="10" xfId="0" applyFont="1" applyFill="1" applyBorder="1" applyAlignment="1">
      <alignment horizontal="left" vertical="center"/>
    </xf>
    <xf numFmtId="0" fontId="23" fillId="3" borderId="9" xfId="0" applyFont="1" applyFill="1" applyBorder="1" applyAlignment="1">
      <alignment horizontal="left" vertical="center"/>
    </xf>
    <xf numFmtId="0" fontId="23" fillId="3" borderId="7" xfId="0" applyFont="1" applyFill="1" applyBorder="1" applyAlignment="1">
      <alignment horizontal="left" vertical="center"/>
    </xf>
    <xf numFmtId="0" fontId="24" fillId="3" borderId="8" xfId="0" applyFont="1" applyFill="1" applyBorder="1" applyAlignment="1">
      <alignment horizontal="left" vertical="center" wrapText="1"/>
    </xf>
    <xf numFmtId="0" fontId="24" fillId="3" borderId="3" xfId="0" applyFont="1" applyFill="1" applyBorder="1" applyAlignment="1">
      <alignment horizontal="left" vertical="center" wrapText="1"/>
    </xf>
    <xf numFmtId="0" fontId="3" fillId="7" borderId="9" xfId="0" applyFont="1" applyFill="1" applyBorder="1" applyAlignment="1">
      <alignment horizontal="center" vertical="center" wrapText="1"/>
    </xf>
    <xf numFmtId="0" fontId="3" fillId="7" borderId="7" xfId="0" applyFont="1" applyFill="1" applyBorder="1" applyAlignment="1">
      <alignment horizontal="center" vertical="center" wrapText="1"/>
    </xf>
    <xf numFmtId="0" fontId="3" fillId="7" borderId="11" xfId="0" applyFont="1" applyFill="1" applyBorder="1" applyAlignment="1">
      <alignment horizontal="center" vertical="center" wrapText="1"/>
    </xf>
    <xf numFmtId="0" fontId="3" fillId="7" borderId="5" xfId="0" applyFont="1" applyFill="1" applyBorder="1" applyAlignment="1">
      <alignment horizontal="center" vertical="center" wrapText="1"/>
    </xf>
    <xf numFmtId="0" fontId="3" fillId="7" borderId="4" xfId="0" applyFont="1" applyFill="1" applyBorder="1" applyAlignment="1">
      <alignment horizontal="center" vertical="center" wrapText="1"/>
    </xf>
    <xf numFmtId="0" fontId="44" fillId="9" borderId="12" xfId="0" applyFont="1" applyFill="1" applyBorder="1" applyAlignment="1">
      <alignment horizontal="left" vertical="center"/>
    </xf>
    <xf numFmtId="0" fontId="44" fillId="9" borderId="13" xfId="0" applyFont="1" applyFill="1" applyBorder="1" applyAlignment="1">
      <alignment horizontal="left" vertical="center"/>
    </xf>
    <xf numFmtId="0" fontId="44" fillId="9" borderId="2" xfId="0" applyFont="1" applyFill="1" applyBorder="1" applyAlignment="1">
      <alignment horizontal="left" vertical="center"/>
    </xf>
    <xf numFmtId="0" fontId="11" fillId="9" borderId="8" xfId="0" applyFont="1" applyFill="1" applyBorder="1" applyAlignment="1">
      <alignment horizontal="left" vertical="center" wrapText="1"/>
    </xf>
    <xf numFmtId="0" fontId="11" fillId="9" borderId="3" xfId="0" applyFont="1" applyFill="1" applyBorder="1" applyAlignment="1">
      <alignment horizontal="left" vertical="center" wrapText="1"/>
    </xf>
    <xf numFmtId="0" fontId="3" fillId="9" borderId="14" xfId="0" applyFont="1" applyFill="1" applyBorder="1" applyAlignment="1">
      <alignment horizontal="center" vertical="center" wrapText="1"/>
    </xf>
    <xf numFmtId="0" fontId="27" fillId="9" borderId="14" xfId="0" applyFont="1" applyFill="1" applyBorder="1" applyAlignment="1">
      <alignment horizontal="center" vertical="center" wrapText="1"/>
    </xf>
    <xf numFmtId="0" fontId="17" fillId="9" borderId="14" xfId="0" applyFont="1" applyFill="1" applyBorder="1" applyAlignment="1">
      <alignment vertical="center" wrapText="1"/>
    </xf>
    <xf numFmtId="0" fontId="17" fillId="9" borderId="0" xfId="0" applyFont="1" applyFill="1"/>
    <xf numFmtId="0" fontId="17" fillId="9" borderId="9" xfId="0" applyFont="1" applyFill="1" applyBorder="1" applyAlignment="1">
      <alignment horizontal="center" vertical="center" wrapText="1"/>
    </xf>
    <xf numFmtId="0" fontId="17" fillId="9" borderId="7" xfId="0" applyFont="1" applyFill="1" applyBorder="1" applyAlignment="1">
      <alignment horizontal="center" vertical="center" wrapText="1"/>
    </xf>
    <xf numFmtId="0" fontId="17" fillId="9" borderId="11" xfId="0" applyFont="1" applyFill="1" applyBorder="1" applyAlignment="1">
      <alignment horizontal="center" vertical="center" wrapText="1"/>
    </xf>
    <xf numFmtId="0" fontId="17" fillId="9" borderId="5" xfId="0" applyFont="1" applyFill="1" applyBorder="1" applyAlignment="1">
      <alignment horizontal="center" vertical="center" wrapText="1"/>
    </xf>
    <xf numFmtId="0" fontId="17" fillId="9" borderId="4" xfId="0" applyFont="1" applyFill="1" applyBorder="1" applyAlignment="1">
      <alignment horizontal="center" vertical="center" wrapText="1"/>
    </xf>
    <xf numFmtId="0" fontId="11" fillId="26" borderId="8" xfId="0" applyFont="1" applyFill="1" applyBorder="1" applyAlignment="1">
      <alignment vertical="center" wrapText="1"/>
    </xf>
    <xf numFmtId="0" fontId="0" fillId="26" borderId="3" xfId="0" applyFill="1" applyBorder="1" applyAlignment="1">
      <alignment vertical="center" wrapText="1"/>
    </xf>
    <xf numFmtId="0" fontId="11" fillId="30" borderId="8" xfId="0" applyFont="1" applyFill="1" applyBorder="1" applyAlignment="1">
      <alignment vertical="center" wrapText="1"/>
    </xf>
    <xf numFmtId="0" fontId="0" fillId="30" borderId="3" xfId="0" applyFill="1" applyBorder="1" applyAlignment="1">
      <alignment vertical="center" wrapText="1"/>
    </xf>
    <xf numFmtId="0" fontId="3" fillId="9" borderId="12" xfId="0" applyFont="1" applyFill="1" applyBorder="1" applyAlignment="1">
      <alignment vertical="center"/>
    </xf>
    <xf numFmtId="0" fontId="3" fillId="9" borderId="13" xfId="0" applyFont="1" applyFill="1" applyBorder="1" applyAlignment="1">
      <alignment vertical="center"/>
    </xf>
    <xf numFmtId="0" fontId="17" fillId="9" borderId="13" xfId="0" applyFont="1" applyFill="1" applyBorder="1"/>
    <xf numFmtId="0" fontId="17" fillId="9" borderId="2" xfId="0" applyFont="1" applyFill="1" applyBorder="1"/>
    <xf numFmtId="0" fontId="8" fillId="5" borderId="10" xfId="0" applyFont="1" applyFill="1" applyBorder="1" applyAlignment="1">
      <alignment horizontal="left" vertical="center"/>
    </xf>
    <xf numFmtId="0" fontId="8" fillId="5" borderId="9" xfId="0" applyFont="1" applyFill="1" applyBorder="1" applyAlignment="1">
      <alignment horizontal="left" vertical="center"/>
    </xf>
    <xf numFmtId="0" fontId="8" fillId="5" borderId="7" xfId="0" applyFont="1" applyFill="1" applyBorder="1" applyAlignment="1">
      <alignment horizontal="left" vertical="center"/>
    </xf>
    <xf numFmtId="0" fontId="16" fillId="5" borderId="8" xfId="0" applyFont="1" applyFill="1" applyBorder="1" applyAlignment="1">
      <alignment horizontal="left" vertical="center" wrapText="1"/>
    </xf>
    <xf numFmtId="0" fontId="16" fillId="5" borderId="3" xfId="0" applyFont="1" applyFill="1" applyBorder="1" applyAlignment="1">
      <alignment horizontal="left" vertical="center" wrapText="1"/>
    </xf>
    <xf numFmtId="0" fontId="11" fillId="9" borderId="10" xfId="0" applyFont="1" applyFill="1" applyBorder="1" applyAlignment="1">
      <alignment vertical="center" wrapText="1"/>
    </xf>
    <xf numFmtId="0" fontId="11" fillId="9" borderId="9" xfId="0" applyFont="1" applyFill="1" applyBorder="1"/>
    <xf numFmtId="0" fontId="11" fillId="24" borderId="8" xfId="0" applyFont="1" applyFill="1" applyBorder="1" applyAlignment="1">
      <alignment vertical="center" wrapText="1"/>
    </xf>
    <xf numFmtId="0" fontId="11" fillId="24" borderId="3" xfId="0" applyFont="1" applyFill="1" applyBorder="1" applyAlignment="1">
      <alignment vertical="center" wrapText="1"/>
    </xf>
    <xf numFmtId="0" fontId="49" fillId="3" borderId="10" xfId="0" applyFont="1" applyFill="1" applyBorder="1" applyAlignment="1">
      <alignment horizontal="left" vertical="center"/>
    </xf>
    <xf numFmtId="0" fontId="49" fillId="3" borderId="9" xfId="0" applyFont="1" applyFill="1" applyBorder="1" applyAlignment="1">
      <alignment horizontal="left" vertical="center"/>
    </xf>
    <xf numFmtId="0" fontId="49" fillId="3" borderId="7" xfId="0" applyFont="1" applyFill="1" applyBorder="1" applyAlignment="1">
      <alignment horizontal="left" vertical="center"/>
    </xf>
    <xf numFmtId="0" fontId="48" fillId="3" borderId="8" xfId="0" applyFont="1" applyFill="1" applyBorder="1" applyAlignment="1">
      <alignment horizontal="left" vertical="center" wrapText="1"/>
    </xf>
    <xf numFmtId="0" fontId="48" fillId="3" borderId="3" xfId="0" applyFont="1" applyFill="1" applyBorder="1" applyAlignment="1">
      <alignment horizontal="left" vertical="center" wrapText="1"/>
    </xf>
    <xf numFmtId="0" fontId="8" fillId="2" borderId="10" xfId="0" applyFont="1" applyFill="1" applyBorder="1" applyAlignment="1">
      <alignment horizontal="left" vertical="center"/>
    </xf>
    <xf numFmtId="0" fontId="8" fillId="2" borderId="9" xfId="0" applyFont="1" applyFill="1" applyBorder="1" applyAlignment="1">
      <alignment horizontal="left" vertical="center"/>
    </xf>
    <xf numFmtId="0" fontId="8" fillId="2" borderId="7" xfId="0" applyFont="1" applyFill="1" applyBorder="1" applyAlignment="1">
      <alignment horizontal="left" vertical="center"/>
    </xf>
    <xf numFmtId="0" fontId="16" fillId="2" borderId="8" xfId="0" applyFont="1" applyFill="1" applyBorder="1" applyAlignment="1">
      <alignment horizontal="left" vertical="center" wrapText="1"/>
    </xf>
    <xf numFmtId="0" fontId="16" fillId="2" borderId="3" xfId="0" applyFont="1" applyFill="1" applyBorder="1" applyAlignment="1">
      <alignment horizontal="left" vertical="center" wrapText="1"/>
    </xf>
    <xf numFmtId="0" fontId="0" fillId="0" borderId="0" xfId="0" applyAlignment="1">
      <alignment wrapText="1"/>
    </xf>
    <xf numFmtId="0" fontId="12" fillId="9" borderId="8" xfId="0" applyFont="1" applyFill="1" applyBorder="1" applyAlignment="1">
      <alignment horizontal="left" vertical="center" wrapText="1"/>
    </xf>
    <xf numFmtId="0" fontId="12" fillId="9" borderId="3" xfId="0" applyFont="1" applyFill="1" applyBorder="1" applyAlignment="1">
      <alignment horizontal="left" vertical="center" wrapText="1"/>
    </xf>
    <xf numFmtId="0" fontId="2" fillId="9" borderId="10" xfId="0" applyFont="1" applyFill="1" applyBorder="1" applyAlignment="1">
      <alignment horizontal="left" vertical="center"/>
    </xf>
    <xf numFmtId="0" fontId="2" fillId="9" borderId="9" xfId="0" applyFont="1" applyFill="1" applyBorder="1" applyAlignment="1">
      <alignment horizontal="left" vertical="center"/>
    </xf>
    <xf numFmtId="0" fontId="2" fillId="9" borderId="7" xfId="0" applyFont="1" applyFill="1" applyBorder="1" applyAlignment="1">
      <alignment horizontal="left" vertical="center"/>
    </xf>
    <xf numFmtId="0" fontId="11" fillId="17" borderId="8" xfId="0" applyFont="1" applyFill="1" applyBorder="1" applyAlignment="1">
      <alignment vertical="center" wrapText="1"/>
    </xf>
    <xf numFmtId="0" fontId="11" fillId="17" borderId="3" xfId="0" applyFont="1" applyFill="1" applyBorder="1" applyAlignment="1">
      <alignment vertical="center" wrapText="1"/>
    </xf>
    <xf numFmtId="0" fontId="11" fillId="30" borderId="3" xfId="0" applyFont="1" applyFill="1" applyBorder="1" applyAlignment="1">
      <alignment vertical="center" wrapText="1"/>
    </xf>
    <xf numFmtId="0" fontId="11" fillId="15" borderId="8" xfId="0" applyFont="1" applyFill="1" applyBorder="1" applyAlignment="1">
      <alignment vertical="center" wrapText="1"/>
    </xf>
    <xf numFmtId="0" fontId="11" fillId="15" borderId="3" xfId="0" applyFont="1" applyFill="1" applyBorder="1" applyAlignment="1">
      <alignment vertical="center" wrapText="1"/>
    </xf>
    <xf numFmtId="0" fontId="11" fillId="9" borderId="8" xfId="0" applyFont="1" applyFill="1" applyBorder="1" applyAlignment="1">
      <alignment vertical="center" wrapText="1"/>
    </xf>
    <xf numFmtId="0" fontId="11" fillId="9" borderId="3" xfId="0" applyFont="1" applyFill="1" applyBorder="1" applyAlignment="1">
      <alignment vertical="center" wrapText="1"/>
    </xf>
    <xf numFmtId="0" fontId="51" fillId="4" borderId="10" xfId="0" applyFont="1" applyFill="1" applyBorder="1" applyAlignment="1">
      <alignment horizontal="left" vertical="center"/>
    </xf>
    <xf numFmtId="0" fontId="51" fillId="4" borderId="9" xfId="0" applyFont="1" applyFill="1" applyBorder="1" applyAlignment="1">
      <alignment horizontal="left" vertical="center"/>
    </xf>
    <xf numFmtId="0" fontId="51" fillId="4" borderId="7" xfId="0" applyFont="1" applyFill="1" applyBorder="1" applyAlignment="1">
      <alignment horizontal="left" vertical="center"/>
    </xf>
    <xf numFmtId="0" fontId="31" fillId="4" borderId="8" xfId="0" applyFont="1" applyFill="1" applyBorder="1" applyAlignment="1">
      <alignment vertical="center" wrapText="1"/>
    </xf>
    <xf numFmtId="0" fontId="31" fillId="4" borderId="3" xfId="0" applyFont="1" applyFill="1" applyBorder="1" applyAlignment="1">
      <alignment vertical="center" wrapText="1"/>
    </xf>
    <xf numFmtId="0" fontId="0" fillId="7" borderId="3" xfId="0" applyFill="1" applyBorder="1" applyAlignment="1">
      <alignment horizontal="center" vertical="center" wrapText="1"/>
    </xf>
    <xf numFmtId="0" fontId="44" fillId="2" borderId="10" xfId="0" applyFont="1" applyFill="1" applyBorder="1" applyAlignment="1">
      <alignment horizontal="left" vertical="center"/>
    </xf>
    <xf numFmtId="0" fontId="44" fillId="2" borderId="9" xfId="0" applyFont="1" applyFill="1" applyBorder="1" applyAlignment="1">
      <alignment horizontal="left" vertical="center"/>
    </xf>
    <xf numFmtId="0" fontId="44" fillId="2" borderId="7" xfId="0" applyFont="1" applyFill="1" applyBorder="1" applyAlignment="1">
      <alignment horizontal="left" vertical="center"/>
    </xf>
    <xf numFmtId="0" fontId="39" fillId="2" borderId="8" xfId="0" applyFont="1" applyFill="1" applyBorder="1" applyAlignment="1">
      <alignment horizontal="left" vertical="center" wrapText="1"/>
    </xf>
    <xf numFmtId="0" fontId="39" fillId="2" borderId="3" xfId="0" applyFont="1" applyFill="1" applyBorder="1" applyAlignment="1">
      <alignment horizontal="left" vertical="center" wrapText="1"/>
    </xf>
    <xf numFmtId="0" fontId="11" fillId="9" borderId="0" xfId="0" applyFont="1" applyFill="1" applyAlignment="1">
      <alignment vertical="center" wrapText="1"/>
    </xf>
    <xf numFmtId="0" fontId="4" fillId="10" borderId="10" xfId="0" applyFont="1" applyFill="1" applyBorder="1" applyAlignment="1">
      <alignment horizontal="left" vertical="center"/>
    </xf>
    <xf numFmtId="0" fontId="4" fillId="10" borderId="9" xfId="0" applyFont="1" applyFill="1" applyBorder="1" applyAlignment="1">
      <alignment horizontal="left" vertical="center"/>
    </xf>
    <xf numFmtId="0" fontId="4" fillId="10" borderId="7" xfId="0" applyFont="1" applyFill="1" applyBorder="1" applyAlignment="1">
      <alignment horizontal="left" vertical="center"/>
    </xf>
    <xf numFmtId="0" fontId="30" fillId="10" borderId="8" xfId="0" applyFont="1" applyFill="1" applyBorder="1" applyAlignment="1">
      <alignment horizontal="left" vertical="center" wrapText="1"/>
    </xf>
    <xf numFmtId="0" fontId="30" fillId="10" borderId="3" xfId="0" applyFont="1" applyFill="1" applyBorder="1" applyAlignment="1">
      <alignment horizontal="left" vertical="center" wrapText="1"/>
    </xf>
    <xf numFmtId="0" fontId="8" fillId="6" borderId="10" xfId="0" applyFont="1" applyFill="1" applyBorder="1" applyAlignment="1">
      <alignment horizontal="left" vertical="center"/>
    </xf>
    <xf numFmtId="0" fontId="8" fillId="6" borderId="9" xfId="0" applyFont="1" applyFill="1" applyBorder="1" applyAlignment="1">
      <alignment horizontal="left" vertical="center"/>
    </xf>
    <xf numFmtId="0" fontId="8" fillId="6" borderId="7" xfId="0" applyFont="1" applyFill="1" applyBorder="1" applyAlignment="1">
      <alignment horizontal="left" vertical="center"/>
    </xf>
    <xf numFmtId="0" fontId="16" fillId="5" borderId="7" xfId="0" applyFont="1" applyFill="1" applyBorder="1" applyAlignment="1">
      <alignment vertical="center" wrapText="1"/>
    </xf>
    <xf numFmtId="0" fontId="16" fillId="5" borderId="4" xfId="0" applyFont="1" applyFill="1" applyBorder="1" applyAlignment="1">
      <alignment vertical="center" wrapText="1"/>
    </xf>
    <xf numFmtId="0" fontId="16" fillId="6" borderId="7" xfId="0" applyFont="1" applyFill="1" applyBorder="1" applyAlignment="1">
      <alignment horizontal="left" vertical="center" wrapText="1"/>
    </xf>
    <xf numFmtId="0" fontId="16" fillId="6" borderId="4" xfId="0" applyFont="1" applyFill="1" applyBorder="1" applyAlignment="1">
      <alignment horizontal="left" vertical="center" wrapText="1"/>
    </xf>
    <xf numFmtId="0" fontId="11" fillId="30" borderId="7" xfId="0" applyFont="1" applyFill="1" applyBorder="1" applyAlignment="1">
      <alignment vertical="center" wrapText="1"/>
    </xf>
    <xf numFmtId="0" fontId="11" fillId="30" borderId="4" xfId="0" applyFont="1" applyFill="1" applyBorder="1" applyAlignment="1">
      <alignment vertical="center" wrapText="1"/>
    </xf>
    <xf numFmtId="0" fontId="9" fillId="9" borderId="10" xfId="0" applyFont="1" applyFill="1" applyBorder="1" applyAlignment="1">
      <alignment horizontal="center" vertical="center" wrapText="1"/>
    </xf>
    <xf numFmtId="0" fontId="9" fillId="9" borderId="9" xfId="0" applyFont="1" applyFill="1" applyBorder="1" applyAlignment="1">
      <alignment horizontal="center" vertical="center" wrapText="1"/>
    </xf>
    <xf numFmtId="0" fontId="9" fillId="9" borderId="7" xfId="0" applyFont="1" applyFill="1" applyBorder="1" applyAlignment="1">
      <alignment horizontal="center" vertical="center" wrapText="1"/>
    </xf>
    <xf numFmtId="0" fontId="9" fillId="9" borderId="11" xfId="0" applyFont="1" applyFill="1" applyBorder="1" applyAlignment="1">
      <alignment horizontal="center" vertical="center" wrapText="1"/>
    </xf>
    <xf numFmtId="0" fontId="9" fillId="9" borderId="5" xfId="0" applyFont="1" applyFill="1" applyBorder="1" applyAlignment="1">
      <alignment horizontal="center" vertical="center" wrapText="1"/>
    </xf>
    <xf numFmtId="0" fontId="9" fillId="9" borderId="4" xfId="0" applyFont="1" applyFill="1" applyBorder="1" applyAlignment="1">
      <alignment horizontal="center" vertical="center" wrapText="1"/>
    </xf>
    <xf numFmtId="0" fontId="11" fillId="9" borderId="10" xfId="0" applyFont="1" applyFill="1" applyBorder="1" applyAlignment="1">
      <alignment horizontal="center" vertical="center" wrapText="1"/>
    </xf>
    <xf numFmtId="0" fontId="11" fillId="9" borderId="9" xfId="0" applyFont="1" applyFill="1" applyBorder="1" applyAlignment="1">
      <alignment horizontal="center" vertical="center" wrapText="1"/>
    </xf>
    <xf numFmtId="0" fontId="11" fillId="9" borderId="7" xfId="0" applyFont="1" applyFill="1" applyBorder="1" applyAlignment="1">
      <alignment horizontal="center" vertical="center" wrapText="1"/>
    </xf>
    <xf numFmtId="0" fontId="11" fillId="9" borderId="11" xfId="0" applyFont="1" applyFill="1" applyBorder="1" applyAlignment="1">
      <alignment horizontal="center" vertical="center" wrapText="1"/>
    </xf>
    <xf numFmtId="0" fontId="11" fillId="9" borderId="5" xfId="0" applyFont="1" applyFill="1" applyBorder="1" applyAlignment="1">
      <alignment horizontal="center" vertical="center" wrapText="1"/>
    </xf>
    <xf numFmtId="0" fontId="11" fillId="9" borderId="4" xfId="0" applyFont="1" applyFill="1" applyBorder="1" applyAlignment="1">
      <alignment horizontal="center" vertical="center" wrapText="1"/>
    </xf>
    <xf numFmtId="0" fontId="9" fillId="7" borderId="10" xfId="0" applyFont="1" applyFill="1" applyBorder="1" applyAlignment="1">
      <alignment horizontal="center" vertical="center" wrapText="1"/>
    </xf>
    <xf numFmtId="0" fontId="9" fillId="7" borderId="9" xfId="0" applyFont="1" applyFill="1" applyBorder="1" applyAlignment="1">
      <alignment horizontal="center" vertical="center" wrapText="1"/>
    </xf>
    <xf numFmtId="0" fontId="9" fillId="7" borderId="7" xfId="0" applyFont="1" applyFill="1" applyBorder="1" applyAlignment="1">
      <alignment horizontal="center" vertical="center" wrapText="1"/>
    </xf>
    <xf numFmtId="0" fontId="9" fillId="7" borderId="11" xfId="0" applyFont="1" applyFill="1" applyBorder="1" applyAlignment="1">
      <alignment horizontal="center" vertical="center" wrapText="1"/>
    </xf>
    <xf numFmtId="0" fontId="9" fillId="7" borderId="5" xfId="0" applyFont="1" applyFill="1" applyBorder="1" applyAlignment="1">
      <alignment horizontal="center" vertical="center" wrapText="1"/>
    </xf>
    <xf numFmtId="0" fontId="9" fillId="7" borderId="4" xfId="0" applyFont="1" applyFill="1" applyBorder="1" applyAlignment="1">
      <alignment horizontal="center" vertical="center" wrapText="1"/>
    </xf>
    <xf numFmtId="0" fontId="9" fillId="7" borderId="8" xfId="0" applyFont="1" applyFill="1" applyBorder="1" applyAlignment="1">
      <alignment horizontal="center" vertical="center" wrapText="1"/>
    </xf>
    <xf numFmtId="0" fontId="9" fillId="7" borderId="3" xfId="0" applyFont="1" applyFill="1" applyBorder="1" applyAlignment="1">
      <alignment horizontal="center" vertical="center" wrapText="1"/>
    </xf>
    <xf numFmtId="0" fontId="11" fillId="9" borderId="0" xfId="0" applyFont="1" applyFill="1" applyAlignment="1">
      <alignment horizontal="center" vertical="center" wrapText="1"/>
    </xf>
    <xf numFmtId="0" fontId="0" fillId="9" borderId="0" xfId="0" applyFill="1" applyAlignment="1">
      <alignment horizontal="center" vertical="center" wrapText="1"/>
    </xf>
    <xf numFmtId="0" fontId="8" fillId="19" borderId="12" xfId="0" applyFont="1" applyFill="1" applyBorder="1" applyAlignment="1">
      <alignment horizontal="left"/>
    </xf>
    <xf numFmtId="0" fontId="8" fillId="19" borderId="13" xfId="0" applyFont="1" applyFill="1" applyBorder="1" applyAlignment="1">
      <alignment horizontal="left"/>
    </xf>
    <xf numFmtId="0" fontId="8" fillId="19" borderId="2" xfId="0" applyFont="1" applyFill="1" applyBorder="1" applyAlignment="1">
      <alignment horizontal="left"/>
    </xf>
    <xf numFmtId="0" fontId="11" fillId="7" borderId="10" xfId="0" applyFont="1" applyFill="1" applyBorder="1" applyAlignment="1">
      <alignment horizontal="center" vertical="center" wrapText="1"/>
    </xf>
    <xf numFmtId="0" fontId="0" fillId="7" borderId="9" xfId="0" applyFill="1" applyBorder="1" applyAlignment="1">
      <alignment horizontal="center" vertical="center" wrapText="1"/>
    </xf>
    <xf numFmtId="0" fontId="0" fillId="7" borderId="7" xfId="0" applyFill="1" applyBorder="1" applyAlignment="1">
      <alignment horizontal="center" vertical="center" wrapText="1"/>
    </xf>
    <xf numFmtId="0" fontId="0" fillId="7" borderId="11" xfId="0" applyFill="1" applyBorder="1" applyAlignment="1">
      <alignment horizontal="center" vertical="center" wrapText="1"/>
    </xf>
    <xf numFmtId="0" fontId="0" fillId="7" borderId="5" xfId="0" applyFill="1" applyBorder="1" applyAlignment="1">
      <alignment horizontal="center" vertical="center" wrapText="1"/>
    </xf>
    <xf numFmtId="0" fontId="0" fillId="7" borderId="4" xfId="0" applyFill="1" applyBorder="1" applyAlignment="1">
      <alignment horizontal="center" vertical="center" wrapText="1"/>
    </xf>
    <xf numFmtId="0" fontId="16" fillId="19" borderId="8" xfId="0" applyFont="1" applyFill="1" applyBorder="1" applyAlignment="1">
      <alignment horizontal="left" vertical="center" wrapText="1"/>
    </xf>
    <xf numFmtId="0" fontId="16" fillId="19" borderId="3" xfId="0" applyFont="1" applyFill="1" applyBorder="1" applyAlignment="1">
      <alignment horizontal="left" vertical="center" wrapText="1"/>
    </xf>
    <xf numFmtId="0" fontId="29" fillId="3" borderId="10" xfId="0" applyFont="1" applyFill="1" applyBorder="1" applyAlignment="1">
      <alignment horizontal="left" vertical="center"/>
    </xf>
    <xf numFmtId="0" fontId="29" fillId="3" borderId="9" xfId="0" applyFont="1" applyFill="1" applyBorder="1" applyAlignment="1">
      <alignment horizontal="left" vertical="center"/>
    </xf>
    <xf numFmtId="0" fontId="29" fillId="3" borderId="7" xfId="0" applyFont="1" applyFill="1" applyBorder="1" applyAlignment="1">
      <alignment horizontal="left" vertical="center"/>
    </xf>
    <xf numFmtId="0" fontId="13" fillId="3" borderId="8" xfId="0" applyFont="1" applyFill="1" applyBorder="1" applyAlignment="1">
      <alignment horizontal="left" vertical="center" wrapText="1"/>
    </xf>
    <xf numFmtId="0" fontId="13" fillId="3" borderId="3" xfId="0" applyFont="1" applyFill="1" applyBorder="1" applyAlignment="1">
      <alignment horizontal="left" vertical="center" wrapText="1"/>
    </xf>
    <xf numFmtId="0" fontId="12" fillId="9" borderId="10" xfId="0" applyFont="1" applyFill="1" applyBorder="1" applyAlignment="1">
      <alignment vertical="center" wrapText="1"/>
    </xf>
    <xf numFmtId="0" fontId="12" fillId="9" borderId="9" xfId="0" applyFont="1" applyFill="1" applyBorder="1" applyAlignment="1">
      <alignment vertical="center" wrapText="1"/>
    </xf>
    <xf numFmtId="0" fontId="0" fillId="0" borderId="9" xfId="0" applyBorder="1"/>
    <xf numFmtId="0" fontId="8" fillId="3" borderId="12" xfId="0" applyFont="1" applyFill="1" applyBorder="1" applyAlignment="1">
      <alignment horizontal="left"/>
    </xf>
    <xf numFmtId="0" fontId="8" fillId="3" borderId="13" xfId="0" applyFont="1" applyFill="1" applyBorder="1" applyAlignment="1">
      <alignment horizontal="left"/>
    </xf>
    <xf numFmtId="0" fontId="8" fillId="3" borderId="2" xfId="0" applyFont="1" applyFill="1" applyBorder="1" applyAlignment="1">
      <alignment horizontal="left"/>
    </xf>
    <xf numFmtId="0" fontId="56" fillId="5" borderId="12" xfId="0" applyFont="1" applyFill="1" applyBorder="1" applyAlignment="1">
      <alignment horizontal="left"/>
    </xf>
    <xf numFmtId="0" fontId="56" fillId="5" borderId="13" xfId="0" applyFont="1" applyFill="1" applyBorder="1" applyAlignment="1">
      <alignment horizontal="left"/>
    </xf>
    <xf numFmtId="0" fontId="56" fillId="5" borderId="2" xfId="0" applyFont="1" applyFill="1" applyBorder="1" applyAlignment="1">
      <alignment horizontal="left"/>
    </xf>
    <xf numFmtId="0" fontId="11" fillId="25" borderId="8" xfId="0" applyFont="1" applyFill="1" applyBorder="1" applyAlignment="1">
      <alignment vertical="center" wrapText="1"/>
    </xf>
    <xf numFmtId="0" fontId="11" fillId="25" borderId="3" xfId="0" applyFont="1" applyFill="1" applyBorder="1" applyAlignment="1">
      <alignment vertical="center" wrapText="1"/>
    </xf>
    <xf numFmtId="0" fontId="54" fillId="5" borderId="8" xfId="0" applyFont="1" applyFill="1" applyBorder="1" applyAlignment="1">
      <alignment horizontal="left" vertical="center" wrapText="1"/>
    </xf>
    <xf numFmtId="0" fontId="54" fillId="5" borderId="3" xfId="0" applyFont="1" applyFill="1" applyBorder="1" applyAlignment="1">
      <alignment horizontal="left" vertical="center" wrapText="1"/>
    </xf>
    <xf numFmtId="0" fontId="17" fillId="9" borderId="9" xfId="0" applyFont="1" applyFill="1" applyBorder="1" applyAlignment="1">
      <alignment vertical="center" wrapText="1"/>
    </xf>
    <xf numFmtId="0" fontId="3" fillId="20" borderId="12" xfId="0" applyFont="1" applyFill="1" applyBorder="1" applyAlignment="1">
      <alignment horizontal="left"/>
    </xf>
    <xf numFmtId="0" fontId="3" fillId="20" borderId="13" xfId="0" applyFont="1" applyFill="1" applyBorder="1" applyAlignment="1">
      <alignment horizontal="left"/>
    </xf>
    <xf numFmtId="0" fontId="3" fillId="20" borderId="2" xfId="0" applyFont="1" applyFill="1" applyBorder="1" applyAlignment="1">
      <alignment horizontal="left"/>
    </xf>
    <xf numFmtId="0" fontId="11" fillId="20" borderId="8" xfId="0" applyFont="1" applyFill="1" applyBorder="1" applyAlignment="1">
      <alignment horizontal="left" vertical="center" wrapText="1"/>
    </xf>
    <xf numFmtId="0" fontId="11" fillId="20" borderId="3" xfId="0" applyFont="1" applyFill="1" applyBorder="1" applyAlignment="1">
      <alignment horizontal="left" vertical="center" wrapText="1"/>
    </xf>
    <xf numFmtId="0" fontId="11" fillId="13" borderId="8" xfId="0" applyFont="1" applyFill="1" applyBorder="1" applyAlignment="1">
      <alignment horizontal="left" vertical="center" wrapText="1"/>
    </xf>
    <xf numFmtId="0" fontId="11" fillId="13" borderId="3" xfId="0" applyFont="1" applyFill="1" applyBorder="1" applyAlignment="1">
      <alignment horizontal="left" vertical="center" wrapText="1"/>
    </xf>
    <xf numFmtId="0" fontId="11" fillId="25" borderId="8" xfId="0" applyFont="1" applyFill="1" applyBorder="1" applyAlignment="1">
      <alignment horizontal="left" vertical="center" wrapText="1"/>
    </xf>
    <xf numFmtId="0" fontId="11" fillId="25" borderId="3" xfId="0" applyFont="1" applyFill="1" applyBorder="1" applyAlignment="1">
      <alignment horizontal="left" vertical="center" wrapText="1"/>
    </xf>
    <xf numFmtId="0" fontId="16" fillId="22" borderId="8" xfId="0" applyFont="1" applyFill="1" applyBorder="1" applyAlignment="1">
      <alignment horizontal="left" vertical="center" wrapText="1"/>
    </xf>
    <xf numFmtId="0" fontId="16" fillId="22" borderId="3" xfId="0" applyFont="1" applyFill="1" applyBorder="1" applyAlignment="1">
      <alignment horizontal="left" vertical="center" wrapText="1"/>
    </xf>
    <xf numFmtId="0" fontId="0" fillId="9" borderId="9" xfId="0" applyFill="1" applyBorder="1"/>
  </cellXfs>
  <cellStyles count="1">
    <cellStyle name="Normal" xfId="0" builtinId="0"/>
  </cellStyles>
  <dxfs count="7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2060"/>
        <name val="Calibri"/>
        <family val="2"/>
        <scheme val="minor"/>
      </font>
    </dxf>
  </dxfs>
  <tableStyles count="0" defaultTableStyle="TableStyleMedium2" defaultPivotStyle="PivotStyleLight16"/>
  <colors>
    <mruColors>
      <color rgb="FFC09200"/>
      <color rgb="FFA03A7C"/>
      <color rgb="FFE2AC00"/>
      <color rgb="FFBC8F00"/>
      <color rgb="FFFFCF37"/>
      <color rgb="FFFFCB25"/>
      <color rgb="FFC0504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160</xdr:row>
      <xdr:rowOff>8626</xdr:rowOff>
    </xdr:from>
    <xdr:to>
      <xdr:col>1</xdr:col>
      <xdr:colOff>298438</xdr:colOff>
      <xdr:row>167</xdr:row>
      <xdr:rowOff>111530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B00D836-C697-4AC5-8A5B-CF749B21FC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064369"/>
          <a:ext cx="1445751" cy="1431372"/>
        </a:xfrm>
        <a:prstGeom prst="rect">
          <a:avLst/>
        </a:prstGeom>
      </xdr:spPr>
    </xdr:pic>
    <xdr:clientData/>
  </xdr:twoCellAnchor>
  <xdr:twoCellAnchor editAs="oneCell">
    <xdr:from>
      <xdr:col>11</xdr:col>
      <xdr:colOff>17253</xdr:colOff>
      <xdr:row>0</xdr:row>
      <xdr:rowOff>0</xdr:rowOff>
    </xdr:from>
    <xdr:to>
      <xdr:col>13</xdr:col>
      <xdr:colOff>220800</xdr:colOff>
      <xdr:row>7</xdr:row>
      <xdr:rowOff>111530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B71B1B3-51F0-4190-A977-569CDEEAA8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64702" y="0"/>
          <a:ext cx="1445751" cy="1431372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108</xdr:row>
      <xdr:rowOff>8626</xdr:rowOff>
    </xdr:from>
    <xdr:to>
      <xdr:col>1</xdr:col>
      <xdr:colOff>307064</xdr:colOff>
      <xdr:row>115</xdr:row>
      <xdr:rowOff>171915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7B8D6FB-DAEC-43B1-A984-062EE54B19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1246860"/>
          <a:ext cx="1445751" cy="1431372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101</xdr:row>
      <xdr:rowOff>17253</xdr:rowOff>
    </xdr:from>
    <xdr:to>
      <xdr:col>1</xdr:col>
      <xdr:colOff>307064</xdr:colOff>
      <xdr:row>108</xdr:row>
      <xdr:rowOff>180542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792BA82-20B6-4F10-80B9-959D266950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8969487"/>
          <a:ext cx="1445751" cy="1431372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89</xdr:row>
      <xdr:rowOff>8626</xdr:rowOff>
    </xdr:from>
    <xdr:to>
      <xdr:col>1</xdr:col>
      <xdr:colOff>307064</xdr:colOff>
      <xdr:row>96</xdr:row>
      <xdr:rowOff>171915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03EDBF7-5139-4B4C-A94F-22D45703C1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907773"/>
          <a:ext cx="1445751" cy="1431372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92</xdr:row>
      <xdr:rowOff>8626</xdr:rowOff>
    </xdr:from>
    <xdr:to>
      <xdr:col>1</xdr:col>
      <xdr:colOff>307064</xdr:colOff>
      <xdr:row>99</xdr:row>
      <xdr:rowOff>171915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13BCAB3-D766-4C09-BAAB-33CFEDA1E4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522898"/>
          <a:ext cx="1445751" cy="1431372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84</xdr:row>
      <xdr:rowOff>8626</xdr:rowOff>
    </xdr:from>
    <xdr:to>
      <xdr:col>1</xdr:col>
      <xdr:colOff>307064</xdr:colOff>
      <xdr:row>91</xdr:row>
      <xdr:rowOff>171915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2AE2C10-424A-418A-BAF8-07576B9AF7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536837"/>
          <a:ext cx="1445751" cy="1431372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49</xdr:row>
      <xdr:rowOff>8626</xdr:rowOff>
    </xdr:from>
    <xdr:to>
      <xdr:col>1</xdr:col>
      <xdr:colOff>307064</xdr:colOff>
      <xdr:row>56</xdr:row>
      <xdr:rowOff>171915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13EA24C-E209-4E15-9041-4CCEC8D727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256807"/>
          <a:ext cx="1445751" cy="1431372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96</xdr:row>
      <xdr:rowOff>8626</xdr:rowOff>
    </xdr:from>
    <xdr:to>
      <xdr:col>1</xdr:col>
      <xdr:colOff>160415</xdr:colOff>
      <xdr:row>103</xdr:row>
      <xdr:rowOff>171915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4AFFB09-5DA9-4D38-A4E3-30A9FBD10B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7477117"/>
          <a:ext cx="1445751" cy="1431372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90</xdr:row>
      <xdr:rowOff>8626</xdr:rowOff>
    </xdr:from>
    <xdr:to>
      <xdr:col>1</xdr:col>
      <xdr:colOff>212174</xdr:colOff>
      <xdr:row>97</xdr:row>
      <xdr:rowOff>171915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0252C9A-8DEE-40FA-82B4-B760EBA0AF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489056"/>
          <a:ext cx="1445751" cy="1431372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92</xdr:row>
      <xdr:rowOff>8626</xdr:rowOff>
    </xdr:from>
    <xdr:to>
      <xdr:col>1</xdr:col>
      <xdr:colOff>307064</xdr:colOff>
      <xdr:row>99</xdr:row>
      <xdr:rowOff>171915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C82ECFE-3C67-40E2-BAFF-C38C680DEA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522898"/>
          <a:ext cx="1445751" cy="1431372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108</xdr:row>
      <xdr:rowOff>25878</xdr:rowOff>
    </xdr:from>
    <xdr:to>
      <xdr:col>1</xdr:col>
      <xdr:colOff>307064</xdr:colOff>
      <xdr:row>116</xdr:row>
      <xdr:rowOff>8012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54F42D8-0D33-4F59-8D9C-9683924F07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0479108"/>
          <a:ext cx="1445751" cy="143137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432</xdr:row>
      <xdr:rowOff>8626</xdr:rowOff>
    </xdr:from>
    <xdr:to>
      <xdr:col>1</xdr:col>
      <xdr:colOff>160415</xdr:colOff>
      <xdr:row>439</xdr:row>
      <xdr:rowOff>171915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73B02C1-8BB0-44DF-8B99-A687398B36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064369"/>
          <a:ext cx="1445751" cy="1431372"/>
        </a:xfrm>
        <a:prstGeom prst="rect">
          <a:avLst/>
        </a:prstGeom>
      </xdr:spPr>
    </xdr:pic>
    <xdr:clientData/>
  </xdr:twoCellAnchor>
  <xdr:twoCellAnchor editAs="oneCell">
    <xdr:from>
      <xdr:col>15</xdr:col>
      <xdr:colOff>8626</xdr:colOff>
      <xdr:row>0</xdr:row>
      <xdr:rowOff>0</xdr:rowOff>
    </xdr:from>
    <xdr:to>
      <xdr:col>17</xdr:col>
      <xdr:colOff>212174</xdr:colOff>
      <xdr:row>7</xdr:row>
      <xdr:rowOff>111530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7583604-C042-425D-AE0B-4916E0900D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08234" y="0"/>
          <a:ext cx="1445751" cy="1431372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56</xdr:row>
      <xdr:rowOff>8626</xdr:rowOff>
    </xdr:from>
    <xdr:to>
      <xdr:col>1</xdr:col>
      <xdr:colOff>307064</xdr:colOff>
      <xdr:row>63</xdr:row>
      <xdr:rowOff>171915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F957E2B-9C3E-4731-9C03-D950A160F7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712679"/>
          <a:ext cx="1445751" cy="1431372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45</xdr:row>
      <xdr:rowOff>163902</xdr:rowOff>
    </xdr:from>
    <xdr:to>
      <xdr:col>1</xdr:col>
      <xdr:colOff>212174</xdr:colOff>
      <xdr:row>53</xdr:row>
      <xdr:rowOff>146036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D7D0ACD-849F-4AE9-878E-70524BD078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7045796"/>
          <a:ext cx="1445751" cy="1431372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90</xdr:row>
      <xdr:rowOff>8626</xdr:rowOff>
    </xdr:from>
    <xdr:to>
      <xdr:col>2</xdr:col>
      <xdr:colOff>5140</xdr:colOff>
      <xdr:row>97</xdr:row>
      <xdr:rowOff>171915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183FFB8-41A5-4081-89FF-F2321D8D58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497683"/>
          <a:ext cx="1445751" cy="1431372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96</xdr:row>
      <xdr:rowOff>8626</xdr:rowOff>
    </xdr:from>
    <xdr:to>
      <xdr:col>2</xdr:col>
      <xdr:colOff>5140</xdr:colOff>
      <xdr:row>103</xdr:row>
      <xdr:rowOff>171915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A8AC0F2-D940-4837-82D3-6AEC46AE81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342407"/>
          <a:ext cx="1445751" cy="1431372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81</xdr:row>
      <xdr:rowOff>8626</xdr:rowOff>
    </xdr:from>
    <xdr:to>
      <xdr:col>1</xdr:col>
      <xdr:colOff>307064</xdr:colOff>
      <xdr:row>88</xdr:row>
      <xdr:rowOff>171915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BD84EAD-6840-408F-982D-6CA45C75E7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868618"/>
          <a:ext cx="1445751" cy="1431372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92</xdr:row>
      <xdr:rowOff>17251</xdr:rowOff>
    </xdr:from>
    <xdr:to>
      <xdr:col>1</xdr:col>
      <xdr:colOff>307064</xdr:colOff>
      <xdr:row>99</xdr:row>
      <xdr:rowOff>180540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9667869-FEFF-40C0-902F-33CB3641A0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7477115"/>
          <a:ext cx="1445751" cy="1431372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108</xdr:row>
      <xdr:rowOff>8626</xdr:rowOff>
    </xdr:from>
    <xdr:to>
      <xdr:col>1</xdr:col>
      <xdr:colOff>160415</xdr:colOff>
      <xdr:row>115</xdr:row>
      <xdr:rowOff>171915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79C2679-BEFB-42CA-8F48-8C94607872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064369"/>
          <a:ext cx="1445751" cy="1431372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203547</xdr:colOff>
      <xdr:row>7</xdr:row>
      <xdr:rowOff>102904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CDBF599-D321-44AD-AC02-1F5EF70541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7668" y="0"/>
          <a:ext cx="1445751" cy="143137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50</xdr:row>
      <xdr:rowOff>0</xdr:rowOff>
    </xdr:from>
    <xdr:to>
      <xdr:col>1</xdr:col>
      <xdr:colOff>307064</xdr:colOff>
      <xdr:row>57</xdr:row>
      <xdr:rowOff>163289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B7801E0-8E62-458B-AD02-B6D7AE0137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8607177"/>
          <a:ext cx="1445751" cy="143137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57</xdr:row>
      <xdr:rowOff>8626</xdr:rowOff>
    </xdr:from>
    <xdr:to>
      <xdr:col>1</xdr:col>
      <xdr:colOff>307064</xdr:colOff>
      <xdr:row>64</xdr:row>
      <xdr:rowOff>171914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288D920-324E-4BB6-941B-E8AA932CD0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497683"/>
          <a:ext cx="1445751" cy="143137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8627</xdr:colOff>
      <xdr:row>93</xdr:row>
      <xdr:rowOff>189781</xdr:rowOff>
    </xdr:from>
    <xdr:to>
      <xdr:col>1</xdr:col>
      <xdr:colOff>315691</xdr:colOff>
      <xdr:row>101</xdr:row>
      <xdr:rowOff>146036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53FB205-CE27-4D85-9B28-D186578FC6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27" y="17865306"/>
          <a:ext cx="1445751" cy="143137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72</xdr:row>
      <xdr:rowOff>8626</xdr:rowOff>
    </xdr:from>
    <xdr:to>
      <xdr:col>1</xdr:col>
      <xdr:colOff>212174</xdr:colOff>
      <xdr:row>79</xdr:row>
      <xdr:rowOff>171915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3BDB6CF-C6F8-42E5-804D-D2934B59BA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0513615"/>
          <a:ext cx="1445751" cy="143137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91</xdr:row>
      <xdr:rowOff>207033</xdr:rowOff>
    </xdr:from>
    <xdr:to>
      <xdr:col>1</xdr:col>
      <xdr:colOff>307064</xdr:colOff>
      <xdr:row>99</xdr:row>
      <xdr:rowOff>163288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1F04AA7-03B0-41C7-BDBE-6474510FC2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7891184"/>
          <a:ext cx="1445751" cy="1431372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92</xdr:row>
      <xdr:rowOff>8626</xdr:rowOff>
    </xdr:from>
    <xdr:to>
      <xdr:col>1</xdr:col>
      <xdr:colOff>307064</xdr:colOff>
      <xdr:row>99</xdr:row>
      <xdr:rowOff>171915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FBA7DEB-4181-4470-94F3-5AB94AFE6C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7459864"/>
          <a:ext cx="1445751" cy="1431372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119</xdr:row>
      <xdr:rowOff>198406</xdr:rowOff>
    </xdr:from>
    <xdr:to>
      <xdr:col>1</xdr:col>
      <xdr:colOff>307064</xdr:colOff>
      <xdr:row>127</xdr:row>
      <xdr:rowOff>154661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02E0552-3CF1-4486-9973-BB24E948D4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2765108"/>
          <a:ext cx="1445751" cy="14313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2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3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1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78"/>
  <sheetViews>
    <sheetView tabSelected="1" workbookViewId="0">
      <pane ySplit="3" topLeftCell="A4" activePane="bottomLeft" state="frozen"/>
      <selection pane="bottomLeft" activeCell="I15" sqref="I15"/>
    </sheetView>
  </sheetViews>
  <sheetFormatPr defaultRowHeight="14.3" x14ac:dyDescent="0.25"/>
  <cols>
    <col min="1" max="1" width="16.625" customWidth="1"/>
    <col min="2" max="3" width="5.625" customWidth="1"/>
    <col min="4" max="4" width="16.625" customWidth="1"/>
    <col min="5" max="6" width="5.625" customWidth="1"/>
    <col min="7" max="7" width="16.625" customWidth="1"/>
    <col min="8" max="11" width="5.625" customWidth="1"/>
  </cols>
  <sheetData>
    <row r="1" spans="1:11" x14ac:dyDescent="0.25">
      <c r="A1" s="530" t="s">
        <v>1446</v>
      </c>
      <c r="B1" s="530"/>
      <c r="C1" s="531"/>
    </row>
    <row r="2" spans="1:11" ht="14.95" thickBot="1" x14ac:dyDescent="0.3">
      <c r="A2" s="340" t="s">
        <v>1478</v>
      </c>
    </row>
    <row r="3" spans="1:11" ht="14.95" customHeight="1" thickBot="1" x14ac:dyDescent="0.3">
      <c r="A3" s="111" t="s">
        <v>0</v>
      </c>
      <c r="B3" s="224" t="s">
        <v>174</v>
      </c>
      <c r="C3" s="103" t="s">
        <v>20</v>
      </c>
      <c r="D3" s="527" t="s">
        <v>2</v>
      </c>
      <c r="E3" s="527" t="s">
        <v>174</v>
      </c>
      <c r="F3" s="528" t="s">
        <v>20</v>
      </c>
      <c r="G3" s="312" t="s">
        <v>295</v>
      </c>
      <c r="H3" s="312" t="s">
        <v>174</v>
      </c>
      <c r="I3" s="529" t="s">
        <v>180</v>
      </c>
      <c r="J3" s="529" t="s">
        <v>181</v>
      </c>
      <c r="K3" s="267" t="s">
        <v>13</v>
      </c>
    </row>
    <row r="4" spans="1:11" ht="14.95" customHeight="1" thickBot="1" x14ac:dyDescent="0.3">
      <c r="A4" s="26" t="s">
        <v>844</v>
      </c>
      <c r="B4" s="25" t="s">
        <v>182</v>
      </c>
      <c r="C4" s="104">
        <f>biellebiarreyfra6ntries</f>
        <v>5</v>
      </c>
      <c r="D4" s="113" t="s">
        <v>292</v>
      </c>
      <c r="E4" s="225" t="s">
        <v>182</v>
      </c>
      <c r="F4" s="107">
        <f>Ramosfra6npts</f>
        <v>58</v>
      </c>
      <c r="G4" s="26" t="s">
        <v>184</v>
      </c>
      <c r="H4" s="25" t="s">
        <v>168</v>
      </c>
      <c r="I4" s="27">
        <f>Fordeng6ngls</f>
        <v>12</v>
      </c>
      <c r="J4" s="27">
        <f>fordeng6natt</f>
        <v>14</v>
      </c>
      <c r="K4" s="129">
        <f>SUM(I4/J4)*100</f>
        <v>85.714285714285708</v>
      </c>
    </row>
    <row r="5" spans="1:11" ht="14.95" customHeight="1" thickBot="1" x14ac:dyDescent="0.3">
      <c r="A5" s="26" t="s">
        <v>1403</v>
      </c>
      <c r="B5" s="25" t="s">
        <v>168</v>
      </c>
      <c r="C5" s="104">
        <f>Arundelleng6ntriescorrect</f>
        <v>4</v>
      </c>
      <c r="D5" s="113" t="s">
        <v>240</v>
      </c>
      <c r="E5" s="225" t="s">
        <v>169</v>
      </c>
      <c r="F5" s="107">
        <f>Russellsco6npts</f>
        <v>42</v>
      </c>
      <c r="G5" s="26" t="s">
        <v>361</v>
      </c>
      <c r="H5" s="25" t="s">
        <v>172</v>
      </c>
      <c r="I5" s="27">
        <f>Garbisiita6ngls</f>
        <v>12</v>
      </c>
      <c r="J5" s="27">
        <f>garbisiita6natt</f>
        <v>14</v>
      </c>
      <c r="K5" s="129">
        <f>SUM(I5/J5)*100</f>
        <v>85.714285714285708</v>
      </c>
    </row>
    <row r="6" spans="1:11" ht="14.95" customHeight="1" thickBot="1" x14ac:dyDescent="0.3">
      <c r="A6" s="26" t="s">
        <v>976</v>
      </c>
      <c r="B6" s="25" t="s">
        <v>182</v>
      </c>
      <c r="C6" s="104">
        <f>Attissogbefra6ntries</f>
        <v>4</v>
      </c>
      <c r="D6" s="113" t="s">
        <v>559</v>
      </c>
      <c r="E6" s="225" t="s">
        <v>167</v>
      </c>
      <c r="F6" s="107">
        <f>crowleyire6npts</f>
        <v>34</v>
      </c>
      <c r="G6" s="26" t="s">
        <v>292</v>
      </c>
      <c r="H6" s="25" t="s">
        <v>182</v>
      </c>
      <c r="I6" s="27">
        <f>Ramosfrayrgls</f>
        <v>21</v>
      </c>
      <c r="J6" s="27">
        <f>ramosfrayratt</f>
        <v>25</v>
      </c>
      <c r="K6" s="129">
        <f>SUM(I6/J6)*100</f>
        <v>84</v>
      </c>
    </row>
    <row r="7" spans="1:11" ht="14.95" customHeight="1" thickBot="1" x14ac:dyDescent="0.3">
      <c r="A7" s="26" t="s">
        <v>1466</v>
      </c>
      <c r="B7" s="25" t="s">
        <v>173</v>
      </c>
      <c r="C7" s="104">
        <f>Carrewal6ntries</f>
        <v>3</v>
      </c>
      <c r="D7" s="113" t="s">
        <v>361</v>
      </c>
      <c r="E7" s="225" t="s">
        <v>172</v>
      </c>
      <c r="F7" s="107">
        <f>Garbisiita6npts</f>
        <v>32</v>
      </c>
      <c r="G7" s="26" t="s">
        <v>240</v>
      </c>
      <c r="H7" s="25" t="s">
        <v>169</v>
      </c>
      <c r="I7" s="27">
        <f>Russellscoyeargls</f>
        <v>17</v>
      </c>
      <c r="J7" s="27">
        <f>russellscoyearattcorrect</f>
        <v>21</v>
      </c>
      <c r="K7" s="129">
        <f>SUM(I7/J7)*100</f>
        <v>80.952380952380949</v>
      </c>
    </row>
    <row r="8" spans="1:11" ht="14.95" customHeight="1" thickBot="1" x14ac:dyDescent="0.3">
      <c r="A8" s="26" t="s">
        <v>297</v>
      </c>
      <c r="B8" s="25" t="s">
        <v>169</v>
      </c>
      <c r="C8" s="104">
        <f>Grahamsco6ntries</f>
        <v>3</v>
      </c>
      <c r="D8" s="113" t="s">
        <v>184</v>
      </c>
      <c r="E8" s="225" t="s">
        <v>168</v>
      </c>
      <c r="F8" s="107">
        <f>fordeng6npts</f>
        <v>27</v>
      </c>
      <c r="G8" s="131" t="s">
        <v>559</v>
      </c>
      <c r="H8" s="25" t="s">
        <v>167</v>
      </c>
      <c r="I8" s="27">
        <f>Crowleyire6ngls</f>
        <v>12</v>
      </c>
      <c r="J8" s="27">
        <f>Crowleyire6natt</f>
        <v>16</v>
      </c>
      <c r="K8" s="129">
        <f>SUM(I8/J8)*100</f>
        <v>75</v>
      </c>
    </row>
    <row r="9" spans="1:11" ht="14.95" customHeight="1" thickBot="1" x14ac:dyDescent="0.3">
      <c r="A9" s="26" t="s">
        <v>971</v>
      </c>
      <c r="B9" s="25" t="s">
        <v>167</v>
      </c>
      <c r="C9" s="104">
        <f>Osborneire6ntries</f>
        <v>3</v>
      </c>
      <c r="D9" s="113" t="s">
        <v>844</v>
      </c>
      <c r="E9" s="225" t="s">
        <v>182</v>
      </c>
      <c r="F9" s="107">
        <f>biellebiarreyfra6npts</f>
        <v>25</v>
      </c>
      <c r="G9" s="26" t="s">
        <v>1174</v>
      </c>
      <c r="H9" s="25" t="s">
        <v>173</v>
      </c>
      <c r="I9" s="27">
        <f>Edwardswalyrgls</f>
        <v>5</v>
      </c>
      <c r="J9" s="268">
        <f>edwardswalyratt</f>
        <v>5</v>
      </c>
      <c r="K9" s="129">
        <f>SUM(I9/J9)*100</f>
        <v>100</v>
      </c>
    </row>
    <row r="10" spans="1:11" ht="14.95" customHeight="1" thickBot="1" x14ac:dyDescent="0.3">
      <c r="A10" s="26" t="s">
        <v>292</v>
      </c>
      <c r="B10" s="25" t="s">
        <v>182</v>
      </c>
      <c r="C10" s="104">
        <f>Ramosfra6ntries</f>
        <v>3</v>
      </c>
      <c r="D10" s="113" t="s">
        <v>1403</v>
      </c>
      <c r="E10" s="225" t="s">
        <v>168</v>
      </c>
      <c r="F10" s="107">
        <f>Arundelleng6nptscorrect</f>
        <v>20</v>
      </c>
      <c r="G10" s="131" t="s">
        <v>806</v>
      </c>
      <c r="H10" s="25" t="s">
        <v>173</v>
      </c>
      <c r="I10" s="27">
        <f>Costelowwal6ngls</f>
        <v>4</v>
      </c>
      <c r="J10" s="268">
        <f>Costelowwal6natt</f>
        <v>4</v>
      </c>
      <c r="K10" s="129">
        <f>SUM(I10/J10)*100</f>
        <v>100</v>
      </c>
    </row>
    <row r="11" spans="1:11" ht="14.95" customHeight="1" thickBot="1" x14ac:dyDescent="0.3">
      <c r="A11" s="26" t="s">
        <v>438</v>
      </c>
      <c r="B11" s="25" t="s">
        <v>169</v>
      </c>
      <c r="C11" s="104">
        <f>Steynsco6ntries</f>
        <v>3</v>
      </c>
      <c r="D11" s="113" t="s">
        <v>976</v>
      </c>
      <c r="E11" s="225" t="s">
        <v>182</v>
      </c>
      <c r="F11" s="107">
        <f>Attissogbefra6npts</f>
        <v>20</v>
      </c>
      <c r="G11" s="26" t="s">
        <v>910</v>
      </c>
      <c r="H11" s="25" t="s">
        <v>168</v>
      </c>
      <c r="I11" s="27">
        <f>Smith_Feng6ngls</f>
        <v>3</v>
      </c>
      <c r="J11" s="268">
        <f>smithfeng6natt</f>
        <v>4</v>
      </c>
      <c r="K11" s="129">
        <f>SUM(I11/J11)*100</f>
        <v>75</v>
      </c>
    </row>
    <row r="12" spans="1:11" ht="14.95" customHeight="1" thickBot="1" x14ac:dyDescent="0.3">
      <c r="A12" s="26" t="s">
        <v>225</v>
      </c>
      <c r="B12" s="25" t="s">
        <v>173</v>
      </c>
      <c r="C12" s="104">
        <f>AdamsWAL6NTRIES</f>
        <v>2</v>
      </c>
      <c r="D12" s="113" t="s">
        <v>1466</v>
      </c>
      <c r="E12" s="225" t="s">
        <v>173</v>
      </c>
      <c r="F12" s="107">
        <f>Carrewal6npts</f>
        <v>15</v>
      </c>
      <c r="G12" s="26" t="s">
        <v>1137</v>
      </c>
      <c r="H12" s="25" t="s">
        <v>167</v>
      </c>
      <c r="I12" s="27">
        <f>Prendergastireyrgls</f>
        <v>2</v>
      </c>
      <c r="J12" s="268">
        <f>prendergastireyratt</f>
        <v>4</v>
      </c>
      <c r="K12" s="129">
        <f>SUM(I12/J12)*100</f>
        <v>50</v>
      </c>
    </row>
    <row r="13" spans="1:11" ht="14.95" customHeight="1" thickBot="1" x14ac:dyDescent="0.3">
      <c r="A13" s="26" t="s">
        <v>1464</v>
      </c>
      <c r="B13" s="25" t="s">
        <v>167</v>
      </c>
      <c r="C13" s="104">
        <f>Baloucouneire6ntries</f>
        <v>2</v>
      </c>
      <c r="D13" s="113" t="s">
        <v>297</v>
      </c>
      <c r="E13" s="225" t="s">
        <v>169</v>
      </c>
      <c r="F13" s="107">
        <f>Grahamsco6npts</f>
        <v>15</v>
      </c>
      <c r="G13" s="26" t="s">
        <v>1224</v>
      </c>
      <c r="H13" s="25" t="s">
        <v>173</v>
      </c>
      <c r="I13" s="27">
        <f>Evans_Jwal6ngls</f>
        <v>1</v>
      </c>
      <c r="J13" s="268">
        <f>Evans_Jwal6natt</f>
        <v>2</v>
      </c>
      <c r="K13" s="129">
        <f>SUM(I13/J13)*100</f>
        <v>50</v>
      </c>
    </row>
    <row r="14" spans="1:11" ht="14.95" customHeight="1" thickBot="1" x14ac:dyDescent="0.3">
      <c r="A14" s="26" t="s">
        <v>271</v>
      </c>
      <c r="B14" s="25" t="s">
        <v>167</v>
      </c>
      <c r="C14" s="104">
        <f>Conanire6ntries</f>
        <v>2</v>
      </c>
      <c r="D14" s="113" t="s">
        <v>971</v>
      </c>
      <c r="E14" s="225" t="s">
        <v>167</v>
      </c>
      <c r="F14" s="107">
        <f>Osborneire6npts</f>
        <v>15</v>
      </c>
      <c r="G14" s="236" t="s">
        <v>1479</v>
      </c>
    </row>
    <row r="15" spans="1:11" ht="14.95" customHeight="1" thickBot="1" x14ac:dyDescent="0.3">
      <c r="A15" s="26" t="s">
        <v>660</v>
      </c>
      <c r="B15" s="25" t="s">
        <v>168</v>
      </c>
      <c r="C15" s="104">
        <f>earleng6ntries</f>
        <v>2</v>
      </c>
      <c r="D15" s="113" t="s">
        <v>438</v>
      </c>
      <c r="E15" s="225" t="s">
        <v>169</v>
      </c>
      <c r="F15" s="107">
        <f>Steynsco6npts</f>
        <v>15</v>
      </c>
    </row>
    <row r="16" spans="1:11" ht="14.95" customHeight="1" thickBot="1" x14ac:dyDescent="0.3">
      <c r="A16" s="26" t="s">
        <v>922</v>
      </c>
      <c r="B16" s="25" t="s">
        <v>168</v>
      </c>
      <c r="C16" s="104">
        <f>freemaneng6ntries</f>
        <v>2</v>
      </c>
      <c r="D16" s="113" t="s">
        <v>1174</v>
      </c>
      <c r="E16" s="225" t="s">
        <v>173</v>
      </c>
      <c r="F16" s="107">
        <f>Edwardswal6npts</f>
        <v>11</v>
      </c>
    </row>
    <row r="17" spans="1:6" ht="14.95" customHeight="1" thickBot="1" x14ac:dyDescent="0.3">
      <c r="A17" s="26" t="s">
        <v>1004</v>
      </c>
      <c r="B17" s="25" t="s">
        <v>182</v>
      </c>
      <c r="C17" s="104">
        <f>Gailletonfra6ntries</f>
        <v>2</v>
      </c>
      <c r="D17" s="113" t="s">
        <v>225</v>
      </c>
      <c r="E17" s="225" t="s">
        <v>173</v>
      </c>
      <c r="F17" s="107">
        <f>AdamsWAL6NPTS</f>
        <v>10</v>
      </c>
    </row>
    <row r="18" spans="1:6" ht="14.95" customHeight="1" thickBot="1" x14ac:dyDescent="0.3">
      <c r="A18" s="26" t="s">
        <v>348</v>
      </c>
      <c r="B18" s="25" t="s">
        <v>182</v>
      </c>
      <c r="C18" s="104">
        <f>Jalibertfra6ntries</f>
        <v>2</v>
      </c>
      <c r="D18" s="113" t="s">
        <v>1464</v>
      </c>
      <c r="E18" s="225" t="s">
        <v>167</v>
      </c>
      <c r="F18" s="107">
        <f>Baloucouneire6npts</f>
        <v>10</v>
      </c>
    </row>
    <row r="19" spans="1:6" ht="14.95" customHeight="1" thickBot="1" x14ac:dyDescent="0.3">
      <c r="A19" s="26" t="s">
        <v>183</v>
      </c>
      <c r="B19" s="25" t="s">
        <v>169</v>
      </c>
      <c r="C19" s="104">
        <f>JonesSCO6NTRIES</f>
        <v>2</v>
      </c>
      <c r="D19" s="113" t="s">
        <v>271</v>
      </c>
      <c r="E19" s="225" t="s">
        <v>167</v>
      </c>
      <c r="F19" s="107">
        <f>Conanire6npts</f>
        <v>10</v>
      </c>
    </row>
    <row r="20" spans="1:6" ht="14.95" customHeight="1" thickBot="1" x14ac:dyDescent="0.3">
      <c r="A20" s="26" t="s">
        <v>471</v>
      </c>
      <c r="B20" s="25" t="s">
        <v>172</v>
      </c>
      <c r="C20" s="104">
        <f>Menoncelloita6ntries</f>
        <v>2</v>
      </c>
      <c r="D20" s="113" t="s">
        <v>806</v>
      </c>
      <c r="E20" s="225" t="s">
        <v>173</v>
      </c>
      <c r="F20" s="107">
        <f>costelowwal6npts</f>
        <v>10</v>
      </c>
    </row>
    <row r="21" spans="1:6" ht="14.95" customHeight="1" thickBot="1" x14ac:dyDescent="0.3">
      <c r="A21" s="26" t="s">
        <v>275</v>
      </c>
      <c r="B21" s="25" t="s">
        <v>182</v>
      </c>
      <c r="C21" s="104">
        <f>Ollivonfra6Ntries</f>
        <v>2</v>
      </c>
      <c r="D21" s="113" t="s">
        <v>660</v>
      </c>
      <c r="E21" s="225" t="s">
        <v>168</v>
      </c>
      <c r="F21" s="107">
        <f>earleng6npts</f>
        <v>10</v>
      </c>
    </row>
    <row r="22" spans="1:6" ht="14.95" customHeight="1" thickBot="1" x14ac:dyDescent="0.3">
      <c r="A22" s="26" t="s">
        <v>1146</v>
      </c>
      <c r="B22" s="25" t="s">
        <v>168</v>
      </c>
      <c r="C22" s="104">
        <f>roebuckeng6ntries</f>
        <v>2</v>
      </c>
      <c r="D22" s="113" t="s">
        <v>922</v>
      </c>
      <c r="E22" s="225" t="s">
        <v>168</v>
      </c>
      <c r="F22" s="107">
        <f>freemaneng6npts</f>
        <v>10</v>
      </c>
    </row>
    <row r="23" spans="1:6" ht="14.95" customHeight="1" thickBot="1" x14ac:dyDescent="0.3">
      <c r="A23" s="26" t="s">
        <v>469</v>
      </c>
      <c r="B23" s="25" t="s">
        <v>169</v>
      </c>
      <c r="C23" s="104">
        <f>Whitesco6ntries</f>
        <v>2</v>
      </c>
      <c r="D23" s="113" t="s">
        <v>1004</v>
      </c>
      <c r="E23" s="225" t="s">
        <v>182</v>
      </c>
      <c r="F23" s="107">
        <f>Gailletonfra6npts</f>
        <v>10</v>
      </c>
    </row>
    <row r="24" spans="1:6" ht="14.95" customHeight="1" thickBot="1" x14ac:dyDescent="0.3">
      <c r="A24" s="26" t="s">
        <v>392</v>
      </c>
      <c r="B24" s="25" t="s">
        <v>173</v>
      </c>
      <c r="C24" s="104">
        <f>Biggarwal6ntries</f>
        <v>1</v>
      </c>
      <c r="D24" s="113" t="s">
        <v>348</v>
      </c>
      <c r="E24" s="225" t="s">
        <v>182</v>
      </c>
      <c r="F24" s="107">
        <f>Jalibertfra6npts</f>
        <v>10</v>
      </c>
    </row>
    <row r="25" spans="1:6" ht="14.95" customHeight="1" thickBot="1" x14ac:dyDescent="0.3">
      <c r="A25" s="26" t="s">
        <v>1468</v>
      </c>
      <c r="B25" s="25" t="s">
        <v>182</v>
      </c>
      <c r="C25" s="104">
        <f>Brau_Boiriefra6ntries</f>
        <v>1</v>
      </c>
      <c r="D25" s="113" t="s">
        <v>183</v>
      </c>
      <c r="E25" s="225" t="s">
        <v>169</v>
      </c>
      <c r="F25" s="107">
        <f>JonesSCO6NPTS</f>
        <v>10</v>
      </c>
    </row>
    <row r="26" spans="1:6" ht="14.95" customHeight="1" thickBot="1" x14ac:dyDescent="0.3">
      <c r="A26" s="26" t="s">
        <v>487</v>
      </c>
      <c r="B26" s="25" t="s">
        <v>172</v>
      </c>
      <c r="C26" s="104">
        <f>Capuozzoita6ntries</f>
        <v>1</v>
      </c>
      <c r="D26" s="113" t="s">
        <v>471</v>
      </c>
      <c r="E26" s="225" t="s">
        <v>172</v>
      </c>
      <c r="F26" s="107">
        <f>Menoncelloita6npts</f>
        <v>10</v>
      </c>
    </row>
    <row r="27" spans="1:6" ht="14.95" customHeight="1" thickBot="1" x14ac:dyDescent="0.3">
      <c r="A27" s="26" t="s">
        <v>559</v>
      </c>
      <c r="B27" s="25" t="s">
        <v>167</v>
      </c>
      <c r="C27" s="104">
        <f>crowleyire6ntries</f>
        <v>1</v>
      </c>
      <c r="D27" s="113" t="s">
        <v>275</v>
      </c>
      <c r="E27" s="225" t="s">
        <v>182</v>
      </c>
      <c r="F27" s="107">
        <f>Ollivonfra6npts</f>
        <v>10</v>
      </c>
    </row>
    <row r="28" spans="1:6" ht="14.95" customHeight="1" thickBot="1" x14ac:dyDescent="0.3">
      <c r="A28" s="26" t="s">
        <v>750</v>
      </c>
      <c r="B28" s="25" t="s">
        <v>169</v>
      </c>
      <c r="C28" s="104">
        <f>Dempseysco6ntries</f>
        <v>1</v>
      </c>
      <c r="D28" s="113" t="s">
        <v>1146</v>
      </c>
      <c r="E28" s="225" t="s">
        <v>168</v>
      </c>
      <c r="F28" s="107">
        <f>roebuckeng6npts</f>
        <v>10</v>
      </c>
    </row>
    <row r="29" spans="1:6" ht="14.95" customHeight="1" thickBot="1" x14ac:dyDescent="0.3">
      <c r="A29" s="26" t="s">
        <v>903</v>
      </c>
      <c r="B29" s="25" t="s">
        <v>168</v>
      </c>
      <c r="C29" s="104">
        <f>dingwalleng6ntries</f>
        <v>1</v>
      </c>
      <c r="D29" s="113" t="s">
        <v>469</v>
      </c>
      <c r="E29" s="225" t="s">
        <v>169</v>
      </c>
      <c r="F29" s="107">
        <f>Whitesco6npts</f>
        <v>10</v>
      </c>
    </row>
    <row r="30" spans="1:6" ht="14.95" customHeight="1" thickBot="1" x14ac:dyDescent="0.3">
      <c r="A30" s="26" t="s">
        <v>1473</v>
      </c>
      <c r="B30" s="25" t="s">
        <v>182</v>
      </c>
      <c r="C30" s="104">
        <f>Dreanfra6ntries</f>
        <v>1</v>
      </c>
      <c r="D30" s="113" t="s">
        <v>910</v>
      </c>
      <c r="E30" s="225" t="s">
        <v>168</v>
      </c>
      <c r="F30" s="107">
        <f>Smith_Feng6npts</f>
        <v>8</v>
      </c>
    </row>
    <row r="31" spans="1:6" ht="14.95" customHeight="1" thickBot="1" x14ac:dyDescent="0.3">
      <c r="A31" s="26" t="s">
        <v>299</v>
      </c>
      <c r="B31" s="25" t="s">
        <v>182</v>
      </c>
      <c r="C31" s="104">
        <f>DupontFRA6NTRIES</f>
        <v>1</v>
      </c>
      <c r="D31" s="113" t="s">
        <v>175</v>
      </c>
      <c r="E31" s="225" t="s">
        <v>168</v>
      </c>
      <c r="F31" s="107">
        <f>Penalty_Trieseng6npts</f>
        <v>7</v>
      </c>
    </row>
    <row r="32" spans="1:6" ht="14.95" customHeight="1" thickBot="1" x14ac:dyDescent="0.3">
      <c r="A32" s="26" t="s">
        <v>442</v>
      </c>
      <c r="B32" s="25" t="s">
        <v>167</v>
      </c>
      <c r="C32" s="104">
        <f>Gibson_Parkire6ntries</f>
        <v>1</v>
      </c>
      <c r="D32" s="113" t="s">
        <v>392</v>
      </c>
      <c r="E32" s="225" t="s">
        <v>173</v>
      </c>
      <c r="F32" s="107">
        <f>Biggarwal6npts</f>
        <v>5</v>
      </c>
    </row>
    <row r="33" spans="1:6" ht="14.95" customHeight="1" thickBot="1" x14ac:dyDescent="0.3">
      <c r="A33" s="26" t="s">
        <v>918</v>
      </c>
      <c r="B33" s="25" t="s">
        <v>173</v>
      </c>
      <c r="C33" s="104">
        <f>gradywal6ntries</f>
        <v>1</v>
      </c>
      <c r="D33" s="113" t="s">
        <v>1468</v>
      </c>
      <c r="E33" s="225" t="s">
        <v>182</v>
      </c>
      <c r="F33" s="107">
        <f>Brau_Boiriefra6npts</f>
        <v>5</v>
      </c>
    </row>
    <row r="34" spans="1:6" ht="14.95" customHeight="1" thickBot="1" x14ac:dyDescent="0.3">
      <c r="A34" s="26" t="s">
        <v>230</v>
      </c>
      <c r="B34" s="25" t="s">
        <v>169</v>
      </c>
      <c r="C34" s="104">
        <f>Hornesco6ntries</f>
        <v>1</v>
      </c>
      <c r="D34" s="113" t="s">
        <v>487</v>
      </c>
      <c r="E34" s="225" t="s">
        <v>172</v>
      </c>
      <c r="F34" s="107">
        <f>Capuozzoita6npts</f>
        <v>5</v>
      </c>
    </row>
    <row r="35" spans="1:6" ht="14.95" customHeight="1" thickBot="1" x14ac:dyDescent="0.3">
      <c r="A35" s="26" t="s">
        <v>1220</v>
      </c>
      <c r="B35" s="25" t="s">
        <v>182</v>
      </c>
      <c r="C35" s="104">
        <f>Jegoufra6ntries</f>
        <v>1</v>
      </c>
      <c r="D35" s="113" t="s">
        <v>750</v>
      </c>
      <c r="E35" s="225" t="s">
        <v>169</v>
      </c>
      <c r="F35" s="107">
        <f>Dempseysco6npts</f>
        <v>5</v>
      </c>
    </row>
    <row r="36" spans="1:6" ht="14.95" customHeight="1" thickBot="1" x14ac:dyDescent="0.3">
      <c r="A36" s="26" t="s">
        <v>1128</v>
      </c>
      <c r="B36" s="25" t="s">
        <v>169</v>
      </c>
      <c r="C36" s="104">
        <f>Jordansco6ntries</f>
        <v>1</v>
      </c>
      <c r="D36" s="113" t="s">
        <v>903</v>
      </c>
      <c r="E36" s="225" t="s">
        <v>168</v>
      </c>
      <c r="F36" s="107">
        <f>dingwalleng6npts</f>
        <v>5</v>
      </c>
    </row>
    <row r="37" spans="1:6" ht="14.95" customHeight="1" thickBot="1" x14ac:dyDescent="0.3">
      <c r="A37" s="26" t="s">
        <v>401</v>
      </c>
      <c r="B37" s="25" t="s">
        <v>168</v>
      </c>
      <c r="C37" s="104">
        <f>Lawrenceeng6ntries</f>
        <v>1</v>
      </c>
      <c r="D37" s="113" t="s">
        <v>1473</v>
      </c>
      <c r="E37" s="225" t="s">
        <v>182</v>
      </c>
      <c r="F37" s="107">
        <f>Dreanfra6npts</f>
        <v>5</v>
      </c>
    </row>
    <row r="38" spans="1:6" ht="14.95" customHeight="1" thickBot="1" x14ac:dyDescent="0.3">
      <c r="A38" s="26" t="s">
        <v>912</v>
      </c>
      <c r="B38" s="25" t="s">
        <v>172</v>
      </c>
      <c r="C38" s="104">
        <f>lynaghita6ntries</f>
        <v>1</v>
      </c>
      <c r="D38" s="113" t="s">
        <v>299</v>
      </c>
      <c r="E38" s="225" t="s">
        <v>182</v>
      </c>
      <c r="F38" s="107">
        <f>DupontFRA6NPTS</f>
        <v>5</v>
      </c>
    </row>
    <row r="39" spans="1:6" ht="14.95" customHeight="1" thickBot="1" x14ac:dyDescent="0.3">
      <c r="A39" s="26" t="s">
        <v>552</v>
      </c>
      <c r="B39" s="25" t="s">
        <v>182</v>
      </c>
      <c r="C39" s="104">
        <f>Marchandfra6ntries</f>
        <v>1</v>
      </c>
      <c r="D39" s="113" t="s">
        <v>442</v>
      </c>
      <c r="E39" s="225" t="s">
        <v>167</v>
      </c>
      <c r="F39" s="107">
        <f>Gibson_Parkire6npts</f>
        <v>5</v>
      </c>
    </row>
    <row r="40" spans="1:6" ht="14.95" customHeight="1" thickBot="1" x14ac:dyDescent="0.3">
      <c r="A40" s="26" t="s">
        <v>1048</v>
      </c>
      <c r="B40" s="25" t="s">
        <v>172</v>
      </c>
      <c r="C40" s="104">
        <f>Marinita6ntries</f>
        <v>1</v>
      </c>
      <c r="D40" s="113" t="s">
        <v>918</v>
      </c>
      <c r="E40" s="225" t="s">
        <v>173</v>
      </c>
      <c r="F40" s="107">
        <f>gradywal6npts</f>
        <v>5</v>
      </c>
    </row>
    <row r="41" spans="1:6" ht="14.95" customHeight="1" thickBot="1" x14ac:dyDescent="0.3">
      <c r="A41" s="26" t="s">
        <v>1471</v>
      </c>
      <c r="B41" s="25" t="s">
        <v>182</v>
      </c>
      <c r="C41" s="104">
        <f>Meafoufra6ntries</f>
        <v>1</v>
      </c>
      <c r="D41" s="113" t="s">
        <v>230</v>
      </c>
      <c r="E41" s="225" t="s">
        <v>169</v>
      </c>
      <c r="F41" s="107">
        <f>Hornesco6npts</f>
        <v>5</v>
      </c>
    </row>
    <row r="42" spans="1:6" ht="14.95" customHeight="1" thickBot="1" x14ac:dyDescent="0.3">
      <c r="A42" s="26" t="s">
        <v>1451</v>
      </c>
      <c r="B42" s="25" t="s">
        <v>167</v>
      </c>
      <c r="C42" s="104">
        <f>Milneire6ntries</f>
        <v>1</v>
      </c>
      <c r="D42" s="113" t="s">
        <v>1220</v>
      </c>
      <c r="E42" s="225" t="s">
        <v>182</v>
      </c>
      <c r="F42" s="107">
        <f>Jegoufra6npts</f>
        <v>5</v>
      </c>
    </row>
    <row r="43" spans="1:6" ht="14.95" customHeight="1" thickBot="1" x14ac:dyDescent="0.3">
      <c r="A43" s="26" t="s">
        <v>509</v>
      </c>
      <c r="B43" s="25" t="s">
        <v>172</v>
      </c>
      <c r="C43" s="104">
        <f>Nicoteraita6ntries</f>
        <v>1</v>
      </c>
      <c r="D43" s="113" t="s">
        <v>1128</v>
      </c>
      <c r="E43" s="225" t="s">
        <v>169</v>
      </c>
      <c r="F43" s="107">
        <f>Jordansco6npts</f>
        <v>5</v>
      </c>
    </row>
    <row r="44" spans="1:6" ht="14.95" customHeight="1" thickBot="1" x14ac:dyDescent="0.3">
      <c r="A44" s="26" t="s">
        <v>1243</v>
      </c>
      <c r="B44" s="25" t="s">
        <v>167</v>
      </c>
      <c r="C44" s="104">
        <f>O_Mahonyire6ntries</f>
        <v>1</v>
      </c>
      <c r="D44" s="113" t="s">
        <v>401</v>
      </c>
      <c r="E44" s="225" t="s">
        <v>168</v>
      </c>
      <c r="F44" s="107">
        <f>Lawrenceeng6npts</f>
        <v>5</v>
      </c>
    </row>
    <row r="45" spans="1:6" ht="14.95" customHeight="1" thickBot="1" x14ac:dyDescent="0.3">
      <c r="A45" s="26" t="s">
        <v>175</v>
      </c>
      <c r="B45" s="25" t="s">
        <v>168</v>
      </c>
      <c r="C45" s="104">
        <f>Penalty_Trieseng6ntries</f>
        <v>1</v>
      </c>
      <c r="D45" s="113" t="s">
        <v>912</v>
      </c>
      <c r="E45" s="225" t="s">
        <v>172</v>
      </c>
      <c r="F45" s="107">
        <f>lynaghita6npts</f>
        <v>5</v>
      </c>
    </row>
    <row r="46" spans="1:6" ht="14.95" customHeight="1" thickBot="1" x14ac:dyDescent="0.3">
      <c r="A46" s="26" t="s">
        <v>261</v>
      </c>
      <c r="B46" s="25" t="s">
        <v>169</v>
      </c>
      <c r="C46" s="104">
        <f>Ritchiesco6ntries</f>
        <v>1</v>
      </c>
      <c r="D46" s="113" t="s">
        <v>552</v>
      </c>
      <c r="E46" s="225" t="s">
        <v>182</v>
      </c>
      <c r="F46" s="107">
        <f>Marchandfra6npts</f>
        <v>5</v>
      </c>
    </row>
    <row r="47" spans="1:6" ht="14.95" customHeight="1" thickBot="1" x14ac:dyDescent="0.3">
      <c r="A47" s="26" t="s">
        <v>240</v>
      </c>
      <c r="B47" s="25" t="s">
        <v>169</v>
      </c>
      <c r="C47" s="104">
        <f>RussellSCO6NTRIES</f>
        <v>1</v>
      </c>
      <c r="D47" s="113" t="s">
        <v>1048</v>
      </c>
      <c r="E47" s="225" t="s">
        <v>172</v>
      </c>
      <c r="F47" s="107">
        <f>Marinita6npts</f>
        <v>5</v>
      </c>
    </row>
    <row r="48" spans="1:6" ht="14.95" customHeight="1" thickBot="1" x14ac:dyDescent="0.3">
      <c r="A48" s="26" t="s">
        <v>439</v>
      </c>
      <c r="B48" s="25" t="s">
        <v>169</v>
      </c>
      <c r="C48" s="104">
        <f>SchoemanSCO6NTRIES</f>
        <v>1</v>
      </c>
      <c r="D48" s="113" t="s">
        <v>1471</v>
      </c>
      <c r="E48" s="225" t="s">
        <v>182</v>
      </c>
      <c r="F48" s="107">
        <f>Meafoufra6npts</f>
        <v>5</v>
      </c>
    </row>
    <row r="49" spans="1:6" ht="14.95" customHeight="1" thickBot="1" x14ac:dyDescent="0.3">
      <c r="A49" s="26" t="s">
        <v>467</v>
      </c>
      <c r="B49" s="25" t="s">
        <v>167</v>
      </c>
      <c r="C49" s="104">
        <f>Sheehanire6ntries</f>
        <v>1</v>
      </c>
      <c r="D49" s="113" t="s">
        <v>1451</v>
      </c>
      <c r="E49" s="225" t="s">
        <v>167</v>
      </c>
      <c r="F49" s="107">
        <f>Milneire6npts</f>
        <v>5</v>
      </c>
    </row>
    <row r="50" spans="1:6" ht="14.95" customHeight="1" thickBot="1" x14ac:dyDescent="0.3">
      <c r="A50" s="26" t="s">
        <v>1475</v>
      </c>
      <c r="B50" s="25" t="s">
        <v>167</v>
      </c>
      <c r="C50" s="104">
        <f>Stockdaleire6ntries</f>
        <v>1</v>
      </c>
      <c r="D50" s="113" t="s">
        <v>509</v>
      </c>
      <c r="E50" s="225" t="s">
        <v>172</v>
      </c>
      <c r="F50" s="107">
        <f>Nicoteraita6npts</f>
        <v>5</v>
      </c>
    </row>
    <row r="51" spans="1:6" ht="14.95" customHeight="1" thickBot="1" x14ac:dyDescent="0.3">
      <c r="A51" s="26" t="s">
        <v>1245</v>
      </c>
      <c r="B51" s="25" t="s">
        <v>167</v>
      </c>
      <c r="C51" s="104">
        <f>Timoneyire6ntries</f>
        <v>1</v>
      </c>
      <c r="D51" s="113" t="s">
        <v>1243</v>
      </c>
      <c r="E51" s="225" t="s">
        <v>167</v>
      </c>
      <c r="F51" s="107">
        <f>O_Mahonyire6npts</f>
        <v>5</v>
      </c>
    </row>
    <row r="52" spans="1:6" ht="14.95" customHeight="1" thickBot="1" x14ac:dyDescent="0.3">
      <c r="A52" s="26" t="s">
        <v>214</v>
      </c>
      <c r="B52" s="25" t="s">
        <v>169</v>
      </c>
      <c r="C52" s="104">
        <f>Turnersco6ntries</f>
        <v>1</v>
      </c>
      <c r="D52" s="113" t="s">
        <v>261</v>
      </c>
      <c r="E52" s="225" t="s">
        <v>169</v>
      </c>
      <c r="F52" s="107">
        <f>Ritchiesco6npts</f>
        <v>5</v>
      </c>
    </row>
    <row r="53" spans="1:6" ht="14.95" customHeight="1" thickBot="1" x14ac:dyDescent="0.3">
      <c r="A53" s="26" t="s">
        <v>940</v>
      </c>
      <c r="B53" s="25" t="s">
        <v>168</v>
      </c>
      <c r="C53" s="104">
        <f>underhilleng6ntries</f>
        <v>1</v>
      </c>
      <c r="D53" s="113" t="s">
        <v>439</v>
      </c>
      <c r="E53" s="225" t="s">
        <v>169</v>
      </c>
      <c r="F53" s="107">
        <f>SchoemanSCO6NPTS</f>
        <v>5</v>
      </c>
    </row>
    <row r="54" spans="1:6" ht="14.95" customHeight="1" thickBot="1" x14ac:dyDescent="0.3">
      <c r="A54" s="26" t="s">
        <v>228</v>
      </c>
      <c r="B54" s="25" t="s">
        <v>167</v>
      </c>
      <c r="C54" s="104">
        <f>Akiiretries</f>
        <v>0</v>
      </c>
      <c r="D54" s="113" t="s">
        <v>467</v>
      </c>
      <c r="E54" s="225" t="s">
        <v>167</v>
      </c>
      <c r="F54" s="107">
        <f>Sheehanire6npts</f>
        <v>5</v>
      </c>
    </row>
    <row r="55" spans="1:6" ht="14.95" customHeight="1" thickBot="1" x14ac:dyDescent="0.3">
      <c r="A55" s="26" t="s">
        <v>213</v>
      </c>
      <c r="B55" s="25" t="s">
        <v>172</v>
      </c>
      <c r="C55" s="104">
        <f>allanita6ntries</f>
        <v>0</v>
      </c>
      <c r="D55" s="113" t="s">
        <v>1475</v>
      </c>
      <c r="E55" s="225" t="s">
        <v>167</v>
      </c>
      <c r="F55" s="107">
        <f>Stockdaleire6npts</f>
        <v>5</v>
      </c>
    </row>
    <row r="56" spans="1:6" ht="14.95" customHeight="1" thickBot="1" x14ac:dyDescent="0.3">
      <c r="A56" s="26" t="s">
        <v>293</v>
      </c>
      <c r="B56" s="25" t="s">
        <v>182</v>
      </c>
      <c r="C56" s="104">
        <f>Alldrittfra6ntries</f>
        <v>0</v>
      </c>
      <c r="D56" s="113" t="s">
        <v>1245</v>
      </c>
      <c r="E56" s="225" t="s">
        <v>167</v>
      </c>
      <c r="F56" s="107">
        <f>Timoneyire6npts</f>
        <v>5</v>
      </c>
    </row>
    <row r="57" spans="1:6" ht="14.95" customHeight="1" thickBot="1" x14ac:dyDescent="0.3">
      <c r="A57" s="26" t="s">
        <v>440</v>
      </c>
      <c r="B57" s="25" t="s">
        <v>173</v>
      </c>
      <c r="C57" s="104">
        <f>Anscombewal6ntries</f>
        <v>0</v>
      </c>
      <c r="D57" s="113" t="s">
        <v>214</v>
      </c>
      <c r="E57" s="225" t="s">
        <v>169</v>
      </c>
      <c r="F57" s="107">
        <f>Turnersco6npts</f>
        <v>5</v>
      </c>
    </row>
    <row r="58" spans="1:6" ht="14.95" customHeight="1" thickBot="1" x14ac:dyDescent="0.3">
      <c r="A58" s="26" t="s">
        <v>363</v>
      </c>
      <c r="B58" s="25" t="s">
        <v>182</v>
      </c>
      <c r="C58" s="104">
        <f>BailleFRA6NTRIES</f>
        <v>0</v>
      </c>
      <c r="D58" s="113" t="s">
        <v>940</v>
      </c>
      <c r="E58" s="225" t="s">
        <v>168</v>
      </c>
      <c r="F58" s="107">
        <f>underhilleng6npts</f>
        <v>5</v>
      </c>
    </row>
    <row r="59" spans="1:6" ht="14.95" customHeight="1" thickBot="1" x14ac:dyDescent="0.3">
      <c r="A59" s="26" t="s">
        <v>485</v>
      </c>
      <c r="B59" s="25" t="s">
        <v>167</v>
      </c>
      <c r="C59" s="104">
        <f>Bairdire6ntries</f>
        <v>0</v>
      </c>
      <c r="D59" s="113" t="s">
        <v>1137</v>
      </c>
      <c r="E59" s="225" t="s">
        <v>167</v>
      </c>
      <c r="F59" s="107">
        <f>Prendergastire6npts</f>
        <v>4</v>
      </c>
    </row>
    <row r="60" spans="1:6" ht="14.95" customHeight="1" thickBot="1" x14ac:dyDescent="0.3">
      <c r="A60" s="26" t="s">
        <v>1214</v>
      </c>
      <c r="B60" s="25" t="s">
        <v>182</v>
      </c>
      <c r="C60" s="104">
        <f>Barassifra6ntries</f>
        <v>0</v>
      </c>
      <c r="D60" s="113" t="s">
        <v>1224</v>
      </c>
      <c r="E60" s="225" t="s">
        <v>173</v>
      </c>
      <c r="F60" s="107">
        <f>Evans_Jwal6npts</f>
        <v>3</v>
      </c>
    </row>
    <row r="61" spans="1:6" ht="14.95" customHeight="1" thickBot="1" x14ac:dyDescent="0.3">
      <c r="A61" s="26" t="s">
        <v>920</v>
      </c>
      <c r="B61" s="25" t="s">
        <v>182</v>
      </c>
      <c r="C61" s="104">
        <f>barrefra6ntries</f>
        <v>0</v>
      </c>
      <c r="D61" s="113" t="s">
        <v>228</v>
      </c>
      <c r="E61" s="225" t="s">
        <v>167</v>
      </c>
      <c r="F61" s="107">
        <f>Akiire6npts</f>
        <v>0</v>
      </c>
    </row>
    <row r="62" spans="1:6" ht="14.95" customHeight="1" thickBot="1" x14ac:dyDescent="0.3">
      <c r="A62" s="26" t="s">
        <v>394</v>
      </c>
      <c r="B62" s="25" t="s">
        <v>173</v>
      </c>
      <c r="C62" s="104">
        <f>BashamWAL6NTRIES</f>
        <v>0</v>
      </c>
      <c r="D62" s="113" t="s">
        <v>213</v>
      </c>
      <c r="E62" s="225" t="s">
        <v>172</v>
      </c>
      <c r="F62" s="107">
        <f>allanita6npts</f>
        <v>0</v>
      </c>
    </row>
    <row r="63" spans="1:6" ht="14.95" customHeight="1" thickBot="1" x14ac:dyDescent="0.3">
      <c r="A63" s="26" t="s">
        <v>1176</v>
      </c>
      <c r="B63" s="25" t="s">
        <v>168</v>
      </c>
      <c r="C63" s="104">
        <f>baxtereng6ntries</f>
        <v>0</v>
      </c>
      <c r="D63" s="113" t="s">
        <v>293</v>
      </c>
      <c r="E63" s="225" t="s">
        <v>182</v>
      </c>
      <c r="F63" s="107">
        <f>Alldrittfra6npts</f>
        <v>0</v>
      </c>
    </row>
    <row r="64" spans="1:6" ht="14.95" customHeight="1" thickBot="1" x14ac:dyDescent="0.3">
      <c r="A64" s="26" t="s">
        <v>388</v>
      </c>
      <c r="B64" s="25" t="s">
        <v>167</v>
      </c>
      <c r="C64" s="104">
        <f>Bealhamire6ntries</f>
        <v>0</v>
      </c>
      <c r="D64" s="113" t="s">
        <v>440</v>
      </c>
      <c r="E64" s="225" t="s">
        <v>173</v>
      </c>
      <c r="F64" s="107">
        <f>Anscombewal6npts</f>
        <v>0</v>
      </c>
    </row>
    <row r="65" spans="1:6" ht="14.95" customHeight="1" thickBot="1" x14ac:dyDescent="0.3">
      <c r="A65" s="26" t="s">
        <v>251</v>
      </c>
      <c r="B65" s="25" t="s">
        <v>167</v>
      </c>
      <c r="C65" s="104">
        <f>BEIRNEIRE6NTRIES</f>
        <v>0</v>
      </c>
      <c r="D65" s="113" t="s">
        <v>363</v>
      </c>
      <c r="E65" s="225" t="s">
        <v>182</v>
      </c>
      <c r="F65" s="107">
        <f>BailleFRA6NPTS</f>
        <v>0</v>
      </c>
    </row>
    <row r="66" spans="1:6" ht="14.95" customHeight="1" thickBot="1" x14ac:dyDescent="0.3">
      <c r="A66" s="26" t="s">
        <v>841</v>
      </c>
      <c r="B66" s="25" t="s">
        <v>182</v>
      </c>
      <c r="C66" s="104">
        <f>Boudehent__Paulfra6ntries</f>
        <v>0</v>
      </c>
      <c r="D66" s="113" t="s">
        <v>485</v>
      </c>
      <c r="E66" s="225" t="s">
        <v>167</v>
      </c>
      <c r="F66" s="107">
        <f>Bairdire6npts</f>
        <v>0</v>
      </c>
    </row>
    <row r="67" spans="1:6" ht="14.95" customHeight="1" thickBot="1" x14ac:dyDescent="0.3">
      <c r="A67" s="26" t="s">
        <v>616</v>
      </c>
      <c r="B67" s="25" t="s">
        <v>172</v>
      </c>
      <c r="C67" s="104">
        <f>Brexita6ntries</f>
        <v>0</v>
      </c>
      <c r="D67" s="113" t="s">
        <v>1214</v>
      </c>
      <c r="E67" s="225" t="s">
        <v>182</v>
      </c>
      <c r="F67" s="107">
        <f>Barassifra6npts</f>
        <v>0</v>
      </c>
    </row>
    <row r="68" spans="1:6" ht="14.95" customHeight="1" thickBot="1" x14ac:dyDescent="0.3">
      <c r="A68" s="26" t="s">
        <v>548</v>
      </c>
      <c r="B68" s="25" t="s">
        <v>172</v>
      </c>
      <c r="C68" s="104">
        <f>Brunoita6ntries</f>
        <v>0</v>
      </c>
      <c r="D68" s="113" t="s">
        <v>920</v>
      </c>
      <c r="E68" s="225" t="s">
        <v>182</v>
      </c>
      <c r="F68" s="107">
        <f>barrefra6npts</f>
        <v>0</v>
      </c>
    </row>
    <row r="69" spans="1:6" ht="14.95" customHeight="1" thickBot="1" x14ac:dyDescent="0.3">
      <c r="A69" s="26" t="s">
        <v>406</v>
      </c>
      <c r="B69" s="25" t="s">
        <v>167</v>
      </c>
      <c r="C69" s="104">
        <f>byrnehire6ntries</f>
        <v>0</v>
      </c>
      <c r="D69" s="113" t="s">
        <v>394</v>
      </c>
      <c r="E69" s="225" t="s">
        <v>173</v>
      </c>
      <c r="F69" s="107">
        <f>BashamWAL6NPTS</f>
        <v>0</v>
      </c>
    </row>
    <row r="70" spans="1:6" ht="14.95" customHeight="1" thickBot="1" x14ac:dyDescent="0.3">
      <c r="A70" s="26" t="s">
        <v>601</v>
      </c>
      <c r="B70" s="25" t="s">
        <v>168</v>
      </c>
      <c r="C70" s="104">
        <f>Chessum_Oeng6ntries</f>
        <v>0</v>
      </c>
      <c r="D70" s="113" t="s">
        <v>1176</v>
      </c>
      <c r="E70" s="225" t="s">
        <v>168</v>
      </c>
      <c r="F70" s="107">
        <f>baxtereng6npts</f>
        <v>0</v>
      </c>
    </row>
    <row r="71" spans="1:6" ht="14.95" customHeight="1" thickBot="1" x14ac:dyDescent="0.3">
      <c r="A71" s="26" t="s">
        <v>917</v>
      </c>
      <c r="B71" s="25" t="s">
        <v>182</v>
      </c>
      <c r="C71" s="104">
        <f>colombesfra6ntries</f>
        <v>0</v>
      </c>
      <c r="D71" s="113" t="s">
        <v>388</v>
      </c>
      <c r="E71" s="225" t="s">
        <v>167</v>
      </c>
      <c r="F71" s="107">
        <f>Bealhamire6npts</f>
        <v>0</v>
      </c>
    </row>
    <row r="72" spans="1:6" ht="14.95" customHeight="1" thickBot="1" x14ac:dyDescent="0.3">
      <c r="A72" s="26" t="s">
        <v>806</v>
      </c>
      <c r="B72" s="25" t="s">
        <v>173</v>
      </c>
      <c r="C72" s="104">
        <f>costelowwal6ntries</f>
        <v>0</v>
      </c>
      <c r="D72" s="113" t="s">
        <v>251</v>
      </c>
      <c r="E72" s="225" t="s">
        <v>167</v>
      </c>
      <c r="F72" s="107">
        <f>BEIRNEIRE6NPTS</f>
        <v>0</v>
      </c>
    </row>
    <row r="73" spans="1:6" ht="14.95" customHeight="1" thickBot="1" x14ac:dyDescent="0.3">
      <c r="A73" s="26" t="s">
        <v>496</v>
      </c>
      <c r="B73" s="25" t="s">
        <v>182</v>
      </c>
      <c r="C73" s="104">
        <f>Crosfra6ntries</f>
        <v>0</v>
      </c>
      <c r="D73" s="113" t="s">
        <v>841</v>
      </c>
      <c r="E73" s="225" t="s">
        <v>182</v>
      </c>
      <c r="F73" s="107">
        <f>Boudehent__Paulfra6npts</f>
        <v>0</v>
      </c>
    </row>
    <row r="74" spans="1:6" ht="14.95" customHeight="1" thickBot="1" x14ac:dyDescent="0.3">
      <c r="A74" s="26" t="s">
        <v>938</v>
      </c>
      <c r="B74" s="25" t="s">
        <v>168</v>
      </c>
      <c r="C74" s="104">
        <f>CUNNINGHAMSOUTHENG6NTRIES</f>
        <v>0</v>
      </c>
      <c r="D74" s="113" t="s">
        <v>616</v>
      </c>
      <c r="E74" s="225" t="s">
        <v>172</v>
      </c>
      <c r="F74" s="107">
        <f>Brexits6npts</f>
        <v>0</v>
      </c>
    </row>
    <row r="75" spans="1:6" ht="14.95" customHeight="1" thickBot="1" x14ac:dyDescent="0.3">
      <c r="A75" s="26" t="s">
        <v>296</v>
      </c>
      <c r="B75" s="25" t="s">
        <v>168</v>
      </c>
      <c r="C75" s="104">
        <f>curryteng6ntries</f>
        <v>0</v>
      </c>
      <c r="D75" s="113" t="s">
        <v>548</v>
      </c>
      <c r="E75" s="225" t="s">
        <v>172</v>
      </c>
      <c r="F75" s="107">
        <f>Brunoits6npts</f>
        <v>0</v>
      </c>
    </row>
    <row r="76" spans="1:6" ht="14.95" customHeight="1" thickBot="1" x14ac:dyDescent="0.3">
      <c r="A76" s="26" t="s">
        <v>212</v>
      </c>
      <c r="B76" s="25" t="s">
        <v>168</v>
      </c>
      <c r="C76" s="104">
        <f>Dalyeng6ntries</f>
        <v>0</v>
      </c>
      <c r="D76" s="113" t="s">
        <v>406</v>
      </c>
      <c r="E76" s="225" t="s">
        <v>167</v>
      </c>
      <c r="F76" s="107">
        <f>byrnehire6npts</f>
        <v>0</v>
      </c>
    </row>
    <row r="77" spans="1:6" ht="14.95" customHeight="1" thickBot="1" x14ac:dyDescent="0.3">
      <c r="A77" s="26" t="s">
        <v>374</v>
      </c>
      <c r="B77" s="25" t="s">
        <v>182</v>
      </c>
      <c r="C77" s="104">
        <f>Dantyfra6ntries</f>
        <v>0</v>
      </c>
      <c r="D77" s="113" t="s">
        <v>601</v>
      </c>
      <c r="E77" s="225" t="s">
        <v>168</v>
      </c>
      <c r="F77" s="107">
        <f>Chessum_Oeng6npts</f>
        <v>0</v>
      </c>
    </row>
    <row r="78" spans="1:6" ht="14.95" customHeight="1" thickBot="1" x14ac:dyDescent="0.3">
      <c r="A78" s="26" t="s">
        <v>479</v>
      </c>
      <c r="B78" s="25" t="s">
        <v>169</v>
      </c>
      <c r="C78" s="104">
        <f>Dargesco6ntries</f>
        <v>0</v>
      </c>
      <c r="D78" s="113" t="s">
        <v>917</v>
      </c>
      <c r="E78" s="225" t="s">
        <v>172</v>
      </c>
      <c r="F78" s="107">
        <f>colombesfra6npts</f>
        <v>0</v>
      </c>
    </row>
    <row r="79" spans="1:6" ht="14.95" customHeight="1" thickBot="1" x14ac:dyDescent="0.3">
      <c r="A79" s="26" t="s">
        <v>807</v>
      </c>
      <c r="B79" s="25" t="s">
        <v>173</v>
      </c>
      <c r="C79" s="104">
        <f>deewal6ntries</f>
        <v>0</v>
      </c>
      <c r="D79" s="113" t="s">
        <v>496</v>
      </c>
      <c r="E79" s="225" t="s">
        <v>182</v>
      </c>
      <c r="F79" s="107">
        <f>Crosfra6npts</f>
        <v>0</v>
      </c>
    </row>
    <row r="80" spans="1:6" ht="14.95" customHeight="1" thickBot="1" x14ac:dyDescent="0.3">
      <c r="A80" s="26" t="s">
        <v>1422</v>
      </c>
      <c r="B80" s="25" t="s">
        <v>182</v>
      </c>
      <c r="C80" s="104">
        <f>Depoorterefra6ntries</f>
        <v>0</v>
      </c>
      <c r="D80" s="113" t="s">
        <v>938</v>
      </c>
      <c r="E80" s="225" t="s">
        <v>168</v>
      </c>
      <c r="F80" s="107">
        <f>CUNNINGHAMSOUTHENG6NPTS</f>
        <v>0</v>
      </c>
    </row>
    <row r="81" spans="1:6" ht="14.95" customHeight="1" thickBot="1" x14ac:dyDescent="0.3">
      <c r="A81" s="26" t="s">
        <v>457</v>
      </c>
      <c r="B81" s="25" t="s">
        <v>167</v>
      </c>
      <c r="C81" s="104">
        <f>Dorisire6ntries</f>
        <v>0</v>
      </c>
      <c r="D81" s="113" t="s">
        <v>296</v>
      </c>
      <c r="E81" s="225" t="s">
        <v>168</v>
      </c>
      <c r="F81" s="107">
        <f>curryteng6npts</f>
        <v>0</v>
      </c>
    </row>
    <row r="82" spans="1:6" ht="14.95" customHeight="1" thickBot="1" x14ac:dyDescent="0.3">
      <c r="A82" s="26" t="s">
        <v>589</v>
      </c>
      <c r="B82" s="25" t="s">
        <v>182</v>
      </c>
      <c r="C82" s="104">
        <f>Dumortierfra6ntries</f>
        <v>0</v>
      </c>
      <c r="D82" s="113" t="s">
        <v>212</v>
      </c>
      <c r="E82" s="225" t="s">
        <v>168</v>
      </c>
      <c r="F82" s="107">
        <f>Dalyeng6npts</f>
        <v>0</v>
      </c>
    </row>
    <row r="83" spans="1:6" ht="14.95" customHeight="1" thickBot="1" x14ac:dyDescent="0.3">
      <c r="A83" s="26" t="s">
        <v>1174</v>
      </c>
      <c r="B83" s="25" t="s">
        <v>173</v>
      </c>
      <c r="C83" s="104">
        <f>Edwardswal6ntries</f>
        <v>0</v>
      </c>
      <c r="D83" s="113" t="s">
        <v>374</v>
      </c>
      <c r="E83" s="225" t="s">
        <v>182</v>
      </c>
      <c r="F83" s="107">
        <f>Dantyfra6npts</f>
        <v>0</v>
      </c>
    </row>
    <row r="84" spans="1:6" ht="14.95" customHeight="1" thickBot="1" x14ac:dyDescent="0.3">
      <c r="A84" s="26" t="s">
        <v>1224</v>
      </c>
      <c r="B84" s="25" t="s">
        <v>173</v>
      </c>
      <c r="C84" s="104">
        <f>Evans_Jwal6ntries</f>
        <v>0</v>
      </c>
      <c r="D84" s="113" t="s">
        <v>479</v>
      </c>
      <c r="E84" s="225" t="s">
        <v>169</v>
      </c>
      <c r="F84" s="107">
        <f>Dargesco6npts</f>
        <v>0</v>
      </c>
    </row>
    <row r="85" spans="1:6" ht="14.95" customHeight="1" thickBot="1" x14ac:dyDescent="0.3">
      <c r="A85" s="26" t="s">
        <v>518</v>
      </c>
      <c r="B85" s="25" t="s">
        <v>169</v>
      </c>
      <c r="C85" s="104">
        <f>Fagerson_Msco6ntries</f>
        <v>0</v>
      </c>
      <c r="D85" s="113" t="s">
        <v>807</v>
      </c>
      <c r="E85" s="225" t="s">
        <v>173</v>
      </c>
      <c r="F85" s="107">
        <f>deewal6npts</f>
        <v>0</v>
      </c>
    </row>
    <row r="86" spans="1:6" ht="14.95" customHeight="1" thickBot="1" x14ac:dyDescent="0.3">
      <c r="A86" s="26" t="s">
        <v>341</v>
      </c>
      <c r="B86" s="25" t="s">
        <v>169</v>
      </c>
      <c r="C86" s="104">
        <f>FAGERSONZSCO6NTRIES</f>
        <v>0</v>
      </c>
      <c r="D86" s="113" t="s">
        <v>1422</v>
      </c>
      <c r="E86" s="225" t="s">
        <v>182</v>
      </c>
      <c r="F86" s="107">
        <f>Depoorterefra6npts</f>
        <v>0</v>
      </c>
    </row>
    <row r="87" spans="1:6" ht="14.95" customHeight="1" thickBot="1" x14ac:dyDescent="0.3">
      <c r="A87" s="26" t="s">
        <v>270</v>
      </c>
      <c r="B87" s="25" t="s">
        <v>173</v>
      </c>
      <c r="C87" s="104">
        <f>Faletauwal6ntries</f>
        <v>0</v>
      </c>
      <c r="D87" s="113" t="s">
        <v>457</v>
      </c>
      <c r="E87" s="225" t="s">
        <v>167</v>
      </c>
      <c r="F87" s="107">
        <f>Dorisire6npts</f>
        <v>0</v>
      </c>
    </row>
    <row r="88" spans="1:6" ht="14.95" customHeight="1" thickBot="1" x14ac:dyDescent="0.3">
      <c r="A88" s="26" t="s">
        <v>909</v>
      </c>
      <c r="B88" s="25" t="s">
        <v>168</v>
      </c>
      <c r="C88" s="104">
        <f>feyiwabosoeng6ntries</f>
        <v>0</v>
      </c>
      <c r="D88" s="113" t="s">
        <v>589</v>
      </c>
      <c r="E88" s="225" t="s">
        <v>182</v>
      </c>
      <c r="F88" s="107">
        <f>Dumortierfra6npts</f>
        <v>0</v>
      </c>
    </row>
    <row r="89" spans="1:6" ht="14.95" customHeight="1" thickBot="1" x14ac:dyDescent="0.3">
      <c r="A89" s="26" t="s">
        <v>255</v>
      </c>
      <c r="B89" s="25" t="s">
        <v>182</v>
      </c>
      <c r="C89" s="104">
        <f>Fickoufra6ntries</f>
        <v>0</v>
      </c>
      <c r="D89" s="113" t="s">
        <v>518</v>
      </c>
      <c r="E89" s="225" t="s">
        <v>169</v>
      </c>
      <c r="F89" s="107">
        <f>Fagerson_Msco6npts</f>
        <v>0</v>
      </c>
    </row>
    <row r="90" spans="1:6" ht="14.95" customHeight="1" thickBot="1" x14ac:dyDescent="0.3">
      <c r="A90" s="26" t="s">
        <v>445</v>
      </c>
      <c r="B90" s="25" t="s">
        <v>182</v>
      </c>
      <c r="C90" s="104">
        <f>Flamentfra6ntries</f>
        <v>0</v>
      </c>
      <c r="D90" s="113" t="s">
        <v>341</v>
      </c>
      <c r="E90" s="225" t="s">
        <v>169</v>
      </c>
      <c r="F90" s="107">
        <f>FAGERSONZSCO6NPTS</f>
        <v>0</v>
      </c>
    </row>
    <row r="91" spans="1:6" ht="14.95" customHeight="1" thickBot="1" x14ac:dyDescent="0.3">
      <c r="A91" s="26" t="s">
        <v>184</v>
      </c>
      <c r="B91" s="25" t="s">
        <v>168</v>
      </c>
      <c r="C91" s="104">
        <f>fordeng6ntries</f>
        <v>0</v>
      </c>
      <c r="D91" s="113" t="s">
        <v>270</v>
      </c>
      <c r="E91" s="225" t="s">
        <v>173</v>
      </c>
      <c r="F91" s="107">
        <f>Faletauwal6npts</f>
        <v>0</v>
      </c>
    </row>
    <row r="92" spans="1:6" ht="14.95" customHeight="1" thickBot="1" x14ac:dyDescent="0.3">
      <c r="A92" s="26" t="s">
        <v>668</v>
      </c>
      <c r="B92" s="25" t="s">
        <v>167</v>
      </c>
      <c r="C92" s="104">
        <f>frawleyire6ntries</f>
        <v>0</v>
      </c>
      <c r="D92" s="113" t="s">
        <v>909</v>
      </c>
      <c r="E92" s="225" t="s">
        <v>168</v>
      </c>
      <c r="F92" s="107">
        <f>feyiwabosoeng6npts</f>
        <v>0</v>
      </c>
    </row>
    <row r="93" spans="1:6" ht="14.95" customHeight="1" thickBot="1" x14ac:dyDescent="0.3">
      <c r="A93" s="26" t="s">
        <v>907</v>
      </c>
      <c r="B93" s="25" t="s">
        <v>168</v>
      </c>
      <c r="C93" s="104">
        <f>furbankeng6ntries</f>
        <v>0</v>
      </c>
      <c r="D93" s="113" t="s">
        <v>255</v>
      </c>
      <c r="E93" s="225" t="s">
        <v>182</v>
      </c>
      <c r="F93" s="107">
        <f>Fickoufra6npts</f>
        <v>0</v>
      </c>
    </row>
    <row r="94" spans="1:6" ht="14.95" customHeight="1" thickBot="1" x14ac:dyDescent="0.3">
      <c r="A94" s="26" t="s">
        <v>507</v>
      </c>
      <c r="B94" s="25" t="s">
        <v>172</v>
      </c>
      <c r="C94" s="104">
        <f>garbisiaita6ntries</f>
        <v>0</v>
      </c>
      <c r="D94" s="113" t="s">
        <v>445</v>
      </c>
      <c r="E94" s="225" t="s">
        <v>182</v>
      </c>
      <c r="F94" s="107">
        <f>Flamentfra6npts</f>
        <v>0</v>
      </c>
    </row>
    <row r="95" spans="1:6" ht="14.95" customHeight="1" thickBot="1" x14ac:dyDescent="0.3">
      <c r="A95" s="26" t="s">
        <v>361</v>
      </c>
      <c r="B95" s="25" t="s">
        <v>172</v>
      </c>
      <c r="C95" s="104">
        <f>Garbisi_Pita6ntries</f>
        <v>0</v>
      </c>
      <c r="D95" s="113" t="s">
        <v>668</v>
      </c>
      <c r="E95" s="225" t="s">
        <v>167</v>
      </c>
      <c r="F95" s="107">
        <f>frawleyire6npts</f>
        <v>0</v>
      </c>
    </row>
    <row r="96" spans="1:6" ht="14.95" customHeight="1" thickBot="1" x14ac:dyDescent="0.3">
      <c r="A96" s="26" t="s">
        <v>328</v>
      </c>
      <c r="B96" s="25" t="s">
        <v>168</v>
      </c>
      <c r="C96" s="104">
        <f>Gengeeng6ntries</f>
        <v>0</v>
      </c>
      <c r="D96" s="113" t="s">
        <v>907</v>
      </c>
      <c r="E96" s="225" t="s">
        <v>168</v>
      </c>
      <c r="F96" s="107">
        <f>furbankeng6npts</f>
        <v>0</v>
      </c>
    </row>
    <row r="97" spans="1:6" ht="14.95" customHeight="1" thickBot="1" x14ac:dyDescent="0.3">
      <c r="A97" s="26" t="s">
        <v>273</v>
      </c>
      <c r="B97" s="25" t="s">
        <v>168</v>
      </c>
      <c r="C97" s="104">
        <f>Georgeeng6ntries</f>
        <v>0</v>
      </c>
      <c r="D97" s="113" t="s">
        <v>507</v>
      </c>
      <c r="E97" s="225" t="s">
        <v>172</v>
      </c>
      <c r="F97" s="107">
        <f>garbisiaita6npts</f>
        <v>0</v>
      </c>
    </row>
    <row r="98" spans="1:6" ht="14.95" customHeight="1" thickBot="1" x14ac:dyDescent="0.3">
      <c r="A98" s="26" t="s">
        <v>1211</v>
      </c>
      <c r="B98" s="25" t="s">
        <v>182</v>
      </c>
      <c r="C98" s="104">
        <f>Guillardfra6ntries</f>
        <v>0</v>
      </c>
      <c r="D98" s="113" t="s">
        <v>328</v>
      </c>
      <c r="E98" s="225" t="s">
        <v>168</v>
      </c>
      <c r="F98" s="107">
        <f>Gengeeng6npts</f>
        <v>0</v>
      </c>
    </row>
    <row r="99" spans="1:6" ht="14.95" customHeight="1" thickBot="1" x14ac:dyDescent="0.3">
      <c r="A99" s="26" t="s">
        <v>477</v>
      </c>
      <c r="B99" s="25" t="s">
        <v>167</v>
      </c>
      <c r="C99" s="104">
        <f>Hansenire6nries</f>
        <v>0</v>
      </c>
      <c r="D99" s="113" t="s">
        <v>273</v>
      </c>
      <c r="E99" s="225" t="s">
        <v>168</v>
      </c>
      <c r="F99" s="107">
        <f>Georgeeng6npts</f>
        <v>0</v>
      </c>
    </row>
    <row r="100" spans="1:6" ht="14.95" customHeight="1" thickBot="1" x14ac:dyDescent="0.3">
      <c r="A100" s="26" t="s">
        <v>287</v>
      </c>
      <c r="B100" s="25" t="s">
        <v>169</v>
      </c>
      <c r="C100" s="104">
        <f>HarrisSCO6NTRIES</f>
        <v>0</v>
      </c>
      <c r="D100" s="113" t="s">
        <v>1211</v>
      </c>
      <c r="E100" s="225" t="s">
        <v>182</v>
      </c>
      <c r="F100" s="107">
        <f>Guillardfra6npts</f>
        <v>0</v>
      </c>
    </row>
    <row r="101" spans="1:6" ht="14.95" customHeight="1" thickBot="1" x14ac:dyDescent="0.3">
      <c r="A101" s="26" t="s">
        <v>254</v>
      </c>
      <c r="B101" s="25" t="s">
        <v>167</v>
      </c>
      <c r="C101" s="104">
        <f>Henshawire6ntries</f>
        <v>0</v>
      </c>
      <c r="D101" s="113" t="s">
        <v>477</v>
      </c>
      <c r="E101" s="225" t="s">
        <v>167</v>
      </c>
      <c r="F101" s="107">
        <f>Hansenire6npts</f>
        <v>0</v>
      </c>
    </row>
    <row r="102" spans="1:6" ht="14.95" customHeight="1" thickBot="1" x14ac:dyDescent="0.3">
      <c r="A102" s="26" t="s">
        <v>1229</v>
      </c>
      <c r="B102" s="25" t="s">
        <v>168</v>
      </c>
      <c r="C102" s="104">
        <f>heyeseng6ntries</f>
        <v>0</v>
      </c>
      <c r="D102" s="113" t="s">
        <v>287</v>
      </c>
      <c r="E102" s="225" t="s">
        <v>169</v>
      </c>
      <c r="F102" s="107">
        <f>HarrisSCO6NPTS</f>
        <v>0</v>
      </c>
    </row>
    <row r="103" spans="1:6" ht="14.95" customHeight="1" thickBot="1" x14ac:dyDescent="0.3">
      <c r="A103" s="26" t="s">
        <v>380</v>
      </c>
      <c r="B103" s="25" t="s">
        <v>172</v>
      </c>
      <c r="C103" s="104">
        <f>ioaneita6ntries</f>
        <v>0</v>
      </c>
      <c r="D103" s="113" t="s">
        <v>254</v>
      </c>
      <c r="E103" s="225" t="s">
        <v>167</v>
      </c>
      <c r="F103" s="107">
        <f>Henshawire6npts</f>
        <v>0</v>
      </c>
    </row>
    <row r="104" spans="1:6" ht="14.95" customHeight="1" thickBot="1" x14ac:dyDescent="0.3">
      <c r="A104" s="26" t="s">
        <v>211</v>
      </c>
      <c r="B104" s="25" t="s">
        <v>168</v>
      </c>
      <c r="C104" s="104">
        <f>itojeeng6ntries</f>
        <v>0</v>
      </c>
      <c r="D104" s="113" t="s">
        <v>1229</v>
      </c>
      <c r="E104" s="225" t="s">
        <v>168</v>
      </c>
      <c r="F104" s="107">
        <f>heyeseng6npts</f>
        <v>0</v>
      </c>
    </row>
    <row r="105" spans="1:6" ht="14.95" customHeight="1" thickBot="1" x14ac:dyDescent="0.3">
      <c r="A105" s="26" t="s">
        <v>360</v>
      </c>
      <c r="B105" s="25" t="s">
        <v>167</v>
      </c>
      <c r="C105" s="104">
        <f>Keenanire6ntries</f>
        <v>0</v>
      </c>
      <c r="D105" s="113" t="s">
        <v>380</v>
      </c>
      <c r="E105" s="225" t="s">
        <v>172</v>
      </c>
      <c r="F105" s="107">
        <f>ioaneita6npts</f>
        <v>0</v>
      </c>
    </row>
    <row r="106" spans="1:6" ht="14.95" customHeight="1" thickBot="1" x14ac:dyDescent="0.3">
      <c r="A106" s="26" t="s">
        <v>381</v>
      </c>
      <c r="B106" s="25" t="s">
        <v>167</v>
      </c>
      <c r="C106" s="104">
        <f>kelleherire6ntries</f>
        <v>0</v>
      </c>
      <c r="D106" s="113" t="s">
        <v>211</v>
      </c>
      <c r="E106" s="225" t="s">
        <v>168</v>
      </c>
      <c r="F106" s="107">
        <f>itojeeng6npts</f>
        <v>0</v>
      </c>
    </row>
    <row r="107" spans="1:6" ht="14.95" customHeight="1" thickBot="1" x14ac:dyDescent="0.3">
      <c r="A107" s="26" t="s">
        <v>216</v>
      </c>
      <c r="B107" s="25" t="s">
        <v>169</v>
      </c>
      <c r="C107" s="104">
        <f>Kinghornsco6ntries</f>
        <v>0</v>
      </c>
      <c r="D107" s="113" t="s">
        <v>360</v>
      </c>
      <c r="E107" s="225" t="s">
        <v>167</v>
      </c>
      <c r="F107" s="107">
        <f>Keenanire6npts</f>
        <v>0</v>
      </c>
    </row>
    <row r="108" spans="1:6" ht="14.95" customHeight="1" thickBot="1" x14ac:dyDescent="0.3">
      <c r="A108" s="26" t="s">
        <v>492</v>
      </c>
      <c r="B108" s="25" t="s">
        <v>173</v>
      </c>
      <c r="C108" s="104">
        <f>Lakewal6ntries</f>
        <v>0</v>
      </c>
      <c r="D108" s="113" t="s">
        <v>381</v>
      </c>
      <c r="E108" s="225" t="s">
        <v>167</v>
      </c>
      <c r="F108" s="107">
        <f>kelleherire6npts</f>
        <v>0</v>
      </c>
    </row>
    <row r="109" spans="1:6" ht="14.95" customHeight="1" thickBot="1" x14ac:dyDescent="0.3">
      <c r="A109" s="26" t="s">
        <v>1431</v>
      </c>
      <c r="B109" s="25" t="s">
        <v>182</v>
      </c>
      <c r="C109" s="104">
        <f>Jelonchfra6ntries</f>
        <v>0</v>
      </c>
      <c r="D109" s="113" t="s">
        <v>216</v>
      </c>
      <c r="E109" s="225" t="s">
        <v>169</v>
      </c>
      <c r="F109" s="107">
        <f>kinghornsco6npts</f>
        <v>0</v>
      </c>
    </row>
    <row r="110" spans="1:6" ht="14.95" customHeight="1" thickBot="1" x14ac:dyDescent="0.3">
      <c r="A110" s="26" t="s">
        <v>915</v>
      </c>
      <c r="B110" s="25" t="s">
        <v>182</v>
      </c>
      <c r="C110" s="104">
        <f>legarrecfra6ntries</f>
        <v>0</v>
      </c>
      <c r="D110" s="113" t="s">
        <v>492</v>
      </c>
      <c r="E110" s="225" t="s">
        <v>173</v>
      </c>
      <c r="F110" s="107">
        <f>Lakewal6npts</f>
        <v>0</v>
      </c>
    </row>
    <row r="111" spans="1:6" ht="14.95" customHeight="1" thickBot="1" x14ac:dyDescent="0.3">
      <c r="A111" s="26" t="s">
        <v>1223</v>
      </c>
      <c r="B111" s="25" t="s">
        <v>173</v>
      </c>
      <c r="C111" s="104">
        <f>Llewellynwaltries</f>
        <v>0</v>
      </c>
      <c r="D111" s="113" t="s">
        <v>1431</v>
      </c>
      <c r="E111" s="225" t="s">
        <v>182</v>
      </c>
      <c r="F111" s="107">
        <f>Jelonchfra6npts</f>
        <v>0</v>
      </c>
    </row>
    <row r="112" spans="1:6" ht="14.95" customHeight="1" thickBot="1" x14ac:dyDescent="0.3">
      <c r="A112" s="26" t="s">
        <v>368</v>
      </c>
      <c r="B112" s="25" t="s">
        <v>167</v>
      </c>
      <c r="C112" s="104">
        <f>Loweire6ntries</f>
        <v>0</v>
      </c>
      <c r="D112" s="113" t="s">
        <v>915</v>
      </c>
      <c r="E112" s="225" t="s">
        <v>182</v>
      </c>
      <c r="F112" s="107">
        <f>legarrcefra6npts</f>
        <v>0</v>
      </c>
    </row>
    <row r="113" spans="1:6" ht="14.95" customHeight="1" thickBot="1" x14ac:dyDescent="0.3">
      <c r="A113" s="26" t="s">
        <v>517</v>
      </c>
      <c r="B113" s="25" t="s">
        <v>182</v>
      </c>
      <c r="C113" s="104">
        <f>lucufra6ntries</f>
        <v>0</v>
      </c>
      <c r="D113" s="113" t="s">
        <v>1223</v>
      </c>
      <c r="E113" s="225" t="s">
        <v>173</v>
      </c>
      <c r="F113" s="107">
        <f>Llewellynwalpts</f>
        <v>0</v>
      </c>
    </row>
    <row r="114" spans="1:6" ht="14.95" customHeight="1" thickBot="1" x14ac:dyDescent="0.3">
      <c r="A114" s="26" t="s">
        <v>901</v>
      </c>
      <c r="B114" s="25" t="s">
        <v>173</v>
      </c>
      <c r="C114" s="104">
        <f>mannwal6ntriws</f>
        <v>0</v>
      </c>
      <c r="D114" s="113" t="s">
        <v>368</v>
      </c>
      <c r="E114" s="225" t="s">
        <v>167</v>
      </c>
      <c r="F114" s="107">
        <f>Loweire6npts</f>
        <v>0</v>
      </c>
    </row>
    <row r="115" spans="1:6" ht="14.95" customHeight="1" thickBot="1" x14ac:dyDescent="0.3">
      <c r="A115" s="26" t="s">
        <v>1209</v>
      </c>
      <c r="B115" s="25" t="s">
        <v>182</v>
      </c>
      <c r="C115" s="104">
        <f>MauvakaFRA6NTRIES</f>
        <v>0</v>
      </c>
      <c r="D115" s="113" t="s">
        <v>517</v>
      </c>
      <c r="E115" s="225" t="s">
        <v>182</v>
      </c>
      <c r="F115" s="107">
        <f>lucufra6npts</f>
        <v>0</v>
      </c>
    </row>
    <row r="116" spans="1:6" ht="14.95" customHeight="1" thickBot="1" x14ac:dyDescent="0.3">
      <c r="A116" s="26" t="s">
        <v>446</v>
      </c>
      <c r="B116" s="25" t="s">
        <v>168</v>
      </c>
      <c r="C116" s="104">
        <f>mitchelleng6ntries</f>
        <v>0</v>
      </c>
      <c r="D116" s="113" t="s">
        <v>901</v>
      </c>
      <c r="E116" s="225" t="s">
        <v>173</v>
      </c>
      <c r="F116" s="107">
        <f>mannwal6npts</f>
        <v>0</v>
      </c>
    </row>
    <row r="117" spans="1:6" ht="14.95" customHeight="1" thickBot="1" x14ac:dyDescent="0.3">
      <c r="A117" s="26" t="s">
        <v>482</v>
      </c>
      <c r="B117" s="25" t="s">
        <v>182</v>
      </c>
      <c r="C117" s="104">
        <f>Moefanafra6ntries</f>
        <v>0</v>
      </c>
      <c r="D117" s="113" t="s">
        <v>1209</v>
      </c>
      <c r="E117" s="225" t="s">
        <v>182</v>
      </c>
      <c r="F117" s="107">
        <f>MauvakaFRA6NPTS</f>
        <v>0</v>
      </c>
    </row>
    <row r="118" spans="1:6" ht="14.95" customHeight="1" thickBot="1" x14ac:dyDescent="0.3">
      <c r="A118" s="26" t="s">
        <v>569</v>
      </c>
      <c r="B118" s="25" t="s">
        <v>173</v>
      </c>
      <c r="C118" s="104">
        <f>Morganwal6ntries</f>
        <v>0</v>
      </c>
      <c r="D118" s="113" t="s">
        <v>446</v>
      </c>
      <c r="E118" s="225" t="s">
        <v>168</v>
      </c>
      <c r="F118" s="107">
        <f>mitchelleng6npts</f>
        <v>0</v>
      </c>
    </row>
    <row r="119" spans="1:6" ht="14.95" customHeight="1" thickBot="1" x14ac:dyDescent="0.3">
      <c r="A119" s="26" t="s">
        <v>1172</v>
      </c>
      <c r="B119" s="25" t="s">
        <v>168</v>
      </c>
      <c r="C119" s="104">
        <f>murleyeng6ntries</f>
        <v>0</v>
      </c>
      <c r="D119" s="113" t="s">
        <v>482</v>
      </c>
      <c r="E119" s="225" t="s">
        <v>182</v>
      </c>
      <c r="F119" s="107">
        <f>Moefana6npts</f>
        <v>0</v>
      </c>
    </row>
    <row r="120" spans="1:6" ht="14.95" customHeight="1" thickBot="1" x14ac:dyDescent="0.3">
      <c r="A120" s="26" t="s">
        <v>1120</v>
      </c>
      <c r="B120" s="25" t="s">
        <v>173</v>
      </c>
      <c r="C120" s="104">
        <f>OwensWAL6NTRIES</f>
        <v>0</v>
      </c>
      <c r="D120" s="113" t="s">
        <v>569</v>
      </c>
      <c r="E120" s="225" t="s">
        <v>173</v>
      </c>
      <c r="F120" s="107">
        <f>Morganwal6npts</f>
        <v>0</v>
      </c>
    </row>
    <row r="121" spans="1:6" ht="14.95" customHeight="1" thickBot="1" x14ac:dyDescent="0.3">
      <c r="A121" s="26" t="s">
        <v>898</v>
      </c>
      <c r="B121" s="25" t="s">
        <v>167</v>
      </c>
      <c r="C121" s="104">
        <f>nashire6ntries</f>
        <v>0</v>
      </c>
      <c r="D121" s="113" t="s">
        <v>1172</v>
      </c>
      <c r="E121" s="225" t="s">
        <v>168</v>
      </c>
      <c r="F121" s="107">
        <f>murleyeng6npts</f>
        <v>0</v>
      </c>
    </row>
    <row r="122" spans="1:6" ht="14.95" customHeight="1" thickBot="1" x14ac:dyDescent="0.3">
      <c r="A122" s="26" t="s">
        <v>333</v>
      </c>
      <c r="B122" s="25" t="s">
        <v>172</v>
      </c>
      <c r="C122" s="104">
        <f>Negri6nitstries</f>
        <v>0</v>
      </c>
      <c r="D122" s="113" t="s">
        <v>1120</v>
      </c>
      <c r="E122" s="225" t="s">
        <v>173</v>
      </c>
      <c r="F122" s="107">
        <f>OwensWAL6NPTS</f>
        <v>0</v>
      </c>
    </row>
    <row r="123" spans="1:6" ht="14.95" customHeight="1" thickBot="1" x14ac:dyDescent="0.3">
      <c r="A123" s="26" t="s">
        <v>294</v>
      </c>
      <c r="B123" s="25" t="s">
        <v>182</v>
      </c>
      <c r="C123" s="104">
        <f>Ntamackfra6ntries</f>
        <v>0</v>
      </c>
      <c r="D123" s="113" t="s">
        <v>898</v>
      </c>
      <c r="E123" s="225" t="s">
        <v>167</v>
      </c>
      <c r="F123" s="107">
        <f>nashire6npts</f>
        <v>0</v>
      </c>
    </row>
    <row r="124" spans="1:6" ht="14.95" customHeight="1" thickBot="1" x14ac:dyDescent="0.3">
      <c r="A124" s="26" t="s">
        <v>245</v>
      </c>
      <c r="B124" s="25" t="s">
        <v>172</v>
      </c>
      <c r="C124" s="104">
        <f>PadovaniITA6NTRIES</f>
        <v>0</v>
      </c>
      <c r="D124" s="113" t="s">
        <v>333</v>
      </c>
      <c r="E124" s="225" t="s">
        <v>172</v>
      </c>
      <c r="F124" s="107">
        <f>Negriita6npts</f>
        <v>0</v>
      </c>
    </row>
    <row r="125" spans="1:6" ht="14.95" customHeight="1" thickBot="1" x14ac:dyDescent="0.3">
      <c r="A125" s="26" t="s">
        <v>741</v>
      </c>
      <c r="B125" s="25" t="s">
        <v>172</v>
      </c>
      <c r="C125" s="104">
        <f>paniita6ntries</f>
        <v>0</v>
      </c>
      <c r="D125" s="113" t="s">
        <v>294</v>
      </c>
      <c r="E125" s="225" t="s">
        <v>182</v>
      </c>
      <c r="F125" s="107">
        <f>Ntamackfra6npts</f>
        <v>0</v>
      </c>
    </row>
    <row r="126" spans="1:6" ht="14.95" customHeight="1" thickBot="1" x14ac:dyDescent="0.3">
      <c r="A126" s="26" t="s">
        <v>175</v>
      </c>
      <c r="B126" s="25" t="s">
        <v>173</v>
      </c>
      <c r="C126" s="104">
        <f>Penalty_Trieswal6ntries</f>
        <v>0</v>
      </c>
      <c r="D126" s="113" t="s">
        <v>245</v>
      </c>
      <c r="E126" s="225" t="s">
        <v>172</v>
      </c>
      <c r="F126" s="107">
        <f>PadovaniITA6NPTS</f>
        <v>0</v>
      </c>
    </row>
    <row r="127" spans="1:6" ht="14.95" customHeight="1" thickBot="1" x14ac:dyDescent="0.3">
      <c r="A127" s="26" t="s">
        <v>175</v>
      </c>
      <c r="B127" s="25" t="s">
        <v>172</v>
      </c>
      <c r="C127" s="104">
        <f>Penalty_Triesita6ntries</f>
        <v>0</v>
      </c>
      <c r="D127" s="113" t="s">
        <v>741</v>
      </c>
      <c r="E127" s="225" t="s">
        <v>172</v>
      </c>
      <c r="F127" s="107">
        <f>paniita6npts</f>
        <v>0</v>
      </c>
    </row>
    <row r="128" spans="1:6" ht="14.95" customHeight="1" thickBot="1" x14ac:dyDescent="0.3">
      <c r="A128" s="26" t="s">
        <v>175</v>
      </c>
      <c r="B128" s="25" t="s">
        <v>169</v>
      </c>
      <c r="C128" s="104">
        <f>Penalty_Triessco6ntries</f>
        <v>0</v>
      </c>
      <c r="D128" s="113" t="s">
        <v>175</v>
      </c>
      <c r="E128" s="225" t="s">
        <v>173</v>
      </c>
      <c r="F128" s="107">
        <f>Penalty_trieswal6npts</f>
        <v>0</v>
      </c>
    </row>
    <row r="129" spans="1:6" ht="14.95" customHeight="1" thickBot="1" x14ac:dyDescent="0.3">
      <c r="A129" s="26" t="s">
        <v>175</v>
      </c>
      <c r="B129" s="25" t="s">
        <v>182</v>
      </c>
      <c r="C129" s="104">
        <f>Penalty_Triesfra6ntries</f>
        <v>0</v>
      </c>
      <c r="D129" s="113" t="s">
        <v>175</v>
      </c>
      <c r="E129" s="225" t="s">
        <v>172</v>
      </c>
      <c r="F129" s="107">
        <f>Penalty_Triesita6npts</f>
        <v>0</v>
      </c>
    </row>
    <row r="130" spans="1:6" ht="14.95" customHeight="1" thickBot="1" x14ac:dyDescent="0.3">
      <c r="A130" s="26" t="s">
        <v>175</v>
      </c>
      <c r="B130" s="25" t="s">
        <v>167</v>
      </c>
      <c r="C130" s="104">
        <f>Penalty_Triesire6ntries</f>
        <v>0</v>
      </c>
      <c r="D130" s="113" t="s">
        <v>175</v>
      </c>
      <c r="E130" s="225" t="s">
        <v>169</v>
      </c>
      <c r="F130" s="107">
        <f>Penalty_Triessco6npts</f>
        <v>0</v>
      </c>
    </row>
    <row r="131" spans="1:6" ht="14.95" customHeight="1" thickBot="1" x14ac:dyDescent="0.3">
      <c r="A131" s="26" t="s">
        <v>276</v>
      </c>
      <c r="B131" s="25" t="s">
        <v>182</v>
      </c>
      <c r="C131" s="104">
        <f>Penaudfra6ntries</f>
        <v>0</v>
      </c>
      <c r="D131" s="113" t="s">
        <v>175</v>
      </c>
      <c r="E131" s="225" t="s">
        <v>182</v>
      </c>
      <c r="F131" s="107">
        <f>Penalty_Triesfra6npts</f>
        <v>0</v>
      </c>
    </row>
    <row r="132" spans="1:6" ht="14.95" customHeight="1" thickBot="1" x14ac:dyDescent="0.3">
      <c r="A132" s="26" t="s">
        <v>1226</v>
      </c>
      <c r="B132" s="25" t="s">
        <v>168</v>
      </c>
      <c r="C132" s="104">
        <f>pollockeng6ntries</f>
        <v>0</v>
      </c>
      <c r="D132" s="113" t="s">
        <v>175</v>
      </c>
      <c r="E132" s="225" t="s">
        <v>167</v>
      </c>
      <c r="F132" s="107">
        <f>Penalty_Triesire6npts</f>
        <v>0</v>
      </c>
    </row>
    <row r="133" spans="1:6" ht="14.95" customHeight="1" thickBot="1" x14ac:dyDescent="0.3">
      <c r="A133" s="26" t="s">
        <v>351</v>
      </c>
      <c r="B133" s="25" t="s">
        <v>167</v>
      </c>
      <c r="C133" s="104">
        <f>Porterire6ntries</f>
        <v>0</v>
      </c>
      <c r="D133" s="113" t="s">
        <v>276</v>
      </c>
      <c r="E133" s="225" t="s">
        <v>182</v>
      </c>
      <c r="F133" s="107">
        <f>Penaudfra6npts</f>
        <v>0</v>
      </c>
    </row>
    <row r="134" spans="1:6" ht="14.95" customHeight="1" thickBot="1" x14ac:dyDescent="0.3">
      <c r="A134" s="26" t="s">
        <v>1137</v>
      </c>
      <c r="B134" s="25" t="s">
        <v>167</v>
      </c>
      <c r="C134" s="104">
        <f>Prendergastire6ntries</f>
        <v>0</v>
      </c>
      <c r="D134" s="113" t="s">
        <v>1226</v>
      </c>
      <c r="E134" s="225" t="s">
        <v>168</v>
      </c>
      <c r="F134" s="107">
        <f>pollockeng6npts</f>
        <v>0</v>
      </c>
    </row>
    <row r="135" spans="1:6" ht="14.95" customHeight="1" thickBot="1" x14ac:dyDescent="0.3">
      <c r="A135" s="112" t="s">
        <v>603</v>
      </c>
      <c r="B135" s="25" t="s">
        <v>172</v>
      </c>
      <c r="C135" s="104">
        <f>Riccioniita6ntries</f>
        <v>0</v>
      </c>
      <c r="D135" s="113" t="s">
        <v>351</v>
      </c>
      <c r="E135" s="225" t="s">
        <v>167</v>
      </c>
      <c r="F135" s="107">
        <f>Porterire6npts</f>
        <v>0</v>
      </c>
    </row>
    <row r="136" spans="1:6" ht="14.95" customHeight="1" thickBot="1" x14ac:dyDescent="0.3">
      <c r="A136" s="112" t="s">
        <v>241</v>
      </c>
      <c r="B136" s="112" t="s">
        <v>167</v>
      </c>
      <c r="C136" s="104">
        <f>Ringroseire6ntries</f>
        <v>0</v>
      </c>
      <c r="D136" s="113" t="s">
        <v>603</v>
      </c>
      <c r="E136" s="225" t="s">
        <v>172</v>
      </c>
      <c r="F136" s="107">
        <f>Riccioniita6npts</f>
        <v>0</v>
      </c>
    </row>
    <row r="137" spans="1:6" ht="14.95" customHeight="1" thickBot="1" x14ac:dyDescent="0.3">
      <c r="A137" s="112" t="s">
        <v>1207</v>
      </c>
      <c r="B137" s="25" t="s">
        <v>173</v>
      </c>
      <c r="C137" s="104">
        <f>Rogerswal6ntries</f>
        <v>0</v>
      </c>
      <c r="D137" s="113" t="s">
        <v>241</v>
      </c>
      <c r="E137" s="225" t="s">
        <v>167</v>
      </c>
      <c r="F137" s="107">
        <f>Ringroseire6npts</f>
        <v>0</v>
      </c>
    </row>
    <row r="138" spans="1:6" ht="14.95" customHeight="1" thickBot="1" x14ac:dyDescent="0.3">
      <c r="A138" s="112" t="s">
        <v>393</v>
      </c>
      <c r="B138" s="25" t="s">
        <v>173</v>
      </c>
      <c r="C138" s="104">
        <f>rowlandswal6ntries</f>
        <v>0</v>
      </c>
      <c r="D138" s="113" t="s">
        <v>1207</v>
      </c>
      <c r="E138" s="225" t="s">
        <v>173</v>
      </c>
      <c r="F138" s="107">
        <f>Rogerswal6npts</f>
        <v>0</v>
      </c>
    </row>
    <row r="139" spans="1:6" ht="14.95" customHeight="1" thickBot="1" x14ac:dyDescent="0.3">
      <c r="A139" s="112" t="s">
        <v>465</v>
      </c>
      <c r="B139" s="25" t="s">
        <v>167</v>
      </c>
      <c r="C139" s="104">
        <f>RyanIRE6NTRIES</f>
        <v>0</v>
      </c>
      <c r="D139" s="113" t="s">
        <v>393</v>
      </c>
      <c r="E139" s="225" t="s">
        <v>173</v>
      </c>
      <c r="F139" s="107">
        <f>rowlandswal6npts</f>
        <v>0</v>
      </c>
    </row>
    <row r="140" spans="1:6" ht="14.95" customHeight="1" thickBot="1" x14ac:dyDescent="0.3">
      <c r="A140" s="112" t="s">
        <v>913</v>
      </c>
      <c r="B140" s="25" t="s">
        <v>169</v>
      </c>
      <c r="C140" s="104">
        <f>Skinnersco6ntfries</f>
        <v>0</v>
      </c>
      <c r="D140" s="113" t="s">
        <v>465</v>
      </c>
      <c r="E140" s="225" t="s">
        <v>167</v>
      </c>
      <c r="F140" s="107">
        <f>RyanIRE6NPTS</f>
        <v>0</v>
      </c>
    </row>
    <row r="141" spans="1:6" ht="14.95" customHeight="1" thickBot="1" x14ac:dyDescent="0.3">
      <c r="A141" s="112" t="s">
        <v>1109</v>
      </c>
      <c r="B141" s="25" t="s">
        <v>168</v>
      </c>
      <c r="C141" s="104">
        <f>slieghtholmeeng6ntries</f>
        <v>0</v>
      </c>
      <c r="D141" s="113" t="s">
        <v>913</v>
      </c>
      <c r="E141" s="225" t="s">
        <v>169</v>
      </c>
      <c r="F141" s="107">
        <f>skinnersco6npts</f>
        <v>0</v>
      </c>
    </row>
    <row r="142" spans="1:6" ht="14.95" customHeight="1" thickBot="1" x14ac:dyDescent="0.3">
      <c r="A142" s="112" t="s">
        <v>910</v>
      </c>
      <c r="B142" s="25" t="s">
        <v>168</v>
      </c>
      <c r="C142" s="104">
        <f>Smith_Feng6ntries</f>
        <v>0</v>
      </c>
      <c r="D142" s="113" t="s">
        <v>1109</v>
      </c>
      <c r="E142" s="225" t="s">
        <v>168</v>
      </c>
      <c r="F142" s="107">
        <f>slieghtholmeeng6npts</f>
        <v>0</v>
      </c>
    </row>
    <row r="143" spans="1:6" ht="14.95" customHeight="1" thickBot="1" x14ac:dyDescent="0.3">
      <c r="A143" s="112" t="s">
        <v>400</v>
      </c>
      <c r="B143" s="25" t="s">
        <v>168</v>
      </c>
      <c r="C143" s="104">
        <f>Smitheng6ntries</f>
        <v>0</v>
      </c>
      <c r="D143" s="113" t="s">
        <v>400</v>
      </c>
      <c r="E143" s="225" t="s">
        <v>168</v>
      </c>
      <c r="F143" s="107">
        <f>Smitheng6npts</f>
        <v>0</v>
      </c>
    </row>
    <row r="144" spans="1:6" ht="14.95" customHeight="1" thickBot="1" x14ac:dyDescent="0.3">
      <c r="A144" s="112" t="s">
        <v>460</v>
      </c>
      <c r="B144" s="25" t="s">
        <v>168</v>
      </c>
      <c r="C144" s="104">
        <f>StewardENG6NTRIES</f>
        <v>0</v>
      </c>
      <c r="D144" s="113" t="s">
        <v>460</v>
      </c>
      <c r="E144" s="225" t="s">
        <v>168</v>
      </c>
      <c r="F144" s="107">
        <f>StewardENG6NPTS</f>
        <v>0</v>
      </c>
    </row>
    <row r="145" spans="1:6" ht="14.95" customHeight="1" thickBot="1" x14ac:dyDescent="0.3">
      <c r="A145" s="112" t="s">
        <v>580</v>
      </c>
      <c r="B145" s="25" t="s">
        <v>168</v>
      </c>
      <c r="C145" s="104">
        <f>stuarteng6ntries</f>
        <v>0</v>
      </c>
      <c r="D145" s="113" t="s">
        <v>580</v>
      </c>
      <c r="E145" s="225" t="s">
        <v>168</v>
      </c>
      <c r="F145" s="107">
        <f>stuarteng6npts</f>
        <v>0</v>
      </c>
    </row>
    <row r="146" spans="1:6" ht="14.95" customHeight="1" thickBot="1" x14ac:dyDescent="0.3">
      <c r="A146" s="112" t="s">
        <v>385</v>
      </c>
      <c r="B146" s="25" t="s">
        <v>182</v>
      </c>
      <c r="C146" s="104">
        <f>taofifenuafra6ntries</f>
        <v>0</v>
      </c>
      <c r="D146" s="113" t="s">
        <v>385</v>
      </c>
      <c r="E146" s="225" t="s">
        <v>182</v>
      </c>
      <c r="F146" s="107">
        <f>taofifenuafra6npts</f>
        <v>0</v>
      </c>
    </row>
    <row r="147" spans="1:6" ht="14.95" customHeight="1" thickBot="1" x14ac:dyDescent="0.3">
      <c r="A147" s="26" t="s">
        <v>969</v>
      </c>
      <c r="B147" s="25" t="s">
        <v>173</v>
      </c>
      <c r="C147" s="104">
        <f>Thomas_Bwaltries</f>
        <v>0</v>
      </c>
      <c r="D147" s="113" t="s">
        <v>969</v>
      </c>
      <c r="E147" s="225" t="s">
        <v>173</v>
      </c>
      <c r="F147" s="107">
        <f>Thomas_Bwalpts</f>
        <v>0</v>
      </c>
    </row>
    <row r="148" spans="1:6" ht="14.95" customHeight="1" thickBot="1" x14ac:dyDescent="0.3">
      <c r="A148" s="26" t="s">
        <v>345</v>
      </c>
      <c r="B148" s="25" t="s">
        <v>173</v>
      </c>
      <c r="C148" s="104">
        <f>TompkinsWAL6NTRIES</f>
        <v>0</v>
      </c>
      <c r="D148" s="113" t="s">
        <v>345</v>
      </c>
      <c r="E148" s="225" t="s">
        <v>173</v>
      </c>
      <c r="F148" s="107">
        <f>TompkinsWAL6NPTS</f>
        <v>0</v>
      </c>
    </row>
    <row r="149" spans="1:6" ht="14.95" customHeight="1" thickBot="1" x14ac:dyDescent="0.3">
      <c r="A149" s="26" t="s">
        <v>990</v>
      </c>
      <c r="B149" s="25" t="s">
        <v>172</v>
      </c>
      <c r="C149" s="104">
        <f>Trullaita6ntries</f>
        <v>0</v>
      </c>
      <c r="D149" s="113" t="s">
        <v>990</v>
      </c>
      <c r="E149" s="225" t="s">
        <v>172</v>
      </c>
      <c r="F149" s="107">
        <f>Trullaita6npts</f>
        <v>0</v>
      </c>
    </row>
    <row r="150" spans="1:6" ht="14.95" customHeight="1" thickBot="1" x14ac:dyDescent="0.3">
      <c r="A150" s="26" t="s">
        <v>279</v>
      </c>
      <c r="B150" s="25" t="s">
        <v>167</v>
      </c>
      <c r="C150" s="104">
        <f>van_der_Flierire6ntries</f>
        <v>0</v>
      </c>
      <c r="D150" s="113" t="s">
        <v>279</v>
      </c>
      <c r="E150" s="225" t="s">
        <v>167</v>
      </c>
      <c r="F150" s="107">
        <f>van_der_Flierire6npts</f>
        <v>0</v>
      </c>
    </row>
    <row r="151" spans="1:6" ht="14.95" customHeight="1" thickBot="1" x14ac:dyDescent="0.3">
      <c r="A151" s="26" t="s">
        <v>358</v>
      </c>
      <c r="B151" s="25" t="s">
        <v>169</v>
      </c>
      <c r="C151" s="104">
        <f>van_der_Merwesco6ntries</f>
        <v>0</v>
      </c>
      <c r="D151" s="113" t="s">
        <v>358</v>
      </c>
      <c r="E151" s="225" t="s">
        <v>169</v>
      </c>
      <c r="F151" s="107">
        <f>van_der_Merwe6nscopts</f>
        <v>0</v>
      </c>
    </row>
    <row r="152" spans="1:6" ht="14.95" customHeight="1" thickBot="1" x14ac:dyDescent="0.3">
      <c r="A152" s="26" t="s">
        <v>455</v>
      </c>
      <c r="B152" s="25" t="s">
        <v>172</v>
      </c>
      <c r="C152" s="104">
        <f>Varneyita6ntries</f>
        <v>0</v>
      </c>
      <c r="D152" s="113" t="s">
        <v>455</v>
      </c>
      <c r="E152" s="225" t="s">
        <v>172</v>
      </c>
      <c r="F152" s="107">
        <f>Varneyita6npts</f>
        <v>0</v>
      </c>
    </row>
    <row r="153" spans="1:6" ht="14.95" customHeight="1" thickBot="1" x14ac:dyDescent="0.3">
      <c r="A153" s="26" t="s">
        <v>375</v>
      </c>
      <c r="B153" s="25" t="s">
        <v>182</v>
      </c>
      <c r="C153" s="104">
        <f>Villierefra6ntries</f>
        <v>0</v>
      </c>
      <c r="D153" s="113" t="s">
        <v>375</v>
      </c>
      <c r="E153" s="225" t="s">
        <v>182</v>
      </c>
      <c r="F153" s="107">
        <f>Villierefra6npts</f>
        <v>0</v>
      </c>
    </row>
    <row r="154" spans="1:6" ht="14.95" customHeight="1" thickBot="1" x14ac:dyDescent="0.3">
      <c r="A154" s="26" t="s">
        <v>1046</v>
      </c>
      <c r="B154" s="25" t="s">
        <v>172</v>
      </c>
      <c r="C154" s="104">
        <f>Vintcentita6ntries</f>
        <v>0</v>
      </c>
      <c r="D154" s="113" t="s">
        <v>1046</v>
      </c>
      <c r="E154" s="225" t="s">
        <v>172</v>
      </c>
      <c r="F154" s="107">
        <f>Vintcentita6npts</f>
        <v>0</v>
      </c>
    </row>
    <row r="155" spans="1:6" ht="14.95" customHeight="1" thickBot="1" x14ac:dyDescent="0.3">
      <c r="A155" s="26" t="s">
        <v>343</v>
      </c>
      <c r="B155" s="25" t="s">
        <v>173</v>
      </c>
      <c r="C155" s="104">
        <f>wainwrightwal6ntries</f>
        <v>0</v>
      </c>
      <c r="D155" s="113" t="s">
        <v>343</v>
      </c>
      <c r="E155" s="225" t="s">
        <v>173</v>
      </c>
      <c r="F155" s="107">
        <f>wainwrightwal6npts</f>
        <v>0</v>
      </c>
    </row>
    <row r="156" spans="1:6" ht="14.95" customHeight="1" thickBot="1" x14ac:dyDescent="0.3">
      <c r="A156" s="26" t="s">
        <v>288</v>
      </c>
      <c r="B156" s="25" t="s">
        <v>173</v>
      </c>
      <c r="C156" s="104">
        <f>Watkinwal6ntries</f>
        <v>0</v>
      </c>
      <c r="D156" s="113" t="s">
        <v>288</v>
      </c>
      <c r="E156" s="225" t="s">
        <v>173</v>
      </c>
      <c r="F156" s="107">
        <f>Watkinwal6npts</f>
        <v>0</v>
      </c>
    </row>
    <row r="157" spans="1:6" ht="14.95" customHeight="1" thickBot="1" x14ac:dyDescent="0.3">
      <c r="A157" s="26" t="s">
        <v>564</v>
      </c>
      <c r="B157" s="25" t="s">
        <v>173</v>
      </c>
      <c r="C157" s="104">
        <f>Williams_Twal6ntries</f>
        <v>0</v>
      </c>
      <c r="D157" s="113" t="s">
        <v>564</v>
      </c>
      <c r="E157" s="225" t="s">
        <v>173</v>
      </c>
      <c r="F157" s="107">
        <f>williamstwal6npts</f>
        <v>0</v>
      </c>
    </row>
    <row r="158" spans="1:6" ht="14.95" customHeight="1" thickBot="1" x14ac:dyDescent="0.3">
      <c r="A158" s="112" t="s">
        <v>1435</v>
      </c>
      <c r="B158" s="25" t="s">
        <v>169</v>
      </c>
      <c r="C158" s="104">
        <f>Williamsonsco6ntries</f>
        <v>0</v>
      </c>
      <c r="D158" s="113" t="s">
        <v>1435</v>
      </c>
      <c r="E158" s="225" t="s">
        <v>169</v>
      </c>
      <c r="F158" s="107">
        <f>Williamsonsco6npts</f>
        <v>0</v>
      </c>
    </row>
    <row r="159" spans="1:6" ht="14.95" customHeight="1" x14ac:dyDescent="0.25">
      <c r="C159">
        <f>SUM(C4:C158)</f>
        <v>82</v>
      </c>
      <c r="F159">
        <f>SUM(F4:F158)</f>
        <v>616</v>
      </c>
    </row>
    <row r="160" spans="1:6" ht="14.95" customHeight="1" x14ac:dyDescent="0.3">
      <c r="A160" s="487" t="s">
        <v>28</v>
      </c>
    </row>
    <row r="161" ht="14.95" customHeight="1" x14ac:dyDescent="0.25"/>
    <row r="162" ht="14.95" customHeight="1" x14ac:dyDescent="0.25"/>
    <row r="163" ht="14.95" customHeight="1" x14ac:dyDescent="0.25"/>
    <row r="164" ht="14.95" customHeight="1" x14ac:dyDescent="0.25"/>
    <row r="165" ht="14.95" customHeight="1" x14ac:dyDescent="0.25"/>
    <row r="166" ht="14.95" customHeight="1" x14ac:dyDescent="0.25"/>
    <row r="167" ht="14.95" customHeight="1" x14ac:dyDescent="0.25"/>
    <row r="168" ht="14.95" customHeight="1" x14ac:dyDescent="0.25"/>
    <row r="169" ht="14.95" customHeight="1" x14ac:dyDescent="0.25"/>
    <row r="170" ht="14.95" customHeight="1" x14ac:dyDescent="0.25"/>
    <row r="171" ht="14.95" customHeight="1" x14ac:dyDescent="0.25"/>
    <row r="172" ht="14.95" customHeight="1" x14ac:dyDescent="0.25"/>
    <row r="173" ht="14.95" customHeight="1" x14ac:dyDescent="0.25"/>
    <row r="174" ht="14.95" customHeight="1" x14ac:dyDescent="0.25"/>
    <row r="175" ht="14.95" customHeight="1" x14ac:dyDescent="0.25"/>
    <row r="176" ht="14.95" customHeight="1" x14ac:dyDescent="0.25"/>
    <row r="177" ht="14.95" customHeight="1" x14ac:dyDescent="0.25"/>
    <row r="178" ht="14.95" customHeight="1" x14ac:dyDescent="0.25"/>
  </sheetData>
  <sortState xmlns:xlrd2="http://schemas.microsoft.com/office/spreadsheetml/2017/richdata2" ref="G4:K13">
    <sortCondition sortBy="fontColor" ref="J4:J13" dxfId="1"/>
    <sortCondition descending="1" ref="K4:K13"/>
    <sortCondition descending="1" ref="J4:J13"/>
    <sortCondition ref="G4:G13"/>
  </sortState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Q108"/>
  <sheetViews>
    <sheetView topLeftCell="A91" workbookViewId="0">
      <selection activeCell="A108" sqref="A108"/>
    </sheetView>
  </sheetViews>
  <sheetFormatPr defaultRowHeight="14.3" x14ac:dyDescent="0.25"/>
  <cols>
    <col min="1" max="1" width="16.5" customWidth="1"/>
    <col min="2" max="3" width="4.5" customWidth="1"/>
    <col min="4" max="4" width="4.625" customWidth="1"/>
    <col min="5" max="5" width="16.5" customWidth="1"/>
    <col min="6" max="8" width="5.375" customWidth="1"/>
    <col min="9" max="9" width="15.5" customWidth="1"/>
    <col min="10" max="22" width="5.5" customWidth="1"/>
    <col min="23" max="43" width="5.625" customWidth="1"/>
  </cols>
  <sheetData>
    <row r="1" spans="1:43" ht="14.95" customHeight="1" thickBot="1" x14ac:dyDescent="0.3">
      <c r="A1" s="682" t="s">
        <v>1159</v>
      </c>
      <c r="B1" s="683"/>
      <c r="C1" s="683"/>
      <c r="D1" s="683"/>
      <c r="E1" s="683"/>
      <c r="F1" s="683"/>
      <c r="G1" s="683"/>
      <c r="H1" s="684"/>
      <c r="I1" s="685" t="s">
        <v>112</v>
      </c>
      <c r="J1" s="583">
        <v>2025</v>
      </c>
      <c r="K1" s="584"/>
      <c r="L1" s="585"/>
      <c r="M1" s="583" t="s">
        <v>32</v>
      </c>
      <c r="N1" s="584"/>
      <c r="O1" s="585"/>
      <c r="P1" s="579" t="s">
        <v>121</v>
      </c>
      <c r="Q1" s="568">
        <v>2024</v>
      </c>
      <c r="R1" s="569"/>
      <c r="S1" s="570"/>
      <c r="T1" s="568">
        <v>2023</v>
      </c>
      <c r="U1" s="569"/>
      <c r="V1" s="570"/>
      <c r="W1" s="614"/>
      <c r="X1" s="614"/>
      <c r="Y1" s="614"/>
      <c r="Z1" s="568">
        <v>2022</v>
      </c>
      <c r="AA1" s="569"/>
      <c r="AB1" s="570"/>
      <c r="AC1" s="568">
        <v>2021</v>
      </c>
      <c r="AD1" s="569"/>
      <c r="AE1" s="570"/>
      <c r="AF1" s="568">
        <v>2020</v>
      </c>
      <c r="AG1" s="569"/>
      <c r="AH1" s="570"/>
      <c r="AI1" s="568">
        <v>2019</v>
      </c>
      <c r="AJ1" s="569"/>
      <c r="AK1" s="570"/>
      <c r="AL1" s="568">
        <v>2018</v>
      </c>
      <c r="AM1" s="569"/>
      <c r="AN1" s="570"/>
      <c r="AO1" s="557">
        <v>2017</v>
      </c>
      <c r="AP1" s="563"/>
      <c r="AQ1" s="564"/>
    </row>
    <row r="2" spans="1:43" ht="14.95" customHeight="1" thickBot="1" x14ac:dyDescent="0.3">
      <c r="A2" s="186" t="s">
        <v>0</v>
      </c>
      <c r="B2" s="197" t="s">
        <v>134</v>
      </c>
      <c r="C2" s="509" t="s">
        <v>31</v>
      </c>
      <c r="D2" s="187" t="s">
        <v>1</v>
      </c>
      <c r="E2" s="205" t="s">
        <v>2</v>
      </c>
      <c r="F2" s="281" t="s">
        <v>134</v>
      </c>
      <c r="G2" s="511" t="s">
        <v>31</v>
      </c>
      <c r="H2" s="206" t="s">
        <v>1</v>
      </c>
      <c r="I2" s="686"/>
      <c r="J2" s="586"/>
      <c r="K2" s="587"/>
      <c r="L2" s="588"/>
      <c r="M2" s="586"/>
      <c r="N2" s="587"/>
      <c r="O2" s="588"/>
      <c r="P2" s="580"/>
      <c r="Q2" s="571"/>
      <c r="R2" s="572"/>
      <c r="S2" s="573"/>
      <c r="T2" s="571"/>
      <c r="U2" s="572"/>
      <c r="V2" s="573"/>
      <c r="W2" s="614"/>
      <c r="X2" s="614"/>
      <c r="Y2" s="614"/>
      <c r="Z2" s="571"/>
      <c r="AA2" s="572"/>
      <c r="AB2" s="573"/>
      <c r="AC2" s="571"/>
      <c r="AD2" s="572"/>
      <c r="AE2" s="573"/>
      <c r="AF2" s="571"/>
      <c r="AG2" s="572"/>
      <c r="AH2" s="573"/>
      <c r="AI2" s="571"/>
      <c r="AJ2" s="572"/>
      <c r="AK2" s="573"/>
      <c r="AL2" s="571"/>
      <c r="AM2" s="572"/>
      <c r="AN2" s="573"/>
      <c r="AO2" s="565"/>
      <c r="AP2" s="566"/>
      <c r="AQ2" s="567"/>
    </row>
    <row r="3" spans="1:43" ht="14.95" customHeight="1" thickBot="1" x14ac:dyDescent="0.3">
      <c r="A3" s="72" t="s">
        <v>1230</v>
      </c>
      <c r="B3" s="157">
        <v>1</v>
      </c>
      <c r="C3" s="510">
        <v>0</v>
      </c>
      <c r="D3" s="73">
        <f t="shared" ref="D3:D53" si="0">SUM(B3:C3)</f>
        <v>1</v>
      </c>
      <c r="E3" s="93" t="s">
        <v>1230</v>
      </c>
      <c r="F3" s="282">
        <v>5</v>
      </c>
      <c r="G3" s="512">
        <v>0</v>
      </c>
      <c r="H3" s="94">
        <f t="shared" ref="H3" si="1">SUM(F3:G3)</f>
        <v>5</v>
      </c>
      <c r="I3" s="115"/>
      <c r="J3" s="53" t="s">
        <v>152</v>
      </c>
      <c r="K3" s="53" t="s">
        <v>12</v>
      </c>
      <c r="L3" s="53" t="s">
        <v>13</v>
      </c>
      <c r="M3" s="181" t="s">
        <v>152</v>
      </c>
      <c r="N3" s="53" t="s">
        <v>12</v>
      </c>
      <c r="O3" s="53" t="s">
        <v>13</v>
      </c>
      <c r="P3" s="1"/>
      <c r="Q3" s="128" t="s">
        <v>152</v>
      </c>
      <c r="R3" s="128" t="s">
        <v>12</v>
      </c>
      <c r="S3" s="128" t="s">
        <v>13</v>
      </c>
      <c r="T3" s="128" t="s">
        <v>152</v>
      </c>
      <c r="U3" s="128" t="s">
        <v>12</v>
      </c>
      <c r="V3" s="128" t="s">
        <v>13</v>
      </c>
      <c r="W3" s="41"/>
      <c r="X3" s="41"/>
      <c r="Y3" s="41"/>
      <c r="Z3" s="228" t="s">
        <v>152</v>
      </c>
      <c r="AA3" s="128" t="s">
        <v>12</v>
      </c>
      <c r="AB3" s="128" t="s">
        <v>13</v>
      </c>
      <c r="AC3" s="228" t="s">
        <v>152</v>
      </c>
      <c r="AD3" s="128" t="s">
        <v>12</v>
      </c>
      <c r="AE3" s="128" t="s">
        <v>13</v>
      </c>
      <c r="AF3" s="228" t="s">
        <v>152</v>
      </c>
      <c r="AG3" s="128" t="s">
        <v>12</v>
      </c>
      <c r="AH3" s="128" t="s">
        <v>13</v>
      </c>
      <c r="AI3" s="228" t="s">
        <v>152</v>
      </c>
      <c r="AJ3" s="128" t="s">
        <v>12</v>
      </c>
      <c r="AK3" s="128" t="s">
        <v>13</v>
      </c>
      <c r="AL3" s="228" t="s">
        <v>152</v>
      </c>
      <c r="AM3" s="128" t="s">
        <v>12</v>
      </c>
      <c r="AN3" s="128" t="s">
        <v>13</v>
      </c>
      <c r="AO3" s="228" t="s">
        <v>152</v>
      </c>
      <c r="AP3" s="128" t="s">
        <v>12</v>
      </c>
      <c r="AQ3" s="128" t="s">
        <v>13</v>
      </c>
    </row>
    <row r="4" spans="1:43" ht="14.95" customHeight="1" thickBot="1" x14ac:dyDescent="0.3">
      <c r="A4" s="72" t="s">
        <v>269</v>
      </c>
      <c r="B4" s="157">
        <v>0</v>
      </c>
      <c r="C4" s="510">
        <v>0</v>
      </c>
      <c r="D4" s="73">
        <f t="shared" si="0"/>
        <v>0</v>
      </c>
      <c r="E4" s="93" t="s">
        <v>269</v>
      </c>
      <c r="F4" s="282">
        <v>0</v>
      </c>
      <c r="G4" s="512">
        <v>34</v>
      </c>
      <c r="H4" s="94">
        <f t="shared" ref="H4:H53" si="2">SUM(F4:G4)</f>
        <v>34</v>
      </c>
      <c r="I4" s="321" t="s">
        <v>269</v>
      </c>
      <c r="J4" s="322">
        <v>15</v>
      </c>
      <c r="K4" s="322">
        <v>18</v>
      </c>
      <c r="L4" s="323">
        <f>SUM(J4/K4)*100</f>
        <v>83.333333333333343</v>
      </c>
      <c r="M4" s="322">
        <v>5</v>
      </c>
      <c r="N4" s="322">
        <v>5</v>
      </c>
      <c r="O4" s="323">
        <f>SUM(M4/N4)*100</f>
        <v>100</v>
      </c>
      <c r="P4" s="322">
        <v>8</v>
      </c>
      <c r="Q4" s="128">
        <v>4</v>
      </c>
      <c r="R4" s="128">
        <v>5</v>
      </c>
      <c r="S4" s="231">
        <v>80</v>
      </c>
      <c r="T4" s="128">
        <v>14</v>
      </c>
      <c r="U4" s="128">
        <v>20</v>
      </c>
      <c r="V4" s="231">
        <f>SUM(T4/U4)*100</f>
        <v>70</v>
      </c>
      <c r="W4" s="41"/>
      <c r="X4" s="41"/>
      <c r="Y4" s="43"/>
      <c r="Z4" s="228">
        <v>45</v>
      </c>
      <c r="AA4" s="128">
        <v>61</v>
      </c>
      <c r="AB4" s="231">
        <v>73.770491803278688</v>
      </c>
      <c r="AC4" s="228">
        <v>24</v>
      </c>
      <c r="AD4" s="128">
        <v>35</v>
      </c>
      <c r="AE4" s="231">
        <f>SUM(AC4/AD4)*100</f>
        <v>68.571428571428569</v>
      </c>
      <c r="AF4" s="228">
        <v>23</v>
      </c>
      <c r="AG4" s="128">
        <v>30</v>
      </c>
      <c r="AH4" s="231">
        <f>SUM(AF4/AG4)*100</f>
        <v>76.666666666666671</v>
      </c>
      <c r="AI4" s="228">
        <v>14</v>
      </c>
      <c r="AJ4" s="128">
        <v>21</v>
      </c>
      <c r="AK4" s="231">
        <f>SUM(AI4/AJ4)*100</f>
        <v>66.666666666666657</v>
      </c>
      <c r="AL4" s="228">
        <v>9</v>
      </c>
      <c r="AM4" s="128">
        <v>10</v>
      </c>
      <c r="AN4" s="231">
        <f>SUM(AL4/AM4)*100</f>
        <v>90</v>
      </c>
      <c r="AO4" s="228" t="s">
        <v>17</v>
      </c>
      <c r="AP4" s="128" t="s">
        <v>17</v>
      </c>
      <c r="AQ4" s="128" t="s">
        <v>17</v>
      </c>
    </row>
    <row r="5" spans="1:43" ht="14.95" customHeight="1" thickBot="1" x14ac:dyDescent="0.3">
      <c r="A5" s="72" t="s">
        <v>1218</v>
      </c>
      <c r="B5" s="157">
        <v>1</v>
      </c>
      <c r="C5" s="510">
        <v>0</v>
      </c>
      <c r="D5" s="73">
        <f t="shared" si="0"/>
        <v>1</v>
      </c>
      <c r="E5" s="93" t="s">
        <v>1218</v>
      </c>
      <c r="F5" s="282">
        <v>5</v>
      </c>
      <c r="G5" s="512">
        <v>0</v>
      </c>
      <c r="H5" s="94">
        <f t="shared" si="2"/>
        <v>5</v>
      </c>
      <c r="I5" s="321" t="s">
        <v>268</v>
      </c>
      <c r="J5" s="322" t="s">
        <v>17</v>
      </c>
      <c r="K5" s="322" t="s">
        <v>17</v>
      </c>
      <c r="L5" s="323" t="s">
        <v>17</v>
      </c>
      <c r="M5" s="322" t="s">
        <v>17</v>
      </c>
      <c r="N5" s="322" t="s">
        <v>17</v>
      </c>
      <c r="O5" s="323" t="s">
        <v>17</v>
      </c>
      <c r="P5" s="322">
        <v>2</v>
      </c>
      <c r="Q5" s="128" t="s">
        <v>17</v>
      </c>
      <c r="R5" s="128" t="s">
        <v>17</v>
      </c>
      <c r="S5" s="231" t="s">
        <v>17</v>
      </c>
      <c r="T5" s="128">
        <v>1</v>
      </c>
      <c r="U5" s="128">
        <v>1</v>
      </c>
      <c r="V5" s="231">
        <f>SUM(T5/U5)*100</f>
        <v>100</v>
      </c>
      <c r="W5" s="41"/>
      <c r="X5" s="41"/>
      <c r="Y5" s="43"/>
      <c r="Z5" s="228">
        <v>1</v>
      </c>
      <c r="AA5" s="128">
        <v>1</v>
      </c>
      <c r="AB5" s="231">
        <v>100</v>
      </c>
      <c r="AC5" s="228">
        <v>0</v>
      </c>
      <c r="AD5" s="128">
        <v>2</v>
      </c>
      <c r="AE5" s="231">
        <f>SUM(AC5/AD5)*100</f>
        <v>0</v>
      </c>
      <c r="AF5" s="228" t="s">
        <v>17</v>
      </c>
      <c r="AG5" s="128" t="s">
        <v>17</v>
      </c>
      <c r="AH5" s="231" t="s">
        <v>17</v>
      </c>
      <c r="AI5" s="228">
        <v>7</v>
      </c>
      <c r="AJ5" s="128">
        <v>10</v>
      </c>
      <c r="AK5" s="231">
        <f>SUM(AI5/AJ5)*100</f>
        <v>70</v>
      </c>
      <c r="AL5" s="228" t="s">
        <v>17</v>
      </c>
      <c r="AM5" s="128" t="s">
        <v>17</v>
      </c>
      <c r="AN5" s="128" t="s">
        <v>17</v>
      </c>
      <c r="AO5" s="228" t="s">
        <v>17</v>
      </c>
      <c r="AP5" s="128" t="s">
        <v>17</v>
      </c>
      <c r="AQ5" s="128" t="s">
        <v>17</v>
      </c>
    </row>
    <row r="6" spans="1:43" ht="14.95" customHeight="1" thickBot="1" x14ac:dyDescent="0.3">
      <c r="A6" s="72" t="s">
        <v>600</v>
      </c>
      <c r="B6" s="157">
        <v>1</v>
      </c>
      <c r="C6" s="510">
        <v>0</v>
      </c>
      <c r="D6" s="73">
        <f t="shared" si="0"/>
        <v>1</v>
      </c>
      <c r="E6" s="93" t="s">
        <v>600</v>
      </c>
      <c r="F6" s="282">
        <v>5</v>
      </c>
      <c r="G6" s="512">
        <v>0</v>
      </c>
      <c r="H6" s="94">
        <f t="shared" si="2"/>
        <v>5</v>
      </c>
      <c r="I6" s="320" t="s">
        <v>451</v>
      </c>
      <c r="J6" s="322" t="s">
        <v>17</v>
      </c>
      <c r="K6" s="322" t="s">
        <v>17</v>
      </c>
      <c r="L6" s="323" t="s">
        <v>17</v>
      </c>
      <c r="M6" s="322" t="s">
        <v>17</v>
      </c>
      <c r="N6" s="322" t="s">
        <v>17</v>
      </c>
      <c r="O6" s="323" t="s">
        <v>17</v>
      </c>
      <c r="P6" s="322">
        <v>-1</v>
      </c>
      <c r="Q6" s="128" t="s">
        <v>17</v>
      </c>
      <c r="R6" s="128" t="s">
        <v>17</v>
      </c>
      <c r="S6" s="231" t="s">
        <v>17</v>
      </c>
      <c r="T6" s="128" t="s">
        <v>17</v>
      </c>
      <c r="U6" s="128" t="s">
        <v>17</v>
      </c>
      <c r="V6" s="231" t="s">
        <v>17</v>
      </c>
      <c r="W6" s="41"/>
      <c r="X6" s="41"/>
      <c r="Y6" s="43"/>
      <c r="Z6" s="228" t="s">
        <v>17</v>
      </c>
      <c r="AA6" s="128" t="s">
        <v>17</v>
      </c>
      <c r="AB6" s="231" t="s">
        <v>17</v>
      </c>
      <c r="AC6" s="228">
        <v>3</v>
      </c>
      <c r="AD6" s="128">
        <v>5</v>
      </c>
      <c r="AE6" s="231">
        <f>SUM(AC6/AD6)*100</f>
        <v>60</v>
      </c>
      <c r="AF6" s="228" t="s">
        <v>17</v>
      </c>
      <c r="AG6" s="128" t="s">
        <v>17</v>
      </c>
      <c r="AH6" s="231" t="s">
        <v>17</v>
      </c>
      <c r="AI6" s="228" t="s">
        <v>17</v>
      </c>
      <c r="AJ6" s="128" t="s">
        <v>17</v>
      </c>
      <c r="AK6" s="231" t="s">
        <v>17</v>
      </c>
      <c r="AL6" s="228" t="s">
        <v>17</v>
      </c>
      <c r="AM6" s="128" t="s">
        <v>17</v>
      </c>
      <c r="AN6" s="128" t="s">
        <v>17</v>
      </c>
      <c r="AO6" s="228" t="s">
        <v>17</v>
      </c>
      <c r="AP6" s="128" t="s">
        <v>17</v>
      </c>
      <c r="AQ6" s="128" t="s">
        <v>17</v>
      </c>
    </row>
    <row r="7" spans="1:43" ht="14.95" customHeight="1" thickBot="1" x14ac:dyDescent="0.3">
      <c r="A7" s="72" t="s">
        <v>268</v>
      </c>
      <c r="B7" s="157">
        <v>3</v>
      </c>
      <c r="C7" s="510">
        <v>1</v>
      </c>
      <c r="D7" s="73">
        <f t="shared" si="0"/>
        <v>4</v>
      </c>
      <c r="E7" s="92" t="s">
        <v>268</v>
      </c>
      <c r="F7" s="282">
        <v>15</v>
      </c>
      <c r="G7" s="512">
        <v>5</v>
      </c>
      <c r="H7" s="94">
        <f t="shared" si="2"/>
        <v>20</v>
      </c>
      <c r="I7" s="320" t="s">
        <v>568</v>
      </c>
      <c r="J7" s="322">
        <v>16</v>
      </c>
      <c r="K7" s="322">
        <v>20</v>
      </c>
      <c r="L7" s="323">
        <f>SUM(J7/K7)*100</f>
        <v>80</v>
      </c>
      <c r="M7" s="322" t="s">
        <v>17</v>
      </c>
      <c r="N7" s="322" t="s">
        <v>17</v>
      </c>
      <c r="O7" s="323" t="s">
        <v>17</v>
      </c>
      <c r="P7" s="322">
        <v>2</v>
      </c>
      <c r="Q7" s="128">
        <v>30</v>
      </c>
      <c r="R7" s="128">
        <v>42</v>
      </c>
      <c r="S7" s="231">
        <v>71.428571428571431</v>
      </c>
      <c r="T7" s="128">
        <v>32</v>
      </c>
      <c r="U7" s="128">
        <v>41</v>
      </c>
      <c r="V7" s="231">
        <f>SUM(T7/U7)*100</f>
        <v>78.048780487804876</v>
      </c>
      <c r="W7" s="41"/>
      <c r="X7" s="41"/>
      <c r="Y7" s="43"/>
      <c r="Z7" s="228">
        <v>1</v>
      </c>
      <c r="AA7" s="128">
        <v>1</v>
      </c>
      <c r="AB7" s="231">
        <v>100</v>
      </c>
      <c r="AC7" s="228" t="s">
        <v>17</v>
      </c>
      <c r="AD7" s="128" t="s">
        <v>17</v>
      </c>
      <c r="AE7" s="231" t="s">
        <v>17</v>
      </c>
      <c r="AF7" s="228" t="s">
        <v>17</v>
      </c>
      <c r="AG7" s="128" t="s">
        <v>17</v>
      </c>
      <c r="AH7" s="231" t="s">
        <v>17</v>
      </c>
      <c r="AI7" s="228" t="s">
        <v>17</v>
      </c>
      <c r="AJ7" s="128" t="s">
        <v>17</v>
      </c>
      <c r="AK7" s="231" t="s">
        <v>17</v>
      </c>
      <c r="AL7" s="228" t="s">
        <v>17</v>
      </c>
      <c r="AM7" s="128" t="s">
        <v>17</v>
      </c>
      <c r="AN7" s="231" t="s">
        <v>17</v>
      </c>
      <c r="AO7" s="228" t="s">
        <v>17</v>
      </c>
      <c r="AP7" s="128" t="s">
        <v>17</v>
      </c>
      <c r="AQ7" s="231" t="s">
        <v>17</v>
      </c>
    </row>
    <row r="8" spans="1:43" ht="14.95" customHeight="1" thickBot="1" x14ac:dyDescent="0.3">
      <c r="A8" s="72" t="s">
        <v>1179</v>
      </c>
      <c r="B8" s="157">
        <v>2</v>
      </c>
      <c r="C8" s="510">
        <v>3</v>
      </c>
      <c r="D8" s="73">
        <f t="shared" si="0"/>
        <v>5</v>
      </c>
      <c r="E8" s="92" t="s">
        <v>1179</v>
      </c>
      <c r="F8" s="282">
        <v>10</v>
      </c>
      <c r="G8" s="512">
        <v>15</v>
      </c>
      <c r="H8" s="94">
        <f t="shared" si="2"/>
        <v>25</v>
      </c>
      <c r="I8" s="320" t="s">
        <v>135</v>
      </c>
      <c r="J8" s="322" t="s">
        <v>17</v>
      </c>
      <c r="K8" s="322" t="s">
        <v>17</v>
      </c>
      <c r="L8" s="323" t="s">
        <v>17</v>
      </c>
      <c r="M8" s="322" t="s">
        <v>17</v>
      </c>
      <c r="N8" s="322" t="s">
        <v>17</v>
      </c>
      <c r="O8" s="323" t="s">
        <v>17</v>
      </c>
      <c r="P8" s="322">
        <v>1</v>
      </c>
      <c r="Q8" s="128" t="s">
        <v>17</v>
      </c>
      <c r="R8" s="128" t="s">
        <v>17</v>
      </c>
      <c r="S8" s="231" t="s">
        <v>17</v>
      </c>
      <c r="T8" s="128" t="s">
        <v>17</v>
      </c>
      <c r="U8" s="128" t="s">
        <v>17</v>
      </c>
      <c r="V8" s="231" t="s">
        <v>17</v>
      </c>
      <c r="W8" s="41"/>
      <c r="X8" s="41"/>
      <c r="Y8" s="43"/>
      <c r="Z8" s="228" t="s">
        <v>17</v>
      </c>
      <c r="AA8" s="128" t="s">
        <v>17</v>
      </c>
      <c r="AB8" s="231" t="s">
        <v>17</v>
      </c>
      <c r="AC8" s="228">
        <v>2</v>
      </c>
      <c r="AD8" s="128">
        <v>4</v>
      </c>
      <c r="AE8" s="231">
        <f>SUM(AC8/AD8)*100</f>
        <v>50</v>
      </c>
      <c r="AF8" s="228">
        <v>1</v>
      </c>
      <c r="AG8" s="128">
        <v>6</v>
      </c>
      <c r="AH8" s="231">
        <f>SUM(AF8/AG8)*100</f>
        <v>16.666666666666664</v>
      </c>
      <c r="AI8" s="228">
        <v>7</v>
      </c>
      <c r="AJ8" s="128">
        <v>14</v>
      </c>
      <c r="AK8" s="231">
        <f>SUM(AI8/AJ8)*100</f>
        <v>50</v>
      </c>
      <c r="AL8" s="228">
        <v>20</v>
      </c>
      <c r="AM8" s="128">
        <v>27</v>
      </c>
      <c r="AN8" s="231">
        <f>SUM(AL8/AM8)*100</f>
        <v>74.074074074074076</v>
      </c>
      <c r="AO8" s="245">
        <v>16</v>
      </c>
      <c r="AP8" s="163">
        <v>18</v>
      </c>
      <c r="AQ8" s="231">
        <f>SUM(AO8/AP8)*100</f>
        <v>88.888888888888886</v>
      </c>
    </row>
    <row r="9" spans="1:43" ht="14.95" customHeight="1" thickBot="1" x14ac:dyDescent="0.3">
      <c r="A9" s="72" t="s">
        <v>451</v>
      </c>
      <c r="B9" s="157">
        <v>1</v>
      </c>
      <c r="C9" s="510">
        <v>0</v>
      </c>
      <c r="D9" s="73">
        <f t="shared" si="0"/>
        <v>1</v>
      </c>
      <c r="E9" s="92" t="s">
        <v>451</v>
      </c>
      <c r="F9" s="282">
        <v>5</v>
      </c>
      <c r="G9" s="512">
        <v>0</v>
      </c>
      <c r="H9" s="94">
        <f t="shared" si="2"/>
        <v>5</v>
      </c>
      <c r="I9" s="320" t="s">
        <v>450</v>
      </c>
      <c r="J9" s="322">
        <v>11</v>
      </c>
      <c r="K9" s="322">
        <v>15</v>
      </c>
      <c r="L9" s="323">
        <f t="shared" ref="L9:L10" si="3">SUM(J9/K9)*100</f>
        <v>73.333333333333329</v>
      </c>
      <c r="M9" s="322" t="s">
        <v>17</v>
      </c>
      <c r="N9" s="322" t="s">
        <v>17</v>
      </c>
      <c r="O9" s="323" t="s">
        <v>17</v>
      </c>
      <c r="P9" s="322">
        <v>-1</v>
      </c>
      <c r="Q9" s="128">
        <v>2</v>
      </c>
      <c r="R9" s="128">
        <v>4</v>
      </c>
      <c r="S9" s="231">
        <v>50</v>
      </c>
      <c r="T9" s="128">
        <v>2</v>
      </c>
      <c r="U9" s="128">
        <v>2</v>
      </c>
      <c r="V9" s="231">
        <f>SUM(T9/U9)*100</f>
        <v>100</v>
      </c>
      <c r="W9" s="41"/>
      <c r="X9" s="41"/>
      <c r="Y9" s="43"/>
      <c r="Z9" s="228" t="s">
        <v>17</v>
      </c>
      <c r="AA9" s="128" t="s">
        <v>17</v>
      </c>
      <c r="AB9" s="231" t="s">
        <v>17</v>
      </c>
      <c r="AC9" s="228">
        <v>1</v>
      </c>
      <c r="AD9" s="128">
        <v>1</v>
      </c>
      <c r="AE9" s="231">
        <f>SUM(AC9/AD9)*100</f>
        <v>100</v>
      </c>
      <c r="AF9" s="228" t="s">
        <v>17</v>
      </c>
      <c r="AG9" s="128" t="s">
        <v>17</v>
      </c>
      <c r="AH9" s="231" t="s">
        <v>17</v>
      </c>
      <c r="AI9" s="232" t="s">
        <v>17</v>
      </c>
      <c r="AJ9" s="128" t="s">
        <v>17</v>
      </c>
      <c r="AK9" s="231" t="s">
        <v>17</v>
      </c>
      <c r="AL9" s="228" t="s">
        <v>17</v>
      </c>
      <c r="AM9" s="128" t="s">
        <v>17</v>
      </c>
      <c r="AN9" s="231" t="s">
        <v>17</v>
      </c>
      <c r="AO9" s="128" t="s">
        <v>17</v>
      </c>
      <c r="AP9" s="128" t="s">
        <v>17</v>
      </c>
      <c r="AQ9" s="231" t="s">
        <v>17</v>
      </c>
    </row>
    <row r="10" spans="1:43" ht="14.95" customHeight="1" thickBot="1" x14ac:dyDescent="0.3">
      <c r="A10" s="72" t="s">
        <v>609</v>
      </c>
      <c r="B10" s="157">
        <v>0</v>
      </c>
      <c r="C10" s="510">
        <v>0</v>
      </c>
      <c r="D10" s="73">
        <f t="shared" si="0"/>
        <v>0</v>
      </c>
      <c r="E10" s="92" t="s">
        <v>609</v>
      </c>
      <c r="F10" s="282">
        <v>0</v>
      </c>
      <c r="G10" s="512">
        <v>0</v>
      </c>
      <c r="H10" s="94">
        <f t="shared" si="2"/>
        <v>0</v>
      </c>
      <c r="I10" s="320" t="s">
        <v>1205</v>
      </c>
      <c r="J10" s="322">
        <v>6</v>
      </c>
      <c r="K10" s="322">
        <v>9</v>
      </c>
      <c r="L10" s="323">
        <f t="shared" si="3"/>
        <v>66.666666666666657</v>
      </c>
      <c r="M10" s="322" t="s">
        <v>17</v>
      </c>
      <c r="N10" s="322" t="s">
        <v>17</v>
      </c>
      <c r="O10" s="323" t="s">
        <v>17</v>
      </c>
      <c r="P10" s="322">
        <v>-1</v>
      </c>
      <c r="Q10" s="128" t="s">
        <v>17</v>
      </c>
      <c r="R10" s="128" t="s">
        <v>17</v>
      </c>
      <c r="S10" s="231" t="s">
        <v>17</v>
      </c>
      <c r="T10" s="128" t="s">
        <v>17</v>
      </c>
      <c r="U10" s="128" t="s">
        <v>17</v>
      </c>
      <c r="V10" s="231" t="s">
        <v>17</v>
      </c>
      <c r="W10" s="41"/>
      <c r="X10" s="41"/>
      <c r="Y10" s="43"/>
      <c r="Z10" s="228" t="s">
        <v>17</v>
      </c>
      <c r="AA10" s="128" t="s">
        <v>17</v>
      </c>
      <c r="AB10" s="231" t="s">
        <v>17</v>
      </c>
      <c r="AC10" s="228" t="s">
        <v>17</v>
      </c>
      <c r="AD10" s="128" t="s">
        <v>17</v>
      </c>
      <c r="AE10" s="231" t="s">
        <v>17</v>
      </c>
      <c r="AF10" s="228" t="s">
        <v>17</v>
      </c>
      <c r="AG10" s="128" t="s">
        <v>17</v>
      </c>
      <c r="AH10" s="231" t="s">
        <v>17</v>
      </c>
      <c r="AI10" s="228" t="s">
        <v>17</v>
      </c>
      <c r="AJ10" s="128" t="s">
        <v>17</v>
      </c>
      <c r="AK10" s="231" t="s">
        <v>17</v>
      </c>
      <c r="AL10" s="228">
        <v>13</v>
      </c>
      <c r="AM10" s="128">
        <v>18</v>
      </c>
      <c r="AN10" s="231">
        <f>SUM(AL10/AM10)*100</f>
        <v>72.222222222222214</v>
      </c>
      <c r="AO10" s="228" t="s">
        <v>17</v>
      </c>
      <c r="AP10" s="128" t="s">
        <v>17</v>
      </c>
      <c r="AQ10" s="128" t="s">
        <v>17</v>
      </c>
    </row>
    <row r="11" spans="1:43" ht="14.95" customHeight="1" thickBot="1" x14ac:dyDescent="0.3">
      <c r="A11" s="72" t="s">
        <v>346</v>
      </c>
      <c r="B11" s="157">
        <v>0</v>
      </c>
      <c r="C11" s="510">
        <v>0</v>
      </c>
      <c r="D11" s="73">
        <f t="shared" si="0"/>
        <v>0</v>
      </c>
      <c r="E11" s="92" t="s">
        <v>346</v>
      </c>
      <c r="F11" s="282">
        <v>0</v>
      </c>
      <c r="G11" s="512">
        <v>0</v>
      </c>
      <c r="H11" s="94">
        <f t="shared" si="2"/>
        <v>0</v>
      </c>
      <c r="I11" s="144"/>
      <c r="J11" s="145"/>
      <c r="K11" s="143"/>
      <c r="L11" s="146"/>
      <c r="M11" s="147"/>
      <c r="N11" s="143"/>
      <c r="O11" s="146"/>
      <c r="P11" s="147"/>
    </row>
    <row r="12" spans="1:43" ht="14.95" customHeight="1" thickBot="1" x14ac:dyDescent="0.3">
      <c r="A12" s="72" t="s">
        <v>610</v>
      </c>
      <c r="B12" s="157">
        <v>0</v>
      </c>
      <c r="C12" s="510">
        <v>0</v>
      </c>
      <c r="D12" s="73">
        <f t="shared" si="0"/>
        <v>0</v>
      </c>
      <c r="E12" s="92" t="s">
        <v>610</v>
      </c>
      <c r="F12" s="282">
        <v>0</v>
      </c>
      <c r="G12" s="512">
        <v>0</v>
      </c>
      <c r="H12" s="94">
        <f t="shared" si="2"/>
        <v>0</v>
      </c>
      <c r="I12" s="577" t="s">
        <v>33</v>
      </c>
      <c r="J12" s="568">
        <v>2023</v>
      </c>
      <c r="K12" s="569"/>
      <c r="L12" s="570"/>
      <c r="M12" s="568">
        <v>2019</v>
      </c>
      <c r="N12" s="569"/>
      <c r="O12" s="570"/>
      <c r="P12" s="557">
        <v>2015</v>
      </c>
      <c r="Q12" s="563"/>
      <c r="R12" s="564"/>
    </row>
    <row r="13" spans="1:43" ht="14.95" customHeight="1" thickBot="1" x14ac:dyDescent="0.3">
      <c r="A13" s="72" t="s">
        <v>305</v>
      </c>
      <c r="B13" s="157">
        <v>0</v>
      </c>
      <c r="C13" s="510">
        <v>0</v>
      </c>
      <c r="D13" s="73">
        <f t="shared" si="0"/>
        <v>0</v>
      </c>
      <c r="E13" s="92" t="s">
        <v>305</v>
      </c>
      <c r="F13" s="282">
        <v>0</v>
      </c>
      <c r="G13" s="512">
        <v>0</v>
      </c>
      <c r="H13" s="94">
        <f t="shared" si="2"/>
        <v>0</v>
      </c>
      <c r="I13" s="578"/>
      <c r="J13" s="571"/>
      <c r="K13" s="572"/>
      <c r="L13" s="573"/>
      <c r="M13" s="571"/>
      <c r="N13" s="572"/>
      <c r="O13" s="573"/>
      <c r="P13" s="565"/>
      <c r="Q13" s="566"/>
      <c r="R13" s="567"/>
    </row>
    <row r="14" spans="1:43" ht="14.95" customHeight="1" thickBot="1" x14ac:dyDescent="0.3">
      <c r="A14" s="72" t="s">
        <v>304</v>
      </c>
      <c r="B14" s="157">
        <v>0</v>
      </c>
      <c r="C14" s="510">
        <v>0</v>
      </c>
      <c r="D14" s="73">
        <f t="shared" si="0"/>
        <v>0</v>
      </c>
      <c r="E14" s="92" t="s">
        <v>304</v>
      </c>
      <c r="F14" s="282">
        <v>0</v>
      </c>
      <c r="G14" s="512">
        <v>0</v>
      </c>
      <c r="H14" s="94">
        <f t="shared" si="2"/>
        <v>0</v>
      </c>
      <c r="I14" s="4"/>
      <c r="J14" s="128" t="s">
        <v>152</v>
      </c>
      <c r="K14" s="128" t="s">
        <v>12</v>
      </c>
      <c r="L14" s="128" t="s">
        <v>13</v>
      </c>
      <c r="M14" s="128" t="s">
        <v>152</v>
      </c>
      <c r="N14" s="128" t="s">
        <v>12</v>
      </c>
      <c r="O14" s="128" t="s">
        <v>13</v>
      </c>
      <c r="P14" s="119" t="s">
        <v>152</v>
      </c>
      <c r="Q14" s="119" t="s">
        <v>12</v>
      </c>
      <c r="R14" s="119" t="s">
        <v>13</v>
      </c>
    </row>
    <row r="15" spans="1:43" ht="14.95" customHeight="1" thickBot="1" x14ac:dyDescent="0.3">
      <c r="A15" s="72" t="s">
        <v>103</v>
      </c>
      <c r="B15" s="157">
        <v>0</v>
      </c>
      <c r="C15" s="510">
        <v>0</v>
      </c>
      <c r="D15" s="73">
        <f t="shared" si="0"/>
        <v>0</v>
      </c>
      <c r="E15" s="92" t="s">
        <v>103</v>
      </c>
      <c r="F15" s="282">
        <v>0</v>
      </c>
      <c r="G15" s="512">
        <v>0</v>
      </c>
      <c r="H15" s="94">
        <f t="shared" si="2"/>
        <v>0</v>
      </c>
      <c r="I15" s="321" t="s">
        <v>269</v>
      </c>
      <c r="J15" s="128">
        <v>4</v>
      </c>
      <c r="K15" s="128">
        <v>4</v>
      </c>
      <c r="L15" s="231">
        <f>SUM(J15/K15)*100</f>
        <v>100</v>
      </c>
      <c r="M15" s="128">
        <v>6</v>
      </c>
      <c r="N15" s="128">
        <v>7</v>
      </c>
      <c r="O15" s="231">
        <f>SUM(M15/N15)*100</f>
        <v>85.714285714285708</v>
      </c>
      <c r="P15" s="128" t="s">
        <v>17</v>
      </c>
      <c r="Q15" s="128" t="s">
        <v>17</v>
      </c>
      <c r="R15" s="128" t="s">
        <v>17</v>
      </c>
    </row>
    <row r="16" spans="1:43" ht="14.95" customHeight="1" thickBot="1" x14ac:dyDescent="0.3">
      <c r="A16" s="72" t="s">
        <v>473</v>
      </c>
      <c r="B16" s="157">
        <v>0</v>
      </c>
      <c r="C16" s="510">
        <v>0</v>
      </c>
      <c r="D16" s="73">
        <f t="shared" si="0"/>
        <v>0</v>
      </c>
      <c r="E16" s="92" t="s">
        <v>473</v>
      </c>
      <c r="F16" s="282">
        <v>0</v>
      </c>
      <c r="G16" s="512">
        <v>0</v>
      </c>
      <c r="H16" s="94">
        <f t="shared" si="2"/>
        <v>0</v>
      </c>
      <c r="I16" s="320" t="s">
        <v>135</v>
      </c>
      <c r="J16" s="128" t="s">
        <v>17</v>
      </c>
      <c r="K16" s="128" t="s">
        <v>17</v>
      </c>
      <c r="L16" s="231" t="s">
        <v>17</v>
      </c>
      <c r="M16" s="128">
        <v>3</v>
      </c>
      <c r="N16" s="128">
        <v>5</v>
      </c>
      <c r="O16" s="231">
        <f>SUM(M16/N16)*100</f>
        <v>60</v>
      </c>
      <c r="P16" s="128">
        <v>2</v>
      </c>
      <c r="Q16" s="128">
        <v>3</v>
      </c>
      <c r="R16" s="231">
        <f>SUM(P16/Q16)*100</f>
        <v>66.666666666666657</v>
      </c>
    </row>
    <row r="17" spans="1:40" ht="14.95" customHeight="1" thickBot="1" x14ac:dyDescent="0.3">
      <c r="A17" s="72" t="s">
        <v>490</v>
      </c>
      <c r="B17" s="157">
        <v>0</v>
      </c>
      <c r="C17" s="510">
        <v>1</v>
      </c>
      <c r="D17" s="73">
        <f t="shared" si="0"/>
        <v>1</v>
      </c>
      <c r="E17" s="92" t="s">
        <v>490</v>
      </c>
      <c r="F17" s="282">
        <v>0</v>
      </c>
      <c r="G17" s="512">
        <v>5</v>
      </c>
      <c r="H17" s="94">
        <f t="shared" si="2"/>
        <v>5</v>
      </c>
      <c r="I17" s="320" t="s">
        <v>568</v>
      </c>
      <c r="J17" s="232">
        <v>5</v>
      </c>
      <c r="K17" s="232">
        <v>8</v>
      </c>
      <c r="L17" s="231">
        <f>SUM(J17/K17)*100</f>
        <v>62.5</v>
      </c>
      <c r="M17" s="128" t="s">
        <v>17</v>
      </c>
      <c r="N17" s="128" t="s">
        <v>17</v>
      </c>
      <c r="O17" s="231" t="s">
        <v>17</v>
      </c>
      <c r="P17" s="128" t="s">
        <v>17</v>
      </c>
      <c r="Q17" s="128" t="s">
        <v>17</v>
      </c>
      <c r="R17" s="231" t="s">
        <v>17</v>
      </c>
    </row>
    <row r="18" spans="1:40" ht="14.95" customHeight="1" thickBot="1" x14ac:dyDescent="0.3">
      <c r="A18" s="72" t="s">
        <v>873</v>
      </c>
      <c r="B18" s="157">
        <v>2</v>
      </c>
      <c r="C18" s="510">
        <v>0</v>
      </c>
      <c r="D18" s="73">
        <f t="shared" si="0"/>
        <v>2</v>
      </c>
      <c r="E18" s="92" t="s">
        <v>873</v>
      </c>
      <c r="F18" s="282">
        <v>10</v>
      </c>
      <c r="G18" s="512">
        <v>0</v>
      </c>
      <c r="H18" s="94">
        <f t="shared" si="2"/>
        <v>10</v>
      </c>
      <c r="I18" s="320" t="s">
        <v>450</v>
      </c>
      <c r="J18" s="128">
        <v>2</v>
      </c>
      <c r="K18" s="128">
        <v>2</v>
      </c>
      <c r="L18" s="231">
        <f>SUM(J18/K18)*100</f>
        <v>100</v>
      </c>
      <c r="M18" s="128" t="s">
        <v>17</v>
      </c>
      <c r="N18" s="128" t="s">
        <v>17</v>
      </c>
      <c r="O18" s="231" t="s">
        <v>17</v>
      </c>
      <c r="P18" s="128" t="s">
        <v>17</v>
      </c>
      <c r="Q18" s="128" t="s">
        <v>17</v>
      </c>
      <c r="R18" s="231" t="s">
        <v>17</v>
      </c>
    </row>
    <row r="19" spans="1:40" ht="14.95" customHeight="1" thickBot="1" x14ac:dyDescent="0.3">
      <c r="A19" s="72" t="s">
        <v>449</v>
      </c>
      <c r="B19" s="157">
        <v>0</v>
      </c>
      <c r="C19" s="510">
        <v>2</v>
      </c>
      <c r="D19" s="73">
        <f t="shared" si="0"/>
        <v>2</v>
      </c>
      <c r="E19" s="92" t="s">
        <v>449</v>
      </c>
      <c r="F19" s="282">
        <v>0</v>
      </c>
      <c r="G19" s="512">
        <v>10</v>
      </c>
      <c r="H19" s="94">
        <f t="shared" si="2"/>
        <v>10</v>
      </c>
    </row>
    <row r="20" spans="1:40" ht="14.95" customHeight="1" thickBot="1" x14ac:dyDescent="0.3">
      <c r="A20" s="72" t="s">
        <v>472</v>
      </c>
      <c r="B20" s="157">
        <v>2</v>
      </c>
      <c r="C20" s="510">
        <v>1</v>
      </c>
      <c r="D20" s="73">
        <f t="shared" si="0"/>
        <v>3</v>
      </c>
      <c r="E20" s="92" t="s">
        <v>472</v>
      </c>
      <c r="F20" s="282">
        <v>10</v>
      </c>
      <c r="G20" s="512">
        <v>5</v>
      </c>
      <c r="H20" s="94">
        <f t="shared" si="2"/>
        <v>15</v>
      </c>
      <c r="I20" s="680" t="s">
        <v>1296</v>
      </c>
      <c r="J20" s="583">
        <v>2025</v>
      </c>
      <c r="K20" s="584"/>
      <c r="L20" s="585"/>
      <c r="M20" s="568">
        <v>2024</v>
      </c>
      <c r="N20" s="569"/>
      <c r="O20" s="570"/>
      <c r="P20" s="568">
        <v>2023</v>
      </c>
      <c r="Q20" s="569"/>
      <c r="R20" s="570"/>
      <c r="S20" s="568">
        <v>2022</v>
      </c>
      <c r="T20" s="569"/>
      <c r="U20" s="570"/>
      <c r="V20" s="229"/>
      <c r="Y20" s="252"/>
      <c r="Z20" s="568">
        <v>2021</v>
      </c>
      <c r="AA20" s="569"/>
      <c r="AB20" s="570"/>
      <c r="AC20" s="568">
        <v>2020</v>
      </c>
      <c r="AD20" s="569"/>
      <c r="AE20" s="570"/>
      <c r="AF20" s="568">
        <v>2019</v>
      </c>
      <c r="AG20" s="569"/>
      <c r="AH20" s="570"/>
      <c r="AI20" s="568">
        <v>2018</v>
      </c>
      <c r="AJ20" s="569"/>
      <c r="AK20" s="570"/>
      <c r="AL20" s="557">
        <v>2017</v>
      </c>
      <c r="AM20" s="563"/>
      <c r="AN20" s="564"/>
    </row>
    <row r="21" spans="1:40" ht="14.95" customHeight="1" thickBot="1" x14ac:dyDescent="0.3">
      <c r="A21" s="72" t="s">
        <v>998</v>
      </c>
      <c r="B21" s="157">
        <v>1</v>
      </c>
      <c r="C21" s="510">
        <v>0</v>
      </c>
      <c r="D21" s="73">
        <f t="shared" si="0"/>
        <v>1</v>
      </c>
      <c r="E21" s="92" t="s">
        <v>998</v>
      </c>
      <c r="F21" s="282">
        <v>5</v>
      </c>
      <c r="G21" s="512">
        <v>0</v>
      </c>
      <c r="H21" s="94">
        <f t="shared" si="2"/>
        <v>5</v>
      </c>
      <c r="I21" s="681"/>
      <c r="J21" s="586"/>
      <c r="K21" s="587"/>
      <c r="L21" s="588"/>
      <c r="M21" s="571"/>
      <c r="N21" s="572"/>
      <c r="O21" s="573"/>
      <c r="P21" s="571"/>
      <c r="Q21" s="572"/>
      <c r="R21" s="573"/>
      <c r="S21" s="571"/>
      <c r="T21" s="572"/>
      <c r="U21" s="573"/>
      <c r="V21" s="136"/>
      <c r="Y21" s="252"/>
      <c r="Z21" s="571"/>
      <c r="AA21" s="572"/>
      <c r="AB21" s="573"/>
      <c r="AC21" s="571"/>
      <c r="AD21" s="572"/>
      <c r="AE21" s="573"/>
      <c r="AF21" s="571"/>
      <c r="AG21" s="572"/>
      <c r="AH21" s="573"/>
      <c r="AI21" s="571"/>
      <c r="AJ21" s="572"/>
      <c r="AK21" s="573"/>
      <c r="AL21" s="565"/>
      <c r="AM21" s="566"/>
      <c r="AN21" s="567"/>
    </row>
    <row r="22" spans="1:40" ht="14.95" customHeight="1" thickBot="1" x14ac:dyDescent="0.3">
      <c r="A22" s="72" t="s">
        <v>1181</v>
      </c>
      <c r="B22" s="157">
        <v>3</v>
      </c>
      <c r="C22" s="510">
        <v>1</v>
      </c>
      <c r="D22" s="73">
        <f t="shared" si="0"/>
        <v>4</v>
      </c>
      <c r="E22" s="92" t="s">
        <v>1181</v>
      </c>
      <c r="F22" s="282">
        <v>15</v>
      </c>
      <c r="G22" s="512">
        <v>5</v>
      </c>
      <c r="H22" s="94">
        <f t="shared" si="2"/>
        <v>20</v>
      </c>
      <c r="I22" s="4"/>
      <c r="J22" s="1" t="s">
        <v>152</v>
      </c>
      <c r="K22" s="1" t="s">
        <v>12</v>
      </c>
      <c r="L22" s="1" t="s">
        <v>13</v>
      </c>
      <c r="M22" s="128" t="s">
        <v>152</v>
      </c>
      <c r="N22" s="128" t="s">
        <v>12</v>
      </c>
      <c r="O22" s="128" t="s">
        <v>13</v>
      </c>
      <c r="P22" s="128" t="s">
        <v>152</v>
      </c>
      <c r="Q22" s="128" t="s">
        <v>12</v>
      </c>
      <c r="R22" s="128" t="s">
        <v>13</v>
      </c>
      <c r="S22" s="128" t="s">
        <v>152</v>
      </c>
      <c r="T22" s="128" t="s">
        <v>12</v>
      </c>
      <c r="U22" s="128" t="s">
        <v>13</v>
      </c>
      <c r="V22" s="136"/>
      <c r="Y22" s="252"/>
      <c r="Z22" s="228" t="s">
        <v>152</v>
      </c>
      <c r="AA22" s="128" t="s">
        <v>12</v>
      </c>
      <c r="AB22" s="128" t="s">
        <v>13</v>
      </c>
      <c r="AC22" s="228" t="s">
        <v>152</v>
      </c>
      <c r="AD22" s="128" t="s">
        <v>12</v>
      </c>
      <c r="AE22" s="128" t="s">
        <v>13</v>
      </c>
      <c r="AF22" s="228" t="s">
        <v>152</v>
      </c>
      <c r="AG22" s="128" t="s">
        <v>12</v>
      </c>
      <c r="AH22" s="128" t="s">
        <v>13</v>
      </c>
      <c r="AI22" s="228" t="s">
        <v>152</v>
      </c>
      <c r="AJ22" s="128" t="s">
        <v>12</v>
      </c>
      <c r="AK22" s="128" t="s">
        <v>13</v>
      </c>
      <c r="AL22" s="171" t="s">
        <v>152</v>
      </c>
      <c r="AM22" s="119" t="s">
        <v>12</v>
      </c>
      <c r="AN22" s="119" t="s">
        <v>13</v>
      </c>
    </row>
    <row r="23" spans="1:40" ht="14.95" customHeight="1" thickBot="1" x14ac:dyDescent="0.3">
      <c r="A23" s="72" t="s">
        <v>1203</v>
      </c>
      <c r="B23" s="157">
        <v>4</v>
      </c>
      <c r="C23" s="510">
        <v>1</v>
      </c>
      <c r="D23" s="73">
        <f t="shared" si="0"/>
        <v>5</v>
      </c>
      <c r="E23" s="92" t="s">
        <v>1203</v>
      </c>
      <c r="F23" s="282">
        <v>20</v>
      </c>
      <c r="G23" s="512">
        <v>5</v>
      </c>
      <c r="H23" s="94">
        <f t="shared" si="2"/>
        <v>25</v>
      </c>
      <c r="I23" s="321" t="s">
        <v>269</v>
      </c>
      <c r="J23" s="322" t="s">
        <v>17</v>
      </c>
      <c r="K23" s="322" t="s">
        <v>17</v>
      </c>
      <c r="L23" s="323" t="s">
        <v>17</v>
      </c>
      <c r="M23" s="128">
        <v>4</v>
      </c>
      <c r="N23" s="128">
        <v>5</v>
      </c>
      <c r="O23" s="231">
        <v>80</v>
      </c>
      <c r="P23" s="128">
        <v>10</v>
      </c>
      <c r="Q23" s="128">
        <v>16</v>
      </c>
      <c r="R23" s="231">
        <f>SUM(P23/Q23)*100</f>
        <v>62.5</v>
      </c>
      <c r="S23" s="128">
        <v>21</v>
      </c>
      <c r="T23" s="128">
        <v>30</v>
      </c>
      <c r="U23" s="231">
        <v>70</v>
      </c>
      <c r="V23" s="136"/>
      <c r="Y23" s="252"/>
      <c r="Z23" s="228">
        <v>11</v>
      </c>
      <c r="AA23" s="128">
        <v>19</v>
      </c>
      <c r="AB23" s="231">
        <f>SUM(Z23/AA23)*100</f>
        <v>57.894736842105267</v>
      </c>
      <c r="AC23" s="228">
        <v>20</v>
      </c>
      <c r="AD23" s="128">
        <v>28</v>
      </c>
      <c r="AE23" s="231">
        <f>SUM(AC23/AD23)*100</f>
        <v>71.428571428571431</v>
      </c>
      <c r="AF23" s="228">
        <v>4</v>
      </c>
      <c r="AG23" s="128">
        <v>9</v>
      </c>
      <c r="AH23" s="231">
        <f>SUM(AF23/AG23)*100</f>
        <v>44.444444444444443</v>
      </c>
      <c r="AI23" s="228" t="s">
        <v>17</v>
      </c>
      <c r="AJ23" s="128" t="s">
        <v>17</v>
      </c>
      <c r="AK23" s="128" t="s">
        <v>17</v>
      </c>
      <c r="AL23" s="228" t="s">
        <v>17</v>
      </c>
      <c r="AM23" s="128" t="s">
        <v>17</v>
      </c>
      <c r="AN23" s="128" t="s">
        <v>17</v>
      </c>
    </row>
    <row r="24" spans="1:40" ht="14.95" customHeight="1" thickBot="1" x14ac:dyDescent="0.3">
      <c r="A24" s="72" t="s">
        <v>1182</v>
      </c>
      <c r="B24" s="157">
        <v>1</v>
      </c>
      <c r="C24" s="510">
        <v>0</v>
      </c>
      <c r="D24" s="73">
        <f t="shared" si="0"/>
        <v>1</v>
      </c>
      <c r="E24" s="92" t="s">
        <v>1182</v>
      </c>
      <c r="F24" s="282">
        <v>5</v>
      </c>
      <c r="G24" s="512">
        <v>0</v>
      </c>
      <c r="H24" s="94">
        <f t="shared" si="2"/>
        <v>5</v>
      </c>
      <c r="I24" s="321" t="s">
        <v>268</v>
      </c>
      <c r="J24" s="322" t="s">
        <v>17</v>
      </c>
      <c r="K24" s="322" t="s">
        <v>17</v>
      </c>
      <c r="L24" s="323" t="s">
        <v>17</v>
      </c>
      <c r="M24" s="128" t="s">
        <v>17</v>
      </c>
      <c r="N24" s="128" t="s">
        <v>17</v>
      </c>
      <c r="O24" s="231" t="s">
        <v>17</v>
      </c>
      <c r="P24" s="128" t="s">
        <v>17</v>
      </c>
      <c r="Q24" s="128" t="s">
        <v>17</v>
      </c>
      <c r="R24" s="231" t="s">
        <v>17</v>
      </c>
      <c r="S24" s="128" t="s">
        <v>17</v>
      </c>
      <c r="T24" s="128" t="s">
        <v>17</v>
      </c>
      <c r="U24" s="231" t="s">
        <v>17</v>
      </c>
      <c r="V24" s="136"/>
      <c r="Y24" s="252"/>
      <c r="Z24" s="228">
        <v>0</v>
      </c>
      <c r="AA24" s="128">
        <v>2</v>
      </c>
      <c r="AB24" s="231">
        <f>SUM(Z24/AA24)*100</f>
        <v>0</v>
      </c>
      <c r="AC24" s="228" t="s">
        <v>17</v>
      </c>
      <c r="AD24" s="128" t="s">
        <v>17</v>
      </c>
      <c r="AE24" s="231" t="s">
        <v>17</v>
      </c>
      <c r="AF24" s="228">
        <v>7</v>
      </c>
      <c r="AG24" s="128">
        <v>10</v>
      </c>
      <c r="AH24" s="231">
        <f>SUM(AF24/AG24)*100</f>
        <v>70</v>
      </c>
      <c r="AI24" s="228" t="s">
        <v>17</v>
      </c>
      <c r="AJ24" s="128" t="s">
        <v>17</v>
      </c>
      <c r="AK24" s="128" t="s">
        <v>17</v>
      </c>
      <c r="AL24" s="228" t="s">
        <v>17</v>
      </c>
      <c r="AM24" s="128" t="s">
        <v>17</v>
      </c>
      <c r="AN24" s="128" t="s">
        <v>17</v>
      </c>
    </row>
    <row r="25" spans="1:40" ht="14.95" customHeight="1" thickBot="1" x14ac:dyDescent="0.3">
      <c r="A25" s="72" t="s">
        <v>41</v>
      </c>
      <c r="B25" s="157">
        <v>0</v>
      </c>
      <c r="C25" s="510">
        <v>0</v>
      </c>
      <c r="D25" s="73">
        <f t="shared" si="0"/>
        <v>0</v>
      </c>
      <c r="E25" s="92" t="s">
        <v>41</v>
      </c>
      <c r="F25" s="282">
        <v>0</v>
      </c>
      <c r="G25" s="512">
        <v>0</v>
      </c>
      <c r="H25" s="94">
        <f t="shared" si="2"/>
        <v>0</v>
      </c>
      <c r="I25" s="320" t="s">
        <v>451</v>
      </c>
      <c r="J25" s="322" t="s">
        <v>17</v>
      </c>
      <c r="K25" s="322" t="s">
        <v>17</v>
      </c>
      <c r="L25" s="323" t="s">
        <v>17</v>
      </c>
      <c r="M25" s="128" t="s">
        <v>17</v>
      </c>
      <c r="N25" s="128" t="s">
        <v>17</v>
      </c>
      <c r="O25" s="231" t="s">
        <v>17</v>
      </c>
      <c r="P25" s="128" t="s">
        <v>17</v>
      </c>
      <c r="Q25" s="128" t="s">
        <v>17</v>
      </c>
      <c r="R25" s="231" t="s">
        <v>17</v>
      </c>
      <c r="S25" s="128" t="s">
        <v>17</v>
      </c>
      <c r="T25" s="128" t="s">
        <v>17</v>
      </c>
      <c r="U25" s="231" t="s">
        <v>17</v>
      </c>
      <c r="V25" s="136"/>
      <c r="Y25" s="252"/>
      <c r="Z25" s="228">
        <v>3</v>
      </c>
      <c r="AA25" s="128">
        <v>5</v>
      </c>
      <c r="AB25" s="231">
        <f>SUM(Z25/AA25)*100</f>
        <v>60</v>
      </c>
      <c r="AC25" s="228" t="s">
        <v>17</v>
      </c>
      <c r="AD25" s="128" t="s">
        <v>17</v>
      </c>
      <c r="AE25" s="231" t="s">
        <v>17</v>
      </c>
      <c r="AF25" s="228" t="s">
        <v>17</v>
      </c>
      <c r="AG25" s="128" t="s">
        <v>17</v>
      </c>
      <c r="AH25" s="128" t="s">
        <v>17</v>
      </c>
      <c r="AI25" s="228" t="s">
        <v>17</v>
      </c>
      <c r="AJ25" s="128" t="s">
        <v>17</v>
      </c>
      <c r="AK25" s="128" t="s">
        <v>17</v>
      </c>
      <c r="AL25" s="228" t="s">
        <v>17</v>
      </c>
      <c r="AM25" s="128" t="s">
        <v>17</v>
      </c>
      <c r="AN25" s="128" t="s">
        <v>17</v>
      </c>
    </row>
    <row r="26" spans="1:40" ht="14.95" customHeight="1" thickBot="1" x14ac:dyDescent="0.3">
      <c r="A26" s="72" t="s">
        <v>42</v>
      </c>
      <c r="B26" s="157">
        <v>0</v>
      </c>
      <c r="C26" s="510">
        <v>0</v>
      </c>
      <c r="D26" s="73">
        <f t="shared" si="0"/>
        <v>0</v>
      </c>
      <c r="E26" s="92" t="s">
        <v>42</v>
      </c>
      <c r="F26" s="282">
        <v>0</v>
      </c>
      <c r="G26" s="512">
        <v>0</v>
      </c>
      <c r="H26" s="94">
        <f t="shared" si="2"/>
        <v>0</v>
      </c>
      <c r="I26" s="320" t="s">
        <v>135</v>
      </c>
      <c r="J26" s="322" t="s">
        <v>17</v>
      </c>
      <c r="K26" s="322" t="s">
        <v>17</v>
      </c>
      <c r="L26" s="323" t="s">
        <v>17</v>
      </c>
      <c r="M26" s="128" t="s">
        <v>17</v>
      </c>
      <c r="N26" s="128" t="s">
        <v>17</v>
      </c>
      <c r="O26" s="231" t="s">
        <v>17</v>
      </c>
      <c r="P26" s="128" t="s">
        <v>17</v>
      </c>
      <c r="Q26" s="128" t="s">
        <v>17</v>
      </c>
      <c r="R26" s="231" t="s">
        <v>17</v>
      </c>
      <c r="S26" s="128" t="s">
        <v>17</v>
      </c>
      <c r="T26" s="128" t="s">
        <v>17</v>
      </c>
      <c r="U26" s="231" t="s">
        <v>17</v>
      </c>
      <c r="V26" s="136"/>
      <c r="Y26" s="252"/>
      <c r="Z26" s="228">
        <v>2</v>
      </c>
      <c r="AA26" s="128">
        <v>4</v>
      </c>
      <c r="AB26" s="231">
        <f>SUM(Z26/AA26)*100</f>
        <v>50</v>
      </c>
      <c r="AC26" s="228">
        <v>1</v>
      </c>
      <c r="AD26" s="128">
        <v>6</v>
      </c>
      <c r="AE26" s="231">
        <f>SUM(AC26/AD26)*100</f>
        <v>16.666666666666664</v>
      </c>
      <c r="AF26" s="228">
        <v>3</v>
      </c>
      <c r="AG26" s="128">
        <v>8</v>
      </c>
      <c r="AH26" s="231">
        <f>SUM(AF26/AG26)*100</f>
        <v>37.5</v>
      </c>
      <c r="AI26" s="228">
        <v>12</v>
      </c>
      <c r="AJ26" s="128">
        <v>14</v>
      </c>
      <c r="AK26" s="231">
        <f>SUM(AI26/AJ26)*100</f>
        <v>85.714285714285708</v>
      </c>
      <c r="AL26" s="228" t="s">
        <v>17</v>
      </c>
      <c r="AM26" s="128" t="s">
        <v>17</v>
      </c>
      <c r="AN26" s="128" t="s">
        <v>17</v>
      </c>
    </row>
    <row r="27" spans="1:40" ht="14.95" customHeight="1" thickBot="1" x14ac:dyDescent="0.3">
      <c r="A27" s="72" t="s">
        <v>1204</v>
      </c>
      <c r="B27" s="157">
        <v>1</v>
      </c>
      <c r="C27" s="510">
        <v>1</v>
      </c>
      <c r="D27" s="73">
        <f t="shared" si="0"/>
        <v>2</v>
      </c>
      <c r="E27" s="92" t="s">
        <v>1204</v>
      </c>
      <c r="F27" s="282">
        <v>5</v>
      </c>
      <c r="G27" s="512">
        <v>5</v>
      </c>
      <c r="H27" s="94">
        <f t="shared" si="2"/>
        <v>10</v>
      </c>
      <c r="I27" s="320" t="s">
        <v>568</v>
      </c>
      <c r="J27" s="322">
        <v>14</v>
      </c>
      <c r="K27" s="322">
        <v>17</v>
      </c>
      <c r="L27" s="323">
        <f>SUM(J27/K27)*100</f>
        <v>82.35294117647058</v>
      </c>
      <c r="M27" s="128">
        <v>13</v>
      </c>
      <c r="N27" s="128">
        <v>21</v>
      </c>
      <c r="O27" s="231">
        <v>61.904761904761905</v>
      </c>
      <c r="P27" s="128">
        <v>16</v>
      </c>
      <c r="Q27" s="128">
        <v>18</v>
      </c>
      <c r="R27" s="231">
        <f>SUM(P27/Q27)*100</f>
        <v>88.888888888888886</v>
      </c>
      <c r="S27" s="128" t="s">
        <v>17</v>
      </c>
      <c r="T27" s="128" t="s">
        <v>17</v>
      </c>
      <c r="U27" s="231" t="s">
        <v>17</v>
      </c>
      <c r="V27" s="136"/>
      <c r="Y27" s="252"/>
      <c r="Z27" s="228" t="s">
        <v>17</v>
      </c>
      <c r="AA27" s="128" t="s">
        <v>17</v>
      </c>
      <c r="AB27" s="231" t="s">
        <v>17</v>
      </c>
      <c r="AC27" s="228" t="s">
        <v>17</v>
      </c>
      <c r="AD27" s="128" t="s">
        <v>17</v>
      </c>
      <c r="AE27" s="231" t="s">
        <v>17</v>
      </c>
      <c r="AF27" s="128" t="s">
        <v>17</v>
      </c>
      <c r="AG27" s="128" t="s">
        <v>17</v>
      </c>
      <c r="AH27" s="231" t="s">
        <v>17</v>
      </c>
      <c r="AI27" s="128" t="s">
        <v>17</v>
      </c>
      <c r="AJ27" s="128" t="s">
        <v>17</v>
      </c>
      <c r="AK27" s="231" t="s">
        <v>17</v>
      </c>
      <c r="AL27" s="128" t="s">
        <v>17</v>
      </c>
      <c r="AM27" s="128" t="s">
        <v>17</v>
      </c>
      <c r="AN27" s="231" t="s">
        <v>17</v>
      </c>
    </row>
    <row r="28" spans="1:40" ht="14.95" customHeight="1" thickBot="1" x14ac:dyDescent="0.3">
      <c r="A28" s="72" t="s">
        <v>193</v>
      </c>
      <c r="B28" s="157">
        <v>2</v>
      </c>
      <c r="C28" s="510">
        <v>3</v>
      </c>
      <c r="D28" s="73">
        <f t="shared" si="0"/>
        <v>5</v>
      </c>
      <c r="E28" s="92" t="s">
        <v>193</v>
      </c>
      <c r="F28" s="282">
        <v>10</v>
      </c>
      <c r="G28" s="512">
        <v>15</v>
      </c>
      <c r="H28" s="94">
        <f t="shared" si="2"/>
        <v>25</v>
      </c>
      <c r="I28" s="320" t="s">
        <v>450</v>
      </c>
      <c r="J28" s="322">
        <v>11</v>
      </c>
      <c r="K28" s="322">
        <v>15</v>
      </c>
      <c r="L28" s="323">
        <f t="shared" ref="L28" si="4">SUM(J28/K28)*100</f>
        <v>73.333333333333329</v>
      </c>
      <c r="M28" s="128">
        <v>2</v>
      </c>
      <c r="N28" s="128">
        <v>3</v>
      </c>
      <c r="O28" s="231">
        <v>66.666666666666657</v>
      </c>
      <c r="P28" s="128" t="s">
        <v>17</v>
      </c>
      <c r="Q28" s="128" t="s">
        <v>17</v>
      </c>
      <c r="R28" s="231" t="s">
        <v>17</v>
      </c>
      <c r="S28" s="128" t="s">
        <v>17</v>
      </c>
      <c r="T28" s="128" t="s">
        <v>17</v>
      </c>
      <c r="U28" s="231" t="s">
        <v>17</v>
      </c>
      <c r="V28" s="136"/>
      <c r="Y28" s="252"/>
      <c r="Z28" s="128" t="s">
        <v>17</v>
      </c>
      <c r="AA28" s="128" t="s">
        <v>17</v>
      </c>
      <c r="AB28" s="231" t="s">
        <v>17</v>
      </c>
      <c r="AC28" s="232" t="s">
        <v>17</v>
      </c>
      <c r="AD28" s="128" t="s">
        <v>17</v>
      </c>
      <c r="AE28" s="231" t="s">
        <v>17</v>
      </c>
      <c r="AF28" s="128" t="s">
        <v>17</v>
      </c>
      <c r="AG28" s="128" t="s">
        <v>17</v>
      </c>
      <c r="AH28" s="231" t="s">
        <v>17</v>
      </c>
      <c r="AI28" s="128" t="s">
        <v>17</v>
      </c>
      <c r="AJ28" s="128" t="s">
        <v>17</v>
      </c>
      <c r="AK28" s="231" t="s">
        <v>17</v>
      </c>
      <c r="AL28" s="128" t="s">
        <v>17</v>
      </c>
      <c r="AM28" s="128" t="s">
        <v>17</v>
      </c>
      <c r="AN28" s="231" t="s">
        <v>17</v>
      </c>
    </row>
    <row r="29" spans="1:40" ht="14.95" thickBot="1" x14ac:dyDescent="0.3">
      <c r="A29" s="72" t="s">
        <v>599</v>
      </c>
      <c r="B29" s="157">
        <v>0</v>
      </c>
      <c r="C29" s="510">
        <v>0</v>
      </c>
      <c r="D29" s="73">
        <f t="shared" si="0"/>
        <v>0</v>
      </c>
      <c r="E29" s="92" t="s">
        <v>599</v>
      </c>
      <c r="F29" s="282">
        <v>0</v>
      </c>
      <c r="G29" s="512">
        <v>0</v>
      </c>
      <c r="H29" s="94">
        <f t="shared" si="2"/>
        <v>0</v>
      </c>
      <c r="I29" s="320" t="s">
        <v>1205</v>
      </c>
      <c r="J29" s="322">
        <v>6</v>
      </c>
      <c r="K29" s="322">
        <v>9</v>
      </c>
      <c r="L29" s="323">
        <f t="shared" ref="L29" si="5">SUM(J29/K29)*100</f>
        <v>66.666666666666657</v>
      </c>
      <c r="M29" s="128" t="s">
        <v>17</v>
      </c>
      <c r="N29" s="128" t="s">
        <v>17</v>
      </c>
      <c r="O29" s="231" t="s">
        <v>17</v>
      </c>
      <c r="P29" s="128" t="s">
        <v>17</v>
      </c>
      <c r="Q29" s="128" t="s">
        <v>17</v>
      </c>
      <c r="R29" s="231" t="s">
        <v>17</v>
      </c>
      <c r="S29" s="128" t="s">
        <v>17</v>
      </c>
      <c r="T29" s="128" t="s">
        <v>17</v>
      </c>
      <c r="U29" s="231" t="s">
        <v>17</v>
      </c>
      <c r="V29" s="136"/>
      <c r="Y29" s="252"/>
      <c r="Z29" s="128" t="s">
        <v>17</v>
      </c>
      <c r="AA29" s="128" t="s">
        <v>17</v>
      </c>
      <c r="AB29" s="231" t="s">
        <v>17</v>
      </c>
      <c r="AC29" s="232" t="s">
        <v>17</v>
      </c>
      <c r="AD29" s="128" t="s">
        <v>17</v>
      </c>
      <c r="AE29" s="231" t="s">
        <v>17</v>
      </c>
      <c r="AF29" s="128" t="s">
        <v>17</v>
      </c>
      <c r="AG29" s="128" t="s">
        <v>17</v>
      </c>
      <c r="AH29" s="231" t="s">
        <v>17</v>
      </c>
      <c r="AI29" s="128" t="s">
        <v>17</v>
      </c>
      <c r="AJ29" s="128" t="s">
        <v>17</v>
      </c>
      <c r="AK29" s="231" t="s">
        <v>17</v>
      </c>
      <c r="AL29" s="128" t="s">
        <v>17</v>
      </c>
      <c r="AM29" s="128" t="s">
        <v>17</v>
      </c>
      <c r="AN29" s="231" t="s">
        <v>17</v>
      </c>
    </row>
    <row r="30" spans="1:40" ht="14.95" thickBot="1" x14ac:dyDescent="0.3">
      <c r="A30" s="72" t="s">
        <v>43</v>
      </c>
      <c r="B30" s="157">
        <v>3</v>
      </c>
      <c r="C30" s="510">
        <v>0</v>
      </c>
      <c r="D30" s="73">
        <f t="shared" si="0"/>
        <v>3</v>
      </c>
      <c r="E30" s="92" t="s">
        <v>43</v>
      </c>
      <c r="F30" s="282">
        <v>15</v>
      </c>
      <c r="G30" s="512">
        <v>0</v>
      </c>
      <c r="H30" s="94">
        <f t="shared" si="2"/>
        <v>15</v>
      </c>
      <c r="M30" s="616"/>
      <c r="N30" s="616"/>
      <c r="O30" s="616"/>
    </row>
    <row r="31" spans="1:40" ht="14.95" thickBot="1" x14ac:dyDescent="0.3">
      <c r="A31" s="72" t="s">
        <v>44</v>
      </c>
      <c r="B31" s="157">
        <v>0</v>
      </c>
      <c r="C31" s="510">
        <v>0</v>
      </c>
      <c r="D31" s="73">
        <f t="shared" si="0"/>
        <v>0</v>
      </c>
      <c r="E31" s="92" t="s">
        <v>44</v>
      </c>
      <c r="F31" s="282">
        <v>0</v>
      </c>
      <c r="G31" s="512">
        <v>0</v>
      </c>
      <c r="H31" s="94">
        <f t="shared" si="2"/>
        <v>0</v>
      </c>
      <c r="M31" s="616"/>
      <c r="N31" s="616"/>
      <c r="O31" s="616"/>
    </row>
    <row r="32" spans="1:40" ht="14.95" thickBot="1" x14ac:dyDescent="0.3">
      <c r="A32" s="72" t="s">
        <v>45</v>
      </c>
      <c r="B32" s="157">
        <v>0</v>
      </c>
      <c r="C32" s="510">
        <v>0</v>
      </c>
      <c r="D32" s="73">
        <f t="shared" si="0"/>
        <v>0</v>
      </c>
      <c r="E32" s="92" t="s">
        <v>45</v>
      </c>
      <c r="F32" s="282">
        <v>0</v>
      </c>
      <c r="G32" s="512">
        <v>0</v>
      </c>
      <c r="H32" s="94">
        <f t="shared" si="2"/>
        <v>0</v>
      </c>
      <c r="M32" s="18"/>
      <c r="N32" s="18"/>
      <c r="O32" s="18"/>
    </row>
    <row r="33" spans="1:37" ht="14.95" thickBot="1" x14ac:dyDescent="0.3">
      <c r="A33" s="72" t="s">
        <v>1190</v>
      </c>
      <c r="B33" s="157">
        <v>1</v>
      </c>
      <c r="C33" s="510">
        <v>0</v>
      </c>
      <c r="D33" s="73">
        <f t="shared" si="0"/>
        <v>1</v>
      </c>
      <c r="E33" s="92" t="s">
        <v>1190</v>
      </c>
      <c r="F33" s="282">
        <v>5</v>
      </c>
      <c r="G33" s="512">
        <v>0</v>
      </c>
      <c r="H33" s="94">
        <f t="shared" si="2"/>
        <v>5</v>
      </c>
      <c r="M33" s="41"/>
      <c r="N33" s="41"/>
      <c r="O33" s="41"/>
    </row>
    <row r="34" spans="1:37" ht="14.95" thickBot="1" x14ac:dyDescent="0.3">
      <c r="A34" s="72" t="s">
        <v>27</v>
      </c>
      <c r="B34" s="157">
        <v>0</v>
      </c>
      <c r="C34" s="510">
        <v>0</v>
      </c>
      <c r="D34" s="73">
        <f t="shared" si="0"/>
        <v>0</v>
      </c>
      <c r="E34" s="92" t="s">
        <v>27</v>
      </c>
      <c r="F34" s="282">
        <v>0</v>
      </c>
      <c r="G34" s="512">
        <v>0</v>
      </c>
      <c r="H34" s="94">
        <f t="shared" si="2"/>
        <v>0</v>
      </c>
      <c r="M34" s="41"/>
      <c r="N34" s="41"/>
      <c r="O34" s="41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</row>
    <row r="35" spans="1:37" ht="14.95" thickBot="1" x14ac:dyDescent="0.3">
      <c r="A35" s="72" t="s">
        <v>135</v>
      </c>
      <c r="B35" s="157">
        <v>0</v>
      </c>
      <c r="C35" s="510">
        <v>0</v>
      </c>
      <c r="D35" s="73">
        <f t="shared" si="0"/>
        <v>0</v>
      </c>
      <c r="E35" s="92" t="s">
        <v>135</v>
      </c>
      <c r="F35" s="282">
        <v>0</v>
      </c>
      <c r="G35" s="512">
        <v>0</v>
      </c>
      <c r="H35" s="94">
        <f t="shared" si="2"/>
        <v>0</v>
      </c>
    </row>
    <row r="36" spans="1:37" ht="14.95" thickBot="1" x14ac:dyDescent="0.3">
      <c r="A36" s="72" t="s">
        <v>568</v>
      </c>
      <c r="B36" s="157">
        <v>1</v>
      </c>
      <c r="C36" s="510">
        <v>0</v>
      </c>
      <c r="D36" s="73">
        <f t="shared" si="0"/>
        <v>1</v>
      </c>
      <c r="E36" s="92" t="s">
        <v>568</v>
      </c>
      <c r="F36" s="282">
        <v>33</v>
      </c>
      <c r="G36" s="512">
        <v>5</v>
      </c>
      <c r="H36" s="94">
        <f t="shared" si="2"/>
        <v>38</v>
      </c>
    </row>
    <row r="37" spans="1:37" ht="14.95" thickBot="1" x14ac:dyDescent="0.3">
      <c r="A37" s="72" t="s">
        <v>598</v>
      </c>
      <c r="B37" s="157">
        <v>0</v>
      </c>
      <c r="C37" s="510">
        <v>0</v>
      </c>
      <c r="D37" s="73">
        <f t="shared" si="0"/>
        <v>0</v>
      </c>
      <c r="E37" s="92" t="s">
        <v>598</v>
      </c>
      <c r="F37" s="282">
        <v>0</v>
      </c>
      <c r="G37" s="512">
        <v>0</v>
      </c>
      <c r="H37" s="94">
        <f t="shared" si="2"/>
        <v>0</v>
      </c>
    </row>
    <row r="38" spans="1:37" ht="14.95" thickBot="1" x14ac:dyDescent="0.3">
      <c r="A38" s="72" t="s">
        <v>925</v>
      </c>
      <c r="B38" s="157">
        <v>0</v>
      </c>
      <c r="C38" s="510">
        <v>0</v>
      </c>
      <c r="D38" s="73">
        <f t="shared" si="0"/>
        <v>0</v>
      </c>
      <c r="E38" s="92" t="s">
        <v>925</v>
      </c>
      <c r="F38" s="282">
        <v>0</v>
      </c>
      <c r="G38" s="512">
        <v>0</v>
      </c>
      <c r="H38" s="94">
        <f t="shared" si="2"/>
        <v>0</v>
      </c>
    </row>
    <row r="39" spans="1:37" ht="14.95" thickBot="1" x14ac:dyDescent="0.3">
      <c r="A39" s="72" t="s">
        <v>450</v>
      </c>
      <c r="B39" s="157">
        <v>3</v>
      </c>
      <c r="C39" s="510">
        <v>0</v>
      </c>
      <c r="D39" s="73">
        <f t="shared" si="0"/>
        <v>3</v>
      </c>
      <c r="E39" s="92" t="s">
        <v>450</v>
      </c>
      <c r="F39" s="282">
        <v>41</v>
      </c>
      <c r="G39" s="512">
        <v>0</v>
      </c>
      <c r="H39" s="94">
        <f t="shared" si="2"/>
        <v>41</v>
      </c>
    </row>
    <row r="40" spans="1:37" ht="14.95" customHeight="1" thickBot="1" x14ac:dyDescent="0.3">
      <c r="A40" s="72" t="s">
        <v>1205</v>
      </c>
      <c r="B40" s="157">
        <v>0</v>
      </c>
      <c r="C40" s="510">
        <v>0</v>
      </c>
      <c r="D40" s="73">
        <f t="shared" si="0"/>
        <v>0</v>
      </c>
      <c r="E40" s="92" t="s">
        <v>1205</v>
      </c>
      <c r="F40" s="282">
        <v>12</v>
      </c>
      <c r="G40" s="512">
        <v>0</v>
      </c>
      <c r="H40" s="94">
        <f t="shared" si="2"/>
        <v>12</v>
      </c>
    </row>
    <row r="41" spans="1:37" ht="14.95" thickBot="1" x14ac:dyDescent="0.3">
      <c r="A41" s="72" t="s">
        <v>4</v>
      </c>
      <c r="B41" s="157">
        <v>0</v>
      </c>
      <c r="C41" s="510">
        <v>0</v>
      </c>
      <c r="D41" s="73">
        <f t="shared" si="0"/>
        <v>0</v>
      </c>
      <c r="E41" s="92" t="s">
        <v>4</v>
      </c>
      <c r="F41" s="282">
        <v>0</v>
      </c>
      <c r="G41" s="512">
        <v>0</v>
      </c>
      <c r="H41" s="94">
        <f t="shared" si="2"/>
        <v>0</v>
      </c>
    </row>
    <row r="42" spans="1:37" ht="14.95" thickBot="1" x14ac:dyDescent="0.3">
      <c r="A42" s="72" t="s">
        <v>930</v>
      </c>
      <c r="B42" s="157">
        <v>0</v>
      </c>
      <c r="C42" s="510">
        <v>0</v>
      </c>
      <c r="D42" s="73">
        <f t="shared" si="0"/>
        <v>0</v>
      </c>
      <c r="E42" s="92" t="s">
        <v>930</v>
      </c>
      <c r="F42" s="282">
        <v>0</v>
      </c>
      <c r="G42" s="512">
        <v>0</v>
      </c>
      <c r="H42" s="94">
        <f t="shared" si="2"/>
        <v>0</v>
      </c>
    </row>
    <row r="43" spans="1:37" ht="14.95" thickBot="1" x14ac:dyDescent="0.3">
      <c r="A43" s="72" t="s">
        <v>376</v>
      </c>
      <c r="B43" s="157">
        <v>1</v>
      </c>
      <c r="C43" s="510">
        <v>0</v>
      </c>
      <c r="D43" s="73">
        <f t="shared" si="0"/>
        <v>1</v>
      </c>
      <c r="E43" s="92" t="s">
        <v>376</v>
      </c>
      <c r="F43" s="282">
        <v>5</v>
      </c>
      <c r="G43" s="512">
        <v>0</v>
      </c>
      <c r="H43" s="94">
        <f t="shared" si="2"/>
        <v>5</v>
      </c>
    </row>
    <row r="44" spans="1:37" ht="14.95" thickBot="1" x14ac:dyDescent="0.3">
      <c r="A44" s="72" t="s">
        <v>1180</v>
      </c>
      <c r="B44" s="157">
        <v>1</v>
      </c>
      <c r="C44" s="510">
        <v>0</v>
      </c>
      <c r="D44" s="73">
        <f t="shared" si="0"/>
        <v>1</v>
      </c>
      <c r="E44" s="92" t="s">
        <v>1180</v>
      </c>
      <c r="F44" s="282">
        <v>5</v>
      </c>
      <c r="G44" s="512">
        <v>0</v>
      </c>
      <c r="H44" s="94">
        <f t="shared" si="2"/>
        <v>5</v>
      </c>
    </row>
    <row r="45" spans="1:37" ht="14.95" thickBot="1" x14ac:dyDescent="0.3">
      <c r="A45" s="72" t="s">
        <v>924</v>
      </c>
      <c r="B45" s="157">
        <v>2</v>
      </c>
      <c r="C45" s="510">
        <v>0</v>
      </c>
      <c r="D45" s="73">
        <f t="shared" si="0"/>
        <v>2</v>
      </c>
      <c r="E45" s="92" t="s">
        <v>924</v>
      </c>
      <c r="F45" s="282">
        <v>10</v>
      </c>
      <c r="G45" s="512">
        <v>0</v>
      </c>
      <c r="H45" s="94">
        <f t="shared" si="2"/>
        <v>10</v>
      </c>
    </row>
    <row r="46" spans="1:37" ht="14.95" thickBot="1" x14ac:dyDescent="0.3">
      <c r="A46" s="72" t="s">
        <v>352</v>
      </c>
      <c r="B46" s="157">
        <v>9</v>
      </c>
      <c r="C46" s="510">
        <v>0</v>
      </c>
      <c r="D46" s="73">
        <f t="shared" si="0"/>
        <v>9</v>
      </c>
      <c r="E46" s="92" t="s">
        <v>352</v>
      </c>
      <c r="F46" s="282">
        <v>45</v>
      </c>
      <c r="G46" s="512">
        <v>0</v>
      </c>
      <c r="H46" s="94">
        <f t="shared" si="2"/>
        <v>45</v>
      </c>
    </row>
    <row r="47" spans="1:37" ht="14.95" thickBot="1" x14ac:dyDescent="0.3">
      <c r="A47" s="72" t="s">
        <v>354</v>
      </c>
      <c r="B47" s="157">
        <v>0</v>
      </c>
      <c r="C47" s="510">
        <v>2</v>
      </c>
      <c r="D47" s="73">
        <f t="shared" si="0"/>
        <v>2</v>
      </c>
      <c r="E47" s="92" t="s">
        <v>354</v>
      </c>
      <c r="F47" s="282">
        <v>0</v>
      </c>
      <c r="G47" s="512">
        <v>10</v>
      </c>
      <c r="H47" s="94">
        <f t="shared" si="2"/>
        <v>10</v>
      </c>
    </row>
    <row r="48" spans="1:37" ht="14.95" thickBot="1" x14ac:dyDescent="0.3">
      <c r="A48" s="72" t="s">
        <v>877</v>
      </c>
      <c r="B48" s="157">
        <v>0</v>
      </c>
      <c r="C48" s="510">
        <v>0</v>
      </c>
      <c r="D48" s="73">
        <f t="shared" si="0"/>
        <v>0</v>
      </c>
      <c r="E48" s="92" t="s">
        <v>877</v>
      </c>
      <c r="F48" s="282">
        <v>0</v>
      </c>
      <c r="G48" s="512">
        <v>0</v>
      </c>
      <c r="H48" s="94">
        <f t="shared" si="2"/>
        <v>0</v>
      </c>
    </row>
    <row r="49" spans="1:8" ht="14.95" customHeight="1" thickBot="1" x14ac:dyDescent="0.3">
      <c r="A49" s="72" t="s">
        <v>46</v>
      </c>
      <c r="B49" s="157">
        <v>1</v>
      </c>
      <c r="C49" s="510">
        <v>0</v>
      </c>
      <c r="D49" s="73">
        <f t="shared" si="0"/>
        <v>1</v>
      </c>
      <c r="E49" s="92" t="s">
        <v>46</v>
      </c>
      <c r="F49" s="282">
        <v>5</v>
      </c>
      <c r="G49" s="512">
        <v>0</v>
      </c>
      <c r="H49" s="94">
        <f t="shared" si="2"/>
        <v>5</v>
      </c>
    </row>
    <row r="50" spans="1:8" ht="14.95" thickBot="1" x14ac:dyDescent="0.3">
      <c r="A50" s="72" t="s">
        <v>306</v>
      </c>
      <c r="B50" s="157">
        <v>0</v>
      </c>
      <c r="C50" s="510">
        <v>0</v>
      </c>
      <c r="D50" s="73">
        <f t="shared" si="0"/>
        <v>0</v>
      </c>
      <c r="E50" s="92" t="s">
        <v>306</v>
      </c>
      <c r="F50" s="282">
        <v>0</v>
      </c>
      <c r="G50" s="512">
        <v>0</v>
      </c>
      <c r="H50" s="94">
        <f t="shared" si="2"/>
        <v>0</v>
      </c>
    </row>
    <row r="51" spans="1:8" ht="14.95" thickBot="1" x14ac:dyDescent="0.3">
      <c r="A51" s="72" t="s">
        <v>878</v>
      </c>
      <c r="B51" s="157">
        <v>0</v>
      </c>
      <c r="C51" s="510">
        <v>0</v>
      </c>
      <c r="D51" s="73">
        <f t="shared" si="0"/>
        <v>0</v>
      </c>
      <c r="E51" s="92" t="s">
        <v>878</v>
      </c>
      <c r="F51" s="282">
        <v>0</v>
      </c>
      <c r="G51" s="512">
        <v>0</v>
      </c>
      <c r="H51" s="94">
        <f t="shared" si="2"/>
        <v>0</v>
      </c>
    </row>
    <row r="52" spans="1:8" ht="14.95" thickBot="1" x14ac:dyDescent="0.3">
      <c r="A52" s="72" t="s">
        <v>47</v>
      </c>
      <c r="B52" s="157">
        <v>0</v>
      </c>
      <c r="C52" s="510">
        <v>0</v>
      </c>
      <c r="D52" s="73">
        <f t="shared" si="0"/>
        <v>0</v>
      </c>
      <c r="E52" s="92" t="s">
        <v>47</v>
      </c>
      <c r="F52" s="282">
        <v>0</v>
      </c>
      <c r="G52" s="512">
        <v>0</v>
      </c>
      <c r="H52" s="94">
        <f t="shared" si="2"/>
        <v>0</v>
      </c>
    </row>
    <row r="53" spans="1:8" ht="14.95" thickBot="1" x14ac:dyDescent="0.3">
      <c r="A53" s="72" t="s">
        <v>3</v>
      </c>
      <c r="B53" s="157">
        <f>SUM(B3:B52)</f>
        <v>47</v>
      </c>
      <c r="C53" s="510">
        <f>SUM(C3:C52)</f>
        <v>16</v>
      </c>
      <c r="D53" s="73">
        <f t="shared" si="0"/>
        <v>63</v>
      </c>
      <c r="E53" s="92" t="s">
        <v>3</v>
      </c>
      <c r="F53" s="282">
        <f>SUM(F3:F52)</f>
        <v>301</v>
      </c>
      <c r="G53" s="512">
        <f>SUM(G3:G52)</f>
        <v>119</v>
      </c>
      <c r="H53" s="94">
        <f t="shared" si="2"/>
        <v>420</v>
      </c>
    </row>
    <row r="54" spans="1:8" x14ac:dyDescent="0.25">
      <c r="A54" s="678"/>
      <c r="B54" s="679"/>
      <c r="C54" s="679"/>
      <c r="D54" s="679"/>
      <c r="E54" s="679"/>
      <c r="F54" s="679"/>
      <c r="G54" s="679"/>
      <c r="H54" s="679"/>
    </row>
    <row r="55" spans="1:8" ht="14.95" thickBot="1" x14ac:dyDescent="0.3">
      <c r="A55" s="30" t="s">
        <v>15</v>
      </c>
      <c r="E55" s="16"/>
      <c r="F55" s="17"/>
      <c r="G55" s="35"/>
      <c r="H55" s="18"/>
    </row>
    <row r="56" spans="1:8" ht="14.95" thickBot="1" x14ac:dyDescent="0.3">
      <c r="A56" s="186" t="s">
        <v>0</v>
      </c>
      <c r="B56" s="197" t="s">
        <v>134</v>
      </c>
      <c r="C56" s="509" t="s">
        <v>31</v>
      </c>
      <c r="D56" s="187" t="s">
        <v>1</v>
      </c>
      <c r="E56" s="205" t="s">
        <v>2</v>
      </c>
      <c r="F56" s="281" t="s">
        <v>134</v>
      </c>
      <c r="G56" s="511" t="s">
        <v>31</v>
      </c>
      <c r="H56" s="206" t="s">
        <v>1</v>
      </c>
    </row>
    <row r="57" spans="1:8" ht="14.95" thickBot="1" x14ac:dyDescent="0.3">
      <c r="A57" s="72" t="s">
        <v>352</v>
      </c>
      <c r="B57" s="157">
        <v>9</v>
      </c>
      <c r="C57" s="510">
        <v>0</v>
      </c>
      <c r="D57" s="73">
        <f t="shared" ref="D57:D88" si="6">SUM(B57:C57)</f>
        <v>9</v>
      </c>
      <c r="E57" s="93" t="s">
        <v>352</v>
      </c>
      <c r="F57" s="282">
        <v>45</v>
      </c>
      <c r="G57" s="512">
        <v>0</v>
      </c>
      <c r="H57" s="94">
        <f t="shared" ref="H57:H88" si="7">SUM(F57:G57)</f>
        <v>45</v>
      </c>
    </row>
    <row r="58" spans="1:8" ht="14.95" thickBot="1" x14ac:dyDescent="0.3">
      <c r="A58" s="72" t="s">
        <v>1179</v>
      </c>
      <c r="B58" s="157">
        <v>2</v>
      </c>
      <c r="C58" s="510">
        <v>3</v>
      </c>
      <c r="D58" s="73">
        <f t="shared" si="6"/>
        <v>5</v>
      </c>
      <c r="E58" s="93" t="s">
        <v>450</v>
      </c>
      <c r="F58" s="282">
        <v>41</v>
      </c>
      <c r="G58" s="512">
        <v>0</v>
      </c>
      <c r="H58" s="94">
        <f t="shared" si="7"/>
        <v>41</v>
      </c>
    </row>
    <row r="59" spans="1:8" ht="14.95" thickBot="1" x14ac:dyDescent="0.3">
      <c r="A59" s="72" t="s">
        <v>1203</v>
      </c>
      <c r="B59" s="157">
        <v>4</v>
      </c>
      <c r="C59" s="510">
        <v>1</v>
      </c>
      <c r="D59" s="73">
        <f t="shared" si="6"/>
        <v>5</v>
      </c>
      <c r="E59" s="93" t="s">
        <v>568</v>
      </c>
      <c r="F59" s="282">
        <v>33</v>
      </c>
      <c r="G59" s="512">
        <v>5</v>
      </c>
      <c r="H59" s="94">
        <f t="shared" si="7"/>
        <v>38</v>
      </c>
    </row>
    <row r="60" spans="1:8" ht="14.95" thickBot="1" x14ac:dyDescent="0.3">
      <c r="A60" s="72" t="s">
        <v>193</v>
      </c>
      <c r="B60" s="157">
        <v>2</v>
      </c>
      <c r="C60" s="510">
        <v>3</v>
      </c>
      <c r="D60" s="73">
        <f t="shared" si="6"/>
        <v>5</v>
      </c>
      <c r="E60" s="93" t="s">
        <v>269</v>
      </c>
      <c r="F60" s="282">
        <v>0</v>
      </c>
      <c r="G60" s="512">
        <v>34</v>
      </c>
      <c r="H60" s="94">
        <f t="shared" si="7"/>
        <v>34</v>
      </c>
    </row>
    <row r="61" spans="1:8" ht="14.95" thickBot="1" x14ac:dyDescent="0.3">
      <c r="A61" s="72" t="s">
        <v>268</v>
      </c>
      <c r="B61" s="157">
        <v>3</v>
      </c>
      <c r="C61" s="510">
        <v>1</v>
      </c>
      <c r="D61" s="73">
        <f t="shared" si="6"/>
        <v>4</v>
      </c>
      <c r="E61" s="92" t="s">
        <v>1179</v>
      </c>
      <c r="F61" s="282">
        <v>10</v>
      </c>
      <c r="G61" s="512">
        <v>15</v>
      </c>
      <c r="H61" s="94">
        <f t="shared" si="7"/>
        <v>25</v>
      </c>
    </row>
    <row r="62" spans="1:8" ht="14.95" thickBot="1" x14ac:dyDescent="0.3">
      <c r="A62" s="72" t="s">
        <v>1181</v>
      </c>
      <c r="B62" s="157">
        <v>3</v>
      </c>
      <c r="C62" s="510">
        <v>1</v>
      </c>
      <c r="D62" s="73">
        <f t="shared" si="6"/>
        <v>4</v>
      </c>
      <c r="E62" s="92" t="s">
        <v>1203</v>
      </c>
      <c r="F62" s="282">
        <v>20</v>
      </c>
      <c r="G62" s="512">
        <v>5</v>
      </c>
      <c r="H62" s="94">
        <f t="shared" si="7"/>
        <v>25</v>
      </c>
    </row>
    <row r="63" spans="1:8" ht="14.95" thickBot="1" x14ac:dyDescent="0.3">
      <c r="A63" s="72" t="s">
        <v>472</v>
      </c>
      <c r="B63" s="157">
        <v>2</v>
      </c>
      <c r="C63" s="510">
        <v>1</v>
      </c>
      <c r="D63" s="73">
        <f t="shared" si="6"/>
        <v>3</v>
      </c>
      <c r="E63" s="92" t="s">
        <v>193</v>
      </c>
      <c r="F63" s="282">
        <v>10</v>
      </c>
      <c r="G63" s="512">
        <v>15</v>
      </c>
      <c r="H63" s="94">
        <f t="shared" si="7"/>
        <v>25</v>
      </c>
    </row>
    <row r="64" spans="1:8" ht="14.95" thickBot="1" x14ac:dyDescent="0.3">
      <c r="A64" s="72" t="s">
        <v>43</v>
      </c>
      <c r="B64" s="157">
        <v>3</v>
      </c>
      <c r="C64" s="510">
        <v>0</v>
      </c>
      <c r="D64" s="73">
        <f t="shared" si="6"/>
        <v>3</v>
      </c>
      <c r="E64" s="92" t="s">
        <v>268</v>
      </c>
      <c r="F64" s="282">
        <v>15</v>
      </c>
      <c r="G64" s="512">
        <v>5</v>
      </c>
      <c r="H64" s="94">
        <f t="shared" si="7"/>
        <v>20</v>
      </c>
    </row>
    <row r="65" spans="1:8" ht="14.95" thickBot="1" x14ac:dyDescent="0.3">
      <c r="A65" s="72" t="s">
        <v>450</v>
      </c>
      <c r="B65" s="157">
        <v>3</v>
      </c>
      <c r="C65" s="510">
        <v>0</v>
      </c>
      <c r="D65" s="73">
        <f t="shared" si="6"/>
        <v>3</v>
      </c>
      <c r="E65" s="92" t="s">
        <v>1181</v>
      </c>
      <c r="F65" s="282">
        <v>15</v>
      </c>
      <c r="G65" s="512">
        <v>5</v>
      </c>
      <c r="H65" s="94">
        <f t="shared" si="7"/>
        <v>20</v>
      </c>
    </row>
    <row r="66" spans="1:8" ht="14.95" thickBot="1" x14ac:dyDescent="0.3">
      <c r="A66" s="72" t="s">
        <v>873</v>
      </c>
      <c r="B66" s="157">
        <v>2</v>
      </c>
      <c r="C66" s="510">
        <v>0</v>
      </c>
      <c r="D66" s="73">
        <f t="shared" si="6"/>
        <v>2</v>
      </c>
      <c r="E66" s="92" t="s">
        <v>472</v>
      </c>
      <c r="F66" s="282">
        <v>10</v>
      </c>
      <c r="G66" s="512">
        <v>5</v>
      </c>
      <c r="H66" s="94">
        <f t="shared" si="7"/>
        <v>15</v>
      </c>
    </row>
    <row r="67" spans="1:8" ht="14.95" thickBot="1" x14ac:dyDescent="0.3">
      <c r="A67" s="72" t="s">
        <v>449</v>
      </c>
      <c r="B67" s="157">
        <v>0</v>
      </c>
      <c r="C67" s="510">
        <v>2</v>
      </c>
      <c r="D67" s="73">
        <f t="shared" si="6"/>
        <v>2</v>
      </c>
      <c r="E67" s="92" t="s">
        <v>43</v>
      </c>
      <c r="F67" s="282">
        <v>15</v>
      </c>
      <c r="G67" s="512">
        <v>0</v>
      </c>
      <c r="H67" s="94">
        <f t="shared" si="7"/>
        <v>15</v>
      </c>
    </row>
    <row r="68" spans="1:8" ht="14.95" thickBot="1" x14ac:dyDescent="0.3">
      <c r="A68" s="72" t="s">
        <v>1204</v>
      </c>
      <c r="B68" s="157">
        <v>1</v>
      </c>
      <c r="C68" s="510">
        <v>1</v>
      </c>
      <c r="D68" s="73">
        <f t="shared" si="6"/>
        <v>2</v>
      </c>
      <c r="E68" s="92" t="s">
        <v>1205</v>
      </c>
      <c r="F68" s="282">
        <v>12</v>
      </c>
      <c r="G68" s="512">
        <v>0</v>
      </c>
      <c r="H68" s="94">
        <f t="shared" si="7"/>
        <v>12</v>
      </c>
    </row>
    <row r="69" spans="1:8" ht="14.95" thickBot="1" x14ac:dyDescent="0.3">
      <c r="A69" s="72" t="s">
        <v>924</v>
      </c>
      <c r="B69" s="157">
        <v>2</v>
      </c>
      <c r="C69" s="510">
        <v>0</v>
      </c>
      <c r="D69" s="73">
        <f t="shared" si="6"/>
        <v>2</v>
      </c>
      <c r="E69" s="92" t="s">
        <v>873</v>
      </c>
      <c r="F69" s="282">
        <v>10</v>
      </c>
      <c r="G69" s="512">
        <v>0</v>
      </c>
      <c r="H69" s="94">
        <f t="shared" si="7"/>
        <v>10</v>
      </c>
    </row>
    <row r="70" spans="1:8" ht="14.95" thickBot="1" x14ac:dyDescent="0.3">
      <c r="A70" s="72" t="s">
        <v>354</v>
      </c>
      <c r="B70" s="157">
        <v>0</v>
      </c>
      <c r="C70" s="510">
        <v>2</v>
      </c>
      <c r="D70" s="73">
        <f t="shared" si="6"/>
        <v>2</v>
      </c>
      <c r="E70" s="92" t="s">
        <v>449</v>
      </c>
      <c r="F70" s="282">
        <v>0</v>
      </c>
      <c r="G70" s="512">
        <v>10</v>
      </c>
      <c r="H70" s="94">
        <f t="shared" si="7"/>
        <v>10</v>
      </c>
    </row>
    <row r="71" spans="1:8" ht="14.95" thickBot="1" x14ac:dyDescent="0.3">
      <c r="A71" s="72" t="s">
        <v>1230</v>
      </c>
      <c r="B71" s="157">
        <v>1</v>
      </c>
      <c r="C71" s="510">
        <v>0</v>
      </c>
      <c r="D71" s="73">
        <f t="shared" si="6"/>
        <v>1</v>
      </c>
      <c r="E71" s="92" t="s">
        <v>1204</v>
      </c>
      <c r="F71" s="282">
        <v>5</v>
      </c>
      <c r="G71" s="512">
        <v>5</v>
      </c>
      <c r="H71" s="94">
        <f t="shared" si="7"/>
        <v>10</v>
      </c>
    </row>
    <row r="72" spans="1:8" ht="14.95" thickBot="1" x14ac:dyDescent="0.3">
      <c r="A72" s="72" t="s">
        <v>1218</v>
      </c>
      <c r="B72" s="157">
        <v>1</v>
      </c>
      <c r="C72" s="510">
        <v>0</v>
      </c>
      <c r="D72" s="73">
        <f t="shared" si="6"/>
        <v>1</v>
      </c>
      <c r="E72" s="92" t="s">
        <v>924</v>
      </c>
      <c r="F72" s="282">
        <v>10</v>
      </c>
      <c r="G72" s="512">
        <v>0</v>
      </c>
      <c r="H72" s="94">
        <f t="shared" si="7"/>
        <v>10</v>
      </c>
    </row>
    <row r="73" spans="1:8" ht="14.95" thickBot="1" x14ac:dyDescent="0.3">
      <c r="A73" s="72" t="s">
        <v>600</v>
      </c>
      <c r="B73" s="157">
        <v>1</v>
      </c>
      <c r="C73" s="510">
        <v>0</v>
      </c>
      <c r="D73" s="73">
        <f t="shared" si="6"/>
        <v>1</v>
      </c>
      <c r="E73" s="92" t="s">
        <v>354</v>
      </c>
      <c r="F73" s="282">
        <v>0</v>
      </c>
      <c r="G73" s="512">
        <v>10</v>
      </c>
      <c r="H73" s="94">
        <f t="shared" si="7"/>
        <v>10</v>
      </c>
    </row>
    <row r="74" spans="1:8" ht="14.95" thickBot="1" x14ac:dyDescent="0.3">
      <c r="A74" s="72" t="s">
        <v>451</v>
      </c>
      <c r="B74" s="157">
        <v>1</v>
      </c>
      <c r="C74" s="510">
        <v>0</v>
      </c>
      <c r="D74" s="73">
        <f t="shared" si="6"/>
        <v>1</v>
      </c>
      <c r="E74" s="92" t="s">
        <v>1230</v>
      </c>
      <c r="F74" s="282">
        <v>5</v>
      </c>
      <c r="G74" s="512">
        <v>0</v>
      </c>
      <c r="H74" s="94">
        <f t="shared" si="7"/>
        <v>5</v>
      </c>
    </row>
    <row r="75" spans="1:8" ht="14.95" thickBot="1" x14ac:dyDescent="0.3">
      <c r="A75" s="72" t="s">
        <v>490</v>
      </c>
      <c r="B75" s="157">
        <v>0</v>
      </c>
      <c r="C75" s="510">
        <v>1</v>
      </c>
      <c r="D75" s="73">
        <f t="shared" si="6"/>
        <v>1</v>
      </c>
      <c r="E75" s="92" t="s">
        <v>1218</v>
      </c>
      <c r="F75" s="282">
        <v>5</v>
      </c>
      <c r="G75" s="512">
        <v>0</v>
      </c>
      <c r="H75" s="94">
        <f t="shared" si="7"/>
        <v>5</v>
      </c>
    </row>
    <row r="76" spans="1:8" ht="14.95" thickBot="1" x14ac:dyDescent="0.3">
      <c r="A76" s="72" t="s">
        <v>998</v>
      </c>
      <c r="B76" s="157">
        <v>1</v>
      </c>
      <c r="C76" s="510">
        <v>0</v>
      </c>
      <c r="D76" s="73">
        <f t="shared" si="6"/>
        <v>1</v>
      </c>
      <c r="E76" s="92" t="s">
        <v>600</v>
      </c>
      <c r="F76" s="282">
        <v>5</v>
      </c>
      <c r="G76" s="512">
        <v>0</v>
      </c>
      <c r="H76" s="94">
        <f t="shared" si="7"/>
        <v>5</v>
      </c>
    </row>
    <row r="77" spans="1:8" ht="14.95" thickBot="1" x14ac:dyDescent="0.3">
      <c r="A77" s="72" t="s">
        <v>1182</v>
      </c>
      <c r="B77" s="157">
        <v>1</v>
      </c>
      <c r="C77" s="510">
        <v>0</v>
      </c>
      <c r="D77" s="73">
        <f t="shared" si="6"/>
        <v>1</v>
      </c>
      <c r="E77" s="92" t="s">
        <v>451</v>
      </c>
      <c r="F77" s="282">
        <v>5</v>
      </c>
      <c r="G77" s="512">
        <v>0</v>
      </c>
      <c r="H77" s="94">
        <f t="shared" si="7"/>
        <v>5</v>
      </c>
    </row>
    <row r="78" spans="1:8" ht="14.95" thickBot="1" x14ac:dyDescent="0.3">
      <c r="A78" s="72" t="s">
        <v>1190</v>
      </c>
      <c r="B78" s="157">
        <v>1</v>
      </c>
      <c r="C78" s="510">
        <v>0</v>
      </c>
      <c r="D78" s="73">
        <f t="shared" si="6"/>
        <v>1</v>
      </c>
      <c r="E78" s="92" t="s">
        <v>490</v>
      </c>
      <c r="F78" s="282">
        <v>0</v>
      </c>
      <c r="G78" s="512">
        <v>5</v>
      </c>
      <c r="H78" s="94">
        <f t="shared" si="7"/>
        <v>5</v>
      </c>
    </row>
    <row r="79" spans="1:8" ht="14.95" thickBot="1" x14ac:dyDescent="0.3">
      <c r="A79" s="72" t="s">
        <v>568</v>
      </c>
      <c r="B79" s="157">
        <v>1</v>
      </c>
      <c r="C79" s="510">
        <v>0</v>
      </c>
      <c r="D79" s="73">
        <f t="shared" si="6"/>
        <v>1</v>
      </c>
      <c r="E79" s="92" t="s">
        <v>998</v>
      </c>
      <c r="F79" s="282">
        <v>5</v>
      </c>
      <c r="G79" s="512">
        <v>0</v>
      </c>
      <c r="H79" s="94">
        <f t="shared" si="7"/>
        <v>5</v>
      </c>
    </row>
    <row r="80" spans="1:8" ht="14.95" thickBot="1" x14ac:dyDescent="0.3">
      <c r="A80" s="72" t="s">
        <v>376</v>
      </c>
      <c r="B80" s="157">
        <v>1</v>
      </c>
      <c r="C80" s="510">
        <v>0</v>
      </c>
      <c r="D80" s="73">
        <f t="shared" si="6"/>
        <v>1</v>
      </c>
      <c r="E80" s="92" t="s">
        <v>1182</v>
      </c>
      <c r="F80" s="282">
        <v>5</v>
      </c>
      <c r="G80" s="512">
        <v>0</v>
      </c>
      <c r="H80" s="94">
        <f t="shared" si="7"/>
        <v>5</v>
      </c>
    </row>
    <row r="81" spans="1:8" ht="14.95" thickBot="1" x14ac:dyDescent="0.3">
      <c r="A81" s="72" t="s">
        <v>1180</v>
      </c>
      <c r="B81" s="157">
        <v>1</v>
      </c>
      <c r="C81" s="510">
        <v>0</v>
      </c>
      <c r="D81" s="73">
        <f t="shared" si="6"/>
        <v>1</v>
      </c>
      <c r="E81" s="92" t="s">
        <v>1190</v>
      </c>
      <c r="F81" s="282">
        <v>5</v>
      </c>
      <c r="G81" s="512">
        <v>0</v>
      </c>
      <c r="H81" s="94">
        <f t="shared" si="7"/>
        <v>5</v>
      </c>
    </row>
    <row r="82" spans="1:8" ht="14.95" thickBot="1" x14ac:dyDescent="0.3">
      <c r="A82" s="72" t="s">
        <v>46</v>
      </c>
      <c r="B82" s="157">
        <v>1</v>
      </c>
      <c r="C82" s="510">
        <v>0</v>
      </c>
      <c r="D82" s="73">
        <f t="shared" si="6"/>
        <v>1</v>
      </c>
      <c r="E82" s="92" t="s">
        <v>376</v>
      </c>
      <c r="F82" s="282">
        <v>5</v>
      </c>
      <c r="G82" s="512">
        <v>0</v>
      </c>
      <c r="H82" s="94">
        <f t="shared" si="7"/>
        <v>5</v>
      </c>
    </row>
    <row r="83" spans="1:8" ht="14.95" thickBot="1" x14ac:dyDescent="0.3">
      <c r="A83" s="72" t="s">
        <v>269</v>
      </c>
      <c r="B83" s="157">
        <v>0</v>
      </c>
      <c r="C83" s="510">
        <v>0</v>
      </c>
      <c r="D83" s="73">
        <f t="shared" si="6"/>
        <v>0</v>
      </c>
      <c r="E83" s="92" t="s">
        <v>1180</v>
      </c>
      <c r="F83" s="282">
        <v>5</v>
      </c>
      <c r="G83" s="512">
        <v>0</v>
      </c>
      <c r="H83" s="94">
        <f t="shared" si="7"/>
        <v>5</v>
      </c>
    </row>
    <row r="84" spans="1:8" ht="14.95" thickBot="1" x14ac:dyDescent="0.3">
      <c r="A84" s="72" t="s">
        <v>609</v>
      </c>
      <c r="B84" s="157">
        <v>0</v>
      </c>
      <c r="C84" s="510">
        <v>0</v>
      </c>
      <c r="D84" s="73">
        <f t="shared" si="6"/>
        <v>0</v>
      </c>
      <c r="E84" s="92" t="s">
        <v>46</v>
      </c>
      <c r="F84" s="282">
        <v>5</v>
      </c>
      <c r="G84" s="512">
        <v>0</v>
      </c>
      <c r="H84" s="94">
        <f t="shared" si="7"/>
        <v>5</v>
      </c>
    </row>
    <row r="85" spans="1:8" ht="14.95" thickBot="1" x14ac:dyDescent="0.3">
      <c r="A85" s="72" t="s">
        <v>346</v>
      </c>
      <c r="B85" s="157">
        <v>0</v>
      </c>
      <c r="C85" s="510">
        <v>0</v>
      </c>
      <c r="D85" s="73">
        <f t="shared" si="6"/>
        <v>0</v>
      </c>
      <c r="E85" s="92" t="s">
        <v>609</v>
      </c>
      <c r="F85" s="282">
        <v>0</v>
      </c>
      <c r="G85" s="512">
        <v>0</v>
      </c>
      <c r="H85" s="94">
        <f t="shared" si="7"/>
        <v>0</v>
      </c>
    </row>
    <row r="86" spans="1:8" ht="14.95" thickBot="1" x14ac:dyDescent="0.3">
      <c r="A86" s="72" t="s">
        <v>610</v>
      </c>
      <c r="B86" s="157">
        <v>0</v>
      </c>
      <c r="C86" s="510">
        <v>0</v>
      </c>
      <c r="D86" s="73">
        <f t="shared" si="6"/>
        <v>0</v>
      </c>
      <c r="E86" s="92" t="s">
        <v>346</v>
      </c>
      <c r="F86" s="282">
        <v>0</v>
      </c>
      <c r="G86" s="512">
        <v>0</v>
      </c>
      <c r="H86" s="94">
        <f t="shared" si="7"/>
        <v>0</v>
      </c>
    </row>
    <row r="87" spans="1:8" ht="14.95" thickBot="1" x14ac:dyDescent="0.3">
      <c r="A87" s="72" t="s">
        <v>305</v>
      </c>
      <c r="B87" s="157">
        <v>0</v>
      </c>
      <c r="C87" s="510">
        <v>0</v>
      </c>
      <c r="D87" s="73">
        <f t="shared" si="6"/>
        <v>0</v>
      </c>
      <c r="E87" s="92" t="s">
        <v>610</v>
      </c>
      <c r="F87" s="282">
        <v>0</v>
      </c>
      <c r="G87" s="512">
        <v>0</v>
      </c>
      <c r="H87" s="94">
        <f t="shared" si="7"/>
        <v>0</v>
      </c>
    </row>
    <row r="88" spans="1:8" ht="14.95" thickBot="1" x14ac:dyDescent="0.3">
      <c r="A88" s="72" t="s">
        <v>304</v>
      </c>
      <c r="B88" s="157">
        <v>0</v>
      </c>
      <c r="C88" s="510">
        <v>0</v>
      </c>
      <c r="D88" s="73">
        <f t="shared" si="6"/>
        <v>0</v>
      </c>
      <c r="E88" s="92" t="s">
        <v>305</v>
      </c>
      <c r="F88" s="282">
        <v>0</v>
      </c>
      <c r="G88" s="512">
        <v>0</v>
      </c>
      <c r="H88" s="94">
        <f t="shared" si="7"/>
        <v>0</v>
      </c>
    </row>
    <row r="89" spans="1:8" ht="14.95" thickBot="1" x14ac:dyDescent="0.3">
      <c r="A89" s="72" t="s">
        <v>103</v>
      </c>
      <c r="B89" s="157">
        <v>0</v>
      </c>
      <c r="C89" s="510">
        <v>0</v>
      </c>
      <c r="D89" s="73">
        <f t="shared" ref="D89:D106" si="8">SUM(B89:C89)</f>
        <v>0</v>
      </c>
      <c r="E89" s="92" t="s">
        <v>304</v>
      </c>
      <c r="F89" s="282">
        <v>0</v>
      </c>
      <c r="G89" s="512">
        <v>0</v>
      </c>
      <c r="H89" s="94">
        <f t="shared" ref="H89:H106" si="9">SUM(F89:G89)</f>
        <v>0</v>
      </c>
    </row>
    <row r="90" spans="1:8" ht="14.95" thickBot="1" x14ac:dyDescent="0.3">
      <c r="A90" s="72" t="s">
        <v>473</v>
      </c>
      <c r="B90" s="157">
        <v>0</v>
      </c>
      <c r="C90" s="510">
        <v>0</v>
      </c>
      <c r="D90" s="73">
        <f t="shared" si="8"/>
        <v>0</v>
      </c>
      <c r="E90" s="92" t="s">
        <v>103</v>
      </c>
      <c r="F90" s="282">
        <v>0</v>
      </c>
      <c r="G90" s="512">
        <v>0</v>
      </c>
      <c r="H90" s="94">
        <f t="shared" si="9"/>
        <v>0</v>
      </c>
    </row>
    <row r="91" spans="1:8" ht="14.95" thickBot="1" x14ac:dyDescent="0.3">
      <c r="A91" s="72" t="s">
        <v>41</v>
      </c>
      <c r="B91" s="157">
        <v>0</v>
      </c>
      <c r="C91" s="510">
        <v>0</v>
      </c>
      <c r="D91" s="73">
        <f t="shared" si="8"/>
        <v>0</v>
      </c>
      <c r="E91" s="92" t="s">
        <v>473</v>
      </c>
      <c r="F91" s="282">
        <v>0</v>
      </c>
      <c r="G91" s="512">
        <v>0</v>
      </c>
      <c r="H91" s="94">
        <f t="shared" si="9"/>
        <v>0</v>
      </c>
    </row>
    <row r="92" spans="1:8" ht="14.95" thickBot="1" x14ac:dyDescent="0.3">
      <c r="A92" s="72" t="s">
        <v>42</v>
      </c>
      <c r="B92" s="157">
        <v>0</v>
      </c>
      <c r="C92" s="510">
        <v>0</v>
      </c>
      <c r="D92" s="73">
        <f t="shared" si="8"/>
        <v>0</v>
      </c>
      <c r="E92" s="92" t="s">
        <v>41</v>
      </c>
      <c r="F92" s="282">
        <v>0</v>
      </c>
      <c r="G92" s="512">
        <v>0</v>
      </c>
      <c r="H92" s="94">
        <f t="shared" si="9"/>
        <v>0</v>
      </c>
    </row>
    <row r="93" spans="1:8" ht="14.95" thickBot="1" x14ac:dyDescent="0.3">
      <c r="A93" s="72" t="s">
        <v>599</v>
      </c>
      <c r="B93" s="157">
        <v>0</v>
      </c>
      <c r="C93" s="510">
        <v>0</v>
      </c>
      <c r="D93" s="73">
        <f t="shared" si="8"/>
        <v>0</v>
      </c>
      <c r="E93" s="92" t="s">
        <v>42</v>
      </c>
      <c r="F93" s="282">
        <v>0</v>
      </c>
      <c r="G93" s="512">
        <v>0</v>
      </c>
      <c r="H93" s="94">
        <f t="shared" si="9"/>
        <v>0</v>
      </c>
    </row>
    <row r="94" spans="1:8" ht="14.95" thickBot="1" x14ac:dyDescent="0.3">
      <c r="A94" s="72" t="s">
        <v>44</v>
      </c>
      <c r="B94" s="157">
        <v>0</v>
      </c>
      <c r="C94" s="510">
        <v>0</v>
      </c>
      <c r="D94" s="73">
        <f t="shared" si="8"/>
        <v>0</v>
      </c>
      <c r="E94" s="92" t="s">
        <v>599</v>
      </c>
      <c r="F94" s="282">
        <v>0</v>
      </c>
      <c r="G94" s="512">
        <v>0</v>
      </c>
      <c r="H94" s="94">
        <f t="shared" si="9"/>
        <v>0</v>
      </c>
    </row>
    <row r="95" spans="1:8" ht="14.95" thickBot="1" x14ac:dyDescent="0.3">
      <c r="A95" s="72" t="s">
        <v>45</v>
      </c>
      <c r="B95" s="157">
        <v>0</v>
      </c>
      <c r="C95" s="510">
        <v>0</v>
      </c>
      <c r="D95" s="73">
        <f t="shared" si="8"/>
        <v>0</v>
      </c>
      <c r="E95" s="92" t="s">
        <v>44</v>
      </c>
      <c r="F95" s="282">
        <v>0</v>
      </c>
      <c r="G95" s="512">
        <v>0</v>
      </c>
      <c r="H95" s="94">
        <f t="shared" si="9"/>
        <v>0</v>
      </c>
    </row>
    <row r="96" spans="1:8" ht="14.95" thickBot="1" x14ac:dyDescent="0.3">
      <c r="A96" s="72" t="s">
        <v>27</v>
      </c>
      <c r="B96" s="157">
        <v>0</v>
      </c>
      <c r="C96" s="510">
        <v>0</v>
      </c>
      <c r="D96" s="73">
        <f t="shared" si="8"/>
        <v>0</v>
      </c>
      <c r="E96" s="92" t="s">
        <v>45</v>
      </c>
      <c r="F96" s="282">
        <v>0</v>
      </c>
      <c r="G96" s="512">
        <v>0</v>
      </c>
      <c r="H96" s="94">
        <f t="shared" si="9"/>
        <v>0</v>
      </c>
    </row>
    <row r="97" spans="1:8" ht="14.95" thickBot="1" x14ac:dyDescent="0.3">
      <c r="A97" s="72" t="s">
        <v>135</v>
      </c>
      <c r="B97" s="157">
        <v>0</v>
      </c>
      <c r="C97" s="510">
        <v>0</v>
      </c>
      <c r="D97" s="73">
        <f t="shared" si="8"/>
        <v>0</v>
      </c>
      <c r="E97" s="92" t="s">
        <v>27</v>
      </c>
      <c r="F97" s="282">
        <v>0</v>
      </c>
      <c r="G97" s="512">
        <v>0</v>
      </c>
      <c r="H97" s="94">
        <f t="shared" si="9"/>
        <v>0</v>
      </c>
    </row>
    <row r="98" spans="1:8" ht="14.95" thickBot="1" x14ac:dyDescent="0.3">
      <c r="A98" s="72" t="s">
        <v>598</v>
      </c>
      <c r="B98" s="157">
        <v>0</v>
      </c>
      <c r="C98" s="510">
        <v>0</v>
      </c>
      <c r="D98" s="73">
        <f t="shared" si="8"/>
        <v>0</v>
      </c>
      <c r="E98" s="92" t="s">
        <v>135</v>
      </c>
      <c r="F98" s="282">
        <v>0</v>
      </c>
      <c r="G98" s="512">
        <v>0</v>
      </c>
      <c r="H98" s="94">
        <f t="shared" si="9"/>
        <v>0</v>
      </c>
    </row>
    <row r="99" spans="1:8" ht="14.95" thickBot="1" x14ac:dyDescent="0.3">
      <c r="A99" s="72" t="s">
        <v>925</v>
      </c>
      <c r="B99" s="157">
        <v>0</v>
      </c>
      <c r="C99" s="510">
        <v>0</v>
      </c>
      <c r="D99" s="73">
        <f t="shared" si="8"/>
        <v>0</v>
      </c>
      <c r="E99" s="92" t="s">
        <v>598</v>
      </c>
      <c r="F99" s="282">
        <v>0</v>
      </c>
      <c r="G99" s="512">
        <v>0</v>
      </c>
      <c r="H99" s="94">
        <f t="shared" si="9"/>
        <v>0</v>
      </c>
    </row>
    <row r="100" spans="1:8" ht="14.95" thickBot="1" x14ac:dyDescent="0.3">
      <c r="A100" s="72" t="s">
        <v>1205</v>
      </c>
      <c r="B100" s="157">
        <v>0</v>
      </c>
      <c r="C100" s="510">
        <v>0</v>
      </c>
      <c r="D100" s="73">
        <f t="shared" si="8"/>
        <v>0</v>
      </c>
      <c r="E100" s="92" t="s">
        <v>925</v>
      </c>
      <c r="F100" s="282">
        <v>0</v>
      </c>
      <c r="G100" s="512">
        <v>0</v>
      </c>
      <c r="H100" s="94">
        <f t="shared" si="9"/>
        <v>0</v>
      </c>
    </row>
    <row r="101" spans="1:8" ht="14.95" thickBot="1" x14ac:dyDescent="0.3">
      <c r="A101" s="72" t="s">
        <v>4</v>
      </c>
      <c r="B101" s="157">
        <v>0</v>
      </c>
      <c r="C101" s="510">
        <v>0</v>
      </c>
      <c r="D101" s="73">
        <f t="shared" si="8"/>
        <v>0</v>
      </c>
      <c r="E101" s="92" t="s">
        <v>4</v>
      </c>
      <c r="F101" s="282">
        <v>0</v>
      </c>
      <c r="G101" s="512">
        <v>0</v>
      </c>
      <c r="H101" s="94">
        <f t="shared" si="9"/>
        <v>0</v>
      </c>
    </row>
    <row r="102" spans="1:8" ht="14.95" thickBot="1" x14ac:dyDescent="0.3">
      <c r="A102" s="72" t="s">
        <v>930</v>
      </c>
      <c r="B102" s="157">
        <v>0</v>
      </c>
      <c r="C102" s="510">
        <v>0</v>
      </c>
      <c r="D102" s="73">
        <f t="shared" si="8"/>
        <v>0</v>
      </c>
      <c r="E102" s="92" t="s">
        <v>930</v>
      </c>
      <c r="F102" s="282">
        <v>0</v>
      </c>
      <c r="G102" s="512">
        <v>0</v>
      </c>
      <c r="H102" s="94">
        <f t="shared" si="9"/>
        <v>0</v>
      </c>
    </row>
    <row r="103" spans="1:8" ht="14.95" thickBot="1" x14ac:dyDescent="0.3">
      <c r="A103" s="72" t="s">
        <v>877</v>
      </c>
      <c r="B103" s="157">
        <v>0</v>
      </c>
      <c r="C103" s="510">
        <v>0</v>
      </c>
      <c r="D103" s="73">
        <f t="shared" si="8"/>
        <v>0</v>
      </c>
      <c r="E103" s="92" t="s">
        <v>877</v>
      </c>
      <c r="F103" s="282">
        <v>0</v>
      </c>
      <c r="G103" s="512">
        <v>0</v>
      </c>
      <c r="H103" s="94">
        <f t="shared" si="9"/>
        <v>0</v>
      </c>
    </row>
    <row r="104" spans="1:8" ht="14.95" thickBot="1" x14ac:dyDescent="0.3">
      <c r="A104" s="72" t="s">
        <v>306</v>
      </c>
      <c r="B104" s="157">
        <v>0</v>
      </c>
      <c r="C104" s="510">
        <v>0</v>
      </c>
      <c r="D104" s="73">
        <f t="shared" si="8"/>
        <v>0</v>
      </c>
      <c r="E104" s="92" t="s">
        <v>306</v>
      </c>
      <c r="F104" s="282">
        <v>0</v>
      </c>
      <c r="G104" s="512">
        <v>0</v>
      </c>
      <c r="H104" s="94">
        <f t="shared" si="9"/>
        <v>0</v>
      </c>
    </row>
    <row r="105" spans="1:8" ht="14.95" thickBot="1" x14ac:dyDescent="0.3">
      <c r="A105" s="72" t="s">
        <v>878</v>
      </c>
      <c r="B105" s="157">
        <v>0</v>
      </c>
      <c r="C105" s="510">
        <v>0</v>
      </c>
      <c r="D105" s="73">
        <f t="shared" si="8"/>
        <v>0</v>
      </c>
      <c r="E105" s="92" t="s">
        <v>878</v>
      </c>
      <c r="F105" s="282">
        <v>0</v>
      </c>
      <c r="G105" s="512">
        <v>0</v>
      </c>
      <c r="H105" s="94">
        <f t="shared" si="9"/>
        <v>0</v>
      </c>
    </row>
    <row r="106" spans="1:8" ht="14.95" thickBot="1" x14ac:dyDescent="0.3">
      <c r="A106" s="72" t="s">
        <v>47</v>
      </c>
      <c r="B106" s="157">
        <v>0</v>
      </c>
      <c r="C106" s="510">
        <v>0</v>
      </c>
      <c r="D106" s="73">
        <f t="shared" si="8"/>
        <v>0</v>
      </c>
      <c r="E106" s="92" t="s">
        <v>47</v>
      </c>
      <c r="F106" s="282">
        <v>0</v>
      </c>
      <c r="G106" s="512">
        <v>0</v>
      </c>
      <c r="H106" s="94">
        <f t="shared" si="9"/>
        <v>0</v>
      </c>
    </row>
    <row r="107" spans="1:8" ht="14.95" thickBot="1" x14ac:dyDescent="0.3">
      <c r="A107" s="72" t="s">
        <v>3</v>
      </c>
      <c r="B107" s="157">
        <f>SUM(B57:B106)</f>
        <v>47</v>
      </c>
      <c r="C107" s="510">
        <f>SUM(C57:C106)</f>
        <v>16</v>
      </c>
      <c r="D107" s="73">
        <f t="shared" ref="D107" si="10">SUM(B107:C107)</f>
        <v>63</v>
      </c>
      <c r="E107" s="92" t="s">
        <v>3</v>
      </c>
      <c r="F107" s="282">
        <f>SUM(F57:F106)</f>
        <v>301</v>
      </c>
      <c r="G107" s="512">
        <f>SUM(G57:G106)</f>
        <v>119</v>
      </c>
      <c r="H107" s="94">
        <f t="shared" ref="H107" si="11">SUM(F107:G107)</f>
        <v>420</v>
      </c>
    </row>
    <row r="108" spans="1:8" ht="14.3" customHeight="1" x14ac:dyDescent="0.3">
      <c r="A108" s="487" t="s">
        <v>28</v>
      </c>
      <c r="C108" s="487"/>
      <c r="E108" s="487"/>
    </row>
  </sheetData>
  <sortState xmlns:xlrd2="http://schemas.microsoft.com/office/spreadsheetml/2017/richdata2" ref="E57:H106">
    <sortCondition descending="1" ref="H57:H106"/>
  </sortState>
  <mergeCells count="30">
    <mergeCell ref="A1:H1"/>
    <mergeCell ref="I12:I13"/>
    <mergeCell ref="J12:L13"/>
    <mergeCell ref="I1:I2"/>
    <mergeCell ref="AO1:AQ2"/>
    <mergeCell ref="M1:O2"/>
    <mergeCell ref="P1:P2"/>
    <mergeCell ref="J20:L21"/>
    <mergeCell ref="P12:R13"/>
    <mergeCell ref="W1:Y2"/>
    <mergeCell ref="AL1:AN2"/>
    <mergeCell ref="S20:U21"/>
    <mergeCell ref="AL20:AN21"/>
    <mergeCell ref="J1:L2"/>
    <mergeCell ref="A54:H54"/>
    <mergeCell ref="AI1:AK2"/>
    <mergeCell ref="AI20:AK21"/>
    <mergeCell ref="AF1:AH2"/>
    <mergeCell ref="AF20:AH21"/>
    <mergeCell ref="M12:O13"/>
    <mergeCell ref="AC1:AE2"/>
    <mergeCell ref="M20:O21"/>
    <mergeCell ref="AC20:AE21"/>
    <mergeCell ref="Q1:S2"/>
    <mergeCell ref="T1:V2"/>
    <mergeCell ref="P20:R21"/>
    <mergeCell ref="Z1:AB2"/>
    <mergeCell ref="Z20:AB21"/>
    <mergeCell ref="M30:O31"/>
    <mergeCell ref="I20:I21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Y101"/>
  <sheetViews>
    <sheetView workbookViewId="0">
      <selection activeCell="N6" sqref="N6"/>
    </sheetView>
  </sheetViews>
  <sheetFormatPr defaultRowHeight="14.3" x14ac:dyDescent="0.25"/>
  <cols>
    <col min="1" max="1" width="16.5" customWidth="1"/>
    <col min="2" max="3" width="4.5" customWidth="1"/>
    <col min="4" max="4" width="4.625" customWidth="1"/>
    <col min="5" max="5" width="16.5" customWidth="1"/>
    <col min="6" max="8" width="4.5" customWidth="1"/>
    <col min="9" max="9" width="15.5" customWidth="1"/>
    <col min="10" max="26" width="5.5" customWidth="1"/>
    <col min="27" max="48" width="5.625" customWidth="1"/>
  </cols>
  <sheetData>
    <row r="1" spans="1:51" ht="14.95" customHeight="1" thickBot="1" x14ac:dyDescent="0.3">
      <c r="A1" s="687" t="s">
        <v>1450</v>
      </c>
      <c r="B1" s="688"/>
      <c r="C1" s="688"/>
      <c r="D1" s="688"/>
      <c r="E1" s="688"/>
      <c r="F1" s="688"/>
      <c r="G1" s="688"/>
      <c r="H1" s="689"/>
      <c r="I1" s="690" t="s">
        <v>112</v>
      </c>
      <c r="J1" s="583">
        <v>2026</v>
      </c>
      <c r="K1" s="584"/>
      <c r="L1" s="585"/>
      <c r="M1" s="583" t="s">
        <v>32</v>
      </c>
      <c r="N1" s="584"/>
      <c r="O1" s="585"/>
      <c r="P1" s="579" t="s">
        <v>121</v>
      </c>
      <c r="Q1" s="568">
        <v>2025</v>
      </c>
      <c r="R1" s="569"/>
      <c r="S1" s="570"/>
      <c r="T1" s="568">
        <v>2024</v>
      </c>
      <c r="U1" s="569"/>
      <c r="V1" s="570"/>
      <c r="W1" s="125"/>
      <c r="X1" s="125"/>
      <c r="Y1" s="568">
        <v>2023</v>
      </c>
      <c r="Z1" s="569"/>
      <c r="AA1" s="570"/>
      <c r="AB1" s="568">
        <v>2022</v>
      </c>
      <c r="AC1" s="569"/>
      <c r="AD1" s="570"/>
      <c r="AE1" s="568">
        <v>2021</v>
      </c>
      <c r="AF1" s="569"/>
      <c r="AG1" s="570"/>
      <c r="AH1" s="568">
        <v>2020</v>
      </c>
      <c r="AI1" s="569"/>
      <c r="AJ1" s="570"/>
      <c r="AK1" s="568">
        <v>2019</v>
      </c>
      <c r="AL1" s="569"/>
      <c r="AM1" s="570"/>
      <c r="AN1" s="557">
        <v>2018</v>
      </c>
      <c r="AO1" s="563"/>
      <c r="AP1" s="564"/>
      <c r="AQ1" s="557">
        <v>2017</v>
      </c>
      <c r="AR1" s="563"/>
      <c r="AS1" s="564"/>
      <c r="AT1" s="557">
        <v>2016</v>
      </c>
      <c r="AU1" s="563"/>
      <c r="AV1" s="564"/>
    </row>
    <row r="2" spans="1:51" ht="14.95" customHeight="1" thickBot="1" x14ac:dyDescent="0.3">
      <c r="A2" s="198" t="s">
        <v>0</v>
      </c>
      <c r="B2" s="199" t="s">
        <v>36</v>
      </c>
      <c r="C2" s="541" t="s">
        <v>1447</v>
      </c>
      <c r="D2" s="200" t="s">
        <v>1</v>
      </c>
      <c r="E2" s="175" t="s">
        <v>2</v>
      </c>
      <c r="F2" s="196" t="s">
        <v>36</v>
      </c>
      <c r="G2" s="383" t="s">
        <v>1447</v>
      </c>
      <c r="H2" s="178" t="s">
        <v>1</v>
      </c>
      <c r="I2" s="691"/>
      <c r="J2" s="586"/>
      <c r="K2" s="587"/>
      <c r="L2" s="588"/>
      <c r="M2" s="586"/>
      <c r="N2" s="587"/>
      <c r="O2" s="588"/>
      <c r="P2" s="580"/>
      <c r="Q2" s="571"/>
      <c r="R2" s="572"/>
      <c r="S2" s="573"/>
      <c r="T2" s="571"/>
      <c r="U2" s="572"/>
      <c r="V2" s="573"/>
      <c r="W2" s="125"/>
      <c r="X2" s="125"/>
      <c r="Y2" s="571"/>
      <c r="Z2" s="572"/>
      <c r="AA2" s="573"/>
      <c r="AB2" s="571"/>
      <c r="AC2" s="572"/>
      <c r="AD2" s="573"/>
      <c r="AE2" s="571"/>
      <c r="AF2" s="572"/>
      <c r="AG2" s="573"/>
      <c r="AH2" s="571"/>
      <c r="AI2" s="572"/>
      <c r="AJ2" s="573"/>
      <c r="AK2" s="571"/>
      <c r="AL2" s="572"/>
      <c r="AM2" s="573"/>
      <c r="AN2" s="565"/>
      <c r="AO2" s="566"/>
      <c r="AP2" s="567"/>
      <c r="AQ2" s="565"/>
      <c r="AR2" s="566"/>
      <c r="AS2" s="567"/>
      <c r="AT2" s="565"/>
      <c r="AU2" s="566"/>
      <c r="AV2" s="567"/>
    </row>
    <row r="3" spans="1:51" ht="14.95" customHeight="1" thickBot="1" x14ac:dyDescent="0.3">
      <c r="A3" s="97" t="s">
        <v>192</v>
      </c>
      <c r="B3" s="153">
        <v>0</v>
      </c>
      <c r="C3" s="542">
        <v>0</v>
      </c>
      <c r="D3" s="54">
        <f t="shared" ref="D3:D50" si="0">SUM(B3:C3)</f>
        <v>0</v>
      </c>
      <c r="E3" s="25" t="s">
        <v>192</v>
      </c>
      <c r="F3" s="154">
        <v>0</v>
      </c>
      <c r="G3" s="384">
        <v>0</v>
      </c>
      <c r="H3" s="27">
        <f t="shared" ref="H3:H50" si="1">SUM(F3:G3)</f>
        <v>0</v>
      </c>
      <c r="I3" s="4"/>
      <c r="J3" s="1" t="s">
        <v>152</v>
      </c>
      <c r="K3" s="1" t="s">
        <v>12</v>
      </c>
      <c r="L3" s="1" t="s">
        <v>13</v>
      </c>
      <c r="M3" s="183" t="s">
        <v>152</v>
      </c>
      <c r="N3" s="1" t="s">
        <v>12</v>
      </c>
      <c r="O3" s="1" t="s">
        <v>13</v>
      </c>
      <c r="P3" s="1"/>
      <c r="Q3" s="128" t="s">
        <v>152</v>
      </c>
      <c r="R3" s="128" t="s">
        <v>12</v>
      </c>
      <c r="S3" s="128" t="s">
        <v>13</v>
      </c>
      <c r="T3" s="128" t="s">
        <v>152</v>
      </c>
      <c r="U3" s="128" t="s">
        <v>12</v>
      </c>
      <c r="V3" s="128" t="s">
        <v>13</v>
      </c>
      <c r="W3" s="121"/>
      <c r="X3" s="121"/>
      <c r="Y3" s="228" t="s">
        <v>152</v>
      </c>
      <c r="Z3" s="128" t="s">
        <v>12</v>
      </c>
      <c r="AA3" s="128" t="s">
        <v>13</v>
      </c>
      <c r="AB3" s="228" t="s">
        <v>152</v>
      </c>
      <c r="AC3" s="128" t="s">
        <v>12</v>
      </c>
      <c r="AD3" s="128" t="s">
        <v>13</v>
      </c>
      <c r="AE3" s="228" t="s">
        <v>152</v>
      </c>
      <c r="AF3" s="128" t="s">
        <v>12</v>
      </c>
      <c r="AG3" s="128" t="s">
        <v>13</v>
      </c>
      <c r="AH3" s="228" t="s">
        <v>152</v>
      </c>
      <c r="AI3" s="128" t="s">
        <v>12</v>
      </c>
      <c r="AJ3" s="128" t="s">
        <v>13</v>
      </c>
      <c r="AK3" s="228" t="s">
        <v>152</v>
      </c>
      <c r="AL3" s="128" t="s">
        <v>12</v>
      </c>
      <c r="AM3" s="128" t="s">
        <v>13</v>
      </c>
      <c r="AN3" s="171" t="s">
        <v>152</v>
      </c>
      <c r="AO3" s="119" t="s">
        <v>12</v>
      </c>
      <c r="AP3" s="119" t="s">
        <v>13</v>
      </c>
      <c r="AQ3" s="171" t="s">
        <v>152</v>
      </c>
      <c r="AR3" s="119" t="s">
        <v>12</v>
      </c>
      <c r="AS3" s="119" t="s">
        <v>13</v>
      </c>
      <c r="AT3" s="171" t="s">
        <v>152</v>
      </c>
      <c r="AU3" s="119" t="s">
        <v>12</v>
      </c>
      <c r="AV3" s="119" t="s">
        <v>13</v>
      </c>
    </row>
    <row r="4" spans="1:51" ht="14.95" customHeight="1" thickBot="1" x14ac:dyDescent="0.3">
      <c r="A4" s="97" t="s">
        <v>484</v>
      </c>
      <c r="B4" s="153">
        <v>0</v>
      </c>
      <c r="C4" s="542">
        <v>0</v>
      </c>
      <c r="D4" s="54">
        <f t="shared" si="0"/>
        <v>0</v>
      </c>
      <c r="E4" s="25" t="s">
        <v>484</v>
      </c>
      <c r="F4" s="154">
        <v>0</v>
      </c>
      <c r="G4" s="384">
        <v>0</v>
      </c>
      <c r="H4" s="27">
        <f t="shared" si="1"/>
        <v>0</v>
      </c>
      <c r="I4" s="233" t="s">
        <v>366</v>
      </c>
      <c r="J4" s="54" t="s">
        <v>17</v>
      </c>
      <c r="K4" s="54" t="s">
        <v>17</v>
      </c>
      <c r="L4" s="55" t="s">
        <v>17</v>
      </c>
      <c r="M4" s="54" t="s">
        <v>17</v>
      </c>
      <c r="N4" s="54" t="s">
        <v>17</v>
      </c>
      <c r="O4" s="55" t="s">
        <v>17</v>
      </c>
      <c r="P4" s="54">
        <v>1</v>
      </c>
      <c r="Q4" s="128" t="s">
        <v>17</v>
      </c>
      <c r="R4" s="128" t="s">
        <v>17</v>
      </c>
      <c r="S4" s="231" t="s">
        <v>17</v>
      </c>
      <c r="T4" s="128" t="s">
        <v>17</v>
      </c>
      <c r="U4" s="128" t="s">
        <v>17</v>
      </c>
      <c r="V4" s="231" t="s">
        <v>17</v>
      </c>
      <c r="W4" s="121"/>
      <c r="X4" s="121"/>
      <c r="Y4" s="228" t="s">
        <v>17</v>
      </c>
      <c r="Z4" s="128" t="s">
        <v>17</v>
      </c>
      <c r="AA4" s="231" t="s">
        <v>17</v>
      </c>
      <c r="AB4" s="228" t="s">
        <v>17</v>
      </c>
      <c r="AC4" s="128" t="s">
        <v>17</v>
      </c>
      <c r="AD4" s="231" t="s">
        <v>17</v>
      </c>
      <c r="AE4" s="228">
        <v>2</v>
      </c>
      <c r="AF4" s="128">
        <v>3</v>
      </c>
      <c r="AG4" s="231">
        <f>SUM(AE4/AF4)*100</f>
        <v>66.666666666666657</v>
      </c>
      <c r="AH4" s="228">
        <v>7</v>
      </c>
      <c r="AI4" s="128">
        <v>7</v>
      </c>
      <c r="AJ4" s="128">
        <v>100</v>
      </c>
      <c r="AK4" s="228" t="s">
        <v>17</v>
      </c>
      <c r="AL4" s="128" t="s">
        <v>17</v>
      </c>
      <c r="AM4" s="128" t="s">
        <v>17</v>
      </c>
      <c r="AN4" s="228" t="s">
        <v>17</v>
      </c>
      <c r="AO4" s="128" t="s">
        <v>17</v>
      </c>
      <c r="AP4" s="128" t="s">
        <v>17</v>
      </c>
      <c r="AQ4" s="232" t="s">
        <v>17</v>
      </c>
      <c r="AR4" s="128" t="s">
        <v>17</v>
      </c>
      <c r="AS4" s="128" t="s">
        <v>17</v>
      </c>
      <c r="AT4" s="232" t="s">
        <v>17</v>
      </c>
      <c r="AU4" s="128" t="s">
        <v>17</v>
      </c>
      <c r="AV4" s="128" t="s">
        <v>17</v>
      </c>
    </row>
    <row r="5" spans="1:51" ht="14.95" customHeight="1" thickBot="1" x14ac:dyDescent="0.3">
      <c r="A5" s="97" t="s">
        <v>1463</v>
      </c>
      <c r="B5" s="153">
        <v>2</v>
      </c>
      <c r="C5" s="542">
        <v>0</v>
      </c>
      <c r="D5" s="54">
        <f t="shared" si="0"/>
        <v>2</v>
      </c>
      <c r="E5" s="25" t="s">
        <v>1463</v>
      </c>
      <c r="F5" s="154">
        <v>10</v>
      </c>
      <c r="G5" s="384">
        <v>0</v>
      </c>
      <c r="H5" s="27">
        <f t="shared" si="1"/>
        <v>10</v>
      </c>
      <c r="I5" s="233" t="s">
        <v>406</v>
      </c>
      <c r="J5" s="54" t="s">
        <v>17</v>
      </c>
      <c r="K5" s="54" t="s">
        <v>17</v>
      </c>
      <c r="L5" s="55" t="s">
        <v>17</v>
      </c>
      <c r="M5" s="54" t="s">
        <v>17</v>
      </c>
      <c r="N5" s="54" t="s">
        <v>17</v>
      </c>
      <c r="O5" s="55" t="s">
        <v>17</v>
      </c>
      <c r="P5" s="54">
        <v>3</v>
      </c>
      <c r="Q5" s="128" t="s">
        <v>17</v>
      </c>
      <c r="R5" s="128" t="s">
        <v>17</v>
      </c>
      <c r="S5" s="231" t="s">
        <v>17</v>
      </c>
      <c r="T5" s="128">
        <v>1</v>
      </c>
      <c r="U5" s="128">
        <v>1</v>
      </c>
      <c r="V5" s="231">
        <f>SUM(T5/U5)*100</f>
        <v>100</v>
      </c>
      <c r="W5" s="121"/>
      <c r="X5" s="121"/>
      <c r="Y5" s="228" t="s">
        <v>17</v>
      </c>
      <c r="Z5" s="128" t="s">
        <v>17</v>
      </c>
      <c r="AA5" s="231" t="s">
        <v>17</v>
      </c>
      <c r="AB5" s="228" t="s">
        <v>17</v>
      </c>
      <c r="AC5" s="128" t="s">
        <v>17</v>
      </c>
      <c r="AD5" s="231" t="s">
        <v>17</v>
      </c>
      <c r="AE5" s="228">
        <v>3</v>
      </c>
      <c r="AF5" s="128">
        <v>4</v>
      </c>
      <c r="AG5" s="231">
        <f>SUM(AE5/AF5)*100</f>
        <v>75</v>
      </c>
      <c r="AH5" s="228" t="s">
        <v>17</v>
      </c>
      <c r="AI5" s="128" t="s">
        <v>17</v>
      </c>
      <c r="AJ5" s="128" t="s">
        <v>17</v>
      </c>
      <c r="AK5" s="228" t="s">
        <v>17</v>
      </c>
      <c r="AL5" s="128" t="s">
        <v>17</v>
      </c>
      <c r="AM5" s="128" t="s">
        <v>17</v>
      </c>
      <c r="AN5" s="232" t="s">
        <v>17</v>
      </c>
      <c r="AO5" s="128" t="s">
        <v>17</v>
      </c>
      <c r="AP5" s="128" t="s">
        <v>17</v>
      </c>
      <c r="AQ5" s="128" t="s">
        <v>17</v>
      </c>
      <c r="AR5" s="128" t="s">
        <v>17</v>
      </c>
      <c r="AS5" s="128" t="s">
        <v>17</v>
      </c>
      <c r="AT5" s="128" t="s">
        <v>17</v>
      </c>
      <c r="AU5" s="128" t="s">
        <v>17</v>
      </c>
      <c r="AV5" s="128" t="s">
        <v>17</v>
      </c>
    </row>
    <row r="6" spans="1:51" ht="14.95" customHeight="1" thickBot="1" x14ac:dyDescent="0.3">
      <c r="A6" s="97" t="s">
        <v>387</v>
      </c>
      <c r="B6" s="153">
        <v>0</v>
      </c>
      <c r="C6" s="542">
        <v>0</v>
      </c>
      <c r="D6" s="54">
        <f t="shared" si="0"/>
        <v>0</v>
      </c>
      <c r="E6" s="25" t="s">
        <v>387</v>
      </c>
      <c r="F6" s="154">
        <v>0</v>
      </c>
      <c r="G6" s="384">
        <v>0</v>
      </c>
      <c r="H6" s="27">
        <f t="shared" si="1"/>
        <v>0</v>
      </c>
      <c r="I6" s="233" t="s">
        <v>250</v>
      </c>
      <c r="J6" s="54" t="s">
        <v>17</v>
      </c>
      <c r="K6" s="54" t="s">
        <v>17</v>
      </c>
      <c r="L6" s="55" t="s">
        <v>17</v>
      </c>
      <c r="M6" s="54" t="s">
        <v>17</v>
      </c>
      <c r="N6" s="54" t="s">
        <v>17</v>
      </c>
      <c r="O6" s="55" t="s">
        <v>17</v>
      </c>
      <c r="P6" s="54">
        <v>4</v>
      </c>
      <c r="Q6" s="128" t="s">
        <v>17</v>
      </c>
      <c r="R6" s="128" t="s">
        <v>17</v>
      </c>
      <c r="S6" s="231" t="s">
        <v>17</v>
      </c>
      <c r="T6" s="128" t="s">
        <v>17</v>
      </c>
      <c r="U6" s="128" t="s">
        <v>17</v>
      </c>
      <c r="V6" s="231" t="s">
        <v>17</v>
      </c>
      <c r="W6" s="121"/>
      <c r="X6" s="121"/>
      <c r="Y6" s="228">
        <v>12</v>
      </c>
      <c r="Z6" s="128">
        <v>18</v>
      </c>
      <c r="AA6" s="231">
        <f>SUM(Y6/Z6)*100</f>
        <v>66.666666666666657</v>
      </c>
      <c r="AB6" s="228">
        <v>1</v>
      </c>
      <c r="AC6" s="128">
        <v>1</v>
      </c>
      <c r="AD6" s="231">
        <v>100</v>
      </c>
      <c r="AE6" s="228">
        <v>2</v>
      </c>
      <c r="AF6" s="128">
        <v>2</v>
      </c>
      <c r="AG6" s="231">
        <f>SUM(AE6/AF6)*100</f>
        <v>100</v>
      </c>
      <c r="AH6" s="228">
        <v>5</v>
      </c>
      <c r="AI6" s="128">
        <v>5</v>
      </c>
      <c r="AJ6" s="128">
        <v>100</v>
      </c>
      <c r="AK6" s="228">
        <v>2</v>
      </c>
      <c r="AL6" s="128">
        <v>2</v>
      </c>
      <c r="AM6" s="128">
        <f>SUM(AK6/AL6)*100</f>
        <v>100</v>
      </c>
      <c r="AN6" s="228">
        <v>2</v>
      </c>
      <c r="AO6" s="128">
        <v>3</v>
      </c>
      <c r="AP6" s="231">
        <f>SUM(AN6/AO6)*100</f>
        <v>66.666666666666657</v>
      </c>
      <c r="AQ6" s="228" t="s">
        <v>17</v>
      </c>
      <c r="AR6" s="128" t="s">
        <v>17</v>
      </c>
      <c r="AS6" s="128" t="s">
        <v>17</v>
      </c>
      <c r="AT6" s="228" t="s">
        <v>17</v>
      </c>
      <c r="AU6" s="128" t="s">
        <v>17</v>
      </c>
      <c r="AV6" s="128" t="s">
        <v>17</v>
      </c>
    </row>
    <row r="7" spans="1:51" ht="14.95" customHeight="1" thickBot="1" x14ac:dyDescent="0.3">
      <c r="A7" s="97" t="s">
        <v>249</v>
      </c>
      <c r="B7" s="153">
        <v>0</v>
      </c>
      <c r="C7" s="542">
        <v>0</v>
      </c>
      <c r="D7" s="54">
        <f t="shared" si="0"/>
        <v>0</v>
      </c>
      <c r="E7" s="25" t="s">
        <v>249</v>
      </c>
      <c r="F7" s="154">
        <v>0</v>
      </c>
      <c r="G7" s="384">
        <v>0</v>
      </c>
      <c r="H7" s="27">
        <f t="shared" si="1"/>
        <v>0</v>
      </c>
      <c r="I7" s="97" t="s">
        <v>866</v>
      </c>
      <c r="J7" s="54" t="s">
        <v>17</v>
      </c>
      <c r="K7" s="54" t="s">
        <v>17</v>
      </c>
      <c r="L7" s="55" t="s">
        <v>17</v>
      </c>
      <c r="M7" s="54" t="s">
        <v>17</v>
      </c>
      <c r="N7" s="54" t="s">
        <v>17</v>
      </c>
      <c r="O7" s="55" t="s">
        <v>17</v>
      </c>
      <c r="P7" s="54">
        <v>1</v>
      </c>
      <c r="Q7" s="128" t="s">
        <v>17</v>
      </c>
      <c r="R7" s="128" t="s">
        <v>17</v>
      </c>
      <c r="S7" s="231" t="s">
        <v>17</v>
      </c>
      <c r="T7" s="128">
        <v>1</v>
      </c>
      <c r="U7" s="128">
        <v>1</v>
      </c>
      <c r="V7" s="231">
        <f t="shared" ref="V7" si="2">SUM(T7/U7)*100</f>
        <v>100</v>
      </c>
      <c r="W7" s="121"/>
      <c r="X7" s="121"/>
      <c r="Y7" s="228" t="s">
        <v>17</v>
      </c>
      <c r="Z7" s="128" t="s">
        <v>17</v>
      </c>
      <c r="AA7" s="231" t="s">
        <v>17</v>
      </c>
      <c r="AB7" s="228" t="s">
        <v>17</v>
      </c>
      <c r="AC7" s="128" t="s">
        <v>17</v>
      </c>
      <c r="AD7" s="231" t="s">
        <v>17</v>
      </c>
      <c r="AE7" s="232" t="s">
        <v>17</v>
      </c>
      <c r="AF7" s="128" t="s">
        <v>17</v>
      </c>
      <c r="AG7" s="231" t="s">
        <v>17</v>
      </c>
      <c r="AH7" s="128" t="s">
        <v>17</v>
      </c>
      <c r="AI7" s="128" t="s">
        <v>17</v>
      </c>
      <c r="AJ7" s="231" t="s">
        <v>17</v>
      </c>
      <c r="AK7" s="128" t="s">
        <v>17</v>
      </c>
      <c r="AL7" s="128" t="s">
        <v>17</v>
      </c>
      <c r="AM7" s="231" t="s">
        <v>17</v>
      </c>
      <c r="AN7" s="128" t="s">
        <v>17</v>
      </c>
      <c r="AO7" s="128" t="s">
        <v>17</v>
      </c>
      <c r="AP7" s="231" t="s">
        <v>17</v>
      </c>
      <c r="AQ7" s="128" t="s">
        <v>17</v>
      </c>
      <c r="AR7" s="128" t="s">
        <v>17</v>
      </c>
      <c r="AS7" s="231" t="s">
        <v>17</v>
      </c>
      <c r="AT7" s="128" t="s">
        <v>17</v>
      </c>
      <c r="AU7" s="128" t="s">
        <v>17</v>
      </c>
      <c r="AV7" s="231" t="s">
        <v>17</v>
      </c>
    </row>
    <row r="8" spans="1:51" ht="14.95" customHeight="1" thickBot="1" x14ac:dyDescent="0.3">
      <c r="A8" s="97" t="s">
        <v>1262</v>
      </c>
      <c r="B8" s="153">
        <v>0</v>
      </c>
      <c r="C8" s="542">
        <v>0</v>
      </c>
      <c r="D8" s="54">
        <f t="shared" si="0"/>
        <v>0</v>
      </c>
      <c r="E8" s="25" t="s">
        <v>1262</v>
      </c>
      <c r="F8" s="154">
        <v>0</v>
      </c>
      <c r="G8" s="384">
        <v>0</v>
      </c>
      <c r="H8" s="27">
        <f t="shared" si="1"/>
        <v>0</v>
      </c>
      <c r="I8" s="233" t="s">
        <v>558</v>
      </c>
      <c r="J8" s="54">
        <v>12</v>
      </c>
      <c r="K8" s="54">
        <v>16</v>
      </c>
      <c r="L8" s="55">
        <f>SUM(J8/K8)*100</f>
        <v>75</v>
      </c>
      <c r="M8" s="54">
        <v>3</v>
      </c>
      <c r="N8" s="54">
        <v>5</v>
      </c>
      <c r="O8" s="55">
        <f>SUM(M8/N8)*100</f>
        <v>60</v>
      </c>
      <c r="P8" s="54">
        <v>1</v>
      </c>
      <c r="Q8" s="128">
        <v>26</v>
      </c>
      <c r="R8" s="128">
        <v>33</v>
      </c>
      <c r="S8" s="231">
        <v>78.787878787878782</v>
      </c>
      <c r="T8" s="128">
        <v>33</v>
      </c>
      <c r="U8" s="128">
        <v>44</v>
      </c>
      <c r="V8" s="231">
        <f>SUM(T8/U8)*100</f>
        <v>75</v>
      </c>
      <c r="W8" s="121"/>
      <c r="X8" s="121"/>
      <c r="Y8" s="228">
        <v>10</v>
      </c>
      <c r="Z8" s="128">
        <v>14</v>
      </c>
      <c r="AA8" s="231">
        <f>SUM(Y8/Z8)*100</f>
        <v>71.428571428571431</v>
      </c>
      <c r="AB8" s="228">
        <v>4</v>
      </c>
      <c r="AC8" s="128">
        <v>4</v>
      </c>
      <c r="AD8" s="231">
        <v>100</v>
      </c>
      <c r="AE8" s="228" t="s">
        <v>17</v>
      </c>
      <c r="AF8" s="128" t="s">
        <v>17</v>
      </c>
      <c r="AG8" s="231" t="s">
        <v>17</v>
      </c>
      <c r="AH8" s="128" t="s">
        <v>17</v>
      </c>
      <c r="AI8" s="128" t="s">
        <v>17</v>
      </c>
      <c r="AJ8" s="231" t="s">
        <v>17</v>
      </c>
      <c r="AK8" s="128" t="s">
        <v>17</v>
      </c>
      <c r="AL8" s="128" t="s">
        <v>17</v>
      </c>
      <c r="AM8" s="231" t="s">
        <v>17</v>
      </c>
      <c r="AN8" s="128" t="s">
        <v>17</v>
      </c>
      <c r="AO8" s="128" t="s">
        <v>17</v>
      </c>
      <c r="AP8" s="231" t="s">
        <v>17</v>
      </c>
      <c r="AQ8" s="128" t="s">
        <v>17</v>
      </c>
      <c r="AR8" s="128" t="s">
        <v>17</v>
      </c>
      <c r="AS8" s="231" t="s">
        <v>17</v>
      </c>
      <c r="AT8" s="128" t="s">
        <v>17</v>
      </c>
      <c r="AU8" s="128" t="s">
        <v>17</v>
      </c>
      <c r="AV8" s="231" t="s">
        <v>17</v>
      </c>
    </row>
    <row r="9" spans="1:51" ht="14.95" customHeight="1" thickBot="1" x14ac:dyDescent="0.3">
      <c r="A9" s="97" t="s">
        <v>406</v>
      </c>
      <c r="B9" s="153">
        <v>0</v>
      </c>
      <c r="C9" s="542">
        <v>0</v>
      </c>
      <c r="D9" s="54">
        <f t="shared" si="0"/>
        <v>0</v>
      </c>
      <c r="E9" s="25" t="s">
        <v>406</v>
      </c>
      <c r="F9" s="154">
        <v>0</v>
      </c>
      <c r="G9" s="384">
        <v>0</v>
      </c>
      <c r="H9" s="27">
        <f t="shared" si="1"/>
        <v>0</v>
      </c>
      <c r="I9" s="233" t="s">
        <v>667</v>
      </c>
      <c r="J9" s="54" t="s">
        <v>17</v>
      </c>
      <c r="K9" s="54" t="s">
        <v>17</v>
      </c>
      <c r="L9" s="55" t="s">
        <v>17</v>
      </c>
      <c r="M9" s="54" t="s">
        <v>17</v>
      </c>
      <c r="N9" s="54" t="s">
        <v>17</v>
      </c>
      <c r="O9" s="55" t="s">
        <v>17</v>
      </c>
      <c r="P9" s="54">
        <v>1</v>
      </c>
      <c r="Q9" s="128" t="s">
        <v>17</v>
      </c>
      <c r="R9" s="128" t="s">
        <v>17</v>
      </c>
      <c r="S9" s="231" t="s">
        <v>17</v>
      </c>
      <c r="T9" s="128" t="s">
        <v>17</v>
      </c>
      <c r="U9" s="128" t="s">
        <v>17</v>
      </c>
      <c r="V9" s="231" t="s">
        <v>17</v>
      </c>
      <c r="W9" s="121"/>
      <c r="X9" s="121"/>
      <c r="Y9" s="228">
        <v>1</v>
      </c>
      <c r="Z9" s="128">
        <v>1</v>
      </c>
      <c r="AA9" s="231">
        <f>SUM(Y9/Z9)*100</f>
        <v>100</v>
      </c>
      <c r="AB9" s="228" t="s">
        <v>17</v>
      </c>
      <c r="AC9" s="128" t="s">
        <v>17</v>
      </c>
      <c r="AD9" s="231" t="s">
        <v>17</v>
      </c>
      <c r="AE9" s="228" t="s">
        <v>17</v>
      </c>
      <c r="AF9" s="128" t="s">
        <v>17</v>
      </c>
      <c r="AG9" s="231" t="s">
        <v>17</v>
      </c>
      <c r="AH9" s="128" t="s">
        <v>17</v>
      </c>
      <c r="AI9" s="128" t="s">
        <v>17</v>
      </c>
      <c r="AJ9" s="231" t="s">
        <v>17</v>
      </c>
      <c r="AK9" s="128" t="s">
        <v>17</v>
      </c>
      <c r="AL9" s="128" t="s">
        <v>17</v>
      </c>
      <c r="AM9" s="231" t="s">
        <v>17</v>
      </c>
      <c r="AN9" s="128" t="s">
        <v>17</v>
      </c>
      <c r="AO9" s="128" t="s">
        <v>17</v>
      </c>
      <c r="AP9" s="231" t="s">
        <v>17</v>
      </c>
      <c r="AQ9" s="128" t="s">
        <v>17</v>
      </c>
      <c r="AR9" s="128" t="s">
        <v>17</v>
      </c>
      <c r="AS9" s="231" t="s">
        <v>17</v>
      </c>
      <c r="AT9" s="128" t="s">
        <v>17</v>
      </c>
      <c r="AU9" s="128" t="s">
        <v>17</v>
      </c>
      <c r="AV9" s="231" t="s">
        <v>17</v>
      </c>
    </row>
    <row r="10" spans="1:51" ht="14.95" customHeight="1" thickBot="1" x14ac:dyDescent="0.3">
      <c r="A10" s="97" t="s">
        <v>250</v>
      </c>
      <c r="B10" s="153">
        <v>0</v>
      </c>
      <c r="C10" s="542">
        <v>0</v>
      </c>
      <c r="D10" s="54">
        <f t="shared" si="0"/>
        <v>0</v>
      </c>
      <c r="E10" s="26" t="s">
        <v>250</v>
      </c>
      <c r="F10" s="154">
        <v>0</v>
      </c>
      <c r="G10" s="384">
        <v>0</v>
      </c>
      <c r="H10" s="27">
        <f t="shared" si="1"/>
        <v>0</v>
      </c>
      <c r="I10" s="97" t="s">
        <v>1136</v>
      </c>
      <c r="J10" s="54">
        <v>2</v>
      </c>
      <c r="K10" s="54">
        <v>4</v>
      </c>
      <c r="L10" s="55">
        <f t="shared" ref="L10" si="3">SUM(J10/K10)*100</f>
        <v>50</v>
      </c>
      <c r="M10" s="54" t="s">
        <v>17</v>
      </c>
      <c r="N10" s="54" t="s">
        <v>17</v>
      </c>
      <c r="O10" s="55" t="s">
        <v>17</v>
      </c>
      <c r="P10" s="54">
        <v>-2</v>
      </c>
      <c r="Q10" s="128">
        <v>29</v>
      </c>
      <c r="R10" s="128">
        <v>39</v>
      </c>
      <c r="S10" s="231">
        <v>74.358974358974365</v>
      </c>
      <c r="T10" s="128">
        <v>7</v>
      </c>
      <c r="U10" s="128">
        <v>10</v>
      </c>
      <c r="V10" s="231">
        <f t="shared" ref="V10" si="4">SUM(T10/U10)*100</f>
        <v>70</v>
      </c>
      <c r="W10" s="121"/>
      <c r="X10" s="121"/>
      <c r="Y10" s="228" t="s">
        <v>17</v>
      </c>
      <c r="Z10" s="128" t="s">
        <v>17</v>
      </c>
      <c r="AA10" s="231" t="s">
        <v>17</v>
      </c>
      <c r="AB10" s="228" t="s">
        <v>17</v>
      </c>
      <c r="AC10" s="128" t="s">
        <v>17</v>
      </c>
      <c r="AD10" s="231" t="s">
        <v>17</v>
      </c>
      <c r="AE10" s="128" t="s">
        <v>17</v>
      </c>
      <c r="AF10" s="128" t="s">
        <v>17</v>
      </c>
      <c r="AG10" s="231" t="s">
        <v>17</v>
      </c>
      <c r="AH10" s="128" t="s">
        <v>17</v>
      </c>
      <c r="AI10" s="128" t="s">
        <v>17</v>
      </c>
      <c r="AJ10" s="231" t="s">
        <v>17</v>
      </c>
      <c r="AK10" s="128" t="s">
        <v>17</v>
      </c>
      <c r="AL10" s="128" t="s">
        <v>17</v>
      </c>
      <c r="AM10" s="231" t="s">
        <v>17</v>
      </c>
      <c r="AN10" s="128" t="s">
        <v>17</v>
      </c>
      <c r="AO10" s="128" t="s">
        <v>17</v>
      </c>
      <c r="AP10" s="231" t="s">
        <v>17</v>
      </c>
      <c r="AQ10" s="128" t="s">
        <v>17</v>
      </c>
      <c r="AR10" s="128" t="s">
        <v>17</v>
      </c>
      <c r="AS10" s="231" t="s">
        <v>17</v>
      </c>
      <c r="AT10" s="128" t="s">
        <v>17</v>
      </c>
      <c r="AU10" s="128" t="s">
        <v>17</v>
      </c>
      <c r="AV10" s="231" t="s">
        <v>17</v>
      </c>
    </row>
    <row r="11" spans="1:51" ht="14.95" customHeight="1" thickBot="1" x14ac:dyDescent="0.3">
      <c r="A11" s="97" t="s">
        <v>866</v>
      </c>
      <c r="B11" s="153">
        <v>0</v>
      </c>
      <c r="C11" s="542">
        <v>0</v>
      </c>
      <c r="D11" s="54">
        <f t="shared" si="0"/>
        <v>0</v>
      </c>
      <c r="E11" s="26" t="s">
        <v>866</v>
      </c>
      <c r="F11" s="154">
        <v>0</v>
      </c>
      <c r="G11" s="384">
        <v>0</v>
      </c>
      <c r="H11" s="27">
        <f t="shared" si="1"/>
        <v>0</v>
      </c>
      <c r="I11" s="97" t="s">
        <v>120</v>
      </c>
      <c r="J11" s="54" t="s">
        <v>17</v>
      </c>
      <c r="K11" s="54" t="s">
        <v>17</v>
      </c>
      <c r="L11" s="55" t="s">
        <v>17</v>
      </c>
      <c r="M11" s="54" t="s">
        <v>17</v>
      </c>
      <c r="N11" s="54" t="s">
        <v>17</v>
      </c>
      <c r="O11" s="55" t="s">
        <v>17</v>
      </c>
      <c r="P11" s="54">
        <v>1</v>
      </c>
      <c r="Q11" s="128" t="s">
        <v>17</v>
      </c>
      <c r="R11" s="128" t="s">
        <v>17</v>
      </c>
      <c r="S11" s="231" t="s">
        <v>17</v>
      </c>
      <c r="T11" s="128" t="s">
        <v>17</v>
      </c>
      <c r="U11" s="128" t="s">
        <v>17</v>
      </c>
      <c r="V11" s="231" t="s">
        <v>17</v>
      </c>
      <c r="W11" s="121"/>
      <c r="X11" s="121"/>
      <c r="Y11" s="228" t="s">
        <v>17</v>
      </c>
      <c r="Z11" s="128" t="s">
        <v>17</v>
      </c>
      <c r="AA11" s="231" t="s">
        <v>17</v>
      </c>
      <c r="AB11" s="228" t="s">
        <v>17</v>
      </c>
      <c r="AC11" s="128" t="s">
        <v>17</v>
      </c>
      <c r="AD11" s="231" t="s">
        <v>17</v>
      </c>
      <c r="AE11" s="228" t="s">
        <v>17</v>
      </c>
      <c r="AF11" s="128" t="s">
        <v>17</v>
      </c>
      <c r="AG11" s="231" t="s">
        <v>17</v>
      </c>
      <c r="AH11" s="228" t="s">
        <v>17</v>
      </c>
      <c r="AI11" s="128" t="s">
        <v>17</v>
      </c>
      <c r="AJ11" s="128" t="s">
        <v>17</v>
      </c>
      <c r="AK11" s="228" t="s">
        <v>17</v>
      </c>
      <c r="AL11" s="128" t="s">
        <v>17</v>
      </c>
      <c r="AM11" s="128" t="s">
        <v>17</v>
      </c>
      <c r="AN11" s="228" t="s">
        <v>17</v>
      </c>
      <c r="AO11" s="128" t="s">
        <v>17</v>
      </c>
      <c r="AP11" s="128" t="s">
        <v>17</v>
      </c>
      <c r="AQ11" s="228">
        <v>1</v>
      </c>
      <c r="AR11" s="128">
        <v>1</v>
      </c>
      <c r="AS11" s="231">
        <f>SUM(AQ11/AR11)*100</f>
        <v>100</v>
      </c>
      <c r="AT11" s="228" t="s">
        <v>17</v>
      </c>
      <c r="AU11" s="128" t="s">
        <v>17</v>
      </c>
      <c r="AV11" s="128" t="s">
        <v>17</v>
      </c>
    </row>
    <row r="12" spans="1:51" ht="14.95" customHeight="1" thickBot="1" x14ac:dyDescent="0.3">
      <c r="A12" s="97" t="s">
        <v>1264</v>
      </c>
      <c r="B12" s="153">
        <v>0</v>
      </c>
      <c r="C12" s="542">
        <v>0</v>
      </c>
      <c r="D12" s="54">
        <f t="shared" si="0"/>
        <v>0</v>
      </c>
      <c r="E12" s="26" t="s">
        <v>1264</v>
      </c>
      <c r="F12" s="154">
        <v>0</v>
      </c>
      <c r="G12" s="384">
        <v>0</v>
      </c>
      <c r="H12" s="27">
        <f t="shared" si="1"/>
        <v>0</v>
      </c>
      <c r="Q12" s="126"/>
      <c r="R12" s="126"/>
    </row>
    <row r="13" spans="1:51" ht="14.95" customHeight="1" thickBot="1" x14ac:dyDescent="0.3">
      <c r="A13" s="97" t="s">
        <v>384</v>
      </c>
      <c r="B13" s="153">
        <v>2</v>
      </c>
      <c r="C13" s="542">
        <v>0</v>
      </c>
      <c r="D13" s="54">
        <f t="shared" si="0"/>
        <v>2</v>
      </c>
      <c r="E13" s="26" t="s">
        <v>384</v>
      </c>
      <c r="F13" s="154">
        <v>10</v>
      </c>
      <c r="G13" s="384">
        <v>0</v>
      </c>
      <c r="H13" s="27">
        <f t="shared" si="1"/>
        <v>10</v>
      </c>
      <c r="I13" s="589" t="s">
        <v>35</v>
      </c>
      <c r="J13" s="583">
        <v>2026</v>
      </c>
      <c r="K13" s="584"/>
      <c r="L13" s="585"/>
      <c r="M13" s="568">
        <v>2025</v>
      </c>
      <c r="N13" s="569"/>
      <c r="O13" s="570"/>
      <c r="P13" s="568">
        <v>2024</v>
      </c>
      <c r="Q13" s="569"/>
      <c r="R13" s="570"/>
      <c r="S13" s="568">
        <v>2023</v>
      </c>
      <c r="T13" s="558"/>
      <c r="U13" s="559"/>
      <c r="V13" s="229"/>
      <c r="W13" s="237"/>
      <c r="X13" s="237"/>
      <c r="Y13" s="568">
        <v>2022</v>
      </c>
      <c r="Z13" s="558"/>
      <c r="AA13" s="559"/>
      <c r="AB13" s="568">
        <v>2021</v>
      </c>
      <c r="AC13" s="569"/>
      <c r="AD13" s="570"/>
      <c r="AE13" s="568">
        <v>2020</v>
      </c>
      <c r="AF13" s="569"/>
      <c r="AG13" s="570"/>
      <c r="AH13" s="568">
        <v>2019</v>
      </c>
      <c r="AI13" s="569"/>
      <c r="AJ13" s="570"/>
      <c r="AK13" s="568">
        <v>2018</v>
      </c>
      <c r="AL13" s="558"/>
      <c r="AM13" s="559"/>
      <c r="AN13" s="557">
        <v>2017</v>
      </c>
      <c r="AO13" s="563"/>
      <c r="AP13" s="564"/>
      <c r="AQ13" s="557">
        <v>2016</v>
      </c>
      <c r="AR13" s="563"/>
      <c r="AS13" s="564"/>
      <c r="AT13" s="557">
        <v>2015</v>
      </c>
      <c r="AU13" s="563"/>
      <c r="AV13" s="564"/>
      <c r="AW13" s="557">
        <v>2014</v>
      </c>
      <c r="AX13" s="617"/>
      <c r="AY13" s="618"/>
    </row>
    <row r="14" spans="1:51" ht="14.95" customHeight="1" thickBot="1" x14ac:dyDescent="0.3">
      <c r="A14" s="97" t="s">
        <v>558</v>
      </c>
      <c r="B14" s="153">
        <v>1</v>
      </c>
      <c r="C14" s="542">
        <v>0</v>
      </c>
      <c r="D14" s="54">
        <f t="shared" si="0"/>
        <v>1</v>
      </c>
      <c r="E14" s="26" t="s">
        <v>558</v>
      </c>
      <c r="F14" s="154">
        <v>34</v>
      </c>
      <c r="G14" s="384">
        <v>0</v>
      </c>
      <c r="H14" s="27">
        <f t="shared" si="1"/>
        <v>34</v>
      </c>
      <c r="I14" s="590"/>
      <c r="J14" s="586"/>
      <c r="K14" s="587"/>
      <c r="L14" s="588"/>
      <c r="M14" s="571"/>
      <c r="N14" s="572"/>
      <c r="O14" s="573"/>
      <c r="P14" s="571"/>
      <c r="Q14" s="572"/>
      <c r="R14" s="573"/>
      <c r="S14" s="560"/>
      <c r="T14" s="561"/>
      <c r="U14" s="562"/>
      <c r="V14" s="284"/>
      <c r="W14" s="237"/>
      <c r="X14" s="237"/>
      <c r="Y14" s="560"/>
      <c r="Z14" s="561"/>
      <c r="AA14" s="562"/>
      <c r="AB14" s="571"/>
      <c r="AC14" s="572"/>
      <c r="AD14" s="573"/>
      <c r="AE14" s="571"/>
      <c r="AF14" s="572"/>
      <c r="AG14" s="573"/>
      <c r="AH14" s="571"/>
      <c r="AI14" s="572"/>
      <c r="AJ14" s="573"/>
      <c r="AK14" s="560"/>
      <c r="AL14" s="561"/>
      <c r="AM14" s="562"/>
      <c r="AN14" s="565"/>
      <c r="AO14" s="566"/>
      <c r="AP14" s="567"/>
      <c r="AQ14" s="565"/>
      <c r="AR14" s="566"/>
      <c r="AS14" s="567"/>
      <c r="AT14" s="565"/>
      <c r="AU14" s="566"/>
      <c r="AV14" s="567"/>
      <c r="AW14" s="619"/>
      <c r="AX14" s="620"/>
      <c r="AY14" s="621"/>
    </row>
    <row r="15" spans="1:51" ht="14.95" customHeight="1" thickBot="1" x14ac:dyDescent="0.3">
      <c r="A15" s="97" t="s">
        <v>456</v>
      </c>
      <c r="B15" s="153">
        <v>0</v>
      </c>
      <c r="C15" s="542">
        <v>0</v>
      </c>
      <c r="D15" s="54">
        <f t="shared" si="0"/>
        <v>0</v>
      </c>
      <c r="E15" s="26" t="s">
        <v>456</v>
      </c>
      <c r="F15" s="154">
        <v>0</v>
      </c>
      <c r="G15" s="384">
        <v>0</v>
      </c>
      <c r="H15" s="27">
        <f t="shared" si="1"/>
        <v>0</v>
      </c>
      <c r="I15" s="4" t="s">
        <v>20</v>
      </c>
      <c r="J15" s="1" t="s">
        <v>152</v>
      </c>
      <c r="K15" s="1" t="s">
        <v>12</v>
      </c>
      <c r="L15" s="1" t="s">
        <v>13</v>
      </c>
      <c r="M15" s="128" t="s">
        <v>152</v>
      </c>
      <c r="N15" s="128" t="s">
        <v>12</v>
      </c>
      <c r="O15" s="128" t="s">
        <v>13</v>
      </c>
      <c r="P15" s="128" t="s">
        <v>152</v>
      </c>
      <c r="Q15" s="128" t="s">
        <v>12</v>
      </c>
      <c r="R15" s="128" t="s">
        <v>13</v>
      </c>
      <c r="S15" s="128" t="s">
        <v>152</v>
      </c>
      <c r="T15" s="128" t="s">
        <v>12</v>
      </c>
      <c r="U15" s="128" t="s">
        <v>13</v>
      </c>
      <c r="V15" s="180"/>
      <c r="W15" s="121"/>
      <c r="X15" s="121"/>
      <c r="Y15" s="228" t="s">
        <v>152</v>
      </c>
      <c r="Z15" s="128" t="s">
        <v>12</v>
      </c>
      <c r="AA15" s="128" t="s">
        <v>13</v>
      </c>
      <c r="AB15" s="228" t="s">
        <v>152</v>
      </c>
      <c r="AC15" s="128" t="s">
        <v>12</v>
      </c>
      <c r="AD15" s="128" t="s">
        <v>13</v>
      </c>
      <c r="AE15" s="228" t="s">
        <v>152</v>
      </c>
      <c r="AF15" s="128" t="s">
        <v>12</v>
      </c>
      <c r="AG15" s="128" t="s">
        <v>13</v>
      </c>
      <c r="AH15" s="228" t="s">
        <v>152</v>
      </c>
      <c r="AI15" s="128" t="s">
        <v>12</v>
      </c>
      <c r="AJ15" s="128" t="s">
        <v>13</v>
      </c>
      <c r="AK15" s="128" t="s">
        <v>152</v>
      </c>
      <c r="AL15" s="128" t="s">
        <v>12</v>
      </c>
      <c r="AM15" s="128" t="s">
        <v>13</v>
      </c>
      <c r="AN15" s="171" t="s">
        <v>152</v>
      </c>
      <c r="AO15" s="119" t="s">
        <v>12</v>
      </c>
      <c r="AP15" s="119" t="s">
        <v>13</v>
      </c>
      <c r="AQ15" s="171" t="s">
        <v>152</v>
      </c>
      <c r="AR15" s="119" t="s">
        <v>12</v>
      </c>
      <c r="AS15" s="119" t="s">
        <v>13</v>
      </c>
      <c r="AT15" s="171" t="s">
        <v>152</v>
      </c>
      <c r="AU15" s="119" t="s">
        <v>12</v>
      </c>
      <c r="AV15" s="119" t="s">
        <v>13</v>
      </c>
      <c r="AW15" s="119" t="s">
        <v>152</v>
      </c>
      <c r="AX15" s="119" t="s">
        <v>12</v>
      </c>
      <c r="AY15" s="119" t="s">
        <v>13</v>
      </c>
    </row>
    <row r="16" spans="1:51" ht="14.95" customHeight="1" thickBot="1" x14ac:dyDescent="0.3">
      <c r="A16" s="97" t="s">
        <v>667</v>
      </c>
      <c r="B16" s="153">
        <v>0</v>
      </c>
      <c r="C16" s="542">
        <v>0</v>
      </c>
      <c r="D16" s="54">
        <f t="shared" si="0"/>
        <v>0</v>
      </c>
      <c r="E16" s="26" t="s">
        <v>667</v>
      </c>
      <c r="F16" s="154">
        <v>0</v>
      </c>
      <c r="G16" s="384">
        <v>0</v>
      </c>
      <c r="H16" s="27">
        <f t="shared" si="1"/>
        <v>0</v>
      </c>
      <c r="I16" s="233" t="s">
        <v>366</v>
      </c>
      <c r="J16" s="54" t="s">
        <v>17</v>
      </c>
      <c r="K16" s="54" t="s">
        <v>17</v>
      </c>
      <c r="L16" s="55" t="s">
        <v>17</v>
      </c>
      <c r="M16" s="128" t="s">
        <v>17</v>
      </c>
      <c r="N16" s="128" t="s">
        <v>17</v>
      </c>
      <c r="O16" s="231" t="s">
        <v>17</v>
      </c>
      <c r="P16" s="128" t="s">
        <v>17</v>
      </c>
      <c r="Q16" s="128" t="s">
        <v>17</v>
      </c>
      <c r="R16" s="231" t="s">
        <v>17</v>
      </c>
      <c r="S16" s="128" t="s">
        <v>17</v>
      </c>
      <c r="T16" s="128" t="s">
        <v>17</v>
      </c>
      <c r="U16" s="231" t="s">
        <v>17</v>
      </c>
      <c r="V16" s="180"/>
      <c r="W16" s="121"/>
      <c r="X16" s="121"/>
      <c r="Y16" s="228" t="s">
        <v>17</v>
      </c>
      <c r="Z16" s="128" t="s">
        <v>17</v>
      </c>
      <c r="AA16" s="231" t="s">
        <v>17</v>
      </c>
      <c r="AB16" s="228">
        <v>2</v>
      </c>
      <c r="AC16" s="128">
        <v>3</v>
      </c>
      <c r="AD16" s="231">
        <f>SUM(AB16/AC16)*100</f>
        <v>66.666666666666657</v>
      </c>
      <c r="AE16" s="228" t="s">
        <v>17</v>
      </c>
      <c r="AF16" s="128" t="s">
        <v>17</v>
      </c>
      <c r="AG16" s="128" t="s">
        <v>17</v>
      </c>
      <c r="AH16" s="228" t="s">
        <v>17</v>
      </c>
      <c r="AI16" s="128" t="s">
        <v>17</v>
      </c>
      <c r="AJ16" s="128" t="s">
        <v>17</v>
      </c>
      <c r="AK16" s="128" t="s">
        <v>17</v>
      </c>
      <c r="AL16" s="128" t="s">
        <v>17</v>
      </c>
      <c r="AM16" s="128" t="s">
        <v>17</v>
      </c>
      <c r="AN16" s="128" t="s">
        <v>17</v>
      </c>
      <c r="AO16" s="128" t="s">
        <v>17</v>
      </c>
      <c r="AP16" s="128" t="s">
        <v>17</v>
      </c>
      <c r="AQ16" s="128" t="s">
        <v>17</v>
      </c>
      <c r="AR16" s="128" t="s">
        <v>17</v>
      </c>
      <c r="AS16" s="128" t="s">
        <v>17</v>
      </c>
      <c r="AT16" s="128" t="s">
        <v>17</v>
      </c>
      <c r="AU16" s="128" t="s">
        <v>17</v>
      </c>
      <c r="AV16" s="128" t="s">
        <v>17</v>
      </c>
      <c r="AW16" s="128" t="s">
        <v>17</v>
      </c>
      <c r="AX16" s="128" t="s">
        <v>17</v>
      </c>
      <c r="AY16" s="128" t="s">
        <v>17</v>
      </c>
    </row>
    <row r="17" spans="1:51" ht="14.95" customHeight="1" thickBot="1" x14ac:dyDescent="0.3">
      <c r="A17" s="97" t="s">
        <v>61</v>
      </c>
      <c r="B17" s="153">
        <v>0</v>
      </c>
      <c r="C17" s="542">
        <v>0</v>
      </c>
      <c r="D17" s="54">
        <f t="shared" si="0"/>
        <v>0</v>
      </c>
      <c r="E17" s="26" t="s">
        <v>61</v>
      </c>
      <c r="F17" s="154">
        <v>0</v>
      </c>
      <c r="G17" s="384">
        <v>0</v>
      </c>
      <c r="H17" s="27">
        <f t="shared" si="1"/>
        <v>0</v>
      </c>
      <c r="I17" s="233" t="s">
        <v>406</v>
      </c>
      <c r="J17" s="54" t="s">
        <v>17</v>
      </c>
      <c r="K17" s="54" t="s">
        <v>17</v>
      </c>
      <c r="L17" s="55" t="s">
        <v>17</v>
      </c>
      <c r="M17" s="128" t="s">
        <v>17</v>
      </c>
      <c r="N17" s="128" t="s">
        <v>17</v>
      </c>
      <c r="O17" s="231" t="s">
        <v>17</v>
      </c>
      <c r="P17" s="128">
        <v>1</v>
      </c>
      <c r="Q17" s="128">
        <v>1</v>
      </c>
      <c r="R17" s="231">
        <f>SUM(P17/Q17)*100</f>
        <v>100</v>
      </c>
      <c r="S17" s="128" t="s">
        <v>17</v>
      </c>
      <c r="T17" s="128" t="s">
        <v>17</v>
      </c>
      <c r="U17" s="231" t="s">
        <v>17</v>
      </c>
      <c r="V17" s="180"/>
      <c r="W17" s="121"/>
      <c r="X17" s="121"/>
      <c r="Y17" s="228" t="s">
        <v>17</v>
      </c>
      <c r="Z17" s="128" t="s">
        <v>17</v>
      </c>
      <c r="AA17" s="231" t="s">
        <v>17</v>
      </c>
      <c r="AB17" s="228" t="s">
        <v>17</v>
      </c>
      <c r="AC17" s="128" t="s">
        <v>17</v>
      </c>
      <c r="AD17" s="231" t="s">
        <v>17</v>
      </c>
      <c r="AE17" s="232" t="s">
        <v>17</v>
      </c>
      <c r="AF17" s="128" t="s">
        <v>17</v>
      </c>
      <c r="AG17" s="231" t="s">
        <v>17</v>
      </c>
      <c r="AH17" s="128" t="s">
        <v>17</v>
      </c>
      <c r="AI17" s="128" t="s">
        <v>17</v>
      </c>
      <c r="AJ17" s="231" t="s">
        <v>17</v>
      </c>
      <c r="AK17" s="128" t="s">
        <v>17</v>
      </c>
      <c r="AL17" s="128" t="s">
        <v>17</v>
      </c>
      <c r="AM17" s="231" t="s">
        <v>17</v>
      </c>
      <c r="AN17" s="128" t="s">
        <v>17</v>
      </c>
      <c r="AO17" s="128" t="s">
        <v>17</v>
      </c>
      <c r="AP17" s="231" t="s">
        <v>17</v>
      </c>
      <c r="AQ17" s="128" t="s">
        <v>17</v>
      </c>
      <c r="AR17" s="128" t="s">
        <v>17</v>
      </c>
      <c r="AS17" s="231" t="s">
        <v>17</v>
      </c>
      <c r="AT17" s="128" t="s">
        <v>17</v>
      </c>
      <c r="AU17" s="128" t="s">
        <v>17</v>
      </c>
      <c r="AV17" s="231" t="s">
        <v>17</v>
      </c>
      <c r="AW17" s="128" t="s">
        <v>17</v>
      </c>
      <c r="AX17" s="128" t="s">
        <v>17</v>
      </c>
      <c r="AY17" s="231" t="s">
        <v>17</v>
      </c>
    </row>
    <row r="18" spans="1:51" ht="14.95" customHeight="1" thickBot="1" x14ac:dyDescent="0.3">
      <c r="A18" s="97" t="s">
        <v>1265</v>
      </c>
      <c r="B18" s="153">
        <v>0</v>
      </c>
      <c r="C18" s="542">
        <v>0</v>
      </c>
      <c r="D18" s="54">
        <f t="shared" si="0"/>
        <v>0</v>
      </c>
      <c r="E18" s="26" t="s">
        <v>1265</v>
      </c>
      <c r="F18" s="154">
        <v>0</v>
      </c>
      <c r="G18" s="384">
        <v>0</v>
      </c>
      <c r="H18" s="27">
        <f t="shared" si="1"/>
        <v>0</v>
      </c>
      <c r="I18" s="233" t="s">
        <v>250</v>
      </c>
      <c r="J18" s="54" t="s">
        <v>17</v>
      </c>
      <c r="K18" s="54" t="s">
        <v>17</v>
      </c>
      <c r="L18" s="55" t="s">
        <v>17</v>
      </c>
      <c r="M18" s="128" t="s">
        <v>17</v>
      </c>
      <c r="N18" s="128" t="s">
        <v>17</v>
      </c>
      <c r="O18" s="231" t="s">
        <v>17</v>
      </c>
      <c r="P18" s="128" t="s">
        <v>17</v>
      </c>
      <c r="Q18" s="128" t="s">
        <v>17</v>
      </c>
      <c r="R18" s="231" t="s">
        <v>17</v>
      </c>
      <c r="S18" s="128">
        <v>7</v>
      </c>
      <c r="T18" s="128">
        <v>10</v>
      </c>
      <c r="U18" s="231">
        <f>SUM(S18/T18)*100</f>
        <v>70</v>
      </c>
      <c r="V18" s="180"/>
      <c r="W18" s="121"/>
      <c r="X18" s="121"/>
      <c r="Y18" s="228" t="s">
        <v>17</v>
      </c>
      <c r="Z18" s="128" t="s">
        <v>17</v>
      </c>
      <c r="AA18" s="231" t="s">
        <v>17</v>
      </c>
      <c r="AB18" s="228">
        <v>2</v>
      </c>
      <c r="AC18" s="128">
        <v>2</v>
      </c>
      <c r="AD18" s="231">
        <f>SUM(AB18/AC18)*100</f>
        <v>100</v>
      </c>
      <c r="AE18" s="228">
        <v>2</v>
      </c>
      <c r="AF18" s="128">
        <v>2</v>
      </c>
      <c r="AG18" s="128">
        <v>100</v>
      </c>
      <c r="AH18" s="228" t="s">
        <v>17</v>
      </c>
      <c r="AI18" s="128" t="s">
        <v>17</v>
      </c>
      <c r="AJ18" s="128" t="s">
        <v>17</v>
      </c>
      <c r="AK18" s="128" t="s">
        <v>17</v>
      </c>
      <c r="AL18" s="128" t="s">
        <v>17</v>
      </c>
      <c r="AM18" s="128" t="s">
        <v>17</v>
      </c>
      <c r="AN18" s="128" t="s">
        <v>17</v>
      </c>
      <c r="AO18" s="128" t="s">
        <v>17</v>
      </c>
      <c r="AP18" s="128" t="s">
        <v>17</v>
      </c>
      <c r="AQ18" s="128" t="s">
        <v>17</v>
      </c>
      <c r="AR18" s="128" t="s">
        <v>17</v>
      </c>
      <c r="AS18" s="128" t="s">
        <v>17</v>
      </c>
      <c r="AT18" s="128" t="s">
        <v>17</v>
      </c>
      <c r="AU18" s="128" t="s">
        <v>17</v>
      </c>
      <c r="AV18" s="128" t="s">
        <v>17</v>
      </c>
      <c r="AW18" s="128" t="s">
        <v>17</v>
      </c>
      <c r="AX18" s="128" t="s">
        <v>17</v>
      </c>
      <c r="AY18" s="128" t="s">
        <v>17</v>
      </c>
    </row>
    <row r="19" spans="1:51" ht="14.95" customHeight="1" thickBot="1" x14ac:dyDescent="0.3">
      <c r="A19" s="97" t="s">
        <v>441</v>
      </c>
      <c r="B19" s="153">
        <v>1</v>
      </c>
      <c r="C19" s="542">
        <v>0</v>
      </c>
      <c r="D19" s="54">
        <f t="shared" si="0"/>
        <v>1</v>
      </c>
      <c r="E19" s="26" t="s">
        <v>441</v>
      </c>
      <c r="F19" s="154">
        <v>5</v>
      </c>
      <c r="G19" s="384">
        <v>0</v>
      </c>
      <c r="H19" s="27">
        <f t="shared" si="1"/>
        <v>5</v>
      </c>
      <c r="I19" s="97" t="s">
        <v>558</v>
      </c>
      <c r="J19" s="54">
        <v>12</v>
      </c>
      <c r="K19" s="54">
        <v>16</v>
      </c>
      <c r="L19" s="55">
        <f>SUM(J19/K19)*100</f>
        <v>75</v>
      </c>
      <c r="M19" s="128">
        <v>3</v>
      </c>
      <c r="N19" s="128">
        <v>6</v>
      </c>
      <c r="O19" s="231">
        <v>50</v>
      </c>
      <c r="P19" s="128">
        <v>20</v>
      </c>
      <c r="Q19" s="128">
        <v>27</v>
      </c>
      <c r="R19" s="231">
        <f>SUM(P19/Q19)*100</f>
        <v>74.074074074074076</v>
      </c>
      <c r="S19" s="128" t="s">
        <v>17</v>
      </c>
      <c r="T19" s="128" t="s">
        <v>17</v>
      </c>
      <c r="U19" s="231" t="s">
        <v>17</v>
      </c>
      <c r="V19" s="180"/>
      <c r="W19" s="121"/>
      <c r="X19" s="121"/>
      <c r="Y19" s="228" t="s">
        <v>17</v>
      </c>
      <c r="Z19" s="128" t="s">
        <v>17</v>
      </c>
      <c r="AA19" s="231" t="s">
        <v>17</v>
      </c>
      <c r="AB19" s="228" t="s">
        <v>17</v>
      </c>
      <c r="AC19" s="128" t="s">
        <v>17</v>
      </c>
      <c r="AD19" s="231" t="s">
        <v>17</v>
      </c>
      <c r="AE19" s="232" t="s">
        <v>17</v>
      </c>
      <c r="AF19" s="128" t="s">
        <v>17</v>
      </c>
      <c r="AG19" s="231" t="s">
        <v>17</v>
      </c>
      <c r="AH19" s="128" t="s">
        <v>17</v>
      </c>
      <c r="AI19" s="128" t="s">
        <v>17</v>
      </c>
      <c r="AJ19" s="231" t="s">
        <v>17</v>
      </c>
      <c r="AK19" s="128" t="s">
        <v>17</v>
      </c>
      <c r="AL19" s="128" t="s">
        <v>17</v>
      </c>
      <c r="AM19" s="231" t="s">
        <v>17</v>
      </c>
      <c r="AN19" s="128" t="s">
        <v>17</v>
      </c>
      <c r="AO19" s="128" t="s">
        <v>17</v>
      </c>
      <c r="AP19" s="231" t="s">
        <v>17</v>
      </c>
      <c r="AQ19" s="128" t="s">
        <v>17</v>
      </c>
      <c r="AR19" s="128" t="s">
        <v>17</v>
      </c>
      <c r="AS19" s="231" t="s">
        <v>17</v>
      </c>
      <c r="AT19" s="128" t="s">
        <v>17</v>
      </c>
      <c r="AU19" s="128" t="s">
        <v>17</v>
      </c>
      <c r="AV19" s="231" t="s">
        <v>17</v>
      </c>
      <c r="AW19" s="128" t="s">
        <v>17</v>
      </c>
      <c r="AX19" s="128" t="s">
        <v>17</v>
      </c>
      <c r="AY19" s="231" t="s">
        <v>17</v>
      </c>
    </row>
    <row r="20" spans="1:51" ht="14.95" customHeight="1" thickBot="1" x14ac:dyDescent="0.3">
      <c r="A20" s="97" t="s">
        <v>476</v>
      </c>
      <c r="B20" s="153">
        <v>0</v>
      </c>
      <c r="C20" s="542">
        <v>0</v>
      </c>
      <c r="D20" s="54">
        <f t="shared" si="0"/>
        <v>0</v>
      </c>
      <c r="E20" s="26" t="s">
        <v>476</v>
      </c>
      <c r="F20" s="154">
        <v>0</v>
      </c>
      <c r="G20" s="384">
        <v>0</v>
      </c>
      <c r="H20" s="27">
        <f t="shared" si="1"/>
        <v>0</v>
      </c>
      <c r="I20" s="97" t="s">
        <v>1136</v>
      </c>
      <c r="J20" s="54">
        <v>2</v>
      </c>
      <c r="K20" s="54">
        <v>4</v>
      </c>
      <c r="L20" s="55">
        <f t="shared" ref="L20" si="5">SUM(J20/K20)*100</f>
        <v>50</v>
      </c>
      <c r="M20" s="128">
        <v>17</v>
      </c>
      <c r="N20" s="128">
        <v>24</v>
      </c>
      <c r="O20" s="231">
        <v>70.833333333333343</v>
      </c>
      <c r="P20" s="128" t="s">
        <v>17</v>
      </c>
      <c r="Q20" s="128" t="s">
        <v>17</v>
      </c>
      <c r="R20" s="231" t="s">
        <v>17</v>
      </c>
      <c r="S20" s="128" t="s">
        <v>17</v>
      </c>
      <c r="T20" s="128" t="s">
        <v>17</v>
      </c>
      <c r="U20" s="231" t="s">
        <v>17</v>
      </c>
      <c r="V20" s="180"/>
      <c r="W20" s="121"/>
      <c r="X20" s="121"/>
      <c r="Y20" s="228" t="s">
        <v>17</v>
      </c>
      <c r="Z20" s="128" t="s">
        <v>17</v>
      </c>
      <c r="AA20" s="231" t="s">
        <v>17</v>
      </c>
      <c r="AB20" s="228" t="s">
        <v>17</v>
      </c>
      <c r="AC20" s="128" t="s">
        <v>17</v>
      </c>
      <c r="AD20" s="231" t="s">
        <v>17</v>
      </c>
      <c r="AE20" s="232" t="s">
        <v>17</v>
      </c>
      <c r="AF20" s="128" t="s">
        <v>17</v>
      </c>
      <c r="AG20" s="231" t="s">
        <v>17</v>
      </c>
      <c r="AH20" s="128" t="s">
        <v>17</v>
      </c>
      <c r="AI20" s="128" t="s">
        <v>17</v>
      </c>
      <c r="AJ20" s="231" t="s">
        <v>17</v>
      </c>
      <c r="AK20" s="128" t="s">
        <v>17</v>
      </c>
      <c r="AL20" s="128" t="s">
        <v>17</v>
      </c>
      <c r="AM20" s="231" t="s">
        <v>17</v>
      </c>
      <c r="AN20" s="128" t="s">
        <v>17</v>
      </c>
      <c r="AO20" s="128" t="s">
        <v>17</v>
      </c>
      <c r="AP20" s="231" t="s">
        <v>17</v>
      </c>
      <c r="AQ20" s="128" t="s">
        <v>17</v>
      </c>
      <c r="AR20" s="128" t="s">
        <v>17</v>
      </c>
      <c r="AS20" s="231" t="s">
        <v>17</v>
      </c>
      <c r="AT20" s="128" t="s">
        <v>17</v>
      </c>
      <c r="AU20" s="128" t="s">
        <v>17</v>
      </c>
      <c r="AV20" s="231" t="s">
        <v>17</v>
      </c>
      <c r="AW20" s="128" t="s">
        <v>17</v>
      </c>
      <c r="AX20" s="128" t="s">
        <v>17</v>
      </c>
      <c r="AY20" s="231" t="s">
        <v>17</v>
      </c>
    </row>
    <row r="21" spans="1:51" ht="14.95" customHeight="1" thickBot="1" x14ac:dyDescent="0.3">
      <c r="A21" s="97" t="s">
        <v>493</v>
      </c>
      <c r="B21" s="153">
        <v>0</v>
      </c>
      <c r="C21" s="542">
        <v>0</v>
      </c>
      <c r="D21" s="54">
        <f t="shared" si="0"/>
        <v>0</v>
      </c>
      <c r="E21" s="26" t="s">
        <v>493</v>
      </c>
      <c r="F21" s="154">
        <v>0</v>
      </c>
      <c r="G21" s="384">
        <v>0</v>
      </c>
      <c r="H21" s="27">
        <f t="shared" si="1"/>
        <v>0</v>
      </c>
      <c r="I21" s="39"/>
      <c r="J21" s="38"/>
      <c r="K21" s="38"/>
      <c r="L21" s="24"/>
      <c r="M21" s="38"/>
      <c r="N21" s="38"/>
      <c r="O21" s="38"/>
    </row>
    <row r="22" spans="1:51" ht="14.95" customHeight="1" thickBot="1" x14ac:dyDescent="0.3">
      <c r="A22" s="97" t="s">
        <v>62</v>
      </c>
      <c r="B22" s="153">
        <v>0</v>
      </c>
      <c r="C22" s="542">
        <v>0</v>
      </c>
      <c r="D22" s="54">
        <f t="shared" si="0"/>
        <v>0</v>
      </c>
      <c r="E22" s="26" t="s">
        <v>62</v>
      </c>
      <c r="F22" s="154">
        <v>0</v>
      </c>
      <c r="G22" s="384">
        <v>0</v>
      </c>
      <c r="H22" s="27">
        <f t="shared" si="1"/>
        <v>0</v>
      </c>
      <c r="I22" s="577" t="s">
        <v>33</v>
      </c>
      <c r="J22" s="568">
        <v>2023</v>
      </c>
      <c r="K22" s="569"/>
      <c r="L22" s="570"/>
      <c r="M22" s="568">
        <v>2019</v>
      </c>
      <c r="N22" s="569"/>
      <c r="O22" s="570"/>
      <c r="P22" s="557">
        <v>2015</v>
      </c>
      <c r="Q22" s="563"/>
      <c r="R22" s="564"/>
    </row>
    <row r="23" spans="1:51" ht="14.95" thickBot="1" x14ac:dyDescent="0.3">
      <c r="A23" s="97" t="s">
        <v>63</v>
      </c>
      <c r="B23" s="153">
        <v>0</v>
      </c>
      <c r="C23" s="542">
        <v>0</v>
      </c>
      <c r="D23" s="54">
        <f t="shared" si="0"/>
        <v>0</v>
      </c>
      <c r="E23" s="26" t="s">
        <v>63</v>
      </c>
      <c r="F23" s="154">
        <v>0</v>
      </c>
      <c r="G23" s="384">
        <v>0</v>
      </c>
      <c r="H23" s="27">
        <f t="shared" si="1"/>
        <v>0</v>
      </c>
      <c r="I23" s="578"/>
      <c r="J23" s="571"/>
      <c r="K23" s="572"/>
      <c r="L23" s="573"/>
      <c r="M23" s="571"/>
      <c r="N23" s="572"/>
      <c r="O23" s="573"/>
      <c r="P23" s="565"/>
      <c r="Q23" s="566"/>
      <c r="R23" s="567"/>
    </row>
    <row r="24" spans="1:51" ht="14.95" thickBot="1" x14ac:dyDescent="0.3">
      <c r="A24" s="97" t="s">
        <v>157</v>
      </c>
      <c r="B24" s="153">
        <v>0</v>
      </c>
      <c r="C24" s="542">
        <v>0</v>
      </c>
      <c r="D24" s="54">
        <f t="shared" si="0"/>
        <v>0</v>
      </c>
      <c r="E24" s="26" t="s">
        <v>157</v>
      </c>
      <c r="F24" s="154">
        <v>0</v>
      </c>
      <c r="G24" s="384">
        <v>0</v>
      </c>
      <c r="H24" s="27">
        <f t="shared" si="1"/>
        <v>0</v>
      </c>
      <c r="I24" s="4"/>
      <c r="J24" s="128" t="s">
        <v>152</v>
      </c>
      <c r="K24" s="128" t="s">
        <v>12</v>
      </c>
      <c r="L24" s="128" t="s">
        <v>13</v>
      </c>
      <c r="M24" s="128" t="s">
        <v>152</v>
      </c>
      <c r="N24" s="128" t="s">
        <v>12</v>
      </c>
      <c r="O24" s="128" t="s">
        <v>13</v>
      </c>
      <c r="P24" s="119" t="s">
        <v>152</v>
      </c>
      <c r="Q24" s="119" t="s">
        <v>12</v>
      </c>
      <c r="R24" s="119" t="s">
        <v>13</v>
      </c>
    </row>
    <row r="25" spans="1:51" ht="14.95" thickBot="1" x14ac:dyDescent="0.3">
      <c r="A25" s="97" t="s">
        <v>359</v>
      </c>
      <c r="B25" s="153">
        <v>0</v>
      </c>
      <c r="C25" s="542">
        <v>0</v>
      </c>
      <c r="D25" s="54">
        <f t="shared" si="0"/>
        <v>0</v>
      </c>
      <c r="E25" s="26" t="s">
        <v>359</v>
      </c>
      <c r="F25" s="154">
        <v>0</v>
      </c>
      <c r="G25" s="384">
        <v>0</v>
      </c>
      <c r="H25" s="27">
        <f t="shared" si="1"/>
        <v>0</v>
      </c>
      <c r="I25" s="233" t="s">
        <v>250</v>
      </c>
      <c r="J25" s="128">
        <v>4</v>
      </c>
      <c r="K25" s="128">
        <v>4</v>
      </c>
      <c r="L25" s="231">
        <f>SUM(J25/K25)*100</f>
        <v>100</v>
      </c>
      <c r="M25" s="128" t="s">
        <v>17</v>
      </c>
      <c r="N25" s="128" t="s">
        <v>17</v>
      </c>
      <c r="O25" s="128" t="s">
        <v>17</v>
      </c>
      <c r="P25" s="128" t="s">
        <v>17</v>
      </c>
      <c r="Q25" s="128" t="s">
        <v>17</v>
      </c>
      <c r="R25" s="128" t="s">
        <v>17</v>
      </c>
    </row>
    <row r="26" spans="1:51" ht="14.95" thickBot="1" x14ac:dyDescent="0.3">
      <c r="A26" s="97" t="s">
        <v>584</v>
      </c>
      <c r="B26" s="153">
        <v>0</v>
      </c>
      <c r="C26" s="542">
        <v>0</v>
      </c>
      <c r="D26" s="54">
        <f t="shared" si="0"/>
        <v>0</v>
      </c>
      <c r="E26" s="26" t="s">
        <v>584</v>
      </c>
      <c r="F26" s="154">
        <v>0</v>
      </c>
      <c r="G26" s="384">
        <v>0</v>
      </c>
      <c r="H26" s="27">
        <f t="shared" si="1"/>
        <v>0</v>
      </c>
      <c r="I26" s="233" t="s">
        <v>558</v>
      </c>
      <c r="J26" s="128">
        <v>5</v>
      </c>
      <c r="K26" s="128">
        <v>6</v>
      </c>
      <c r="L26" s="231">
        <f>SUM(J26/K26)*100</f>
        <v>83.333333333333343</v>
      </c>
      <c r="M26" s="128" t="s">
        <v>17</v>
      </c>
      <c r="N26" s="128" t="s">
        <v>17</v>
      </c>
      <c r="O26" s="128" t="s">
        <v>17</v>
      </c>
      <c r="P26" s="128" t="s">
        <v>17</v>
      </c>
      <c r="Q26" s="128" t="s">
        <v>17</v>
      </c>
      <c r="R26" s="128" t="s">
        <v>17</v>
      </c>
    </row>
    <row r="27" spans="1:51" ht="14.95" thickBot="1" x14ac:dyDescent="0.3">
      <c r="A27" s="97" t="s">
        <v>1267</v>
      </c>
      <c r="B27" s="153">
        <v>0</v>
      </c>
      <c r="C27" s="542">
        <v>0</v>
      </c>
      <c r="D27" s="54">
        <f t="shared" si="0"/>
        <v>0</v>
      </c>
      <c r="E27" s="26" t="s">
        <v>1267</v>
      </c>
      <c r="F27" s="154">
        <v>0</v>
      </c>
      <c r="G27" s="384">
        <v>0</v>
      </c>
      <c r="H27" s="27">
        <f t="shared" si="1"/>
        <v>0</v>
      </c>
      <c r="I27" s="39"/>
      <c r="J27" s="38"/>
      <c r="K27" s="38"/>
      <c r="L27" s="24"/>
      <c r="M27" s="38"/>
      <c r="N27" s="38"/>
      <c r="O27" s="38"/>
    </row>
    <row r="28" spans="1:51" ht="14.95" thickBot="1" x14ac:dyDescent="0.3">
      <c r="A28" s="97" t="s">
        <v>868</v>
      </c>
      <c r="B28" s="153">
        <v>0</v>
      </c>
      <c r="C28" s="542">
        <v>0</v>
      </c>
      <c r="D28" s="54">
        <f t="shared" si="0"/>
        <v>0</v>
      </c>
      <c r="E28" s="26" t="s">
        <v>868</v>
      </c>
      <c r="F28" s="154">
        <v>0</v>
      </c>
      <c r="G28" s="384">
        <v>0</v>
      </c>
      <c r="H28" s="27">
        <f t="shared" si="1"/>
        <v>0</v>
      </c>
      <c r="M28" s="38"/>
      <c r="N28" s="38"/>
      <c r="O28" s="24"/>
    </row>
    <row r="29" spans="1:51" ht="14.95" thickBot="1" x14ac:dyDescent="0.3">
      <c r="A29" s="97" t="s">
        <v>365</v>
      </c>
      <c r="B29" s="153">
        <v>0</v>
      </c>
      <c r="C29" s="542">
        <v>0</v>
      </c>
      <c r="D29" s="54">
        <f t="shared" si="0"/>
        <v>0</v>
      </c>
      <c r="E29" s="26" t="s">
        <v>365</v>
      </c>
      <c r="F29" s="154">
        <v>0</v>
      </c>
      <c r="G29" s="384">
        <v>0</v>
      </c>
      <c r="H29" s="27">
        <f t="shared" si="1"/>
        <v>0</v>
      </c>
      <c r="M29" s="38"/>
      <c r="N29" s="38"/>
      <c r="O29" s="24"/>
    </row>
    <row r="30" spans="1:51" ht="14.95" thickBot="1" x14ac:dyDescent="0.3">
      <c r="A30" s="97" t="s">
        <v>1135</v>
      </c>
      <c r="B30" s="153">
        <v>0</v>
      </c>
      <c r="C30" s="542">
        <v>0</v>
      </c>
      <c r="D30" s="54">
        <f t="shared" si="0"/>
        <v>0</v>
      </c>
      <c r="E30" s="26" t="s">
        <v>1135</v>
      </c>
      <c r="F30" s="154">
        <v>0</v>
      </c>
      <c r="G30" s="384">
        <v>0</v>
      </c>
      <c r="H30" s="27">
        <f t="shared" si="1"/>
        <v>0</v>
      </c>
      <c r="M30" s="38"/>
      <c r="N30" s="38"/>
      <c r="O30" s="38"/>
    </row>
    <row r="31" spans="1:51" ht="14.95" thickBot="1" x14ac:dyDescent="0.3">
      <c r="A31" s="97" t="s">
        <v>870</v>
      </c>
      <c r="B31" s="153">
        <v>0</v>
      </c>
      <c r="C31" s="542">
        <v>0</v>
      </c>
      <c r="D31" s="54">
        <f t="shared" si="0"/>
        <v>0</v>
      </c>
      <c r="E31" s="26" t="s">
        <v>870</v>
      </c>
      <c r="F31" s="154">
        <v>0</v>
      </c>
      <c r="G31" s="384">
        <v>0</v>
      </c>
      <c r="H31" s="27">
        <f t="shared" si="1"/>
        <v>0</v>
      </c>
      <c r="M31" s="38"/>
      <c r="N31" s="38"/>
      <c r="O31" s="38"/>
    </row>
    <row r="32" spans="1:51" ht="14.95" thickBot="1" x14ac:dyDescent="0.3">
      <c r="A32" s="97" t="s">
        <v>1396</v>
      </c>
      <c r="B32" s="153">
        <v>0</v>
      </c>
      <c r="C32" s="542">
        <v>0</v>
      </c>
      <c r="D32" s="54">
        <f t="shared" si="0"/>
        <v>0</v>
      </c>
      <c r="E32" s="26" t="s">
        <v>1396</v>
      </c>
      <c r="F32" s="154">
        <v>0</v>
      </c>
      <c r="G32" s="384">
        <v>0</v>
      </c>
      <c r="H32" s="27">
        <f t="shared" si="1"/>
        <v>0</v>
      </c>
    </row>
    <row r="33" spans="1:8" ht="14.95" thickBot="1" x14ac:dyDescent="0.3">
      <c r="A33" s="97" t="s">
        <v>666</v>
      </c>
      <c r="B33" s="153">
        <v>0</v>
      </c>
      <c r="C33" s="542">
        <v>0</v>
      </c>
      <c r="D33" s="54">
        <f t="shared" si="0"/>
        <v>0</v>
      </c>
      <c r="E33" s="26" t="s">
        <v>666</v>
      </c>
      <c r="F33" s="154">
        <v>0</v>
      </c>
      <c r="G33" s="384">
        <v>0</v>
      </c>
      <c r="H33" s="27">
        <f t="shared" si="1"/>
        <v>0</v>
      </c>
    </row>
    <row r="34" spans="1:8" ht="14.95" thickBot="1" x14ac:dyDescent="0.3">
      <c r="A34" s="97" t="s">
        <v>1449</v>
      </c>
      <c r="B34" s="153">
        <v>1</v>
      </c>
      <c r="C34" s="542">
        <v>0</v>
      </c>
      <c r="D34" s="54">
        <f t="shared" si="0"/>
        <v>1</v>
      </c>
      <c r="E34" s="26" t="s">
        <v>1449</v>
      </c>
      <c r="F34" s="154">
        <v>5</v>
      </c>
      <c r="G34" s="384">
        <v>0</v>
      </c>
      <c r="H34" s="27">
        <f t="shared" si="1"/>
        <v>5</v>
      </c>
    </row>
    <row r="35" spans="1:8" ht="14.95" thickBot="1" x14ac:dyDescent="0.3">
      <c r="A35" s="97" t="s">
        <v>1266</v>
      </c>
      <c r="B35" s="153">
        <v>0</v>
      </c>
      <c r="C35" s="542">
        <v>0</v>
      </c>
      <c r="D35" s="54">
        <f t="shared" si="0"/>
        <v>0</v>
      </c>
      <c r="E35" s="26" t="s">
        <v>1266</v>
      </c>
      <c r="F35" s="154">
        <v>0</v>
      </c>
      <c r="G35" s="384">
        <v>0</v>
      </c>
      <c r="H35" s="27">
        <f t="shared" si="1"/>
        <v>0</v>
      </c>
    </row>
    <row r="36" spans="1:8" ht="14.95" customHeight="1" thickBot="1" x14ac:dyDescent="0.3">
      <c r="A36" s="97" t="s">
        <v>897</v>
      </c>
      <c r="B36" s="153">
        <v>0</v>
      </c>
      <c r="C36" s="542">
        <v>0</v>
      </c>
      <c r="D36" s="54">
        <f t="shared" si="0"/>
        <v>0</v>
      </c>
      <c r="E36" s="26" t="s">
        <v>897</v>
      </c>
      <c r="F36" s="154">
        <v>0</v>
      </c>
      <c r="G36" s="384">
        <v>0</v>
      </c>
      <c r="H36" s="27">
        <f t="shared" si="1"/>
        <v>0</v>
      </c>
    </row>
    <row r="37" spans="1:8" ht="14.95" thickBot="1" x14ac:dyDescent="0.3">
      <c r="A37" s="97" t="s">
        <v>1243</v>
      </c>
      <c r="B37" s="153">
        <v>1</v>
      </c>
      <c r="C37" s="542">
        <v>0</v>
      </c>
      <c r="D37" s="54">
        <f t="shared" si="0"/>
        <v>1</v>
      </c>
      <c r="E37" s="26" t="s">
        <v>1243</v>
      </c>
      <c r="F37" s="154">
        <v>5</v>
      </c>
      <c r="G37" s="384">
        <v>0</v>
      </c>
      <c r="H37" s="27">
        <f t="shared" si="1"/>
        <v>5</v>
      </c>
    </row>
    <row r="38" spans="1:8" ht="14.95" thickBot="1" x14ac:dyDescent="0.3">
      <c r="A38" s="97" t="s">
        <v>869</v>
      </c>
      <c r="B38" s="153">
        <v>0</v>
      </c>
      <c r="C38" s="542">
        <v>0</v>
      </c>
      <c r="D38" s="54">
        <f t="shared" si="0"/>
        <v>0</v>
      </c>
      <c r="E38" s="26" t="s">
        <v>869</v>
      </c>
      <c r="F38" s="154">
        <v>0</v>
      </c>
      <c r="G38" s="384">
        <v>0</v>
      </c>
      <c r="H38" s="27">
        <f t="shared" si="1"/>
        <v>0</v>
      </c>
    </row>
    <row r="39" spans="1:8" ht="14.95" thickBot="1" x14ac:dyDescent="0.3">
      <c r="A39" s="97" t="s">
        <v>970</v>
      </c>
      <c r="B39" s="153">
        <v>3</v>
      </c>
      <c r="C39" s="542">
        <v>0</v>
      </c>
      <c r="D39" s="54">
        <f t="shared" si="0"/>
        <v>3</v>
      </c>
      <c r="E39" s="26" t="s">
        <v>970</v>
      </c>
      <c r="F39" s="154">
        <v>15</v>
      </c>
      <c r="G39" s="384">
        <v>0</v>
      </c>
      <c r="H39" s="27">
        <f t="shared" si="1"/>
        <v>15</v>
      </c>
    </row>
    <row r="40" spans="1:8" ht="14.95" thickBot="1" x14ac:dyDescent="0.3">
      <c r="A40" s="97" t="s">
        <v>4</v>
      </c>
      <c r="B40" s="153">
        <v>0</v>
      </c>
      <c r="C40" s="542">
        <v>0</v>
      </c>
      <c r="D40" s="54">
        <f t="shared" si="0"/>
        <v>0</v>
      </c>
      <c r="E40" s="26" t="s">
        <v>4</v>
      </c>
      <c r="F40" s="154">
        <v>0</v>
      </c>
      <c r="G40" s="384">
        <v>0</v>
      </c>
      <c r="H40" s="27">
        <f t="shared" si="1"/>
        <v>0</v>
      </c>
    </row>
    <row r="41" spans="1:8" ht="14.95" thickBot="1" x14ac:dyDescent="0.3">
      <c r="A41" s="97" t="s">
        <v>350</v>
      </c>
      <c r="B41" s="153">
        <v>0</v>
      </c>
      <c r="C41" s="542">
        <v>0</v>
      </c>
      <c r="D41" s="54">
        <f t="shared" si="0"/>
        <v>0</v>
      </c>
      <c r="E41" s="26" t="s">
        <v>350</v>
      </c>
      <c r="F41" s="154">
        <v>0</v>
      </c>
      <c r="G41" s="384">
        <v>0</v>
      </c>
      <c r="H41" s="27">
        <f t="shared" si="1"/>
        <v>0</v>
      </c>
    </row>
    <row r="42" spans="1:8" ht="14.95" thickBot="1" x14ac:dyDescent="0.3">
      <c r="A42" s="97" t="s">
        <v>1263</v>
      </c>
      <c r="B42" s="153">
        <v>0</v>
      </c>
      <c r="C42" s="542">
        <v>0</v>
      </c>
      <c r="D42" s="54">
        <f t="shared" si="0"/>
        <v>0</v>
      </c>
      <c r="E42" s="26" t="s">
        <v>1263</v>
      </c>
      <c r="F42" s="154">
        <v>0</v>
      </c>
      <c r="G42" s="384">
        <v>0</v>
      </c>
      <c r="H42" s="27">
        <f t="shared" si="1"/>
        <v>0</v>
      </c>
    </row>
    <row r="43" spans="1:8" ht="14.95" thickBot="1" x14ac:dyDescent="0.3">
      <c r="A43" s="97" t="s">
        <v>1137</v>
      </c>
      <c r="B43" s="153">
        <v>0</v>
      </c>
      <c r="C43" s="542">
        <v>0</v>
      </c>
      <c r="D43" s="54">
        <f t="shared" si="0"/>
        <v>0</v>
      </c>
      <c r="E43" s="26" t="s">
        <v>1137</v>
      </c>
      <c r="F43" s="154">
        <v>4</v>
      </c>
      <c r="G43" s="384">
        <v>0</v>
      </c>
      <c r="H43" s="27">
        <f t="shared" si="1"/>
        <v>4</v>
      </c>
    </row>
    <row r="44" spans="1:8" ht="14.95" thickBot="1" x14ac:dyDescent="0.3">
      <c r="A44" s="97" t="s">
        <v>120</v>
      </c>
      <c r="B44" s="153">
        <v>0</v>
      </c>
      <c r="C44" s="542">
        <v>0</v>
      </c>
      <c r="D44" s="54">
        <f t="shared" si="0"/>
        <v>0</v>
      </c>
      <c r="E44" s="26" t="s">
        <v>120</v>
      </c>
      <c r="F44" s="154">
        <v>0</v>
      </c>
      <c r="G44" s="384">
        <v>0</v>
      </c>
      <c r="H44" s="27">
        <f t="shared" si="1"/>
        <v>0</v>
      </c>
    </row>
    <row r="45" spans="1:8" ht="14.95" thickBot="1" x14ac:dyDescent="0.3">
      <c r="A45" s="97" t="s">
        <v>585</v>
      </c>
      <c r="B45" s="153">
        <v>0</v>
      </c>
      <c r="C45" s="542">
        <v>0</v>
      </c>
      <c r="D45" s="54">
        <f t="shared" si="0"/>
        <v>0</v>
      </c>
      <c r="E45" s="26" t="s">
        <v>585</v>
      </c>
      <c r="F45" s="154">
        <v>0</v>
      </c>
      <c r="G45" s="384">
        <v>0</v>
      </c>
      <c r="H45" s="27">
        <f t="shared" si="1"/>
        <v>0</v>
      </c>
    </row>
    <row r="46" spans="1:8" ht="14.95" thickBot="1" x14ac:dyDescent="0.3">
      <c r="A46" s="97" t="s">
        <v>466</v>
      </c>
      <c r="B46" s="153">
        <v>1</v>
      </c>
      <c r="C46" s="542">
        <v>0</v>
      </c>
      <c r="D46" s="54">
        <f t="shared" si="0"/>
        <v>1</v>
      </c>
      <c r="E46" s="26" t="s">
        <v>466</v>
      </c>
      <c r="F46" s="154">
        <v>5</v>
      </c>
      <c r="G46" s="384">
        <v>0</v>
      </c>
      <c r="H46" s="27">
        <f t="shared" si="1"/>
        <v>5</v>
      </c>
    </row>
    <row r="47" spans="1:8" ht="14.95" thickBot="1" x14ac:dyDescent="0.3">
      <c r="A47" s="97" t="s">
        <v>1474</v>
      </c>
      <c r="B47" s="153">
        <v>1</v>
      </c>
      <c r="C47" s="542">
        <v>0</v>
      </c>
      <c r="D47" s="54">
        <f t="shared" si="0"/>
        <v>1</v>
      </c>
      <c r="E47" s="26" t="s">
        <v>1474</v>
      </c>
      <c r="F47" s="154">
        <v>5</v>
      </c>
      <c r="G47" s="384">
        <v>0</v>
      </c>
      <c r="H47" s="27">
        <f t="shared" si="1"/>
        <v>5</v>
      </c>
    </row>
    <row r="48" spans="1:8" ht="14.95" thickBot="1" x14ac:dyDescent="0.3">
      <c r="A48" s="97" t="s">
        <v>1244</v>
      </c>
      <c r="B48" s="153">
        <v>1</v>
      </c>
      <c r="C48" s="542">
        <v>0</v>
      </c>
      <c r="D48" s="54">
        <f t="shared" si="0"/>
        <v>1</v>
      </c>
      <c r="E48" s="26" t="s">
        <v>1244</v>
      </c>
      <c r="F48" s="154">
        <v>5</v>
      </c>
      <c r="G48" s="384">
        <v>0</v>
      </c>
      <c r="H48" s="27">
        <f t="shared" si="1"/>
        <v>5</v>
      </c>
    </row>
    <row r="49" spans="1:8" ht="14.95" thickBot="1" x14ac:dyDescent="0.3">
      <c r="A49" s="97" t="s">
        <v>146</v>
      </c>
      <c r="B49" s="153">
        <v>0</v>
      </c>
      <c r="C49" s="542">
        <v>0</v>
      </c>
      <c r="D49" s="54">
        <f t="shared" si="0"/>
        <v>0</v>
      </c>
      <c r="E49" s="26" t="s">
        <v>146</v>
      </c>
      <c r="F49" s="154">
        <v>0</v>
      </c>
      <c r="G49" s="384">
        <v>0</v>
      </c>
      <c r="H49" s="27">
        <f t="shared" si="1"/>
        <v>0</v>
      </c>
    </row>
    <row r="50" spans="1:8" ht="14.95" thickBot="1" x14ac:dyDescent="0.3">
      <c r="A50" s="97" t="s">
        <v>3</v>
      </c>
      <c r="B50" s="153">
        <f>SUM(B3:B49)</f>
        <v>14</v>
      </c>
      <c r="C50" s="542">
        <f>SUM(C3:C49)</f>
        <v>0</v>
      </c>
      <c r="D50" s="54">
        <f t="shared" si="0"/>
        <v>14</v>
      </c>
      <c r="E50" s="25" t="s">
        <v>3</v>
      </c>
      <c r="F50" s="154">
        <f>SUM(F3:F49)</f>
        <v>103</v>
      </c>
      <c r="G50" s="384">
        <f>SUM(G3:G49)</f>
        <v>0</v>
      </c>
      <c r="H50" s="27">
        <f t="shared" si="1"/>
        <v>103</v>
      </c>
    </row>
    <row r="51" spans="1:8" x14ac:dyDescent="0.25">
      <c r="A51" s="2"/>
      <c r="B51" s="2"/>
      <c r="C51" s="543"/>
      <c r="D51" s="2"/>
      <c r="E51" s="11"/>
      <c r="F51" s="11"/>
      <c r="G51" s="508"/>
      <c r="H51" s="11"/>
    </row>
    <row r="52" spans="1:8" ht="14.95" thickBot="1" x14ac:dyDescent="0.3">
      <c r="A52" t="s">
        <v>15</v>
      </c>
      <c r="C52" s="544"/>
      <c r="E52" s="9"/>
      <c r="F52" s="9"/>
      <c r="G52" s="545"/>
      <c r="H52" s="9"/>
    </row>
    <row r="53" spans="1:8" ht="14.95" thickBot="1" x14ac:dyDescent="0.3">
      <c r="A53" s="198" t="s">
        <v>0</v>
      </c>
      <c r="B53" s="199" t="s">
        <v>36</v>
      </c>
      <c r="C53" s="541" t="s">
        <v>1447</v>
      </c>
      <c r="D53" s="200" t="s">
        <v>1</v>
      </c>
      <c r="E53" s="175" t="s">
        <v>2</v>
      </c>
      <c r="F53" s="196" t="s">
        <v>36</v>
      </c>
      <c r="G53" s="383" t="s">
        <v>1447</v>
      </c>
      <c r="H53" s="178" t="s">
        <v>1</v>
      </c>
    </row>
    <row r="54" spans="1:8" ht="14.95" thickBot="1" x14ac:dyDescent="0.3">
      <c r="A54" s="97" t="s">
        <v>970</v>
      </c>
      <c r="B54" s="153">
        <v>3</v>
      </c>
      <c r="C54" s="542">
        <v>0</v>
      </c>
      <c r="D54" s="54">
        <f>SUM(B54:C54)</f>
        <v>3</v>
      </c>
      <c r="E54" s="25" t="s">
        <v>558</v>
      </c>
      <c r="F54" s="154">
        <v>34</v>
      </c>
      <c r="G54" s="384">
        <v>0</v>
      </c>
      <c r="H54" s="27">
        <f>SUM(F54:G54)</f>
        <v>34</v>
      </c>
    </row>
    <row r="55" spans="1:8" ht="14.95" thickBot="1" x14ac:dyDescent="0.3">
      <c r="A55" s="97" t="s">
        <v>1463</v>
      </c>
      <c r="B55" s="153">
        <v>2</v>
      </c>
      <c r="C55" s="542">
        <v>0</v>
      </c>
      <c r="D55" s="54">
        <f>SUM(B55:C55)</f>
        <v>2</v>
      </c>
      <c r="E55" s="25" t="s">
        <v>970</v>
      </c>
      <c r="F55" s="154">
        <v>15</v>
      </c>
      <c r="G55" s="384">
        <v>0</v>
      </c>
      <c r="H55" s="27">
        <f>SUM(F55:G55)</f>
        <v>15</v>
      </c>
    </row>
    <row r="56" spans="1:8" ht="14.95" thickBot="1" x14ac:dyDescent="0.3">
      <c r="A56" s="97" t="s">
        <v>384</v>
      </c>
      <c r="B56" s="153">
        <v>2</v>
      </c>
      <c r="C56" s="542">
        <v>0</v>
      </c>
      <c r="D56" s="54">
        <f>SUM(B56:C56)</f>
        <v>2</v>
      </c>
      <c r="E56" s="25" t="s">
        <v>1463</v>
      </c>
      <c r="F56" s="154">
        <v>10</v>
      </c>
      <c r="G56" s="384">
        <v>0</v>
      </c>
      <c r="H56" s="27">
        <f>SUM(F56:G56)</f>
        <v>10</v>
      </c>
    </row>
    <row r="57" spans="1:8" ht="14.95" thickBot="1" x14ac:dyDescent="0.3">
      <c r="A57" s="97" t="s">
        <v>558</v>
      </c>
      <c r="B57" s="153">
        <v>1</v>
      </c>
      <c r="C57" s="542">
        <v>0</v>
      </c>
      <c r="D57" s="54">
        <f>SUM(B57:C57)</f>
        <v>1</v>
      </c>
      <c r="E57" s="25" t="s">
        <v>384</v>
      </c>
      <c r="F57" s="154">
        <v>10</v>
      </c>
      <c r="G57" s="384">
        <v>0</v>
      </c>
      <c r="H57" s="27">
        <f>SUM(F57:G57)</f>
        <v>10</v>
      </c>
    </row>
    <row r="58" spans="1:8" ht="14.95" thickBot="1" x14ac:dyDescent="0.3">
      <c r="A58" s="97" t="s">
        <v>441</v>
      </c>
      <c r="B58" s="153">
        <v>1</v>
      </c>
      <c r="C58" s="542">
        <v>0</v>
      </c>
      <c r="D58" s="54">
        <f>SUM(B58:C58)</f>
        <v>1</v>
      </c>
      <c r="E58" s="25" t="s">
        <v>441</v>
      </c>
      <c r="F58" s="154">
        <v>5</v>
      </c>
      <c r="G58" s="384">
        <v>0</v>
      </c>
      <c r="H58" s="27">
        <f>SUM(F58:G58)</f>
        <v>5</v>
      </c>
    </row>
    <row r="59" spans="1:8" ht="14.95" thickBot="1" x14ac:dyDescent="0.3">
      <c r="A59" s="97" t="s">
        <v>1449</v>
      </c>
      <c r="B59" s="153">
        <v>1</v>
      </c>
      <c r="C59" s="542">
        <v>0</v>
      </c>
      <c r="D59" s="54">
        <f>SUM(B59:C59)</f>
        <v>1</v>
      </c>
      <c r="E59" s="25" t="s">
        <v>1449</v>
      </c>
      <c r="F59" s="154">
        <v>5</v>
      </c>
      <c r="G59" s="384">
        <v>0</v>
      </c>
      <c r="H59" s="27">
        <f>SUM(F59:G59)</f>
        <v>5</v>
      </c>
    </row>
    <row r="60" spans="1:8" ht="14.95" thickBot="1" x14ac:dyDescent="0.3">
      <c r="A60" s="97" t="s">
        <v>1243</v>
      </c>
      <c r="B60" s="153">
        <v>1</v>
      </c>
      <c r="C60" s="542">
        <v>0</v>
      </c>
      <c r="D60" s="54">
        <f>SUM(B60:C60)</f>
        <v>1</v>
      </c>
      <c r="E60" s="25" t="s">
        <v>1243</v>
      </c>
      <c r="F60" s="154">
        <v>5</v>
      </c>
      <c r="G60" s="384">
        <v>0</v>
      </c>
      <c r="H60" s="27">
        <f>SUM(F60:G60)</f>
        <v>5</v>
      </c>
    </row>
    <row r="61" spans="1:8" ht="14.95" thickBot="1" x14ac:dyDescent="0.3">
      <c r="A61" s="97" t="s">
        <v>466</v>
      </c>
      <c r="B61" s="153">
        <v>1</v>
      </c>
      <c r="C61" s="542">
        <v>0</v>
      </c>
      <c r="D61" s="54">
        <f>SUM(B61:C61)</f>
        <v>1</v>
      </c>
      <c r="E61" s="26" t="s">
        <v>466</v>
      </c>
      <c r="F61" s="154">
        <v>5</v>
      </c>
      <c r="G61" s="384">
        <v>0</v>
      </c>
      <c r="H61" s="27">
        <f>SUM(F61:G61)</f>
        <v>5</v>
      </c>
    </row>
    <row r="62" spans="1:8" ht="14.95" thickBot="1" x14ac:dyDescent="0.3">
      <c r="A62" s="97" t="s">
        <v>1474</v>
      </c>
      <c r="B62" s="153">
        <v>1</v>
      </c>
      <c r="C62" s="542">
        <v>0</v>
      </c>
      <c r="D62" s="54">
        <f>SUM(B62:C62)</f>
        <v>1</v>
      </c>
      <c r="E62" s="26" t="s">
        <v>1474</v>
      </c>
      <c r="F62" s="154">
        <v>5</v>
      </c>
      <c r="G62" s="384">
        <v>0</v>
      </c>
      <c r="H62" s="27">
        <f>SUM(F62:G62)</f>
        <v>5</v>
      </c>
    </row>
    <row r="63" spans="1:8" ht="14.95" thickBot="1" x14ac:dyDescent="0.3">
      <c r="A63" s="97" t="s">
        <v>1244</v>
      </c>
      <c r="B63" s="153">
        <v>1</v>
      </c>
      <c r="C63" s="542">
        <v>0</v>
      </c>
      <c r="D63" s="54">
        <f>SUM(B63:C63)</f>
        <v>1</v>
      </c>
      <c r="E63" s="26" t="s">
        <v>1244</v>
      </c>
      <c r="F63" s="154">
        <v>5</v>
      </c>
      <c r="G63" s="384">
        <v>0</v>
      </c>
      <c r="H63" s="27">
        <f>SUM(F63:G63)</f>
        <v>5</v>
      </c>
    </row>
    <row r="64" spans="1:8" ht="14.95" thickBot="1" x14ac:dyDescent="0.3">
      <c r="A64" s="97" t="s">
        <v>192</v>
      </c>
      <c r="B64" s="153">
        <v>0</v>
      </c>
      <c r="C64" s="542">
        <v>0</v>
      </c>
      <c r="D64" s="54">
        <f>SUM(B64:C64)</f>
        <v>0</v>
      </c>
      <c r="E64" s="26" t="s">
        <v>1137</v>
      </c>
      <c r="F64" s="154">
        <v>4</v>
      </c>
      <c r="G64" s="384">
        <v>0</v>
      </c>
      <c r="H64" s="27">
        <f>SUM(F64:G64)</f>
        <v>4</v>
      </c>
    </row>
    <row r="65" spans="1:8" ht="14.95" thickBot="1" x14ac:dyDescent="0.3">
      <c r="A65" s="97" t="s">
        <v>484</v>
      </c>
      <c r="B65" s="153">
        <v>0</v>
      </c>
      <c r="C65" s="542">
        <v>0</v>
      </c>
      <c r="D65" s="54">
        <f>SUM(B65:C65)</f>
        <v>0</v>
      </c>
      <c r="E65" s="26" t="s">
        <v>192</v>
      </c>
      <c r="F65" s="154">
        <v>0</v>
      </c>
      <c r="G65" s="384">
        <v>0</v>
      </c>
      <c r="H65" s="27">
        <f>SUM(F65:G65)</f>
        <v>0</v>
      </c>
    </row>
    <row r="66" spans="1:8" ht="14.95" thickBot="1" x14ac:dyDescent="0.3">
      <c r="A66" s="97" t="s">
        <v>387</v>
      </c>
      <c r="B66" s="153">
        <v>0</v>
      </c>
      <c r="C66" s="542">
        <v>0</v>
      </c>
      <c r="D66" s="54">
        <f>SUM(B66:C66)</f>
        <v>0</v>
      </c>
      <c r="E66" s="26" t="s">
        <v>484</v>
      </c>
      <c r="F66" s="154">
        <v>0</v>
      </c>
      <c r="G66" s="384">
        <v>0</v>
      </c>
      <c r="H66" s="27">
        <f>SUM(F66:G66)</f>
        <v>0</v>
      </c>
    </row>
    <row r="67" spans="1:8" ht="14.95" thickBot="1" x14ac:dyDescent="0.3">
      <c r="A67" s="97" t="s">
        <v>249</v>
      </c>
      <c r="B67" s="153">
        <v>0</v>
      </c>
      <c r="C67" s="542">
        <v>0</v>
      </c>
      <c r="D67" s="54">
        <f>SUM(B67:C67)</f>
        <v>0</v>
      </c>
      <c r="E67" s="26" t="s">
        <v>387</v>
      </c>
      <c r="F67" s="154">
        <v>0</v>
      </c>
      <c r="G67" s="384">
        <v>0</v>
      </c>
      <c r="H67" s="27">
        <f>SUM(F67:G67)</f>
        <v>0</v>
      </c>
    </row>
    <row r="68" spans="1:8" ht="14.95" thickBot="1" x14ac:dyDescent="0.3">
      <c r="A68" s="97" t="s">
        <v>1262</v>
      </c>
      <c r="B68" s="153">
        <v>0</v>
      </c>
      <c r="C68" s="542">
        <v>0</v>
      </c>
      <c r="D68" s="54">
        <f>SUM(B68:C68)</f>
        <v>0</v>
      </c>
      <c r="E68" s="26" t="s">
        <v>249</v>
      </c>
      <c r="F68" s="154">
        <v>0</v>
      </c>
      <c r="G68" s="384">
        <v>0</v>
      </c>
      <c r="H68" s="27">
        <f>SUM(F68:G68)</f>
        <v>0</v>
      </c>
    </row>
    <row r="69" spans="1:8" ht="14.95" thickBot="1" x14ac:dyDescent="0.3">
      <c r="A69" s="97" t="s">
        <v>406</v>
      </c>
      <c r="B69" s="153">
        <v>0</v>
      </c>
      <c r="C69" s="542">
        <v>0</v>
      </c>
      <c r="D69" s="54">
        <f>SUM(B69:C69)</f>
        <v>0</v>
      </c>
      <c r="E69" s="26" t="s">
        <v>1262</v>
      </c>
      <c r="F69" s="154">
        <v>0</v>
      </c>
      <c r="G69" s="384">
        <v>0</v>
      </c>
      <c r="H69" s="27">
        <f>SUM(F69:G69)</f>
        <v>0</v>
      </c>
    </row>
    <row r="70" spans="1:8" ht="14.95" thickBot="1" x14ac:dyDescent="0.3">
      <c r="A70" s="97" t="s">
        <v>250</v>
      </c>
      <c r="B70" s="153">
        <v>0</v>
      </c>
      <c r="C70" s="542">
        <v>0</v>
      </c>
      <c r="D70" s="54">
        <f>SUM(B70:C70)</f>
        <v>0</v>
      </c>
      <c r="E70" s="26" t="s">
        <v>406</v>
      </c>
      <c r="F70" s="154">
        <v>0</v>
      </c>
      <c r="G70" s="384">
        <v>0</v>
      </c>
      <c r="H70" s="27">
        <f>SUM(F70:G70)</f>
        <v>0</v>
      </c>
    </row>
    <row r="71" spans="1:8" ht="14.95" thickBot="1" x14ac:dyDescent="0.3">
      <c r="A71" s="97" t="s">
        <v>866</v>
      </c>
      <c r="B71" s="153">
        <v>0</v>
      </c>
      <c r="C71" s="542">
        <v>0</v>
      </c>
      <c r="D71" s="54">
        <f>SUM(B71:C71)</f>
        <v>0</v>
      </c>
      <c r="E71" s="26" t="s">
        <v>250</v>
      </c>
      <c r="F71" s="154">
        <v>0</v>
      </c>
      <c r="G71" s="384">
        <v>0</v>
      </c>
      <c r="H71" s="27">
        <f>SUM(F71:G71)</f>
        <v>0</v>
      </c>
    </row>
    <row r="72" spans="1:8" ht="14.95" thickBot="1" x14ac:dyDescent="0.3">
      <c r="A72" s="97" t="s">
        <v>1264</v>
      </c>
      <c r="B72" s="153">
        <v>0</v>
      </c>
      <c r="C72" s="542">
        <v>0</v>
      </c>
      <c r="D72" s="54">
        <f>SUM(B72:C72)</f>
        <v>0</v>
      </c>
      <c r="E72" s="26" t="s">
        <v>866</v>
      </c>
      <c r="F72" s="154">
        <v>0</v>
      </c>
      <c r="G72" s="384">
        <v>0</v>
      </c>
      <c r="H72" s="27">
        <f>SUM(F72:G72)</f>
        <v>0</v>
      </c>
    </row>
    <row r="73" spans="1:8" ht="14.95" thickBot="1" x14ac:dyDescent="0.3">
      <c r="A73" s="97" t="s">
        <v>456</v>
      </c>
      <c r="B73" s="153">
        <v>0</v>
      </c>
      <c r="C73" s="542">
        <v>0</v>
      </c>
      <c r="D73" s="54">
        <f>SUM(B73:C73)</f>
        <v>0</v>
      </c>
      <c r="E73" s="26" t="s">
        <v>1264</v>
      </c>
      <c r="F73" s="154">
        <v>0</v>
      </c>
      <c r="G73" s="384">
        <v>0</v>
      </c>
      <c r="H73" s="27">
        <f>SUM(F73:G73)</f>
        <v>0</v>
      </c>
    </row>
    <row r="74" spans="1:8" ht="14.95" thickBot="1" x14ac:dyDescent="0.3">
      <c r="A74" s="97" t="s">
        <v>667</v>
      </c>
      <c r="B74" s="153">
        <v>0</v>
      </c>
      <c r="C74" s="542">
        <v>0</v>
      </c>
      <c r="D74" s="54">
        <f>SUM(B74:C74)</f>
        <v>0</v>
      </c>
      <c r="E74" s="26" t="s">
        <v>456</v>
      </c>
      <c r="F74" s="154">
        <v>0</v>
      </c>
      <c r="G74" s="384">
        <v>0</v>
      </c>
      <c r="H74" s="27">
        <f>SUM(F74:G74)</f>
        <v>0</v>
      </c>
    </row>
    <row r="75" spans="1:8" ht="14.95" thickBot="1" x14ac:dyDescent="0.3">
      <c r="A75" s="97" t="s">
        <v>61</v>
      </c>
      <c r="B75" s="153">
        <v>0</v>
      </c>
      <c r="C75" s="542">
        <v>0</v>
      </c>
      <c r="D75" s="54">
        <f>SUM(B75:C75)</f>
        <v>0</v>
      </c>
      <c r="E75" s="26" t="s">
        <v>667</v>
      </c>
      <c r="F75" s="154">
        <v>0</v>
      </c>
      <c r="G75" s="384">
        <v>0</v>
      </c>
      <c r="H75" s="27">
        <f>SUM(F75:G75)</f>
        <v>0</v>
      </c>
    </row>
    <row r="76" spans="1:8" ht="14.95" thickBot="1" x14ac:dyDescent="0.3">
      <c r="A76" s="97" t="s">
        <v>1265</v>
      </c>
      <c r="B76" s="153">
        <v>0</v>
      </c>
      <c r="C76" s="542">
        <v>0</v>
      </c>
      <c r="D76" s="54">
        <f>SUM(B76:C76)</f>
        <v>0</v>
      </c>
      <c r="E76" s="26" t="s">
        <v>61</v>
      </c>
      <c r="F76" s="154">
        <v>0</v>
      </c>
      <c r="G76" s="384">
        <v>0</v>
      </c>
      <c r="H76" s="27">
        <f>SUM(F76:G76)</f>
        <v>0</v>
      </c>
    </row>
    <row r="77" spans="1:8" ht="14.95" thickBot="1" x14ac:dyDescent="0.3">
      <c r="A77" s="97" t="s">
        <v>476</v>
      </c>
      <c r="B77" s="153">
        <v>0</v>
      </c>
      <c r="C77" s="542">
        <v>0</v>
      </c>
      <c r="D77" s="54">
        <f>SUM(B77:C77)</f>
        <v>0</v>
      </c>
      <c r="E77" s="26" t="s">
        <v>1265</v>
      </c>
      <c r="F77" s="154">
        <v>0</v>
      </c>
      <c r="G77" s="384">
        <v>0</v>
      </c>
      <c r="H77" s="27">
        <f>SUM(F77:G77)</f>
        <v>0</v>
      </c>
    </row>
    <row r="78" spans="1:8" ht="14.95" thickBot="1" x14ac:dyDescent="0.3">
      <c r="A78" s="97" t="s">
        <v>493</v>
      </c>
      <c r="B78" s="153">
        <v>0</v>
      </c>
      <c r="C78" s="542">
        <v>0</v>
      </c>
      <c r="D78" s="54">
        <f>SUM(B78:C78)</f>
        <v>0</v>
      </c>
      <c r="E78" s="26" t="s">
        <v>476</v>
      </c>
      <c r="F78" s="154">
        <v>0</v>
      </c>
      <c r="G78" s="384">
        <v>0</v>
      </c>
      <c r="H78" s="27">
        <f>SUM(F78:G78)</f>
        <v>0</v>
      </c>
    </row>
    <row r="79" spans="1:8" ht="14.95" thickBot="1" x14ac:dyDescent="0.3">
      <c r="A79" s="97" t="s">
        <v>62</v>
      </c>
      <c r="B79" s="153">
        <v>0</v>
      </c>
      <c r="C79" s="542">
        <v>0</v>
      </c>
      <c r="D79" s="54">
        <f>SUM(B79:C79)</f>
        <v>0</v>
      </c>
      <c r="E79" s="26" t="s">
        <v>493</v>
      </c>
      <c r="F79" s="154">
        <v>0</v>
      </c>
      <c r="G79" s="384">
        <v>0</v>
      </c>
      <c r="H79" s="27">
        <f>SUM(F79:G79)</f>
        <v>0</v>
      </c>
    </row>
    <row r="80" spans="1:8" ht="14.95" thickBot="1" x14ac:dyDescent="0.3">
      <c r="A80" s="97" t="s">
        <v>63</v>
      </c>
      <c r="B80" s="153">
        <v>0</v>
      </c>
      <c r="C80" s="542">
        <v>0</v>
      </c>
      <c r="D80" s="54">
        <f>SUM(B80:C80)</f>
        <v>0</v>
      </c>
      <c r="E80" s="26" t="s">
        <v>62</v>
      </c>
      <c r="F80" s="154">
        <v>0</v>
      </c>
      <c r="G80" s="384">
        <v>0</v>
      </c>
      <c r="H80" s="27">
        <f>SUM(F80:G80)</f>
        <v>0</v>
      </c>
    </row>
    <row r="81" spans="1:8" ht="14.95" thickBot="1" x14ac:dyDescent="0.3">
      <c r="A81" s="97" t="s">
        <v>157</v>
      </c>
      <c r="B81" s="153">
        <v>0</v>
      </c>
      <c r="C81" s="542">
        <v>0</v>
      </c>
      <c r="D81" s="54">
        <f>SUM(B81:C81)</f>
        <v>0</v>
      </c>
      <c r="E81" s="26" t="s">
        <v>63</v>
      </c>
      <c r="F81" s="154">
        <v>0</v>
      </c>
      <c r="G81" s="384">
        <v>0</v>
      </c>
      <c r="H81" s="27">
        <f>SUM(F81:G81)</f>
        <v>0</v>
      </c>
    </row>
    <row r="82" spans="1:8" ht="14.95" thickBot="1" x14ac:dyDescent="0.3">
      <c r="A82" s="97" t="s">
        <v>359</v>
      </c>
      <c r="B82" s="153">
        <v>0</v>
      </c>
      <c r="C82" s="542">
        <v>0</v>
      </c>
      <c r="D82" s="54">
        <f>SUM(B82:C82)</f>
        <v>0</v>
      </c>
      <c r="E82" s="26" t="s">
        <v>157</v>
      </c>
      <c r="F82" s="154">
        <v>0</v>
      </c>
      <c r="G82" s="384">
        <v>0</v>
      </c>
      <c r="H82" s="27">
        <f>SUM(F82:G82)</f>
        <v>0</v>
      </c>
    </row>
    <row r="83" spans="1:8" ht="14.95" thickBot="1" x14ac:dyDescent="0.3">
      <c r="A83" s="97" t="s">
        <v>584</v>
      </c>
      <c r="B83" s="153">
        <v>0</v>
      </c>
      <c r="C83" s="542">
        <v>0</v>
      </c>
      <c r="D83" s="54">
        <f>SUM(B83:C83)</f>
        <v>0</v>
      </c>
      <c r="E83" s="26" t="s">
        <v>359</v>
      </c>
      <c r="F83" s="154">
        <v>0</v>
      </c>
      <c r="G83" s="384">
        <v>0</v>
      </c>
      <c r="H83" s="27">
        <f>SUM(F83:G83)</f>
        <v>0</v>
      </c>
    </row>
    <row r="84" spans="1:8" ht="14.95" thickBot="1" x14ac:dyDescent="0.3">
      <c r="A84" s="97" t="s">
        <v>1267</v>
      </c>
      <c r="B84" s="153">
        <v>0</v>
      </c>
      <c r="C84" s="542">
        <v>0</v>
      </c>
      <c r="D84" s="54">
        <f>SUM(B84:C84)</f>
        <v>0</v>
      </c>
      <c r="E84" s="26" t="s">
        <v>584</v>
      </c>
      <c r="F84" s="154">
        <v>0</v>
      </c>
      <c r="G84" s="384">
        <v>0</v>
      </c>
      <c r="H84" s="27">
        <f>SUM(F84:G84)</f>
        <v>0</v>
      </c>
    </row>
    <row r="85" spans="1:8" ht="14.95" thickBot="1" x14ac:dyDescent="0.3">
      <c r="A85" s="97" t="s">
        <v>868</v>
      </c>
      <c r="B85" s="153">
        <v>0</v>
      </c>
      <c r="C85" s="542">
        <v>0</v>
      </c>
      <c r="D85" s="54">
        <f>SUM(B85:C85)</f>
        <v>0</v>
      </c>
      <c r="E85" s="26" t="s">
        <v>1267</v>
      </c>
      <c r="F85" s="154">
        <v>0</v>
      </c>
      <c r="G85" s="384">
        <v>0</v>
      </c>
      <c r="H85" s="27">
        <f>SUM(F85:G85)</f>
        <v>0</v>
      </c>
    </row>
    <row r="86" spans="1:8" ht="14.95" thickBot="1" x14ac:dyDescent="0.3">
      <c r="A86" s="97" t="s">
        <v>365</v>
      </c>
      <c r="B86" s="153">
        <v>0</v>
      </c>
      <c r="C86" s="542">
        <v>0</v>
      </c>
      <c r="D86" s="54">
        <f>SUM(B86:C86)</f>
        <v>0</v>
      </c>
      <c r="E86" s="26" t="s">
        <v>868</v>
      </c>
      <c r="F86" s="154">
        <v>0</v>
      </c>
      <c r="G86" s="384">
        <v>0</v>
      </c>
      <c r="H86" s="27">
        <f>SUM(F86:G86)</f>
        <v>0</v>
      </c>
    </row>
    <row r="87" spans="1:8" ht="14.95" thickBot="1" x14ac:dyDescent="0.3">
      <c r="A87" s="97" t="s">
        <v>1135</v>
      </c>
      <c r="B87" s="153">
        <v>0</v>
      </c>
      <c r="C87" s="542">
        <v>0</v>
      </c>
      <c r="D87" s="54">
        <f>SUM(B87:C87)</f>
        <v>0</v>
      </c>
      <c r="E87" s="26" t="s">
        <v>365</v>
      </c>
      <c r="F87" s="154">
        <v>0</v>
      </c>
      <c r="G87" s="384">
        <v>0</v>
      </c>
      <c r="H87" s="27">
        <f>SUM(F87:G87)</f>
        <v>0</v>
      </c>
    </row>
    <row r="88" spans="1:8" ht="14.95" thickBot="1" x14ac:dyDescent="0.3">
      <c r="A88" s="97" t="s">
        <v>870</v>
      </c>
      <c r="B88" s="153">
        <v>0</v>
      </c>
      <c r="C88" s="542">
        <v>0</v>
      </c>
      <c r="D88" s="54">
        <f>SUM(B88:C88)</f>
        <v>0</v>
      </c>
      <c r="E88" s="26" t="s">
        <v>1135</v>
      </c>
      <c r="F88" s="154">
        <v>0</v>
      </c>
      <c r="G88" s="384">
        <v>0</v>
      </c>
      <c r="H88" s="27">
        <f>SUM(F88:G88)</f>
        <v>0</v>
      </c>
    </row>
    <row r="89" spans="1:8" ht="14.95" thickBot="1" x14ac:dyDescent="0.3">
      <c r="A89" s="97" t="s">
        <v>1396</v>
      </c>
      <c r="B89" s="153">
        <v>0</v>
      </c>
      <c r="C89" s="542">
        <v>0</v>
      </c>
      <c r="D89" s="54">
        <f>SUM(B89:C89)</f>
        <v>0</v>
      </c>
      <c r="E89" s="26" t="s">
        <v>870</v>
      </c>
      <c r="F89" s="154">
        <v>0</v>
      </c>
      <c r="G89" s="384">
        <v>0</v>
      </c>
      <c r="H89" s="27">
        <f>SUM(F89:G89)</f>
        <v>0</v>
      </c>
    </row>
    <row r="90" spans="1:8" ht="14.95" thickBot="1" x14ac:dyDescent="0.3">
      <c r="A90" s="97" t="s">
        <v>666</v>
      </c>
      <c r="B90" s="153">
        <v>0</v>
      </c>
      <c r="C90" s="542">
        <v>0</v>
      </c>
      <c r="D90" s="54">
        <f>SUM(B90:C90)</f>
        <v>0</v>
      </c>
      <c r="E90" s="26" t="s">
        <v>1396</v>
      </c>
      <c r="F90" s="154">
        <v>0</v>
      </c>
      <c r="G90" s="384">
        <v>0</v>
      </c>
      <c r="H90" s="27">
        <f>SUM(F90:G90)</f>
        <v>0</v>
      </c>
    </row>
    <row r="91" spans="1:8" ht="14.95" thickBot="1" x14ac:dyDescent="0.3">
      <c r="A91" s="97" t="s">
        <v>1266</v>
      </c>
      <c r="B91" s="153">
        <v>0</v>
      </c>
      <c r="C91" s="542">
        <v>0</v>
      </c>
      <c r="D91" s="54">
        <f>SUM(B91:C91)</f>
        <v>0</v>
      </c>
      <c r="E91" s="26" t="s">
        <v>666</v>
      </c>
      <c r="F91" s="154">
        <v>0</v>
      </c>
      <c r="G91" s="384">
        <v>0</v>
      </c>
      <c r="H91" s="27">
        <f>SUM(F91:G91)</f>
        <v>0</v>
      </c>
    </row>
    <row r="92" spans="1:8" ht="14.95" thickBot="1" x14ac:dyDescent="0.3">
      <c r="A92" s="97" t="s">
        <v>897</v>
      </c>
      <c r="B92" s="153">
        <v>0</v>
      </c>
      <c r="C92" s="542">
        <v>0</v>
      </c>
      <c r="D92" s="54">
        <f>SUM(B92:C92)</f>
        <v>0</v>
      </c>
      <c r="E92" s="26" t="s">
        <v>1266</v>
      </c>
      <c r="F92" s="154">
        <v>0</v>
      </c>
      <c r="G92" s="384">
        <v>0</v>
      </c>
      <c r="H92" s="27">
        <f>SUM(F92:G92)</f>
        <v>0</v>
      </c>
    </row>
    <row r="93" spans="1:8" ht="14.95" thickBot="1" x14ac:dyDescent="0.3">
      <c r="A93" s="97" t="s">
        <v>869</v>
      </c>
      <c r="B93" s="153">
        <v>0</v>
      </c>
      <c r="C93" s="542">
        <v>0</v>
      </c>
      <c r="D93" s="54">
        <f>SUM(B93:C93)</f>
        <v>0</v>
      </c>
      <c r="E93" s="26" t="s">
        <v>897</v>
      </c>
      <c r="F93" s="154">
        <v>0</v>
      </c>
      <c r="G93" s="384">
        <v>0</v>
      </c>
      <c r="H93" s="27">
        <f>SUM(F93:G93)</f>
        <v>0</v>
      </c>
    </row>
    <row r="94" spans="1:8" ht="14.95" thickBot="1" x14ac:dyDescent="0.3">
      <c r="A94" s="97" t="s">
        <v>4</v>
      </c>
      <c r="B94" s="153">
        <v>0</v>
      </c>
      <c r="C94" s="542">
        <v>0</v>
      </c>
      <c r="D94" s="54">
        <f>SUM(B94:C94)</f>
        <v>0</v>
      </c>
      <c r="E94" s="26" t="s">
        <v>869</v>
      </c>
      <c r="F94" s="154">
        <v>0</v>
      </c>
      <c r="G94" s="384">
        <v>0</v>
      </c>
      <c r="H94" s="27">
        <f>SUM(F94:G94)</f>
        <v>0</v>
      </c>
    </row>
    <row r="95" spans="1:8" ht="14.95" thickBot="1" x14ac:dyDescent="0.3">
      <c r="A95" s="97" t="s">
        <v>350</v>
      </c>
      <c r="B95" s="153">
        <v>0</v>
      </c>
      <c r="C95" s="542">
        <v>0</v>
      </c>
      <c r="D95" s="54">
        <f>SUM(B95:C95)</f>
        <v>0</v>
      </c>
      <c r="E95" s="26" t="s">
        <v>4</v>
      </c>
      <c r="F95" s="154">
        <v>0</v>
      </c>
      <c r="G95" s="384">
        <v>0</v>
      </c>
      <c r="H95" s="27">
        <f>SUM(F95:G95)</f>
        <v>0</v>
      </c>
    </row>
    <row r="96" spans="1:8" ht="14.3" customHeight="1" thickBot="1" x14ac:dyDescent="0.3">
      <c r="A96" s="97" t="s">
        <v>1263</v>
      </c>
      <c r="B96" s="153">
        <v>0</v>
      </c>
      <c r="C96" s="542">
        <v>0</v>
      </c>
      <c r="D96" s="54">
        <f>SUM(B96:C96)</f>
        <v>0</v>
      </c>
      <c r="E96" s="26" t="s">
        <v>350</v>
      </c>
      <c r="F96" s="154">
        <v>0</v>
      </c>
      <c r="G96" s="384">
        <v>0</v>
      </c>
      <c r="H96" s="27">
        <f>SUM(F96:G96)</f>
        <v>0</v>
      </c>
    </row>
    <row r="97" spans="1:8" ht="14.95" thickBot="1" x14ac:dyDescent="0.3">
      <c r="A97" s="97" t="s">
        <v>1137</v>
      </c>
      <c r="B97" s="153">
        <v>0</v>
      </c>
      <c r="C97" s="542">
        <v>0</v>
      </c>
      <c r="D97" s="54">
        <f>SUM(B97:C97)</f>
        <v>0</v>
      </c>
      <c r="E97" s="26" t="s">
        <v>1263</v>
      </c>
      <c r="F97" s="154">
        <v>0</v>
      </c>
      <c r="G97" s="384">
        <v>0</v>
      </c>
      <c r="H97" s="27">
        <f>SUM(F97:G97)</f>
        <v>0</v>
      </c>
    </row>
    <row r="98" spans="1:8" ht="14.95" thickBot="1" x14ac:dyDescent="0.3">
      <c r="A98" s="97" t="s">
        <v>120</v>
      </c>
      <c r="B98" s="153">
        <v>0</v>
      </c>
      <c r="C98" s="542">
        <v>0</v>
      </c>
      <c r="D98" s="54">
        <f>SUM(B98:C98)</f>
        <v>0</v>
      </c>
      <c r="E98" s="26" t="s">
        <v>120</v>
      </c>
      <c r="F98" s="154">
        <v>0</v>
      </c>
      <c r="G98" s="384">
        <v>0</v>
      </c>
      <c r="H98" s="27">
        <f>SUM(F98:G98)</f>
        <v>0</v>
      </c>
    </row>
    <row r="99" spans="1:8" ht="14.95" thickBot="1" x14ac:dyDescent="0.3">
      <c r="A99" s="97" t="s">
        <v>585</v>
      </c>
      <c r="B99" s="153">
        <v>0</v>
      </c>
      <c r="C99" s="542">
        <v>0</v>
      </c>
      <c r="D99" s="54">
        <f>SUM(B99:C99)</f>
        <v>0</v>
      </c>
      <c r="E99" s="26" t="s">
        <v>585</v>
      </c>
      <c r="F99" s="154">
        <v>0</v>
      </c>
      <c r="G99" s="384">
        <v>0</v>
      </c>
      <c r="H99" s="27">
        <f>SUM(F99:G99)</f>
        <v>0</v>
      </c>
    </row>
    <row r="100" spans="1:8" ht="14.95" thickBot="1" x14ac:dyDescent="0.3">
      <c r="A100" s="97" t="s">
        <v>146</v>
      </c>
      <c r="B100" s="153">
        <v>0</v>
      </c>
      <c r="C100" s="542">
        <v>0</v>
      </c>
      <c r="D100" s="54">
        <f>SUM(B100:C100)</f>
        <v>0</v>
      </c>
      <c r="E100" s="26" t="s">
        <v>146</v>
      </c>
      <c r="F100" s="154">
        <v>0</v>
      </c>
      <c r="G100" s="384">
        <v>0</v>
      </c>
      <c r="H100" s="27">
        <f>SUM(F100:G100)</f>
        <v>0</v>
      </c>
    </row>
    <row r="101" spans="1:8" ht="14.95" thickBot="1" x14ac:dyDescent="0.3">
      <c r="A101" s="97" t="s">
        <v>3</v>
      </c>
      <c r="B101" s="153">
        <f>SUM(B54:B100)</f>
        <v>14</v>
      </c>
      <c r="C101" s="542">
        <f>SUM(C54:C100)</f>
        <v>0</v>
      </c>
      <c r="D101" s="54">
        <f t="shared" ref="D54:D101" si="6">SUM(B101:C101)</f>
        <v>14</v>
      </c>
      <c r="E101" s="25" t="s">
        <v>3</v>
      </c>
      <c r="F101" s="154">
        <f>SUM(F54:F100)</f>
        <v>103</v>
      </c>
      <c r="G101" s="384">
        <f>SUM(G54:G100)</f>
        <v>0</v>
      </c>
      <c r="H101" s="27">
        <f t="shared" ref="H54:H101" si="7">SUM(F101:G101)</f>
        <v>103</v>
      </c>
    </row>
  </sheetData>
  <sortState xmlns:xlrd2="http://schemas.microsoft.com/office/spreadsheetml/2017/richdata2" ref="E54:H100">
    <sortCondition descending="1" ref="H54:H100"/>
  </sortState>
  <mergeCells count="33">
    <mergeCell ref="T1:V2"/>
    <mergeCell ref="Y1:AA2"/>
    <mergeCell ref="A1:H1"/>
    <mergeCell ref="P22:R23"/>
    <mergeCell ref="I22:I23"/>
    <mergeCell ref="J22:L23"/>
    <mergeCell ref="M22:O23"/>
    <mergeCell ref="I13:I14"/>
    <mergeCell ref="I1:I2"/>
    <mergeCell ref="J1:L2"/>
    <mergeCell ref="Q1:S2"/>
    <mergeCell ref="M13:O14"/>
    <mergeCell ref="M1:O2"/>
    <mergeCell ref="P13:R14"/>
    <mergeCell ref="J13:L14"/>
    <mergeCell ref="P1:P2"/>
    <mergeCell ref="S13:U14"/>
    <mergeCell ref="AW13:AY14"/>
    <mergeCell ref="AN1:AP2"/>
    <mergeCell ref="AN13:AP14"/>
    <mergeCell ref="Y13:AA14"/>
    <mergeCell ref="AB1:AD2"/>
    <mergeCell ref="AB13:AD14"/>
    <mergeCell ref="AT1:AV2"/>
    <mergeCell ref="AQ13:AS14"/>
    <mergeCell ref="AT13:AV14"/>
    <mergeCell ref="AQ1:AS2"/>
    <mergeCell ref="AE1:AG2"/>
    <mergeCell ref="AK1:AM2"/>
    <mergeCell ref="AK13:AM14"/>
    <mergeCell ref="AH1:AJ2"/>
    <mergeCell ref="AH13:AJ14"/>
    <mergeCell ref="AE13:AG14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Y89"/>
  <sheetViews>
    <sheetView zoomScaleNormal="100" workbookViewId="0">
      <selection activeCell="W24" sqref="W24"/>
    </sheetView>
  </sheetViews>
  <sheetFormatPr defaultRowHeight="14.3" x14ac:dyDescent="0.25"/>
  <cols>
    <col min="1" max="1" width="16.5" customWidth="1"/>
    <col min="2" max="4" width="4.5" customWidth="1"/>
    <col min="5" max="5" width="16.5" customWidth="1"/>
    <col min="6" max="8" width="4.5" customWidth="1"/>
    <col min="9" max="9" width="15.5" customWidth="1"/>
    <col min="10" max="11" width="5.5" customWidth="1"/>
    <col min="12" max="12" width="5.625" customWidth="1"/>
    <col min="13" max="16" width="5.5" customWidth="1"/>
    <col min="17" max="17" width="5" customWidth="1"/>
    <col min="18" max="30" width="5.5" customWidth="1"/>
    <col min="31" max="48" width="5.625" customWidth="1"/>
  </cols>
  <sheetData>
    <row r="1" spans="1:51" ht="14.95" customHeight="1" thickBot="1" x14ac:dyDescent="0.3">
      <c r="A1" s="574" t="s">
        <v>1458</v>
      </c>
      <c r="B1" s="575"/>
      <c r="C1" s="575"/>
      <c r="D1" s="575"/>
      <c r="E1" s="575"/>
      <c r="F1" s="575"/>
      <c r="G1" s="575"/>
      <c r="H1" s="576"/>
      <c r="I1" s="581" t="s">
        <v>112</v>
      </c>
      <c r="J1" s="583">
        <v>2026</v>
      </c>
      <c r="K1" s="584"/>
      <c r="L1" s="585"/>
      <c r="M1" s="583" t="s">
        <v>32</v>
      </c>
      <c r="N1" s="584"/>
      <c r="O1" s="585"/>
      <c r="P1" s="579" t="s">
        <v>121</v>
      </c>
      <c r="Q1" s="568">
        <v>2025</v>
      </c>
      <c r="R1" s="569"/>
      <c r="S1" s="570"/>
      <c r="T1" s="568">
        <v>2024</v>
      </c>
      <c r="U1" s="569"/>
      <c r="V1" s="570"/>
      <c r="W1" s="235"/>
      <c r="X1" s="81"/>
      <c r="Y1" s="568">
        <v>2023</v>
      </c>
      <c r="Z1" s="569"/>
      <c r="AA1" s="570"/>
      <c r="AB1" s="568">
        <v>2022</v>
      </c>
      <c r="AC1" s="569"/>
      <c r="AD1" s="570"/>
      <c r="AE1" s="568">
        <v>2021</v>
      </c>
      <c r="AF1" s="569"/>
      <c r="AG1" s="570"/>
      <c r="AH1" s="557">
        <v>2020</v>
      </c>
      <c r="AI1" s="563"/>
      <c r="AJ1" s="564"/>
      <c r="AK1" s="557">
        <v>2019</v>
      </c>
      <c r="AL1" s="563"/>
      <c r="AM1" s="564"/>
      <c r="AN1" s="568">
        <v>2018</v>
      </c>
      <c r="AO1" s="569"/>
      <c r="AP1" s="570"/>
      <c r="AQ1" s="557">
        <v>2017</v>
      </c>
      <c r="AR1" s="563"/>
      <c r="AS1" s="564"/>
      <c r="AT1" s="557">
        <v>2016</v>
      </c>
      <c r="AU1" s="563"/>
      <c r="AV1" s="564"/>
    </row>
    <row r="2" spans="1:51" ht="14.95" customHeight="1" thickBot="1" x14ac:dyDescent="0.3">
      <c r="A2" s="549" t="s">
        <v>0</v>
      </c>
      <c r="B2" s="258" t="s">
        <v>36</v>
      </c>
      <c r="C2" s="513" t="s">
        <v>1447</v>
      </c>
      <c r="D2" s="551" t="s">
        <v>1</v>
      </c>
      <c r="E2" s="189" t="s">
        <v>2</v>
      </c>
      <c r="F2" s="254" t="s">
        <v>36</v>
      </c>
      <c r="G2" s="383" t="s">
        <v>1447</v>
      </c>
      <c r="H2" s="87" t="s">
        <v>1</v>
      </c>
      <c r="I2" s="582"/>
      <c r="J2" s="586"/>
      <c r="K2" s="587"/>
      <c r="L2" s="588"/>
      <c r="M2" s="586"/>
      <c r="N2" s="587"/>
      <c r="O2" s="588"/>
      <c r="P2" s="580"/>
      <c r="Q2" s="571"/>
      <c r="R2" s="572"/>
      <c r="S2" s="573"/>
      <c r="T2" s="571"/>
      <c r="U2" s="572"/>
      <c r="V2" s="573"/>
      <c r="W2" s="235"/>
      <c r="X2" s="81"/>
      <c r="Y2" s="571"/>
      <c r="Z2" s="572"/>
      <c r="AA2" s="573"/>
      <c r="AB2" s="571"/>
      <c r="AC2" s="572"/>
      <c r="AD2" s="573"/>
      <c r="AE2" s="571"/>
      <c r="AF2" s="572"/>
      <c r="AG2" s="573"/>
      <c r="AH2" s="565"/>
      <c r="AI2" s="566"/>
      <c r="AJ2" s="567"/>
      <c r="AK2" s="565"/>
      <c r="AL2" s="566"/>
      <c r="AM2" s="567"/>
      <c r="AN2" s="571"/>
      <c r="AO2" s="572"/>
      <c r="AP2" s="573"/>
      <c r="AQ2" s="565"/>
      <c r="AR2" s="566"/>
      <c r="AS2" s="567"/>
      <c r="AT2" s="565"/>
      <c r="AU2" s="566"/>
      <c r="AV2" s="567"/>
    </row>
    <row r="3" spans="1:51" ht="14.95" customHeight="1" thickBot="1" x14ac:dyDescent="0.3">
      <c r="A3" s="550" t="s">
        <v>65</v>
      </c>
      <c r="B3" s="259">
        <v>0</v>
      </c>
      <c r="C3" s="514">
        <v>0</v>
      </c>
      <c r="D3" s="552">
        <f t="shared" ref="D3:D44" si="0">SUM(B3:C3)</f>
        <v>0</v>
      </c>
      <c r="E3" s="32" t="s">
        <v>65</v>
      </c>
      <c r="F3" s="255">
        <v>0</v>
      </c>
      <c r="G3" s="384">
        <v>0</v>
      </c>
      <c r="H3" s="34">
        <f t="shared" ref="H3:H44" si="1">SUM(F3:G3)</f>
        <v>0</v>
      </c>
      <c r="I3" s="4"/>
      <c r="J3" s="1" t="s">
        <v>152</v>
      </c>
      <c r="K3" s="1" t="s">
        <v>12</v>
      </c>
      <c r="L3" s="1" t="s">
        <v>13</v>
      </c>
      <c r="M3" s="183" t="s">
        <v>152</v>
      </c>
      <c r="N3" s="1" t="s">
        <v>12</v>
      </c>
      <c r="O3" s="1" t="s">
        <v>13</v>
      </c>
      <c r="P3" s="1"/>
      <c r="Q3" s="128" t="s">
        <v>152</v>
      </c>
      <c r="R3" s="128" t="s">
        <v>12</v>
      </c>
      <c r="S3" s="128" t="s">
        <v>13</v>
      </c>
      <c r="T3" s="128" t="s">
        <v>152</v>
      </c>
      <c r="U3" s="128" t="s">
        <v>12</v>
      </c>
      <c r="V3" s="128" t="s">
        <v>13</v>
      </c>
      <c r="W3" s="180"/>
      <c r="X3" s="121"/>
      <c r="Y3" s="228" t="s">
        <v>152</v>
      </c>
      <c r="Z3" s="128" t="s">
        <v>12</v>
      </c>
      <c r="AA3" s="128" t="s">
        <v>13</v>
      </c>
      <c r="AB3" s="228" t="s">
        <v>152</v>
      </c>
      <c r="AC3" s="128" t="s">
        <v>12</v>
      </c>
      <c r="AD3" s="128" t="s">
        <v>13</v>
      </c>
      <c r="AE3" s="228" t="s">
        <v>152</v>
      </c>
      <c r="AF3" s="128" t="s">
        <v>12</v>
      </c>
      <c r="AG3" s="128" t="s">
        <v>13</v>
      </c>
      <c r="AH3" s="171" t="s">
        <v>152</v>
      </c>
      <c r="AI3" s="119" t="s">
        <v>12</v>
      </c>
      <c r="AJ3" s="119" t="s">
        <v>13</v>
      </c>
      <c r="AK3" s="171" t="s">
        <v>152</v>
      </c>
      <c r="AL3" s="119" t="s">
        <v>12</v>
      </c>
      <c r="AM3" s="119" t="s">
        <v>13</v>
      </c>
      <c r="AN3" s="228" t="s">
        <v>152</v>
      </c>
      <c r="AO3" s="128" t="s">
        <v>12</v>
      </c>
      <c r="AP3" s="128" t="s">
        <v>13</v>
      </c>
      <c r="AQ3" s="171" t="s">
        <v>152</v>
      </c>
      <c r="AR3" s="119" t="s">
        <v>12</v>
      </c>
      <c r="AS3" s="119" t="s">
        <v>13</v>
      </c>
      <c r="AT3" s="171" t="s">
        <v>152</v>
      </c>
      <c r="AU3" s="119" t="s">
        <v>12</v>
      </c>
      <c r="AV3" s="119" t="s">
        <v>13</v>
      </c>
    </row>
    <row r="4" spans="1:51" ht="14.95" customHeight="1" thickBot="1" x14ac:dyDescent="0.3">
      <c r="A4" s="550" t="s">
        <v>382</v>
      </c>
      <c r="B4" s="259">
        <v>0</v>
      </c>
      <c r="C4" s="514">
        <v>0</v>
      </c>
      <c r="D4" s="552">
        <f t="shared" si="0"/>
        <v>0</v>
      </c>
      <c r="E4" s="32" t="s">
        <v>382</v>
      </c>
      <c r="F4" s="255">
        <v>0</v>
      </c>
      <c r="G4" s="384">
        <v>0</v>
      </c>
      <c r="H4" s="34">
        <f t="shared" si="1"/>
        <v>0</v>
      </c>
      <c r="I4" s="550" t="s">
        <v>65</v>
      </c>
      <c r="J4" s="552" t="s">
        <v>17</v>
      </c>
      <c r="K4" s="552" t="s">
        <v>17</v>
      </c>
      <c r="L4" s="554" t="s">
        <v>17</v>
      </c>
      <c r="M4" s="552" t="s">
        <v>17</v>
      </c>
      <c r="N4" s="552" t="s">
        <v>17</v>
      </c>
      <c r="O4" s="554" t="s">
        <v>17</v>
      </c>
      <c r="P4" s="552">
        <v>4</v>
      </c>
      <c r="Q4" s="128">
        <v>17</v>
      </c>
      <c r="R4" s="128">
        <v>20</v>
      </c>
      <c r="S4" s="231">
        <v>85</v>
      </c>
      <c r="T4" s="128">
        <v>5</v>
      </c>
      <c r="U4" s="128">
        <v>7</v>
      </c>
      <c r="V4" s="231">
        <f>SUM(T4/U4)*100</f>
        <v>71.428571428571431</v>
      </c>
      <c r="W4" s="180"/>
      <c r="X4" s="121"/>
      <c r="Y4" s="228">
        <v>40</v>
      </c>
      <c r="Z4" s="128">
        <v>45</v>
      </c>
      <c r="AA4" s="231">
        <f>SUM(Y4/Z4)*100</f>
        <v>88.888888888888886</v>
      </c>
      <c r="AB4" s="228">
        <v>23</v>
      </c>
      <c r="AC4" s="128">
        <v>31</v>
      </c>
      <c r="AD4" s="231">
        <v>74.193548387096769</v>
      </c>
      <c r="AE4" s="228">
        <v>1</v>
      </c>
      <c r="AF4" s="128">
        <v>1</v>
      </c>
      <c r="AG4" s="231">
        <f>SUM(AE4/AF4)*100</f>
        <v>100</v>
      </c>
      <c r="AH4" s="228">
        <v>3</v>
      </c>
      <c r="AI4" s="128">
        <v>5</v>
      </c>
      <c r="AJ4" s="231">
        <v>60</v>
      </c>
      <c r="AK4" s="228">
        <v>27</v>
      </c>
      <c r="AL4" s="128">
        <v>38</v>
      </c>
      <c r="AM4" s="231">
        <f>SUM(AK4/AL4)*100</f>
        <v>71.05263157894737</v>
      </c>
      <c r="AN4" s="228">
        <v>23</v>
      </c>
      <c r="AO4" s="128">
        <v>30</v>
      </c>
      <c r="AP4" s="231">
        <f>SUM(AN4/AO4)*100</f>
        <v>76.666666666666671</v>
      </c>
      <c r="AQ4" s="228">
        <v>12</v>
      </c>
      <c r="AR4" s="128">
        <v>15</v>
      </c>
      <c r="AS4" s="231">
        <f>SUM(AQ4/AR4)*100</f>
        <v>80</v>
      </c>
      <c r="AT4" s="228">
        <v>6</v>
      </c>
      <c r="AU4" s="128">
        <v>7</v>
      </c>
      <c r="AV4" s="231">
        <f>SUM(AT4/AU4)*100</f>
        <v>85.714285714285708</v>
      </c>
    </row>
    <row r="5" spans="1:51" ht="14.95" customHeight="1" thickBot="1" x14ac:dyDescent="0.3">
      <c r="A5" s="550" t="s">
        <v>545</v>
      </c>
      <c r="B5" s="259">
        <v>0</v>
      </c>
      <c r="C5" s="514">
        <v>0</v>
      </c>
      <c r="D5" s="552">
        <f t="shared" si="0"/>
        <v>0</v>
      </c>
      <c r="E5" s="32" t="s">
        <v>545</v>
      </c>
      <c r="F5" s="255">
        <v>0</v>
      </c>
      <c r="G5" s="384">
        <v>0</v>
      </c>
      <c r="H5" s="34">
        <f t="shared" si="1"/>
        <v>0</v>
      </c>
      <c r="I5" s="555" t="s">
        <v>1425</v>
      </c>
      <c r="J5" s="552" t="s">
        <v>17</v>
      </c>
      <c r="K5" s="552" t="s">
        <v>17</v>
      </c>
      <c r="L5" s="554" t="s">
        <v>17</v>
      </c>
      <c r="M5" s="552" t="s">
        <v>17</v>
      </c>
      <c r="N5" s="552" t="s">
        <v>17</v>
      </c>
      <c r="O5" s="554" t="s">
        <v>17</v>
      </c>
      <c r="P5" s="552">
        <v>-1</v>
      </c>
      <c r="Q5" s="128">
        <v>14</v>
      </c>
      <c r="R5" s="128">
        <v>19</v>
      </c>
      <c r="S5" s="231">
        <v>73.68421052631578</v>
      </c>
      <c r="T5" s="128" t="s">
        <v>17</v>
      </c>
      <c r="U5" s="128" t="s">
        <v>17</v>
      </c>
      <c r="V5" s="231" t="s">
        <v>17</v>
      </c>
      <c r="W5" s="180"/>
      <c r="X5" s="121"/>
      <c r="Y5" s="228" t="s">
        <v>17</v>
      </c>
      <c r="Z5" s="128" t="s">
        <v>17</v>
      </c>
      <c r="AA5" s="231" t="s">
        <v>17</v>
      </c>
      <c r="AB5" s="228">
        <v>2</v>
      </c>
      <c r="AC5" s="128">
        <v>5</v>
      </c>
      <c r="AD5" s="231">
        <v>40</v>
      </c>
      <c r="AE5" s="228" t="s">
        <v>17</v>
      </c>
      <c r="AF5" s="128" t="s">
        <v>17</v>
      </c>
      <c r="AG5" s="231" t="s">
        <v>17</v>
      </c>
      <c r="AH5" s="228" t="s">
        <v>17</v>
      </c>
      <c r="AI5" s="128" t="s">
        <v>17</v>
      </c>
      <c r="AJ5" s="231" t="s">
        <v>17</v>
      </c>
      <c r="AK5" s="228" t="s">
        <v>17</v>
      </c>
      <c r="AL5" s="128" t="s">
        <v>17</v>
      </c>
      <c r="AM5" s="128" t="s">
        <v>17</v>
      </c>
      <c r="AN5" s="228" t="s">
        <v>17</v>
      </c>
      <c r="AO5" s="128" t="s">
        <v>17</v>
      </c>
      <c r="AP5" s="128" t="s">
        <v>17</v>
      </c>
      <c r="AQ5" s="228" t="s">
        <v>17</v>
      </c>
      <c r="AR5" s="128" t="s">
        <v>17</v>
      </c>
      <c r="AS5" s="128" t="s">
        <v>17</v>
      </c>
      <c r="AT5" s="228" t="s">
        <v>17</v>
      </c>
      <c r="AU5" s="128" t="s">
        <v>17</v>
      </c>
      <c r="AV5" s="128" t="s">
        <v>17</v>
      </c>
    </row>
    <row r="6" spans="1:51" ht="14.95" customHeight="1" thickBot="1" x14ac:dyDescent="0.3">
      <c r="A6" s="550" t="s">
        <v>546</v>
      </c>
      <c r="B6" s="259">
        <v>0</v>
      </c>
      <c r="C6" s="514">
        <v>0</v>
      </c>
      <c r="D6" s="552">
        <f t="shared" si="0"/>
        <v>0</v>
      </c>
      <c r="E6" s="32" t="s">
        <v>546</v>
      </c>
      <c r="F6" s="255">
        <v>0</v>
      </c>
      <c r="G6" s="384">
        <v>0</v>
      </c>
      <c r="H6" s="34">
        <f t="shared" si="1"/>
        <v>0</v>
      </c>
      <c r="I6" s="555" t="s">
        <v>1133</v>
      </c>
      <c r="J6" s="552" t="s">
        <v>17</v>
      </c>
      <c r="K6" s="552" t="s">
        <v>17</v>
      </c>
      <c r="L6" s="554" t="s">
        <v>17</v>
      </c>
      <c r="M6" s="552" t="s">
        <v>17</v>
      </c>
      <c r="N6" s="552" t="s">
        <v>17</v>
      </c>
      <c r="O6" s="554" t="s">
        <v>17</v>
      </c>
      <c r="P6" s="552">
        <v>-2</v>
      </c>
      <c r="Q6" s="128" t="s">
        <v>17</v>
      </c>
      <c r="R6" s="128" t="s">
        <v>17</v>
      </c>
      <c r="S6" s="231" t="s">
        <v>17</v>
      </c>
      <c r="T6" s="128">
        <v>0</v>
      </c>
      <c r="U6" s="128">
        <v>2</v>
      </c>
      <c r="V6" s="231">
        <f>SUM(T6/U6)*100</f>
        <v>0</v>
      </c>
      <c r="W6" s="180"/>
      <c r="X6" s="121"/>
      <c r="Y6" s="228" t="s">
        <v>17</v>
      </c>
      <c r="Z6" s="128" t="s">
        <v>17</v>
      </c>
      <c r="AA6" s="231" t="s">
        <v>17</v>
      </c>
      <c r="AB6" s="228" t="s">
        <v>17</v>
      </c>
      <c r="AC6" s="128" t="s">
        <v>17</v>
      </c>
      <c r="AD6" s="231" t="s">
        <v>17</v>
      </c>
      <c r="AE6" s="232" t="s">
        <v>17</v>
      </c>
      <c r="AF6" s="128" t="s">
        <v>17</v>
      </c>
      <c r="AG6" s="231" t="s">
        <v>17</v>
      </c>
      <c r="AH6" s="128" t="s">
        <v>17</v>
      </c>
      <c r="AI6" s="128" t="s">
        <v>17</v>
      </c>
      <c r="AJ6" s="231" t="s">
        <v>17</v>
      </c>
      <c r="AK6" s="128" t="s">
        <v>17</v>
      </c>
      <c r="AL6" s="128" t="s">
        <v>17</v>
      </c>
      <c r="AM6" s="231" t="s">
        <v>17</v>
      </c>
      <c r="AN6" s="128" t="s">
        <v>17</v>
      </c>
      <c r="AO6" s="128" t="s">
        <v>17</v>
      </c>
      <c r="AP6" s="231" t="s">
        <v>17</v>
      </c>
      <c r="AQ6" s="128" t="s">
        <v>17</v>
      </c>
      <c r="AR6" s="128" t="s">
        <v>17</v>
      </c>
      <c r="AS6" s="231" t="s">
        <v>17</v>
      </c>
      <c r="AT6" s="128" t="s">
        <v>17</v>
      </c>
      <c r="AU6" s="128" t="s">
        <v>17</v>
      </c>
      <c r="AV6" s="231" t="s">
        <v>17</v>
      </c>
    </row>
    <row r="7" spans="1:51" ht="14.95" customHeight="1" thickBot="1" x14ac:dyDescent="0.3">
      <c r="A7" s="550" t="s">
        <v>547</v>
      </c>
      <c r="B7" s="259">
        <v>0</v>
      </c>
      <c r="C7" s="514">
        <v>0</v>
      </c>
      <c r="D7" s="552">
        <f t="shared" si="0"/>
        <v>0</v>
      </c>
      <c r="E7" s="32" t="s">
        <v>547</v>
      </c>
      <c r="F7" s="255">
        <v>0</v>
      </c>
      <c r="G7" s="384">
        <v>0</v>
      </c>
      <c r="H7" s="34">
        <f t="shared" si="1"/>
        <v>0</v>
      </c>
      <c r="I7" s="550" t="s">
        <v>361</v>
      </c>
      <c r="J7" s="552">
        <v>12</v>
      </c>
      <c r="K7" s="552">
        <v>14</v>
      </c>
      <c r="L7" s="554">
        <f>SUM(J7/K7)*100</f>
        <v>85.714285714285708</v>
      </c>
      <c r="M7" s="552">
        <v>5</v>
      </c>
      <c r="N7" s="552">
        <v>5</v>
      </c>
      <c r="O7" s="554">
        <f>SUM(M7/N7)*100</f>
        <v>100</v>
      </c>
      <c r="P7" s="552">
        <v>6</v>
      </c>
      <c r="Q7" s="128">
        <v>14</v>
      </c>
      <c r="R7" s="128">
        <v>17</v>
      </c>
      <c r="S7" s="231">
        <v>82.35294117647058</v>
      </c>
      <c r="T7" s="128">
        <v>28</v>
      </c>
      <c r="U7" s="128">
        <v>37</v>
      </c>
      <c r="V7" s="231">
        <f>SUM(T7/U7)*100</f>
        <v>75.675675675675677</v>
      </c>
      <c r="W7" s="180"/>
      <c r="X7" s="121"/>
      <c r="Y7" s="228">
        <v>13</v>
      </c>
      <c r="Z7" s="128">
        <v>16</v>
      </c>
      <c r="AA7" s="231">
        <f>SUM(Y7/Z7)*100</f>
        <v>81.25</v>
      </c>
      <c r="AB7" s="228">
        <v>13</v>
      </c>
      <c r="AC7" s="128">
        <v>18</v>
      </c>
      <c r="AD7" s="231">
        <v>72.222222222222214</v>
      </c>
      <c r="AE7" s="228">
        <v>19</v>
      </c>
      <c r="AF7" s="128">
        <v>21</v>
      </c>
      <c r="AG7" s="231">
        <f>SUM(AE7/AF7)*100</f>
        <v>90.476190476190482</v>
      </c>
      <c r="AH7" s="228">
        <v>10</v>
      </c>
      <c r="AI7" s="128">
        <v>14</v>
      </c>
      <c r="AJ7" s="128">
        <v>71</v>
      </c>
      <c r="AK7" s="228" t="s">
        <v>17</v>
      </c>
      <c r="AL7" s="128" t="s">
        <v>17</v>
      </c>
      <c r="AM7" s="128" t="s">
        <v>17</v>
      </c>
      <c r="AN7" s="228" t="s">
        <v>17</v>
      </c>
      <c r="AO7" s="128" t="s">
        <v>17</v>
      </c>
      <c r="AP7" s="128" t="s">
        <v>17</v>
      </c>
      <c r="AQ7" s="228" t="s">
        <v>17</v>
      </c>
      <c r="AR7" s="128" t="s">
        <v>17</v>
      </c>
      <c r="AS7" s="128" t="s">
        <v>17</v>
      </c>
      <c r="AT7" s="228" t="s">
        <v>17</v>
      </c>
      <c r="AU7" s="128" t="s">
        <v>17</v>
      </c>
      <c r="AV7" s="128" t="s">
        <v>17</v>
      </c>
    </row>
    <row r="8" spans="1:51" ht="14.95" customHeight="1" thickBot="1" x14ac:dyDescent="0.3">
      <c r="A8" s="550" t="s">
        <v>506</v>
      </c>
      <c r="B8" s="259">
        <v>0</v>
      </c>
      <c r="C8" s="514">
        <v>0</v>
      </c>
      <c r="D8" s="552">
        <f t="shared" si="0"/>
        <v>0</v>
      </c>
      <c r="E8" s="32" t="s">
        <v>506</v>
      </c>
      <c r="F8" s="255">
        <v>0</v>
      </c>
      <c r="G8" s="384">
        <v>0</v>
      </c>
      <c r="H8" s="34">
        <f t="shared" si="1"/>
        <v>0</v>
      </c>
      <c r="I8" s="550" t="s">
        <v>1047</v>
      </c>
      <c r="J8" s="552" t="s">
        <v>17</v>
      </c>
      <c r="K8" s="552" t="s">
        <v>17</v>
      </c>
      <c r="L8" s="554" t="s">
        <v>17</v>
      </c>
      <c r="M8" s="552" t="s">
        <v>17</v>
      </c>
      <c r="N8" s="552" t="s">
        <v>17</v>
      </c>
      <c r="O8" s="554" t="s">
        <v>17</v>
      </c>
      <c r="P8" s="552">
        <v>-1</v>
      </c>
      <c r="Q8" s="128" t="s">
        <v>17</v>
      </c>
      <c r="R8" s="128" t="s">
        <v>17</v>
      </c>
      <c r="S8" s="231" t="s">
        <v>17</v>
      </c>
      <c r="T8" s="128">
        <v>1</v>
      </c>
      <c r="U8" s="128">
        <v>2</v>
      </c>
      <c r="V8" s="231">
        <f>SUM(T8/U8)*100</f>
        <v>50</v>
      </c>
      <c r="W8" s="180"/>
      <c r="X8" s="121"/>
      <c r="Y8" s="228" t="s">
        <v>17</v>
      </c>
      <c r="Z8" s="128" t="s">
        <v>17</v>
      </c>
      <c r="AA8" s="231" t="s">
        <v>17</v>
      </c>
      <c r="AB8" s="228" t="s">
        <v>17</v>
      </c>
      <c r="AC8" s="128" t="s">
        <v>17</v>
      </c>
      <c r="AD8" s="231" t="s">
        <v>17</v>
      </c>
      <c r="AE8" s="232" t="s">
        <v>17</v>
      </c>
      <c r="AF8" s="128" t="s">
        <v>17</v>
      </c>
      <c r="AG8" s="231" t="s">
        <v>17</v>
      </c>
      <c r="AH8" s="128" t="s">
        <v>17</v>
      </c>
      <c r="AI8" s="128" t="s">
        <v>17</v>
      </c>
      <c r="AJ8" s="231" t="s">
        <v>17</v>
      </c>
      <c r="AK8" s="128" t="s">
        <v>17</v>
      </c>
      <c r="AL8" s="128" t="s">
        <v>17</v>
      </c>
      <c r="AM8" s="231" t="s">
        <v>17</v>
      </c>
      <c r="AN8" s="128" t="s">
        <v>17</v>
      </c>
      <c r="AO8" s="128" t="s">
        <v>17</v>
      </c>
      <c r="AP8" s="231" t="s">
        <v>17</v>
      </c>
      <c r="AQ8" s="128" t="s">
        <v>17</v>
      </c>
      <c r="AR8" s="128" t="s">
        <v>17</v>
      </c>
      <c r="AS8" s="231" t="s">
        <v>17</v>
      </c>
      <c r="AT8" s="128" t="s">
        <v>17</v>
      </c>
      <c r="AU8" s="128" t="s">
        <v>17</v>
      </c>
      <c r="AV8" s="231" t="s">
        <v>17</v>
      </c>
    </row>
    <row r="9" spans="1:51" ht="14.95" customHeight="1" thickBot="1" x14ac:dyDescent="0.3">
      <c r="A9" s="550" t="s">
        <v>486</v>
      </c>
      <c r="B9" s="259">
        <v>1</v>
      </c>
      <c r="C9" s="514">
        <v>0</v>
      </c>
      <c r="D9" s="552">
        <f t="shared" si="0"/>
        <v>1</v>
      </c>
      <c r="E9" s="32" t="s">
        <v>486</v>
      </c>
      <c r="F9" s="255">
        <v>5</v>
      </c>
      <c r="G9" s="384">
        <v>0</v>
      </c>
      <c r="H9" s="34">
        <f t="shared" si="1"/>
        <v>5</v>
      </c>
      <c r="I9" s="555" t="s">
        <v>109</v>
      </c>
      <c r="J9" s="552" t="s">
        <v>17</v>
      </c>
      <c r="K9" s="552" t="s">
        <v>17</v>
      </c>
      <c r="L9" s="554" t="s">
        <v>17</v>
      </c>
      <c r="M9" s="552" t="s">
        <v>17</v>
      </c>
      <c r="N9" s="552" t="s">
        <v>17</v>
      </c>
      <c r="O9" s="554" t="s">
        <v>17</v>
      </c>
      <c r="P9" s="552">
        <v>1</v>
      </c>
      <c r="Q9" s="128" t="s">
        <v>17</v>
      </c>
      <c r="R9" s="128" t="s">
        <v>17</v>
      </c>
      <c r="S9" s="231" t="s">
        <v>17</v>
      </c>
      <c r="T9" s="128" t="s">
        <v>17</v>
      </c>
      <c r="U9" s="128" t="s">
        <v>17</v>
      </c>
      <c r="V9" s="231" t="s">
        <v>17</v>
      </c>
      <c r="W9" s="180"/>
      <c r="X9" s="121"/>
      <c r="Y9" s="228" t="s">
        <v>17</v>
      </c>
      <c r="Z9" s="128" t="s">
        <v>17</v>
      </c>
      <c r="AA9" s="231" t="s">
        <v>17</v>
      </c>
      <c r="AB9" s="228">
        <v>5</v>
      </c>
      <c r="AC9" s="128">
        <v>7</v>
      </c>
      <c r="AD9" s="231">
        <v>71.428571428571431</v>
      </c>
      <c r="AE9" s="228" t="s">
        <v>17</v>
      </c>
      <c r="AF9" s="128" t="s">
        <v>17</v>
      </c>
      <c r="AG9" s="231" t="s">
        <v>17</v>
      </c>
      <c r="AH9" s="228" t="s">
        <v>17</v>
      </c>
      <c r="AI9" s="128" t="s">
        <v>17</v>
      </c>
      <c r="AJ9" s="128" t="s">
        <v>17</v>
      </c>
      <c r="AK9" s="228" t="s">
        <v>17</v>
      </c>
      <c r="AL9" s="128" t="s">
        <v>17</v>
      </c>
      <c r="AM9" s="128" t="s">
        <v>17</v>
      </c>
      <c r="AN9" s="228" t="s">
        <v>17</v>
      </c>
      <c r="AO9" s="128" t="s">
        <v>17</v>
      </c>
      <c r="AP9" s="128" t="s">
        <v>17</v>
      </c>
      <c r="AQ9" s="228">
        <v>0</v>
      </c>
      <c r="AR9" s="128">
        <v>1</v>
      </c>
      <c r="AS9" s="231">
        <f>SUM(AQ9/AR9)*100</f>
        <v>0</v>
      </c>
      <c r="AT9" s="228">
        <v>3</v>
      </c>
      <c r="AU9" s="128">
        <v>3</v>
      </c>
      <c r="AV9" s="231">
        <f>SUM(AT9/AU9)*100</f>
        <v>100</v>
      </c>
    </row>
    <row r="10" spans="1:51" ht="14.95" customHeight="1" thickBot="1" x14ac:dyDescent="0.3">
      <c r="A10" s="550" t="s">
        <v>827</v>
      </c>
      <c r="B10" s="259">
        <v>0</v>
      </c>
      <c r="C10" s="514">
        <v>0</v>
      </c>
      <c r="D10" s="552">
        <f t="shared" si="0"/>
        <v>0</v>
      </c>
      <c r="E10" s="32" t="s">
        <v>827</v>
      </c>
      <c r="F10" s="255">
        <v>0</v>
      </c>
      <c r="G10" s="384">
        <v>0</v>
      </c>
      <c r="H10" s="34">
        <f t="shared" si="1"/>
        <v>0</v>
      </c>
      <c r="I10" s="556" t="s">
        <v>834</v>
      </c>
      <c r="J10" s="552" t="s">
        <v>17</v>
      </c>
      <c r="K10" s="552" t="s">
        <v>17</v>
      </c>
      <c r="L10" s="554" t="s">
        <v>17</v>
      </c>
      <c r="M10" s="552" t="s">
        <v>17</v>
      </c>
      <c r="N10" s="552" t="s">
        <v>17</v>
      </c>
      <c r="O10" s="554" t="s">
        <v>17</v>
      </c>
      <c r="P10" s="552">
        <v>-2</v>
      </c>
      <c r="Q10" s="128">
        <v>0</v>
      </c>
      <c r="R10" s="128">
        <v>1</v>
      </c>
      <c r="S10" s="231">
        <v>0</v>
      </c>
      <c r="T10" s="128">
        <v>6</v>
      </c>
      <c r="U10" s="128">
        <v>7</v>
      </c>
      <c r="V10" s="231">
        <f>SUM(T10/U10)*100</f>
        <v>85.714285714285708</v>
      </c>
      <c r="W10" s="180"/>
      <c r="X10" s="121"/>
      <c r="Y10" s="228" t="s">
        <v>17</v>
      </c>
      <c r="Z10" s="128" t="s">
        <v>17</v>
      </c>
      <c r="AA10" s="231" t="s">
        <v>17</v>
      </c>
      <c r="AB10" s="228" t="s">
        <v>17</v>
      </c>
      <c r="AC10" s="128" t="s">
        <v>17</v>
      </c>
      <c r="AD10" s="231" t="s">
        <v>17</v>
      </c>
      <c r="AE10" s="228" t="s">
        <v>17</v>
      </c>
      <c r="AF10" s="128" t="s">
        <v>17</v>
      </c>
      <c r="AG10" s="231" t="s">
        <v>17</v>
      </c>
      <c r="AH10" s="228" t="s">
        <v>17</v>
      </c>
      <c r="AI10" s="128" t="s">
        <v>17</v>
      </c>
      <c r="AJ10" s="128" t="s">
        <v>17</v>
      </c>
      <c r="AK10" s="228" t="s">
        <v>17</v>
      </c>
      <c r="AL10" s="128" t="s">
        <v>17</v>
      </c>
      <c r="AM10" s="128" t="s">
        <v>17</v>
      </c>
      <c r="AN10" s="228" t="s">
        <v>17</v>
      </c>
      <c r="AO10" s="128" t="s">
        <v>17</v>
      </c>
      <c r="AP10" s="128" t="s">
        <v>17</v>
      </c>
      <c r="AQ10" s="128" t="s">
        <v>17</v>
      </c>
      <c r="AR10" s="128" t="s">
        <v>17</v>
      </c>
      <c r="AS10" s="231" t="s">
        <v>17</v>
      </c>
      <c r="AT10" s="128" t="s">
        <v>17</v>
      </c>
      <c r="AU10" s="128" t="s">
        <v>17</v>
      </c>
      <c r="AV10" s="231" t="s">
        <v>17</v>
      </c>
    </row>
    <row r="11" spans="1:51" ht="14.95" customHeight="1" thickBot="1" x14ac:dyDescent="0.3">
      <c r="A11" s="550" t="s">
        <v>1425</v>
      </c>
      <c r="B11" s="259">
        <v>0</v>
      </c>
      <c r="C11" s="514">
        <v>0</v>
      </c>
      <c r="D11" s="552">
        <f t="shared" si="0"/>
        <v>0</v>
      </c>
      <c r="E11" s="32" t="s">
        <v>1425</v>
      </c>
      <c r="F11" s="255">
        <v>0</v>
      </c>
      <c r="G11" s="384">
        <v>0</v>
      </c>
      <c r="H11" s="34">
        <f t="shared" si="1"/>
        <v>0</v>
      </c>
      <c r="I11" s="556" t="s">
        <v>454</v>
      </c>
      <c r="J11" s="552" t="s">
        <v>17</v>
      </c>
      <c r="K11" s="552" t="s">
        <v>17</v>
      </c>
      <c r="L11" s="554" t="s">
        <v>17</v>
      </c>
      <c r="M11" s="552" t="s">
        <v>17</v>
      </c>
      <c r="N11" s="552" t="s">
        <v>17</v>
      </c>
      <c r="O11" s="554" t="s">
        <v>17</v>
      </c>
      <c r="P11" s="552">
        <v>1</v>
      </c>
      <c r="Q11" s="128">
        <v>1</v>
      </c>
      <c r="R11" s="128">
        <v>1</v>
      </c>
      <c r="S11" s="231">
        <v>100</v>
      </c>
      <c r="T11" s="128" t="s">
        <v>17</v>
      </c>
      <c r="U11" s="128" t="s">
        <v>17</v>
      </c>
      <c r="V11" s="231" t="s">
        <v>17</v>
      </c>
      <c r="W11" s="180"/>
      <c r="X11" s="121"/>
      <c r="Y11" s="228" t="s">
        <v>17</v>
      </c>
      <c r="Z11" s="128" t="s">
        <v>17</v>
      </c>
      <c r="AA11" s="231" t="s">
        <v>17</v>
      </c>
      <c r="AB11" s="228" t="s">
        <v>17</v>
      </c>
      <c r="AC11" s="128" t="s">
        <v>17</v>
      </c>
      <c r="AD11" s="231" t="s">
        <v>17</v>
      </c>
      <c r="AE11" s="228" t="s">
        <v>17</v>
      </c>
      <c r="AF11" s="128" t="s">
        <v>17</v>
      </c>
      <c r="AG11" s="231" t="s">
        <v>17</v>
      </c>
      <c r="AH11" s="228" t="s">
        <v>17</v>
      </c>
      <c r="AI11" s="128" t="s">
        <v>17</v>
      </c>
      <c r="AJ11" s="128" t="s">
        <v>17</v>
      </c>
      <c r="AK11" s="228" t="s">
        <v>17</v>
      </c>
      <c r="AL11" s="128" t="s">
        <v>17</v>
      </c>
      <c r="AM11" s="128" t="s">
        <v>17</v>
      </c>
      <c r="AN11" s="228" t="s">
        <v>17</v>
      </c>
      <c r="AO11" s="128" t="s">
        <v>17</v>
      </c>
      <c r="AP11" s="128" t="s">
        <v>17</v>
      </c>
      <c r="AQ11" s="128" t="s">
        <v>17</v>
      </c>
      <c r="AR11" s="128" t="s">
        <v>17</v>
      </c>
      <c r="AS11" s="231" t="s">
        <v>17</v>
      </c>
      <c r="AT11" s="128" t="s">
        <v>17</v>
      </c>
      <c r="AU11" s="128" t="s">
        <v>17</v>
      </c>
      <c r="AV11" s="231" t="s">
        <v>17</v>
      </c>
    </row>
    <row r="12" spans="1:51" ht="14.95" thickBot="1" x14ac:dyDescent="0.3">
      <c r="A12" s="550" t="s">
        <v>1428</v>
      </c>
      <c r="B12" s="259">
        <v>0</v>
      </c>
      <c r="C12" s="514">
        <v>0</v>
      </c>
      <c r="D12" s="552">
        <f t="shared" si="0"/>
        <v>0</v>
      </c>
      <c r="E12" s="32" t="s">
        <v>1428</v>
      </c>
      <c r="F12" s="255">
        <v>0</v>
      </c>
      <c r="G12" s="384">
        <v>0</v>
      </c>
      <c r="H12" s="34">
        <f t="shared" si="1"/>
        <v>0</v>
      </c>
      <c r="Q12" s="127"/>
      <c r="R12" s="127"/>
    </row>
    <row r="13" spans="1:51" ht="14.95" customHeight="1" thickBot="1" x14ac:dyDescent="0.3">
      <c r="A13" s="550" t="s">
        <v>1241</v>
      </c>
      <c r="B13" s="259">
        <v>0</v>
      </c>
      <c r="C13" s="514">
        <v>0</v>
      </c>
      <c r="D13" s="552">
        <f t="shared" si="0"/>
        <v>0</v>
      </c>
      <c r="E13" s="32" t="s">
        <v>1241</v>
      </c>
      <c r="F13" s="255">
        <v>0</v>
      </c>
      <c r="G13" s="384">
        <v>0</v>
      </c>
      <c r="H13" s="34">
        <f t="shared" si="1"/>
        <v>0</v>
      </c>
      <c r="I13" s="589" t="s">
        <v>35</v>
      </c>
      <c r="J13" s="583">
        <v>2026</v>
      </c>
      <c r="K13" s="584"/>
      <c r="L13" s="585"/>
      <c r="M13" s="568">
        <v>2025</v>
      </c>
      <c r="N13" s="569"/>
      <c r="O13" s="570"/>
      <c r="P13" s="568">
        <v>2024</v>
      </c>
      <c r="Q13" s="569"/>
      <c r="R13" s="570"/>
      <c r="S13" s="568">
        <v>2023</v>
      </c>
      <c r="T13" s="569"/>
      <c r="U13" s="570"/>
      <c r="V13" s="229"/>
      <c r="W13" s="237"/>
      <c r="X13" s="237"/>
      <c r="Y13" s="568">
        <v>2022</v>
      </c>
      <c r="Z13" s="569"/>
      <c r="AA13" s="570"/>
      <c r="AB13" s="568">
        <v>2021</v>
      </c>
      <c r="AC13" s="569"/>
      <c r="AD13" s="570"/>
      <c r="AE13" s="557">
        <v>2020</v>
      </c>
      <c r="AF13" s="563"/>
      <c r="AG13" s="564"/>
      <c r="AH13" s="557">
        <v>2019</v>
      </c>
      <c r="AI13" s="563"/>
      <c r="AJ13" s="564"/>
      <c r="AK13" s="568">
        <v>2018</v>
      </c>
      <c r="AL13" s="558"/>
      <c r="AM13" s="559"/>
      <c r="AN13" s="557">
        <v>2017</v>
      </c>
      <c r="AO13" s="563"/>
      <c r="AP13" s="564"/>
      <c r="AQ13" s="557">
        <v>2016</v>
      </c>
      <c r="AR13" s="563"/>
      <c r="AS13" s="564"/>
      <c r="AT13" s="557">
        <v>2015</v>
      </c>
      <c r="AU13" s="563"/>
      <c r="AV13" s="564"/>
      <c r="AW13" s="557">
        <v>2014</v>
      </c>
      <c r="AX13" s="558"/>
      <c r="AY13" s="559"/>
    </row>
    <row r="14" spans="1:51" ht="14.95" thickBot="1" x14ac:dyDescent="0.3">
      <c r="A14" s="550" t="s">
        <v>317</v>
      </c>
      <c r="B14" s="259">
        <v>0</v>
      </c>
      <c r="C14" s="514">
        <v>0</v>
      </c>
      <c r="D14" s="552">
        <f t="shared" si="0"/>
        <v>0</v>
      </c>
      <c r="E14" s="32" t="s">
        <v>317</v>
      </c>
      <c r="F14" s="255">
        <v>0</v>
      </c>
      <c r="G14" s="384">
        <v>0</v>
      </c>
      <c r="H14" s="34">
        <f t="shared" si="1"/>
        <v>0</v>
      </c>
      <c r="I14" s="590"/>
      <c r="J14" s="586"/>
      <c r="K14" s="587"/>
      <c r="L14" s="588"/>
      <c r="M14" s="571"/>
      <c r="N14" s="572"/>
      <c r="O14" s="573"/>
      <c r="P14" s="571"/>
      <c r="Q14" s="572"/>
      <c r="R14" s="573"/>
      <c r="S14" s="571"/>
      <c r="T14" s="572"/>
      <c r="U14" s="573"/>
      <c r="V14" s="284"/>
      <c r="W14" s="237"/>
      <c r="X14" s="237"/>
      <c r="Y14" s="571"/>
      <c r="Z14" s="572"/>
      <c r="AA14" s="573"/>
      <c r="AB14" s="571"/>
      <c r="AC14" s="572"/>
      <c r="AD14" s="573"/>
      <c r="AE14" s="565"/>
      <c r="AF14" s="566"/>
      <c r="AG14" s="567"/>
      <c r="AH14" s="565"/>
      <c r="AI14" s="566"/>
      <c r="AJ14" s="567"/>
      <c r="AK14" s="560"/>
      <c r="AL14" s="561"/>
      <c r="AM14" s="562"/>
      <c r="AN14" s="565"/>
      <c r="AO14" s="566"/>
      <c r="AP14" s="567"/>
      <c r="AQ14" s="565"/>
      <c r="AR14" s="566"/>
      <c r="AS14" s="567"/>
      <c r="AT14" s="565"/>
      <c r="AU14" s="566"/>
      <c r="AV14" s="567"/>
      <c r="AW14" s="560"/>
      <c r="AX14" s="561"/>
      <c r="AY14" s="562"/>
    </row>
    <row r="15" spans="1:51" ht="14.95" customHeight="1" thickBot="1" x14ac:dyDescent="0.3">
      <c r="A15" s="550" t="s">
        <v>156</v>
      </c>
      <c r="B15" s="259">
        <v>0</v>
      </c>
      <c r="C15" s="514">
        <v>0</v>
      </c>
      <c r="D15" s="552">
        <f t="shared" si="0"/>
        <v>0</v>
      </c>
      <c r="E15" s="32" t="s">
        <v>156</v>
      </c>
      <c r="F15" s="255">
        <v>0</v>
      </c>
      <c r="G15" s="384">
        <v>0</v>
      </c>
      <c r="H15" s="34">
        <f t="shared" si="1"/>
        <v>0</v>
      </c>
      <c r="I15" s="4"/>
      <c r="J15" s="1" t="s">
        <v>152</v>
      </c>
      <c r="K15" s="1" t="s">
        <v>12</v>
      </c>
      <c r="L15" s="1" t="s">
        <v>13</v>
      </c>
      <c r="M15" s="128" t="s">
        <v>152</v>
      </c>
      <c r="N15" s="128" t="s">
        <v>12</v>
      </c>
      <c r="O15" s="128" t="s">
        <v>13</v>
      </c>
      <c r="P15" s="128" t="s">
        <v>152</v>
      </c>
      <c r="Q15" s="128" t="s">
        <v>12</v>
      </c>
      <c r="R15" s="128" t="s">
        <v>13</v>
      </c>
      <c r="S15" s="128" t="s">
        <v>152</v>
      </c>
      <c r="T15" s="128" t="s">
        <v>12</v>
      </c>
      <c r="U15" s="128" t="s">
        <v>13</v>
      </c>
      <c r="V15" s="180"/>
      <c r="W15" s="121"/>
      <c r="X15" s="121"/>
      <c r="Y15" s="228" t="s">
        <v>152</v>
      </c>
      <c r="Z15" s="128" t="s">
        <v>12</v>
      </c>
      <c r="AA15" s="128" t="s">
        <v>13</v>
      </c>
      <c r="AB15" s="228" t="s">
        <v>152</v>
      </c>
      <c r="AC15" s="128" t="s">
        <v>12</v>
      </c>
      <c r="AD15" s="128" t="s">
        <v>13</v>
      </c>
      <c r="AE15" s="228" t="s">
        <v>152</v>
      </c>
      <c r="AF15" s="128" t="s">
        <v>12</v>
      </c>
      <c r="AG15" s="128" t="s">
        <v>13</v>
      </c>
      <c r="AH15" s="228" t="s">
        <v>152</v>
      </c>
      <c r="AI15" s="128" t="s">
        <v>12</v>
      </c>
      <c r="AJ15" s="128" t="s">
        <v>13</v>
      </c>
      <c r="AK15" s="228" t="s">
        <v>152</v>
      </c>
      <c r="AL15" s="128" t="s">
        <v>12</v>
      </c>
      <c r="AM15" s="128" t="s">
        <v>13</v>
      </c>
      <c r="AN15" s="171" t="s">
        <v>152</v>
      </c>
      <c r="AO15" s="119" t="s">
        <v>12</v>
      </c>
      <c r="AP15" s="119" t="s">
        <v>13</v>
      </c>
      <c r="AQ15" s="171" t="s">
        <v>152</v>
      </c>
      <c r="AR15" s="119" t="s">
        <v>12</v>
      </c>
      <c r="AS15" s="119" t="s">
        <v>13</v>
      </c>
      <c r="AT15" s="171" t="s">
        <v>152</v>
      </c>
      <c r="AU15" s="119" t="s">
        <v>12</v>
      </c>
      <c r="AV15" s="119" t="s">
        <v>13</v>
      </c>
      <c r="AW15" s="119" t="s">
        <v>152</v>
      </c>
      <c r="AX15" s="119" t="s">
        <v>12</v>
      </c>
      <c r="AY15" s="119" t="s">
        <v>13</v>
      </c>
    </row>
    <row r="16" spans="1:51" ht="14.95" customHeight="1" thickBot="1" x14ac:dyDescent="0.3">
      <c r="A16" s="550" t="s">
        <v>828</v>
      </c>
      <c r="B16" s="259">
        <v>0</v>
      </c>
      <c r="C16" s="514">
        <v>0</v>
      </c>
      <c r="D16" s="552">
        <f t="shared" si="0"/>
        <v>0</v>
      </c>
      <c r="E16" s="32" t="s">
        <v>828</v>
      </c>
      <c r="F16" s="255">
        <v>0</v>
      </c>
      <c r="G16" s="384">
        <v>0</v>
      </c>
      <c r="H16" s="34">
        <f t="shared" si="1"/>
        <v>0</v>
      </c>
      <c r="I16" s="550" t="s">
        <v>65</v>
      </c>
      <c r="J16" s="552" t="s">
        <v>17</v>
      </c>
      <c r="K16" s="552" t="s">
        <v>17</v>
      </c>
      <c r="L16" s="554" t="s">
        <v>17</v>
      </c>
      <c r="M16" s="128">
        <v>14</v>
      </c>
      <c r="N16" s="128">
        <v>17</v>
      </c>
      <c r="O16" s="231">
        <v>82.35294117647058</v>
      </c>
      <c r="P16" s="128">
        <v>3</v>
      </c>
      <c r="Q16" s="128">
        <v>4</v>
      </c>
      <c r="R16" s="231">
        <f>SUM(P16/Q16)*100</f>
        <v>75</v>
      </c>
      <c r="S16" s="128">
        <v>11</v>
      </c>
      <c r="T16" s="128">
        <v>15</v>
      </c>
      <c r="U16" s="231">
        <f>SUM(S16/T16)*100</f>
        <v>73.333333333333329</v>
      </c>
      <c r="V16" s="180"/>
      <c r="W16" s="121"/>
      <c r="X16" s="121"/>
      <c r="Y16" s="228" t="s">
        <v>17</v>
      </c>
      <c r="Z16" s="128" t="s">
        <v>17</v>
      </c>
      <c r="AA16" s="231" t="s">
        <v>17</v>
      </c>
      <c r="AB16" s="228">
        <v>1</v>
      </c>
      <c r="AC16" s="128">
        <v>1</v>
      </c>
      <c r="AD16" s="231">
        <f>SUM(AB16/AC16)*100</f>
        <v>100</v>
      </c>
      <c r="AE16" s="228">
        <v>3</v>
      </c>
      <c r="AF16" s="128">
        <v>5</v>
      </c>
      <c r="AG16" s="231">
        <v>60</v>
      </c>
      <c r="AH16" s="228">
        <v>11</v>
      </c>
      <c r="AI16" s="128">
        <v>18</v>
      </c>
      <c r="AJ16" s="231">
        <f>SUM(AH16/AI16)*100</f>
        <v>61.111111111111114</v>
      </c>
      <c r="AK16" s="228">
        <v>11</v>
      </c>
      <c r="AL16" s="128">
        <v>14</v>
      </c>
      <c r="AM16" s="231">
        <f>SUM(AK16/AL16)*100</f>
        <v>78.571428571428569</v>
      </c>
      <c r="AN16" s="228">
        <v>1</v>
      </c>
      <c r="AO16" s="128">
        <v>4</v>
      </c>
      <c r="AP16" s="231">
        <f>SUM(AN16/AO16)*100</f>
        <v>25</v>
      </c>
      <c r="AQ16" s="228" t="s">
        <v>17</v>
      </c>
      <c r="AR16" s="128" t="s">
        <v>17</v>
      </c>
      <c r="AS16" s="128" t="s">
        <v>17</v>
      </c>
      <c r="AT16" s="228">
        <v>2</v>
      </c>
      <c r="AU16" s="128">
        <v>4</v>
      </c>
      <c r="AV16" s="231">
        <f>SUM(AT16/AU16)*100</f>
        <v>50</v>
      </c>
      <c r="AW16" s="128">
        <v>6</v>
      </c>
      <c r="AX16" s="128">
        <v>11</v>
      </c>
      <c r="AY16" s="231">
        <f>SUM(AW16/AX16)*100</f>
        <v>54.54545454545454</v>
      </c>
    </row>
    <row r="17" spans="1:51" ht="14.95" thickBot="1" x14ac:dyDescent="0.3">
      <c r="A17" s="550" t="s">
        <v>604</v>
      </c>
      <c r="B17" s="259">
        <v>0</v>
      </c>
      <c r="C17" s="514">
        <v>0</v>
      </c>
      <c r="D17" s="552">
        <f t="shared" si="0"/>
        <v>0</v>
      </c>
      <c r="E17" s="32" t="s">
        <v>604</v>
      </c>
      <c r="F17" s="255">
        <v>0</v>
      </c>
      <c r="G17" s="384">
        <v>0</v>
      </c>
      <c r="H17" s="34">
        <f t="shared" si="1"/>
        <v>0</v>
      </c>
      <c r="I17" s="550" t="s">
        <v>361</v>
      </c>
      <c r="J17" s="552">
        <v>12</v>
      </c>
      <c r="K17" s="552">
        <v>14</v>
      </c>
      <c r="L17" s="554">
        <f>SUM(J17/K17)*100</f>
        <v>85.714285714285708</v>
      </c>
      <c r="M17" s="128">
        <v>5</v>
      </c>
      <c r="N17" s="128">
        <v>6</v>
      </c>
      <c r="O17" s="231">
        <v>83.333333333333343</v>
      </c>
      <c r="P17" s="128">
        <v>12</v>
      </c>
      <c r="Q17" s="128">
        <v>16</v>
      </c>
      <c r="R17" s="231">
        <f>SUM(P17/Q17)*100</f>
        <v>75</v>
      </c>
      <c r="S17" s="128">
        <v>5</v>
      </c>
      <c r="T17" s="128">
        <v>5</v>
      </c>
      <c r="U17" s="231">
        <f>SUM(S17/T17)*100</f>
        <v>100</v>
      </c>
      <c r="V17" s="180"/>
      <c r="W17" s="121"/>
      <c r="X17" s="121"/>
      <c r="Y17" s="228">
        <v>10</v>
      </c>
      <c r="Z17" s="128">
        <v>14</v>
      </c>
      <c r="AA17" s="231">
        <v>71.428571428571431</v>
      </c>
      <c r="AB17" s="228">
        <v>9</v>
      </c>
      <c r="AC17" s="128">
        <v>10</v>
      </c>
      <c r="AD17" s="231">
        <f>SUM(AB17/AC17)*100</f>
        <v>90</v>
      </c>
      <c r="AE17" s="228">
        <v>3</v>
      </c>
      <c r="AF17" s="128">
        <v>4</v>
      </c>
      <c r="AG17" s="128">
        <v>75</v>
      </c>
      <c r="AH17" s="228" t="s">
        <v>17</v>
      </c>
      <c r="AI17" s="128" t="s">
        <v>17</v>
      </c>
      <c r="AJ17" s="128" t="s">
        <v>17</v>
      </c>
      <c r="AK17" s="228" t="s">
        <v>17</v>
      </c>
      <c r="AL17" s="128" t="s">
        <v>17</v>
      </c>
      <c r="AM17" s="128" t="s">
        <v>17</v>
      </c>
      <c r="AN17" s="228" t="s">
        <v>17</v>
      </c>
      <c r="AO17" s="128" t="s">
        <v>17</v>
      </c>
      <c r="AP17" s="128" t="s">
        <v>17</v>
      </c>
      <c r="AQ17" s="228" t="s">
        <v>17</v>
      </c>
      <c r="AR17" s="128" t="s">
        <v>17</v>
      </c>
      <c r="AS17" s="128" t="s">
        <v>17</v>
      </c>
      <c r="AT17" s="228" t="s">
        <v>17</v>
      </c>
      <c r="AU17" s="128" t="s">
        <v>17</v>
      </c>
      <c r="AV17" s="128" t="s">
        <v>17</v>
      </c>
      <c r="AW17" s="228" t="s">
        <v>17</v>
      </c>
      <c r="AX17" s="128" t="s">
        <v>17</v>
      </c>
      <c r="AY17" s="128" t="s">
        <v>17</v>
      </c>
    </row>
    <row r="18" spans="1:51" ht="14.95" thickBot="1" x14ac:dyDescent="0.3">
      <c r="A18" s="550" t="s">
        <v>507</v>
      </c>
      <c r="B18" s="259">
        <v>0</v>
      </c>
      <c r="C18" s="514">
        <v>0</v>
      </c>
      <c r="D18" s="552">
        <f t="shared" si="0"/>
        <v>0</v>
      </c>
      <c r="E18" s="32" t="s">
        <v>507</v>
      </c>
      <c r="F18" s="255">
        <v>0</v>
      </c>
      <c r="G18" s="384">
        <v>0</v>
      </c>
      <c r="H18" s="34">
        <f t="shared" si="1"/>
        <v>0</v>
      </c>
      <c r="I18" s="555" t="s">
        <v>109</v>
      </c>
      <c r="J18" s="552" t="s">
        <v>17</v>
      </c>
      <c r="K18" s="552" t="s">
        <v>17</v>
      </c>
      <c r="L18" s="554" t="s">
        <v>17</v>
      </c>
      <c r="M18" s="128" t="s">
        <v>17</v>
      </c>
      <c r="N18" s="128" t="s">
        <v>17</v>
      </c>
      <c r="O18" s="231" t="s">
        <v>17</v>
      </c>
      <c r="P18" s="128" t="s">
        <v>17</v>
      </c>
      <c r="Q18" s="128" t="s">
        <v>17</v>
      </c>
      <c r="R18" s="231" t="s">
        <v>17</v>
      </c>
      <c r="S18" s="128" t="s">
        <v>17</v>
      </c>
      <c r="T18" s="128" t="s">
        <v>17</v>
      </c>
      <c r="U18" s="231" t="s">
        <v>17</v>
      </c>
      <c r="V18" s="180"/>
      <c r="W18" s="121"/>
      <c r="X18" s="121"/>
      <c r="Y18" s="228">
        <v>3</v>
      </c>
      <c r="Z18" s="128">
        <v>4</v>
      </c>
      <c r="AA18" s="231">
        <v>75</v>
      </c>
      <c r="AB18" s="228" t="s">
        <v>17</v>
      </c>
      <c r="AC18" s="128" t="s">
        <v>17</v>
      </c>
      <c r="AD18" s="231" t="s">
        <v>17</v>
      </c>
      <c r="AE18" s="228" t="s">
        <v>17</v>
      </c>
      <c r="AF18" s="128" t="s">
        <v>17</v>
      </c>
      <c r="AG18" s="128" t="s">
        <v>17</v>
      </c>
      <c r="AH18" s="228" t="s">
        <v>17</v>
      </c>
      <c r="AI18" s="128" t="s">
        <v>17</v>
      </c>
      <c r="AJ18" s="128" t="s">
        <v>17</v>
      </c>
      <c r="AK18" s="228" t="s">
        <v>17</v>
      </c>
      <c r="AL18" s="128" t="s">
        <v>17</v>
      </c>
      <c r="AM18" s="128" t="s">
        <v>17</v>
      </c>
      <c r="AN18" s="228">
        <v>0</v>
      </c>
      <c r="AO18" s="128">
        <v>1</v>
      </c>
      <c r="AP18" s="231">
        <f>SUM(AN18/AO18)*100</f>
        <v>0</v>
      </c>
      <c r="AQ18" s="228">
        <v>1</v>
      </c>
      <c r="AR18" s="128">
        <v>1</v>
      </c>
      <c r="AS18" s="231">
        <f>SUM(AQ18/AR18)*100</f>
        <v>100</v>
      </c>
      <c r="AT18" s="228" t="s">
        <v>17</v>
      </c>
      <c r="AU18" s="128" t="s">
        <v>17</v>
      </c>
      <c r="AV18" s="128" t="s">
        <v>17</v>
      </c>
      <c r="AW18" s="128" t="s">
        <v>17</v>
      </c>
      <c r="AX18" s="128" t="s">
        <v>17</v>
      </c>
      <c r="AY18" s="128" t="s">
        <v>17</v>
      </c>
    </row>
    <row r="19" spans="1:51" ht="14.95" thickBot="1" x14ac:dyDescent="0.3">
      <c r="A19" s="550" t="s">
        <v>361</v>
      </c>
      <c r="B19" s="259">
        <v>0</v>
      </c>
      <c r="C19" s="514">
        <v>0</v>
      </c>
      <c r="D19" s="552">
        <f t="shared" si="0"/>
        <v>0</v>
      </c>
      <c r="E19" s="32" t="s">
        <v>361</v>
      </c>
      <c r="F19" s="255">
        <v>32</v>
      </c>
      <c r="G19" s="384">
        <v>0</v>
      </c>
      <c r="H19" s="34">
        <f t="shared" si="1"/>
        <v>32</v>
      </c>
      <c r="I19" s="555" t="s">
        <v>834</v>
      </c>
      <c r="J19" s="552" t="s">
        <v>17</v>
      </c>
      <c r="K19" s="552" t="s">
        <v>17</v>
      </c>
      <c r="L19" s="554" t="s">
        <v>17</v>
      </c>
      <c r="M19" s="128">
        <v>0</v>
      </c>
      <c r="N19" s="128">
        <v>1</v>
      </c>
      <c r="O19" s="231">
        <v>0</v>
      </c>
      <c r="P19" s="128">
        <v>3</v>
      </c>
      <c r="Q19" s="128">
        <v>3</v>
      </c>
      <c r="R19" s="231">
        <f>SUM(P19/Q19)*100</f>
        <v>100</v>
      </c>
      <c r="S19" s="128" t="s">
        <v>17</v>
      </c>
      <c r="T19" s="128" t="s">
        <v>17</v>
      </c>
      <c r="U19" s="231" t="s">
        <v>17</v>
      </c>
      <c r="V19" s="180"/>
      <c r="W19" s="121"/>
      <c r="X19" s="121"/>
      <c r="Y19" s="228" t="s">
        <v>17</v>
      </c>
      <c r="Z19" s="128" t="s">
        <v>17</v>
      </c>
      <c r="AA19" s="231" t="s">
        <v>17</v>
      </c>
      <c r="AB19" s="228" t="s">
        <v>17</v>
      </c>
      <c r="AC19" s="128" t="s">
        <v>17</v>
      </c>
      <c r="AD19" s="231" t="s">
        <v>17</v>
      </c>
      <c r="AE19" s="228" t="s">
        <v>17</v>
      </c>
      <c r="AF19" s="128" t="s">
        <v>17</v>
      </c>
      <c r="AG19" s="128" t="s">
        <v>17</v>
      </c>
      <c r="AH19" s="228" t="s">
        <v>17</v>
      </c>
      <c r="AI19" s="128" t="s">
        <v>17</v>
      </c>
      <c r="AJ19" s="128" t="s">
        <v>17</v>
      </c>
      <c r="AK19" s="228" t="s">
        <v>17</v>
      </c>
      <c r="AL19" s="128" t="s">
        <v>17</v>
      </c>
      <c r="AM19" s="128" t="s">
        <v>17</v>
      </c>
      <c r="AN19" s="128" t="s">
        <v>17</v>
      </c>
      <c r="AO19" s="128" t="s">
        <v>17</v>
      </c>
      <c r="AP19" s="231" t="s">
        <v>17</v>
      </c>
      <c r="AQ19" s="128" t="s">
        <v>17</v>
      </c>
      <c r="AR19" s="128" t="s">
        <v>17</v>
      </c>
      <c r="AS19" s="231" t="s">
        <v>17</v>
      </c>
      <c r="AT19" s="228" t="s">
        <v>17</v>
      </c>
      <c r="AU19" s="128" t="s">
        <v>17</v>
      </c>
      <c r="AV19" s="128" t="s">
        <v>17</v>
      </c>
      <c r="AW19" s="128" t="s">
        <v>17</v>
      </c>
      <c r="AX19" s="128" t="s">
        <v>17</v>
      </c>
      <c r="AY19" s="128" t="s">
        <v>17</v>
      </c>
    </row>
    <row r="20" spans="1:51" ht="14.95" thickBot="1" x14ac:dyDescent="0.3">
      <c r="A20" s="550" t="s">
        <v>1234</v>
      </c>
      <c r="B20" s="259">
        <v>0</v>
      </c>
      <c r="C20" s="514">
        <v>0</v>
      </c>
      <c r="D20" s="552">
        <f t="shared" si="0"/>
        <v>0</v>
      </c>
      <c r="E20" s="32" t="s">
        <v>1234</v>
      </c>
      <c r="F20" s="255">
        <v>0</v>
      </c>
      <c r="G20" s="384">
        <v>0</v>
      </c>
      <c r="H20" s="34">
        <f t="shared" si="1"/>
        <v>0</v>
      </c>
      <c r="AE20" s="41"/>
      <c r="AF20" s="118"/>
      <c r="AG20" s="118"/>
    </row>
    <row r="21" spans="1:51" ht="14.95" thickBot="1" x14ac:dyDescent="0.3">
      <c r="A21" s="550" t="s">
        <v>30</v>
      </c>
      <c r="B21" s="259">
        <v>0</v>
      </c>
      <c r="C21" s="514">
        <v>0</v>
      </c>
      <c r="D21" s="552">
        <f t="shared" si="0"/>
        <v>0</v>
      </c>
      <c r="E21" s="32" t="s">
        <v>30</v>
      </c>
      <c r="F21" s="255">
        <v>0</v>
      </c>
      <c r="G21" s="384">
        <v>0</v>
      </c>
      <c r="H21" s="34">
        <f t="shared" si="1"/>
        <v>0</v>
      </c>
      <c r="I21" s="577" t="s">
        <v>33</v>
      </c>
      <c r="J21" s="568">
        <v>2023</v>
      </c>
      <c r="K21" s="569"/>
      <c r="L21" s="570"/>
      <c r="M21" s="557">
        <v>2019</v>
      </c>
      <c r="N21" s="563"/>
      <c r="O21" s="564"/>
      <c r="P21" s="557">
        <v>2015</v>
      </c>
      <c r="Q21" s="563"/>
      <c r="R21" s="564"/>
      <c r="AH21" s="41"/>
      <c r="AI21" s="41"/>
      <c r="AJ21" s="43"/>
    </row>
    <row r="22" spans="1:51" ht="14.95" thickBot="1" x14ac:dyDescent="0.3">
      <c r="A22" s="550" t="s">
        <v>831</v>
      </c>
      <c r="B22" s="259">
        <v>0</v>
      </c>
      <c r="C22" s="514">
        <v>0</v>
      </c>
      <c r="D22" s="552">
        <f t="shared" si="0"/>
        <v>0</v>
      </c>
      <c r="E22" s="32" t="s">
        <v>831</v>
      </c>
      <c r="F22" s="255">
        <v>0</v>
      </c>
      <c r="G22" s="384">
        <v>0</v>
      </c>
      <c r="H22" s="34">
        <f t="shared" si="1"/>
        <v>0</v>
      </c>
      <c r="I22" s="578"/>
      <c r="J22" s="571"/>
      <c r="K22" s="572"/>
      <c r="L22" s="573"/>
      <c r="M22" s="565"/>
      <c r="N22" s="566"/>
      <c r="O22" s="567"/>
      <c r="P22" s="565"/>
      <c r="Q22" s="566"/>
      <c r="R22" s="567"/>
      <c r="AH22" s="41"/>
      <c r="AI22" s="41"/>
      <c r="AJ22" s="41"/>
    </row>
    <row r="23" spans="1:51" ht="14.95" customHeight="1" thickBot="1" x14ac:dyDescent="0.3">
      <c r="A23" s="550" t="s">
        <v>820</v>
      </c>
      <c r="B23" s="259">
        <v>0</v>
      </c>
      <c r="C23" s="514">
        <v>0</v>
      </c>
      <c r="D23" s="552">
        <f t="shared" si="0"/>
        <v>0</v>
      </c>
      <c r="E23" s="32" t="s">
        <v>820</v>
      </c>
      <c r="F23" s="255">
        <v>0</v>
      </c>
      <c r="G23" s="384">
        <v>0</v>
      </c>
      <c r="H23" s="34">
        <f t="shared" si="1"/>
        <v>0</v>
      </c>
      <c r="I23" s="4"/>
      <c r="J23" s="128" t="s">
        <v>152</v>
      </c>
      <c r="K23" s="128" t="s">
        <v>12</v>
      </c>
      <c r="L23" s="128" t="s">
        <v>13</v>
      </c>
      <c r="M23" s="119" t="s">
        <v>152</v>
      </c>
      <c r="N23" s="119" t="s">
        <v>12</v>
      </c>
      <c r="O23" s="119" t="s">
        <v>13</v>
      </c>
      <c r="P23" s="119" t="s">
        <v>152</v>
      </c>
      <c r="Q23" s="119" t="s">
        <v>12</v>
      </c>
      <c r="R23" s="119" t="s">
        <v>13</v>
      </c>
    </row>
    <row r="24" spans="1:51" ht="14.95" thickBot="1" x14ac:dyDescent="0.3">
      <c r="A24" s="550" t="s">
        <v>911</v>
      </c>
      <c r="B24" s="259">
        <v>1</v>
      </c>
      <c r="C24" s="514">
        <v>0</v>
      </c>
      <c r="D24" s="552">
        <f t="shared" si="0"/>
        <v>1</v>
      </c>
      <c r="E24" s="32" t="s">
        <v>911</v>
      </c>
      <c r="F24" s="255">
        <v>5</v>
      </c>
      <c r="G24" s="384">
        <v>0</v>
      </c>
      <c r="H24" s="34">
        <f t="shared" si="1"/>
        <v>5</v>
      </c>
      <c r="I24" s="550" t="s">
        <v>65</v>
      </c>
      <c r="J24" s="128">
        <v>16</v>
      </c>
      <c r="K24" s="128">
        <v>16</v>
      </c>
      <c r="L24" s="231">
        <f>SUM(J24/K24)*100</f>
        <v>100</v>
      </c>
      <c r="M24" s="128">
        <v>8</v>
      </c>
      <c r="N24" s="128">
        <v>9</v>
      </c>
      <c r="O24" s="231">
        <f>SUM(M24/N24)*100</f>
        <v>88.888888888888886</v>
      </c>
      <c r="P24" s="128">
        <v>15</v>
      </c>
      <c r="Q24" s="128">
        <v>17</v>
      </c>
      <c r="R24" s="231">
        <f>SUM(P24/Q24)*100</f>
        <v>88.235294117647058</v>
      </c>
    </row>
    <row r="25" spans="1:51" ht="14.95" customHeight="1" thickBot="1" x14ac:dyDescent="0.3">
      <c r="A25" s="550" t="s">
        <v>1047</v>
      </c>
      <c r="B25" s="259">
        <v>1</v>
      </c>
      <c r="C25" s="514">
        <v>0</v>
      </c>
      <c r="D25" s="552">
        <f t="shared" si="0"/>
        <v>1</v>
      </c>
      <c r="E25" s="32" t="s">
        <v>1047</v>
      </c>
      <c r="F25" s="255">
        <v>5</v>
      </c>
      <c r="G25" s="384">
        <v>0</v>
      </c>
      <c r="H25" s="34">
        <f t="shared" si="1"/>
        <v>5</v>
      </c>
      <c r="I25" s="555" t="s">
        <v>1425</v>
      </c>
      <c r="J25" s="128" t="s">
        <v>17</v>
      </c>
      <c r="K25" s="128" t="s">
        <v>17</v>
      </c>
      <c r="L25" s="231" t="s">
        <v>17</v>
      </c>
      <c r="M25" s="128" t="s">
        <v>17</v>
      </c>
      <c r="N25" s="128" t="s">
        <v>17</v>
      </c>
      <c r="O25" s="231" t="s">
        <v>17</v>
      </c>
      <c r="P25" s="128" t="s">
        <v>17</v>
      </c>
      <c r="Q25" s="128" t="s">
        <v>17</v>
      </c>
      <c r="R25" s="231" t="s">
        <v>17</v>
      </c>
    </row>
    <row r="26" spans="1:51" ht="14.95" thickBot="1" x14ac:dyDescent="0.3">
      <c r="A26" s="550" t="s">
        <v>470</v>
      </c>
      <c r="B26" s="259">
        <v>2</v>
      </c>
      <c r="C26" s="514">
        <v>0</v>
      </c>
      <c r="D26" s="552">
        <f t="shared" si="0"/>
        <v>2</v>
      </c>
      <c r="E26" s="32" t="s">
        <v>470</v>
      </c>
      <c r="F26" s="255">
        <v>10</v>
      </c>
      <c r="G26" s="384">
        <v>0</v>
      </c>
      <c r="H26" s="34">
        <f t="shared" si="1"/>
        <v>10</v>
      </c>
      <c r="I26" s="550" t="s">
        <v>361</v>
      </c>
      <c r="J26" s="128">
        <v>2</v>
      </c>
      <c r="K26" s="128">
        <v>2</v>
      </c>
      <c r="L26" s="231">
        <f>SUM(J26/K26)*100</f>
        <v>100</v>
      </c>
      <c r="M26" s="128" t="s">
        <v>17</v>
      </c>
      <c r="N26" s="128" t="s">
        <v>17</v>
      </c>
      <c r="O26" s="231" t="s">
        <v>17</v>
      </c>
      <c r="P26" s="128" t="s">
        <v>17</v>
      </c>
      <c r="Q26" s="128" t="s">
        <v>17</v>
      </c>
      <c r="R26" s="231" t="s">
        <v>17</v>
      </c>
    </row>
    <row r="27" spans="1:51" ht="14.95" thickBot="1" x14ac:dyDescent="0.3">
      <c r="A27" s="550" t="s">
        <v>104</v>
      </c>
      <c r="B27" s="259">
        <v>0</v>
      </c>
      <c r="C27" s="514">
        <v>0</v>
      </c>
      <c r="D27" s="552">
        <f t="shared" si="0"/>
        <v>0</v>
      </c>
      <c r="E27" s="32" t="s">
        <v>104</v>
      </c>
      <c r="F27" s="255">
        <v>0</v>
      </c>
      <c r="G27" s="384">
        <v>0</v>
      </c>
      <c r="H27" s="34">
        <f t="shared" si="1"/>
        <v>0</v>
      </c>
      <c r="I27" s="47"/>
      <c r="J27" s="48"/>
      <c r="K27" s="48"/>
      <c r="L27" s="49"/>
      <c r="M27" s="48"/>
      <c r="N27" s="48"/>
      <c r="O27" s="49"/>
      <c r="P27" s="9"/>
    </row>
    <row r="28" spans="1:51" ht="14.95" thickBot="1" x14ac:dyDescent="0.3">
      <c r="A28" s="550" t="s">
        <v>332</v>
      </c>
      <c r="B28" s="259">
        <v>0</v>
      </c>
      <c r="C28" s="514">
        <v>0</v>
      </c>
      <c r="D28" s="552">
        <f t="shared" si="0"/>
        <v>0</v>
      </c>
      <c r="E28" s="32" t="s">
        <v>332</v>
      </c>
      <c r="F28" s="255">
        <v>0</v>
      </c>
      <c r="G28" s="384">
        <v>0</v>
      </c>
      <c r="H28" s="34">
        <f t="shared" si="1"/>
        <v>0</v>
      </c>
    </row>
    <row r="29" spans="1:51" ht="14.95" thickBot="1" x14ac:dyDescent="0.3">
      <c r="A29" s="550" t="s">
        <v>829</v>
      </c>
      <c r="B29" s="259">
        <v>0</v>
      </c>
      <c r="C29" s="514">
        <v>0</v>
      </c>
      <c r="D29" s="552">
        <f t="shared" si="0"/>
        <v>0</v>
      </c>
      <c r="E29" s="32" t="s">
        <v>829</v>
      </c>
      <c r="F29" s="255">
        <v>0</v>
      </c>
      <c r="G29" s="384">
        <v>0</v>
      </c>
      <c r="H29" s="34">
        <f t="shared" si="1"/>
        <v>0</v>
      </c>
    </row>
    <row r="30" spans="1:51" ht="14.95" thickBot="1" x14ac:dyDescent="0.3">
      <c r="A30" s="550" t="s">
        <v>508</v>
      </c>
      <c r="B30" s="259">
        <v>1</v>
      </c>
      <c r="C30" s="514">
        <v>0</v>
      </c>
      <c r="D30" s="552">
        <f t="shared" si="0"/>
        <v>1</v>
      </c>
      <c r="E30" s="32" t="s">
        <v>508</v>
      </c>
      <c r="F30" s="255">
        <v>5</v>
      </c>
      <c r="G30" s="384">
        <v>0</v>
      </c>
      <c r="H30" s="34">
        <f t="shared" si="1"/>
        <v>5</v>
      </c>
    </row>
    <row r="31" spans="1:51" ht="14.95" thickBot="1" x14ac:dyDescent="0.3">
      <c r="A31" s="550" t="s">
        <v>822</v>
      </c>
      <c r="B31" s="259">
        <v>0</v>
      </c>
      <c r="C31" s="514">
        <v>0</v>
      </c>
      <c r="D31" s="552">
        <f t="shared" si="0"/>
        <v>0</v>
      </c>
      <c r="E31" s="32" t="s">
        <v>822</v>
      </c>
      <c r="F31" s="255">
        <v>0</v>
      </c>
      <c r="G31" s="384">
        <v>0</v>
      </c>
      <c r="H31" s="34">
        <f t="shared" si="1"/>
        <v>0</v>
      </c>
    </row>
    <row r="32" spans="1:51" ht="14.95" thickBot="1" x14ac:dyDescent="0.3">
      <c r="A32" s="550" t="s">
        <v>834</v>
      </c>
      <c r="B32" s="259">
        <v>0</v>
      </c>
      <c r="C32" s="514">
        <v>0</v>
      </c>
      <c r="D32" s="552">
        <f t="shared" si="0"/>
        <v>0</v>
      </c>
      <c r="E32" s="32" t="s">
        <v>834</v>
      </c>
      <c r="F32" s="255">
        <v>0</v>
      </c>
      <c r="G32" s="384">
        <v>0</v>
      </c>
      <c r="H32" s="34">
        <f t="shared" si="1"/>
        <v>0</v>
      </c>
    </row>
    <row r="33" spans="1:8" ht="14.95" thickBot="1" x14ac:dyDescent="0.3">
      <c r="A33" s="550" t="s">
        <v>669</v>
      </c>
      <c r="B33" s="259">
        <v>0</v>
      </c>
      <c r="C33" s="514">
        <v>0</v>
      </c>
      <c r="D33" s="552">
        <f t="shared" si="0"/>
        <v>0</v>
      </c>
      <c r="E33" s="32" t="s">
        <v>669</v>
      </c>
      <c r="F33" s="255">
        <v>0</v>
      </c>
      <c r="G33" s="384">
        <v>0</v>
      </c>
      <c r="H33" s="34">
        <f t="shared" si="1"/>
        <v>0</v>
      </c>
    </row>
    <row r="34" spans="1:8" ht="14.95" thickBot="1" x14ac:dyDescent="0.3">
      <c r="A34" s="550" t="s">
        <v>4</v>
      </c>
      <c r="B34" s="259">
        <v>0</v>
      </c>
      <c r="C34" s="514">
        <v>0</v>
      </c>
      <c r="D34" s="552">
        <f t="shared" si="0"/>
        <v>0</v>
      </c>
      <c r="E34" s="32" t="s">
        <v>4</v>
      </c>
      <c r="F34" s="255">
        <v>0</v>
      </c>
      <c r="G34" s="384">
        <v>0</v>
      </c>
      <c r="H34" s="34">
        <f t="shared" si="1"/>
        <v>0</v>
      </c>
    </row>
    <row r="35" spans="1:8" ht="14.95" thickBot="1" x14ac:dyDescent="0.3">
      <c r="A35" s="550" t="s">
        <v>832</v>
      </c>
      <c r="B35" s="259">
        <v>0</v>
      </c>
      <c r="C35" s="514">
        <v>0</v>
      </c>
      <c r="D35" s="552">
        <f t="shared" si="0"/>
        <v>0</v>
      </c>
      <c r="E35" s="32" t="s">
        <v>832</v>
      </c>
      <c r="F35" s="255">
        <v>0</v>
      </c>
      <c r="G35" s="384">
        <v>0</v>
      </c>
      <c r="H35" s="34">
        <f t="shared" si="1"/>
        <v>0</v>
      </c>
    </row>
    <row r="36" spans="1:8" ht="14.95" thickBot="1" x14ac:dyDescent="0.3">
      <c r="A36" s="550" t="s">
        <v>602</v>
      </c>
      <c r="B36" s="259">
        <v>0</v>
      </c>
      <c r="C36" s="514">
        <v>0</v>
      </c>
      <c r="D36" s="552">
        <f t="shared" si="0"/>
        <v>0</v>
      </c>
      <c r="E36" s="32" t="s">
        <v>602</v>
      </c>
      <c r="F36" s="255">
        <v>0</v>
      </c>
      <c r="G36" s="384">
        <v>0</v>
      </c>
      <c r="H36" s="34">
        <f t="shared" si="1"/>
        <v>0</v>
      </c>
    </row>
    <row r="37" spans="1:8" ht="14.95" thickBot="1" x14ac:dyDescent="0.3">
      <c r="A37" s="550" t="s">
        <v>830</v>
      </c>
      <c r="B37" s="259">
        <v>0</v>
      </c>
      <c r="C37" s="514">
        <v>0</v>
      </c>
      <c r="D37" s="552">
        <f t="shared" si="0"/>
        <v>0</v>
      </c>
      <c r="E37" s="32" t="s">
        <v>830</v>
      </c>
      <c r="F37" s="255">
        <v>0</v>
      </c>
      <c r="G37" s="384">
        <v>0</v>
      </c>
      <c r="H37" s="34">
        <f t="shared" si="1"/>
        <v>0</v>
      </c>
    </row>
    <row r="38" spans="1:8" ht="14.95" thickBot="1" x14ac:dyDescent="0.3">
      <c r="A38" s="550" t="s">
        <v>1233</v>
      </c>
      <c r="B38" s="259">
        <v>0</v>
      </c>
      <c r="C38" s="514">
        <v>0</v>
      </c>
      <c r="D38" s="552">
        <f t="shared" si="0"/>
        <v>0</v>
      </c>
      <c r="E38" s="32" t="s">
        <v>1233</v>
      </c>
      <c r="F38" s="255">
        <v>0</v>
      </c>
      <c r="G38" s="384">
        <v>0</v>
      </c>
      <c r="H38" s="34">
        <f t="shared" si="1"/>
        <v>0</v>
      </c>
    </row>
    <row r="39" spans="1:8" ht="14.95" thickBot="1" x14ac:dyDescent="0.3">
      <c r="A39" s="550" t="s">
        <v>989</v>
      </c>
      <c r="B39" s="259">
        <v>0</v>
      </c>
      <c r="C39" s="514">
        <v>0</v>
      </c>
      <c r="D39" s="552">
        <f t="shared" si="0"/>
        <v>0</v>
      </c>
      <c r="E39" s="32" t="s">
        <v>989</v>
      </c>
      <c r="F39" s="255">
        <v>0</v>
      </c>
      <c r="G39" s="384">
        <v>0</v>
      </c>
      <c r="H39" s="34">
        <f t="shared" si="1"/>
        <v>0</v>
      </c>
    </row>
    <row r="40" spans="1:8" ht="14.95" thickBot="1" x14ac:dyDescent="0.3">
      <c r="A40" s="550" t="s">
        <v>454</v>
      </c>
      <c r="B40" s="259">
        <v>0</v>
      </c>
      <c r="C40" s="514">
        <v>0</v>
      </c>
      <c r="D40" s="552">
        <f t="shared" si="0"/>
        <v>0</v>
      </c>
      <c r="E40" s="32" t="s">
        <v>454</v>
      </c>
      <c r="F40" s="255">
        <v>0</v>
      </c>
      <c r="G40" s="384">
        <v>0</v>
      </c>
      <c r="H40" s="34">
        <f t="shared" si="1"/>
        <v>0</v>
      </c>
    </row>
    <row r="41" spans="1:8" ht="14.95" thickBot="1" x14ac:dyDescent="0.3">
      <c r="A41" s="550" t="s">
        <v>1045</v>
      </c>
      <c r="B41" s="259">
        <v>0</v>
      </c>
      <c r="C41" s="514">
        <v>0</v>
      </c>
      <c r="D41" s="552">
        <f t="shared" si="0"/>
        <v>0</v>
      </c>
      <c r="E41" s="32" t="s">
        <v>1045</v>
      </c>
      <c r="F41" s="255">
        <v>0</v>
      </c>
      <c r="G41" s="384">
        <v>0</v>
      </c>
      <c r="H41" s="34">
        <f t="shared" si="1"/>
        <v>0</v>
      </c>
    </row>
    <row r="42" spans="1:8" ht="14.95" thickBot="1" x14ac:dyDescent="0.3">
      <c r="A42" s="550" t="s">
        <v>1043</v>
      </c>
      <c r="B42" s="259">
        <v>0</v>
      </c>
      <c r="C42" s="514">
        <v>0</v>
      </c>
      <c r="D42" s="552">
        <f t="shared" si="0"/>
        <v>0</v>
      </c>
      <c r="E42" s="32" t="s">
        <v>1043</v>
      </c>
      <c r="F42" s="255">
        <v>0</v>
      </c>
      <c r="G42" s="384">
        <v>0</v>
      </c>
      <c r="H42" s="34">
        <f t="shared" si="1"/>
        <v>0</v>
      </c>
    </row>
    <row r="43" spans="1:8" ht="14.95" thickBot="1" x14ac:dyDescent="0.3">
      <c r="A43" s="550" t="s">
        <v>833</v>
      </c>
      <c r="B43" s="259">
        <v>0</v>
      </c>
      <c r="C43" s="514">
        <v>0</v>
      </c>
      <c r="D43" s="552">
        <f t="shared" si="0"/>
        <v>0</v>
      </c>
      <c r="E43" s="32" t="s">
        <v>833</v>
      </c>
      <c r="F43" s="255">
        <v>0</v>
      </c>
      <c r="G43" s="384">
        <v>0</v>
      </c>
      <c r="H43" s="34">
        <f t="shared" si="1"/>
        <v>0</v>
      </c>
    </row>
    <row r="44" spans="1:8" ht="14.95" thickBot="1" x14ac:dyDescent="0.3">
      <c r="A44" s="550" t="s">
        <v>3</v>
      </c>
      <c r="B44" s="259">
        <f>SUM(B1:B43)</f>
        <v>6</v>
      </c>
      <c r="C44" s="546">
        <f>SUM(C1:C43)</f>
        <v>0</v>
      </c>
      <c r="D44" s="552">
        <f t="shared" si="0"/>
        <v>6</v>
      </c>
      <c r="E44" s="33" t="s">
        <v>3</v>
      </c>
      <c r="F44" s="255">
        <f t="shared" ref="F44:G44" si="2">SUM(F1:F43)</f>
        <v>62</v>
      </c>
      <c r="G44" s="384">
        <f t="shared" si="2"/>
        <v>0</v>
      </c>
      <c r="H44" s="34">
        <f t="shared" si="1"/>
        <v>62</v>
      </c>
    </row>
    <row r="45" spans="1:8" ht="17" thickBot="1" x14ac:dyDescent="0.3">
      <c r="A45" s="31" t="s">
        <v>15</v>
      </c>
      <c r="B45" s="6"/>
      <c r="C45" s="545"/>
      <c r="D45" s="553"/>
      <c r="E45" s="86"/>
      <c r="F45" s="6"/>
      <c r="G45" s="545"/>
      <c r="H45" s="86"/>
    </row>
    <row r="46" spans="1:8" ht="14.95" thickBot="1" x14ac:dyDescent="0.3">
      <c r="A46" s="549" t="s">
        <v>0</v>
      </c>
      <c r="B46" s="258" t="s">
        <v>36</v>
      </c>
      <c r="C46" s="513" t="s">
        <v>1447</v>
      </c>
      <c r="D46" s="551" t="s">
        <v>1</v>
      </c>
      <c r="E46" s="189" t="s">
        <v>2</v>
      </c>
      <c r="F46" s="254" t="s">
        <v>36</v>
      </c>
      <c r="G46" s="383" t="s">
        <v>1447</v>
      </c>
      <c r="H46" s="87" t="s">
        <v>1</v>
      </c>
    </row>
    <row r="47" spans="1:8" ht="14.95" thickBot="1" x14ac:dyDescent="0.3">
      <c r="A47" s="550" t="s">
        <v>470</v>
      </c>
      <c r="B47" s="259">
        <v>2</v>
      </c>
      <c r="C47" s="514">
        <v>0</v>
      </c>
      <c r="D47" s="552">
        <f>SUM(B47:C47)</f>
        <v>2</v>
      </c>
      <c r="E47" s="32" t="s">
        <v>361</v>
      </c>
      <c r="F47" s="255">
        <v>32</v>
      </c>
      <c r="G47" s="384">
        <v>0</v>
      </c>
      <c r="H47" s="34">
        <f>SUM(F47:G47)</f>
        <v>32</v>
      </c>
    </row>
    <row r="48" spans="1:8" ht="14.95" thickBot="1" x14ac:dyDescent="0.3">
      <c r="A48" s="550" t="s">
        <v>486</v>
      </c>
      <c r="B48" s="259">
        <v>1</v>
      </c>
      <c r="C48" s="514">
        <v>0</v>
      </c>
      <c r="D48" s="552">
        <f>SUM(B48:C48)</f>
        <v>1</v>
      </c>
      <c r="E48" s="32" t="s">
        <v>470</v>
      </c>
      <c r="F48" s="255">
        <v>10</v>
      </c>
      <c r="G48" s="384">
        <v>0</v>
      </c>
      <c r="H48" s="34">
        <f>SUM(F48:G48)</f>
        <v>10</v>
      </c>
    </row>
    <row r="49" spans="1:8" ht="14.95" thickBot="1" x14ac:dyDescent="0.3">
      <c r="A49" s="550" t="s">
        <v>911</v>
      </c>
      <c r="B49" s="259">
        <v>1</v>
      </c>
      <c r="C49" s="514">
        <v>0</v>
      </c>
      <c r="D49" s="552">
        <f>SUM(B49:C49)</f>
        <v>1</v>
      </c>
      <c r="E49" s="32" t="s">
        <v>486</v>
      </c>
      <c r="F49" s="255">
        <v>5</v>
      </c>
      <c r="G49" s="384">
        <v>0</v>
      </c>
      <c r="H49" s="34">
        <f>SUM(F49:G49)</f>
        <v>5</v>
      </c>
    </row>
    <row r="50" spans="1:8" ht="14.95" thickBot="1" x14ac:dyDescent="0.3">
      <c r="A50" s="550" t="s">
        <v>1047</v>
      </c>
      <c r="B50" s="259">
        <v>1</v>
      </c>
      <c r="C50" s="514">
        <v>0</v>
      </c>
      <c r="D50" s="552">
        <f>SUM(B50:C50)</f>
        <v>1</v>
      </c>
      <c r="E50" s="32" t="s">
        <v>911</v>
      </c>
      <c r="F50" s="255">
        <v>5</v>
      </c>
      <c r="G50" s="384">
        <v>0</v>
      </c>
      <c r="H50" s="34">
        <f>SUM(F50:G50)</f>
        <v>5</v>
      </c>
    </row>
    <row r="51" spans="1:8" ht="14.95" thickBot="1" x14ac:dyDescent="0.3">
      <c r="A51" s="550" t="s">
        <v>508</v>
      </c>
      <c r="B51" s="259">
        <v>1</v>
      </c>
      <c r="C51" s="514">
        <v>0</v>
      </c>
      <c r="D51" s="552">
        <f>SUM(B51:C51)</f>
        <v>1</v>
      </c>
      <c r="E51" s="32" t="s">
        <v>1047</v>
      </c>
      <c r="F51" s="255">
        <v>5</v>
      </c>
      <c r="G51" s="384">
        <v>0</v>
      </c>
      <c r="H51" s="34">
        <f>SUM(F51:G51)</f>
        <v>5</v>
      </c>
    </row>
    <row r="52" spans="1:8" ht="14.95" thickBot="1" x14ac:dyDescent="0.3">
      <c r="A52" s="550" t="s">
        <v>65</v>
      </c>
      <c r="B52" s="259">
        <v>0</v>
      </c>
      <c r="C52" s="514">
        <v>0</v>
      </c>
      <c r="D52" s="552">
        <f>SUM(B52:C52)</f>
        <v>0</v>
      </c>
      <c r="E52" s="32" t="s">
        <v>508</v>
      </c>
      <c r="F52" s="255">
        <v>5</v>
      </c>
      <c r="G52" s="384">
        <v>0</v>
      </c>
      <c r="H52" s="34">
        <f>SUM(F52:G52)</f>
        <v>5</v>
      </c>
    </row>
    <row r="53" spans="1:8" ht="14.95" thickBot="1" x14ac:dyDescent="0.3">
      <c r="A53" s="550" t="s">
        <v>382</v>
      </c>
      <c r="B53" s="259">
        <v>0</v>
      </c>
      <c r="C53" s="514">
        <v>0</v>
      </c>
      <c r="D53" s="552">
        <f>SUM(B53:C53)</f>
        <v>0</v>
      </c>
      <c r="E53" s="32" t="s">
        <v>65</v>
      </c>
      <c r="F53" s="255">
        <v>0</v>
      </c>
      <c r="G53" s="384">
        <v>0</v>
      </c>
      <c r="H53" s="34">
        <f>SUM(F53:G53)</f>
        <v>0</v>
      </c>
    </row>
    <row r="54" spans="1:8" ht="14.95" thickBot="1" x14ac:dyDescent="0.3">
      <c r="A54" s="550" t="s">
        <v>545</v>
      </c>
      <c r="B54" s="259">
        <v>0</v>
      </c>
      <c r="C54" s="514">
        <v>0</v>
      </c>
      <c r="D54" s="552">
        <f>SUM(B54:C54)</f>
        <v>0</v>
      </c>
      <c r="E54" s="32" t="s">
        <v>382</v>
      </c>
      <c r="F54" s="255">
        <v>0</v>
      </c>
      <c r="G54" s="384">
        <v>0</v>
      </c>
      <c r="H54" s="34">
        <f>SUM(F54:G54)</f>
        <v>0</v>
      </c>
    </row>
    <row r="55" spans="1:8" ht="14.95" thickBot="1" x14ac:dyDescent="0.3">
      <c r="A55" s="550" t="s">
        <v>546</v>
      </c>
      <c r="B55" s="259">
        <v>0</v>
      </c>
      <c r="C55" s="514">
        <v>0</v>
      </c>
      <c r="D55" s="552">
        <f>SUM(B55:C55)</f>
        <v>0</v>
      </c>
      <c r="E55" s="32" t="s">
        <v>545</v>
      </c>
      <c r="F55" s="255">
        <v>0</v>
      </c>
      <c r="G55" s="384">
        <v>0</v>
      </c>
      <c r="H55" s="34">
        <f>SUM(F55:G55)</f>
        <v>0</v>
      </c>
    </row>
    <row r="56" spans="1:8" ht="14.95" thickBot="1" x14ac:dyDescent="0.3">
      <c r="A56" s="550" t="s">
        <v>547</v>
      </c>
      <c r="B56" s="259">
        <v>0</v>
      </c>
      <c r="C56" s="514">
        <v>0</v>
      </c>
      <c r="D56" s="552">
        <f>SUM(B56:C56)</f>
        <v>0</v>
      </c>
      <c r="E56" s="32" t="s">
        <v>546</v>
      </c>
      <c r="F56" s="255">
        <v>0</v>
      </c>
      <c r="G56" s="384">
        <v>0</v>
      </c>
      <c r="H56" s="34">
        <f>SUM(F56:G56)</f>
        <v>0</v>
      </c>
    </row>
    <row r="57" spans="1:8" ht="14.95" thickBot="1" x14ac:dyDescent="0.3">
      <c r="A57" s="550" t="s">
        <v>506</v>
      </c>
      <c r="B57" s="259">
        <v>0</v>
      </c>
      <c r="C57" s="514">
        <v>0</v>
      </c>
      <c r="D57" s="552">
        <f>SUM(B57:C57)</f>
        <v>0</v>
      </c>
      <c r="E57" s="32" t="s">
        <v>547</v>
      </c>
      <c r="F57" s="255">
        <v>0</v>
      </c>
      <c r="G57" s="384">
        <v>0</v>
      </c>
      <c r="H57" s="34">
        <f>SUM(F57:G57)</f>
        <v>0</v>
      </c>
    </row>
    <row r="58" spans="1:8" ht="14.95" thickBot="1" x14ac:dyDescent="0.3">
      <c r="A58" s="550" t="s">
        <v>827</v>
      </c>
      <c r="B58" s="259">
        <v>0</v>
      </c>
      <c r="C58" s="514">
        <v>0</v>
      </c>
      <c r="D58" s="552">
        <f>SUM(B58:C58)</f>
        <v>0</v>
      </c>
      <c r="E58" s="32" t="s">
        <v>506</v>
      </c>
      <c r="F58" s="255">
        <v>0</v>
      </c>
      <c r="G58" s="384">
        <v>0</v>
      </c>
      <c r="H58" s="34">
        <f>SUM(F58:G58)</f>
        <v>0</v>
      </c>
    </row>
    <row r="59" spans="1:8" ht="14.95" thickBot="1" x14ac:dyDescent="0.3">
      <c r="A59" s="550" t="s">
        <v>1425</v>
      </c>
      <c r="B59" s="259">
        <v>0</v>
      </c>
      <c r="C59" s="514">
        <v>0</v>
      </c>
      <c r="D59" s="552">
        <f>SUM(B59:C59)</f>
        <v>0</v>
      </c>
      <c r="E59" s="32" t="s">
        <v>827</v>
      </c>
      <c r="F59" s="255">
        <v>0</v>
      </c>
      <c r="G59" s="384">
        <v>0</v>
      </c>
      <c r="H59" s="34">
        <f>SUM(F59:G59)</f>
        <v>0</v>
      </c>
    </row>
    <row r="60" spans="1:8" ht="14.95" thickBot="1" x14ac:dyDescent="0.3">
      <c r="A60" s="550" t="s">
        <v>1428</v>
      </c>
      <c r="B60" s="259">
        <v>0</v>
      </c>
      <c r="C60" s="514">
        <v>0</v>
      </c>
      <c r="D60" s="552">
        <f>SUM(B60:C60)</f>
        <v>0</v>
      </c>
      <c r="E60" s="32" t="s">
        <v>1425</v>
      </c>
      <c r="F60" s="255">
        <v>0</v>
      </c>
      <c r="G60" s="384">
        <v>0</v>
      </c>
      <c r="H60" s="34">
        <f>SUM(F60:G60)</f>
        <v>0</v>
      </c>
    </row>
    <row r="61" spans="1:8" ht="14.95" thickBot="1" x14ac:dyDescent="0.3">
      <c r="A61" s="550" t="s">
        <v>1241</v>
      </c>
      <c r="B61" s="259">
        <v>0</v>
      </c>
      <c r="C61" s="514">
        <v>0</v>
      </c>
      <c r="D61" s="552">
        <f>SUM(B61:C61)</f>
        <v>0</v>
      </c>
      <c r="E61" s="32" t="s">
        <v>1428</v>
      </c>
      <c r="F61" s="255">
        <v>0</v>
      </c>
      <c r="G61" s="384">
        <v>0</v>
      </c>
      <c r="H61" s="34">
        <f>SUM(F61:G61)</f>
        <v>0</v>
      </c>
    </row>
    <row r="62" spans="1:8" ht="14.95" thickBot="1" x14ac:dyDescent="0.3">
      <c r="A62" s="550" t="s">
        <v>317</v>
      </c>
      <c r="B62" s="259">
        <v>0</v>
      </c>
      <c r="C62" s="514">
        <v>0</v>
      </c>
      <c r="D62" s="552">
        <f>SUM(B62:C62)</f>
        <v>0</v>
      </c>
      <c r="E62" s="32" t="s">
        <v>1241</v>
      </c>
      <c r="F62" s="255">
        <v>0</v>
      </c>
      <c r="G62" s="384">
        <v>0</v>
      </c>
      <c r="H62" s="34">
        <f>SUM(F62:G62)</f>
        <v>0</v>
      </c>
    </row>
    <row r="63" spans="1:8" ht="14.95" thickBot="1" x14ac:dyDescent="0.3">
      <c r="A63" s="550" t="s">
        <v>156</v>
      </c>
      <c r="B63" s="259">
        <v>0</v>
      </c>
      <c r="C63" s="514">
        <v>0</v>
      </c>
      <c r="D63" s="552">
        <f>SUM(B63:C63)</f>
        <v>0</v>
      </c>
      <c r="E63" s="32" t="s">
        <v>317</v>
      </c>
      <c r="F63" s="255">
        <v>0</v>
      </c>
      <c r="G63" s="384">
        <v>0</v>
      </c>
      <c r="H63" s="34">
        <f>SUM(F63:G63)</f>
        <v>0</v>
      </c>
    </row>
    <row r="64" spans="1:8" ht="14.95" thickBot="1" x14ac:dyDescent="0.3">
      <c r="A64" s="550" t="s">
        <v>828</v>
      </c>
      <c r="B64" s="259">
        <v>0</v>
      </c>
      <c r="C64" s="514">
        <v>0</v>
      </c>
      <c r="D64" s="552">
        <f>SUM(B64:C64)</f>
        <v>0</v>
      </c>
      <c r="E64" s="32" t="s">
        <v>156</v>
      </c>
      <c r="F64" s="255">
        <v>0</v>
      </c>
      <c r="G64" s="384">
        <v>0</v>
      </c>
      <c r="H64" s="34">
        <f>SUM(F64:G64)</f>
        <v>0</v>
      </c>
    </row>
    <row r="65" spans="1:8" ht="14.95" thickBot="1" x14ac:dyDescent="0.3">
      <c r="A65" s="550" t="s">
        <v>604</v>
      </c>
      <c r="B65" s="259">
        <v>0</v>
      </c>
      <c r="C65" s="514">
        <v>0</v>
      </c>
      <c r="D65" s="552">
        <f>SUM(B65:C65)</f>
        <v>0</v>
      </c>
      <c r="E65" s="32" t="s">
        <v>828</v>
      </c>
      <c r="F65" s="255">
        <v>0</v>
      </c>
      <c r="G65" s="384">
        <v>0</v>
      </c>
      <c r="H65" s="34">
        <f>SUM(F65:G65)</f>
        <v>0</v>
      </c>
    </row>
    <row r="66" spans="1:8" ht="14.95" thickBot="1" x14ac:dyDescent="0.3">
      <c r="A66" s="550" t="s">
        <v>507</v>
      </c>
      <c r="B66" s="259">
        <v>0</v>
      </c>
      <c r="C66" s="514">
        <v>0</v>
      </c>
      <c r="D66" s="552">
        <f>SUM(B66:C66)</f>
        <v>0</v>
      </c>
      <c r="E66" s="32" t="s">
        <v>604</v>
      </c>
      <c r="F66" s="255">
        <v>0</v>
      </c>
      <c r="G66" s="384">
        <v>0</v>
      </c>
      <c r="H66" s="34">
        <f>SUM(F66:G66)</f>
        <v>0</v>
      </c>
    </row>
    <row r="67" spans="1:8" ht="14.95" thickBot="1" x14ac:dyDescent="0.3">
      <c r="A67" s="550" t="s">
        <v>361</v>
      </c>
      <c r="B67" s="259">
        <v>0</v>
      </c>
      <c r="C67" s="514">
        <v>0</v>
      </c>
      <c r="D67" s="552">
        <f>SUM(B67:C67)</f>
        <v>0</v>
      </c>
      <c r="E67" s="32" t="s">
        <v>507</v>
      </c>
      <c r="F67" s="255">
        <v>0</v>
      </c>
      <c r="G67" s="384">
        <v>0</v>
      </c>
      <c r="H67" s="34">
        <f>SUM(F67:G67)</f>
        <v>0</v>
      </c>
    </row>
    <row r="68" spans="1:8" ht="14.95" thickBot="1" x14ac:dyDescent="0.3">
      <c r="A68" s="550" t="s">
        <v>1234</v>
      </c>
      <c r="B68" s="259">
        <v>0</v>
      </c>
      <c r="C68" s="514">
        <v>0</v>
      </c>
      <c r="D68" s="552">
        <f>SUM(B68:C68)</f>
        <v>0</v>
      </c>
      <c r="E68" s="32" t="s">
        <v>1234</v>
      </c>
      <c r="F68" s="255">
        <v>0</v>
      </c>
      <c r="G68" s="384">
        <v>0</v>
      </c>
      <c r="H68" s="34">
        <f>SUM(F68:G68)</f>
        <v>0</v>
      </c>
    </row>
    <row r="69" spans="1:8" ht="14.95" thickBot="1" x14ac:dyDescent="0.3">
      <c r="A69" s="550" t="s">
        <v>30</v>
      </c>
      <c r="B69" s="259">
        <v>0</v>
      </c>
      <c r="C69" s="514">
        <v>0</v>
      </c>
      <c r="D69" s="552">
        <f>SUM(B69:C69)</f>
        <v>0</v>
      </c>
      <c r="E69" s="32" t="s">
        <v>30</v>
      </c>
      <c r="F69" s="255">
        <v>0</v>
      </c>
      <c r="G69" s="384">
        <v>0</v>
      </c>
      <c r="H69" s="34">
        <f>SUM(F69:G69)</f>
        <v>0</v>
      </c>
    </row>
    <row r="70" spans="1:8" ht="14.95" thickBot="1" x14ac:dyDescent="0.3">
      <c r="A70" s="550" t="s">
        <v>831</v>
      </c>
      <c r="B70" s="259">
        <v>0</v>
      </c>
      <c r="C70" s="514">
        <v>0</v>
      </c>
      <c r="D70" s="552">
        <f>SUM(B70:C70)</f>
        <v>0</v>
      </c>
      <c r="E70" s="32" t="s">
        <v>831</v>
      </c>
      <c r="F70" s="255">
        <v>0</v>
      </c>
      <c r="G70" s="384">
        <v>0</v>
      </c>
      <c r="H70" s="34">
        <f>SUM(F70:G70)</f>
        <v>0</v>
      </c>
    </row>
    <row r="71" spans="1:8" ht="14.95" thickBot="1" x14ac:dyDescent="0.3">
      <c r="A71" s="550" t="s">
        <v>820</v>
      </c>
      <c r="B71" s="259">
        <v>0</v>
      </c>
      <c r="C71" s="514">
        <v>0</v>
      </c>
      <c r="D71" s="552">
        <f>SUM(B71:C71)</f>
        <v>0</v>
      </c>
      <c r="E71" s="32" t="s">
        <v>820</v>
      </c>
      <c r="F71" s="255">
        <v>0</v>
      </c>
      <c r="G71" s="384">
        <v>0</v>
      </c>
      <c r="H71" s="34">
        <f>SUM(F71:G71)</f>
        <v>0</v>
      </c>
    </row>
    <row r="72" spans="1:8" ht="14.95" thickBot="1" x14ac:dyDescent="0.3">
      <c r="A72" s="550" t="s">
        <v>104</v>
      </c>
      <c r="B72" s="259">
        <v>0</v>
      </c>
      <c r="C72" s="514">
        <v>0</v>
      </c>
      <c r="D72" s="552">
        <f>SUM(B72:C72)</f>
        <v>0</v>
      </c>
      <c r="E72" s="32" t="s">
        <v>104</v>
      </c>
      <c r="F72" s="255">
        <v>0</v>
      </c>
      <c r="G72" s="384">
        <v>0</v>
      </c>
      <c r="H72" s="34">
        <f>SUM(F72:G72)</f>
        <v>0</v>
      </c>
    </row>
    <row r="73" spans="1:8" ht="14.95" thickBot="1" x14ac:dyDescent="0.3">
      <c r="A73" s="550" t="s">
        <v>332</v>
      </c>
      <c r="B73" s="259">
        <v>0</v>
      </c>
      <c r="C73" s="514">
        <v>0</v>
      </c>
      <c r="D73" s="552">
        <f>SUM(B73:C73)</f>
        <v>0</v>
      </c>
      <c r="E73" s="32" t="s">
        <v>332</v>
      </c>
      <c r="F73" s="255">
        <v>0</v>
      </c>
      <c r="G73" s="384">
        <v>0</v>
      </c>
      <c r="H73" s="34">
        <f>SUM(F73:G73)</f>
        <v>0</v>
      </c>
    </row>
    <row r="74" spans="1:8" ht="14.95" thickBot="1" x14ac:dyDescent="0.3">
      <c r="A74" s="550" t="s">
        <v>829</v>
      </c>
      <c r="B74" s="259">
        <v>0</v>
      </c>
      <c r="C74" s="514">
        <v>0</v>
      </c>
      <c r="D74" s="552">
        <f>SUM(B74:C74)</f>
        <v>0</v>
      </c>
      <c r="E74" s="32" t="s">
        <v>829</v>
      </c>
      <c r="F74" s="255">
        <v>0</v>
      </c>
      <c r="G74" s="384">
        <v>0</v>
      </c>
      <c r="H74" s="34">
        <f>SUM(F74:G74)</f>
        <v>0</v>
      </c>
    </row>
    <row r="75" spans="1:8" ht="14.95" thickBot="1" x14ac:dyDescent="0.3">
      <c r="A75" s="550" t="s">
        <v>822</v>
      </c>
      <c r="B75" s="259">
        <v>0</v>
      </c>
      <c r="C75" s="514">
        <v>0</v>
      </c>
      <c r="D75" s="552">
        <f>SUM(B75:C75)</f>
        <v>0</v>
      </c>
      <c r="E75" s="32" t="s">
        <v>822</v>
      </c>
      <c r="F75" s="255">
        <v>0</v>
      </c>
      <c r="G75" s="384">
        <v>0</v>
      </c>
      <c r="H75" s="34">
        <f>SUM(F75:G75)</f>
        <v>0</v>
      </c>
    </row>
    <row r="76" spans="1:8" ht="14.95" thickBot="1" x14ac:dyDescent="0.3">
      <c r="A76" s="550" t="s">
        <v>834</v>
      </c>
      <c r="B76" s="259">
        <v>0</v>
      </c>
      <c r="C76" s="514">
        <v>0</v>
      </c>
      <c r="D76" s="552">
        <f>SUM(B76:C76)</f>
        <v>0</v>
      </c>
      <c r="E76" s="32" t="s">
        <v>834</v>
      </c>
      <c r="F76" s="255">
        <v>0</v>
      </c>
      <c r="G76" s="384">
        <v>0</v>
      </c>
      <c r="H76" s="34">
        <f>SUM(F76:G76)</f>
        <v>0</v>
      </c>
    </row>
    <row r="77" spans="1:8" ht="14.95" thickBot="1" x14ac:dyDescent="0.3">
      <c r="A77" s="550" t="s">
        <v>669</v>
      </c>
      <c r="B77" s="259">
        <v>0</v>
      </c>
      <c r="C77" s="514">
        <v>0</v>
      </c>
      <c r="D77" s="552">
        <f>SUM(B77:C77)</f>
        <v>0</v>
      </c>
      <c r="E77" s="32" t="s">
        <v>669</v>
      </c>
      <c r="F77" s="255">
        <v>0</v>
      </c>
      <c r="G77" s="384">
        <v>0</v>
      </c>
      <c r="H77" s="34">
        <f>SUM(F77:G77)</f>
        <v>0</v>
      </c>
    </row>
    <row r="78" spans="1:8" ht="14.95" thickBot="1" x14ac:dyDescent="0.3">
      <c r="A78" s="550" t="s">
        <v>4</v>
      </c>
      <c r="B78" s="259">
        <v>0</v>
      </c>
      <c r="C78" s="514">
        <v>0</v>
      </c>
      <c r="D78" s="552">
        <f>SUM(B78:C78)</f>
        <v>0</v>
      </c>
      <c r="E78" s="32" t="s">
        <v>4</v>
      </c>
      <c r="F78" s="255">
        <v>0</v>
      </c>
      <c r="G78" s="384">
        <v>0</v>
      </c>
      <c r="H78" s="34">
        <f>SUM(F78:G78)</f>
        <v>0</v>
      </c>
    </row>
    <row r="79" spans="1:8" ht="14.95" thickBot="1" x14ac:dyDescent="0.3">
      <c r="A79" s="550" t="s">
        <v>832</v>
      </c>
      <c r="B79" s="259">
        <v>0</v>
      </c>
      <c r="C79" s="514">
        <v>0</v>
      </c>
      <c r="D79" s="552">
        <f>SUM(B79:C79)</f>
        <v>0</v>
      </c>
      <c r="E79" s="32" t="s">
        <v>832</v>
      </c>
      <c r="F79" s="255">
        <v>0</v>
      </c>
      <c r="G79" s="384">
        <v>0</v>
      </c>
      <c r="H79" s="34">
        <f>SUM(F79:G79)</f>
        <v>0</v>
      </c>
    </row>
    <row r="80" spans="1:8" ht="14.95" thickBot="1" x14ac:dyDescent="0.3">
      <c r="A80" s="550" t="s">
        <v>602</v>
      </c>
      <c r="B80" s="259">
        <v>0</v>
      </c>
      <c r="C80" s="514">
        <v>0</v>
      </c>
      <c r="D80" s="552">
        <f>SUM(B80:C80)</f>
        <v>0</v>
      </c>
      <c r="E80" s="32" t="s">
        <v>602</v>
      </c>
      <c r="F80" s="255">
        <v>0</v>
      </c>
      <c r="G80" s="384">
        <v>0</v>
      </c>
      <c r="H80" s="34">
        <f>SUM(F80:G80)</f>
        <v>0</v>
      </c>
    </row>
    <row r="81" spans="1:8" ht="14.95" thickBot="1" x14ac:dyDescent="0.3">
      <c r="A81" s="550" t="s">
        <v>830</v>
      </c>
      <c r="B81" s="259">
        <v>0</v>
      </c>
      <c r="C81" s="514">
        <v>0</v>
      </c>
      <c r="D81" s="552">
        <f>SUM(B81:C81)</f>
        <v>0</v>
      </c>
      <c r="E81" s="32" t="s">
        <v>830</v>
      </c>
      <c r="F81" s="255">
        <v>0</v>
      </c>
      <c r="G81" s="384">
        <v>0</v>
      </c>
      <c r="H81" s="34">
        <f>SUM(F81:G81)</f>
        <v>0</v>
      </c>
    </row>
    <row r="82" spans="1:8" ht="14.95" thickBot="1" x14ac:dyDescent="0.3">
      <c r="A82" s="550" t="s">
        <v>1233</v>
      </c>
      <c r="B82" s="259">
        <v>0</v>
      </c>
      <c r="C82" s="514">
        <v>0</v>
      </c>
      <c r="D82" s="552">
        <f>SUM(B82:C82)</f>
        <v>0</v>
      </c>
      <c r="E82" s="32" t="s">
        <v>1233</v>
      </c>
      <c r="F82" s="255">
        <v>0</v>
      </c>
      <c r="G82" s="384">
        <v>0</v>
      </c>
      <c r="H82" s="34">
        <f>SUM(F82:G82)</f>
        <v>0</v>
      </c>
    </row>
    <row r="83" spans="1:8" ht="14.95" thickBot="1" x14ac:dyDescent="0.3">
      <c r="A83" s="550" t="s">
        <v>989</v>
      </c>
      <c r="B83" s="259">
        <v>0</v>
      </c>
      <c r="C83" s="514">
        <v>0</v>
      </c>
      <c r="D83" s="552">
        <f>SUM(B83:C83)</f>
        <v>0</v>
      </c>
      <c r="E83" s="32" t="s">
        <v>989</v>
      </c>
      <c r="F83" s="255">
        <v>0</v>
      </c>
      <c r="G83" s="384">
        <v>0</v>
      </c>
      <c r="H83" s="34">
        <f>SUM(F83:G83)</f>
        <v>0</v>
      </c>
    </row>
    <row r="84" spans="1:8" ht="14.95" thickBot="1" x14ac:dyDescent="0.3">
      <c r="A84" s="550" t="s">
        <v>454</v>
      </c>
      <c r="B84" s="259">
        <v>0</v>
      </c>
      <c r="C84" s="514">
        <v>0</v>
      </c>
      <c r="D84" s="552">
        <f>SUM(B84:C84)</f>
        <v>0</v>
      </c>
      <c r="E84" s="32" t="s">
        <v>454</v>
      </c>
      <c r="F84" s="255">
        <v>0</v>
      </c>
      <c r="G84" s="384">
        <v>0</v>
      </c>
      <c r="H84" s="34">
        <f>SUM(F84:G84)</f>
        <v>0</v>
      </c>
    </row>
    <row r="85" spans="1:8" ht="14.95" thickBot="1" x14ac:dyDescent="0.3">
      <c r="A85" s="550" t="s">
        <v>1045</v>
      </c>
      <c r="B85" s="259">
        <v>0</v>
      </c>
      <c r="C85" s="514">
        <v>0</v>
      </c>
      <c r="D85" s="552">
        <f>SUM(B85:C85)</f>
        <v>0</v>
      </c>
      <c r="E85" s="32" t="s">
        <v>1045</v>
      </c>
      <c r="F85" s="255">
        <v>0</v>
      </c>
      <c r="G85" s="384">
        <v>0</v>
      </c>
      <c r="H85" s="34">
        <f>SUM(F85:G85)</f>
        <v>0</v>
      </c>
    </row>
    <row r="86" spans="1:8" ht="14.95" thickBot="1" x14ac:dyDescent="0.3">
      <c r="A86" s="550" t="s">
        <v>1043</v>
      </c>
      <c r="B86" s="259">
        <v>0</v>
      </c>
      <c r="C86" s="514">
        <v>0</v>
      </c>
      <c r="D86" s="552">
        <f>SUM(B86:C86)</f>
        <v>0</v>
      </c>
      <c r="E86" s="32" t="s">
        <v>1043</v>
      </c>
      <c r="F86" s="255">
        <v>0</v>
      </c>
      <c r="G86" s="384">
        <v>0</v>
      </c>
      <c r="H86" s="34">
        <f>SUM(F86:G86)</f>
        <v>0</v>
      </c>
    </row>
    <row r="87" spans="1:8" ht="14.3" customHeight="1" thickBot="1" x14ac:dyDescent="0.3">
      <c r="A87" s="550" t="s">
        <v>833</v>
      </c>
      <c r="B87" s="259">
        <v>0</v>
      </c>
      <c r="C87" s="514">
        <v>0</v>
      </c>
      <c r="D87" s="552">
        <f>SUM(B87:C87)</f>
        <v>0</v>
      </c>
      <c r="E87" s="32" t="s">
        <v>833</v>
      </c>
      <c r="F87" s="255">
        <v>0</v>
      </c>
      <c r="G87" s="384">
        <v>0</v>
      </c>
      <c r="H87" s="34">
        <f>SUM(F87:G87)</f>
        <v>0</v>
      </c>
    </row>
    <row r="88" spans="1:8" ht="14.95" thickBot="1" x14ac:dyDescent="0.3">
      <c r="A88" s="550" t="s">
        <v>3</v>
      </c>
      <c r="B88" s="259">
        <f>SUM(B45:B87)</f>
        <v>6</v>
      </c>
      <c r="C88" s="546">
        <f>SUM(C45:C87)</f>
        <v>0</v>
      </c>
      <c r="D88" s="552">
        <f t="shared" ref="D47:D88" si="3">SUM(B88:C88)</f>
        <v>6</v>
      </c>
      <c r="E88" s="33" t="s">
        <v>3</v>
      </c>
      <c r="F88" s="255">
        <f t="shared" ref="F88:G88" si="4">SUM(F45:F87)</f>
        <v>62</v>
      </c>
      <c r="G88" s="384">
        <f t="shared" si="4"/>
        <v>0</v>
      </c>
      <c r="H88" s="34">
        <f t="shared" ref="H47:H88" si="5">SUM(F88:G88)</f>
        <v>62</v>
      </c>
    </row>
    <row r="89" spans="1:8" ht="16.3" x14ac:dyDescent="0.3">
      <c r="A89" s="487" t="s">
        <v>28</v>
      </c>
    </row>
  </sheetData>
  <sortState xmlns:xlrd2="http://schemas.microsoft.com/office/spreadsheetml/2017/richdata2" ref="E47:H87">
    <sortCondition descending="1" ref="H47:H87"/>
  </sortState>
  <mergeCells count="33">
    <mergeCell ref="Q1:S2"/>
    <mergeCell ref="A1:H1"/>
    <mergeCell ref="I21:I22"/>
    <mergeCell ref="M21:O22"/>
    <mergeCell ref="P1:P2"/>
    <mergeCell ref="I1:I2"/>
    <mergeCell ref="J1:L2"/>
    <mergeCell ref="M1:O2"/>
    <mergeCell ref="I13:I14"/>
    <mergeCell ref="J13:L14"/>
    <mergeCell ref="J21:L22"/>
    <mergeCell ref="M13:O14"/>
    <mergeCell ref="AK1:AM2"/>
    <mergeCell ref="AK13:AM14"/>
    <mergeCell ref="T1:V2"/>
    <mergeCell ref="AT13:AV14"/>
    <mergeCell ref="AH1:AJ2"/>
    <mergeCell ref="AH13:AJ14"/>
    <mergeCell ref="AE1:AG2"/>
    <mergeCell ref="AQ1:AS2"/>
    <mergeCell ref="AT1:AV2"/>
    <mergeCell ref="AQ13:AS14"/>
    <mergeCell ref="AN1:AP2"/>
    <mergeCell ref="AN13:AP14"/>
    <mergeCell ref="AB1:AD2"/>
    <mergeCell ref="AB13:AD14"/>
    <mergeCell ref="Y1:AA2"/>
    <mergeCell ref="Y13:AA14"/>
    <mergeCell ref="AW13:AY14"/>
    <mergeCell ref="P21:R22"/>
    <mergeCell ref="S13:U14"/>
    <mergeCell ref="P13:R14"/>
    <mergeCell ref="AE13:AG14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R92"/>
  <sheetViews>
    <sheetView zoomScaleNormal="100" workbookViewId="0">
      <selection activeCell="U17" sqref="U17"/>
    </sheetView>
  </sheetViews>
  <sheetFormatPr defaultRowHeight="14.3" x14ac:dyDescent="0.25"/>
  <cols>
    <col min="1" max="1" width="16.5" customWidth="1"/>
    <col min="2" max="4" width="4.5" customWidth="1"/>
    <col min="5" max="5" width="16.5" customWidth="1"/>
    <col min="6" max="7" width="4.5" customWidth="1"/>
    <col min="8" max="8" width="5.375" customWidth="1"/>
    <col min="9" max="9" width="15.5" customWidth="1"/>
    <col min="10" max="19" width="5.5" customWidth="1"/>
    <col min="20" max="41" width="5.625" customWidth="1"/>
  </cols>
  <sheetData>
    <row r="1" spans="1:44" ht="14.95" customHeight="1" thickBot="1" x14ac:dyDescent="0.3">
      <c r="A1" s="695" t="s">
        <v>1160</v>
      </c>
      <c r="B1" s="696"/>
      <c r="C1" s="696"/>
      <c r="D1" s="696"/>
      <c r="E1" s="696"/>
      <c r="F1" s="696"/>
      <c r="G1" s="696"/>
      <c r="H1" s="697"/>
      <c r="I1" s="693" t="s">
        <v>112</v>
      </c>
      <c r="J1" s="583">
        <v>2025</v>
      </c>
      <c r="K1" s="584"/>
      <c r="L1" s="585"/>
      <c r="M1" s="583" t="s">
        <v>32</v>
      </c>
      <c r="N1" s="584"/>
      <c r="O1" s="585"/>
      <c r="P1" s="579" t="s">
        <v>121</v>
      </c>
      <c r="Q1" s="568">
        <v>2024</v>
      </c>
      <c r="R1" s="569"/>
      <c r="S1" s="570"/>
      <c r="T1" s="568">
        <v>2023</v>
      </c>
      <c r="U1" s="569"/>
      <c r="V1" s="570"/>
      <c r="W1" s="235"/>
      <c r="X1" s="81"/>
      <c r="Y1" s="81"/>
      <c r="Z1" s="252"/>
      <c r="AA1" s="557">
        <v>2022</v>
      </c>
      <c r="AB1" s="563"/>
      <c r="AC1" s="564"/>
      <c r="AD1" s="557">
        <v>2021</v>
      </c>
      <c r="AE1" s="563"/>
      <c r="AF1" s="564"/>
      <c r="AG1" s="557">
        <v>2020</v>
      </c>
      <c r="AH1" s="563"/>
      <c r="AI1" s="564"/>
      <c r="AJ1" s="557">
        <v>2019</v>
      </c>
      <c r="AK1" s="563"/>
      <c r="AL1" s="564"/>
      <c r="AM1" s="557">
        <v>2018</v>
      </c>
      <c r="AN1" s="563"/>
      <c r="AO1" s="564"/>
      <c r="AP1" s="557">
        <v>2017</v>
      </c>
      <c r="AQ1" s="563"/>
      <c r="AR1" s="564"/>
    </row>
    <row r="2" spans="1:44" ht="14.95" customHeight="1" thickBot="1" x14ac:dyDescent="0.3">
      <c r="A2" s="427" t="s">
        <v>0</v>
      </c>
      <c r="B2" s="428" t="s">
        <v>1361</v>
      </c>
      <c r="C2" s="165" t="s">
        <v>31</v>
      </c>
      <c r="D2" s="375" t="s">
        <v>1</v>
      </c>
      <c r="E2" s="398" t="s">
        <v>2</v>
      </c>
      <c r="F2" s="432" t="s">
        <v>1361</v>
      </c>
      <c r="G2" s="399" t="s">
        <v>31</v>
      </c>
      <c r="H2" s="400" t="s">
        <v>1</v>
      </c>
      <c r="I2" s="694"/>
      <c r="J2" s="586"/>
      <c r="K2" s="587"/>
      <c r="L2" s="588"/>
      <c r="M2" s="586"/>
      <c r="N2" s="587"/>
      <c r="O2" s="588"/>
      <c r="P2" s="580"/>
      <c r="Q2" s="571"/>
      <c r="R2" s="572"/>
      <c r="S2" s="573"/>
      <c r="T2" s="571"/>
      <c r="U2" s="572"/>
      <c r="V2" s="573"/>
      <c r="W2" s="235"/>
      <c r="X2" s="81"/>
      <c r="Y2" s="81"/>
      <c r="Z2" s="252"/>
      <c r="AA2" s="565"/>
      <c r="AB2" s="566"/>
      <c r="AC2" s="567"/>
      <c r="AD2" s="565"/>
      <c r="AE2" s="566"/>
      <c r="AF2" s="567"/>
      <c r="AG2" s="565"/>
      <c r="AH2" s="566"/>
      <c r="AI2" s="567"/>
      <c r="AJ2" s="565"/>
      <c r="AK2" s="566"/>
      <c r="AL2" s="567"/>
      <c r="AM2" s="565"/>
      <c r="AN2" s="566"/>
      <c r="AO2" s="567"/>
      <c r="AP2" s="565"/>
      <c r="AQ2" s="566"/>
      <c r="AR2" s="567"/>
    </row>
    <row r="3" spans="1:44" ht="14.95" customHeight="1" thickBot="1" x14ac:dyDescent="0.3">
      <c r="A3" s="134" t="s">
        <v>788</v>
      </c>
      <c r="B3" s="429">
        <v>0</v>
      </c>
      <c r="C3" s="128">
        <v>0</v>
      </c>
      <c r="D3" s="431">
        <f t="shared" ref="D3:D35" si="0">SUM(B3:C3)</f>
        <v>0</v>
      </c>
      <c r="E3" s="403" t="s">
        <v>788</v>
      </c>
      <c r="F3" s="433">
        <v>0</v>
      </c>
      <c r="G3" s="401">
        <v>0</v>
      </c>
      <c r="H3" s="402">
        <f t="shared" ref="H3:H35" si="1">SUM(F3:G3)</f>
        <v>0</v>
      </c>
      <c r="I3" s="435"/>
      <c r="J3" s="53" t="s">
        <v>152</v>
      </c>
      <c r="K3" s="53" t="s">
        <v>12</v>
      </c>
      <c r="L3" s="53" t="s">
        <v>13</v>
      </c>
      <c r="M3" s="181" t="s">
        <v>152</v>
      </c>
      <c r="N3" s="53" t="s">
        <v>12</v>
      </c>
      <c r="O3" s="53" t="s">
        <v>13</v>
      </c>
      <c r="P3" s="1"/>
      <c r="Q3" s="128" t="s">
        <v>152</v>
      </c>
      <c r="R3" s="128" t="s">
        <v>12</v>
      </c>
      <c r="S3" s="128" t="s">
        <v>13</v>
      </c>
      <c r="T3" s="128" t="s">
        <v>152</v>
      </c>
      <c r="U3" s="128" t="s">
        <v>12</v>
      </c>
      <c r="V3" s="128" t="s">
        <v>13</v>
      </c>
      <c r="W3" s="136"/>
      <c r="Z3" s="252"/>
      <c r="AA3" s="128" t="s">
        <v>152</v>
      </c>
      <c r="AB3" s="128" t="s">
        <v>12</v>
      </c>
      <c r="AC3" s="128" t="s">
        <v>13</v>
      </c>
      <c r="AD3" s="128" t="s">
        <v>152</v>
      </c>
      <c r="AE3" s="128" t="s">
        <v>12</v>
      </c>
      <c r="AF3" s="128" t="s">
        <v>13</v>
      </c>
      <c r="AG3" s="228" t="s">
        <v>152</v>
      </c>
      <c r="AH3" s="128" t="s">
        <v>12</v>
      </c>
      <c r="AI3" s="128" t="s">
        <v>13</v>
      </c>
      <c r="AJ3" s="228" t="s">
        <v>152</v>
      </c>
      <c r="AK3" s="128" t="s">
        <v>12</v>
      </c>
      <c r="AL3" s="128" t="s">
        <v>13</v>
      </c>
      <c r="AM3" s="232" t="s">
        <v>152</v>
      </c>
      <c r="AN3" s="128" t="s">
        <v>12</v>
      </c>
      <c r="AO3" s="128" t="s">
        <v>13</v>
      </c>
      <c r="AP3" s="128" t="s">
        <v>152</v>
      </c>
      <c r="AQ3" s="128" t="s">
        <v>12</v>
      </c>
      <c r="AR3" s="128" t="s">
        <v>13</v>
      </c>
    </row>
    <row r="4" spans="1:44" ht="14.95" customHeight="1" thickBot="1" x14ac:dyDescent="0.3">
      <c r="A4" s="134" t="s">
        <v>790</v>
      </c>
      <c r="B4" s="429">
        <v>0</v>
      </c>
      <c r="C4" s="128">
        <v>0</v>
      </c>
      <c r="D4" s="431">
        <f t="shared" si="0"/>
        <v>0</v>
      </c>
      <c r="E4" s="403" t="s">
        <v>790</v>
      </c>
      <c r="F4" s="433">
        <v>0</v>
      </c>
      <c r="G4" s="401">
        <v>0</v>
      </c>
      <c r="H4" s="402">
        <f t="shared" si="1"/>
        <v>0</v>
      </c>
      <c r="I4" s="134" t="s">
        <v>499</v>
      </c>
      <c r="J4" s="436">
        <v>52</v>
      </c>
      <c r="K4" s="436">
        <v>59</v>
      </c>
      <c r="L4" s="437">
        <f>SUM(J4/K4)*100</f>
        <v>88.135593220338976</v>
      </c>
      <c r="M4" s="436">
        <v>7</v>
      </c>
      <c r="N4" s="436">
        <v>7</v>
      </c>
      <c r="O4" s="437">
        <f>SUM(M4/N4)*100</f>
        <v>100</v>
      </c>
      <c r="P4" s="436">
        <v>11</v>
      </c>
      <c r="Q4" s="128">
        <v>29</v>
      </c>
      <c r="R4" s="128">
        <v>30</v>
      </c>
      <c r="S4" s="231">
        <f>SUM(Q4/R4)*100</f>
        <v>96.666666666666671</v>
      </c>
      <c r="T4" s="128">
        <v>10</v>
      </c>
      <c r="U4" s="128">
        <v>16</v>
      </c>
      <c r="V4" s="231">
        <f>SUM(T4/U4)*100</f>
        <v>62.5</v>
      </c>
      <c r="W4" s="136"/>
      <c r="Z4" s="252"/>
      <c r="AA4" s="128">
        <v>14</v>
      </c>
      <c r="AB4" s="128">
        <v>17</v>
      </c>
      <c r="AC4" s="231">
        <f>SUM(AA4/AB4)*100</f>
        <v>82.35294117647058</v>
      </c>
      <c r="AD4" s="128" t="s">
        <v>17</v>
      </c>
      <c r="AE4" s="128" t="s">
        <v>17</v>
      </c>
      <c r="AF4" s="231" t="s">
        <v>17</v>
      </c>
      <c r="AG4" s="228" t="s">
        <v>17</v>
      </c>
      <c r="AH4" s="128" t="s">
        <v>17</v>
      </c>
      <c r="AI4" s="231" t="s">
        <v>17</v>
      </c>
      <c r="AJ4" s="128" t="s">
        <v>17</v>
      </c>
      <c r="AK4" s="128" t="s">
        <v>17</v>
      </c>
      <c r="AL4" s="231" t="s">
        <v>17</v>
      </c>
      <c r="AM4" s="228" t="s">
        <v>17</v>
      </c>
      <c r="AN4" s="128" t="s">
        <v>17</v>
      </c>
      <c r="AO4" s="231" t="s">
        <v>17</v>
      </c>
      <c r="AP4" s="228" t="s">
        <v>17</v>
      </c>
      <c r="AQ4" s="128" t="s">
        <v>17</v>
      </c>
      <c r="AR4" s="231" t="s">
        <v>17</v>
      </c>
    </row>
    <row r="5" spans="1:44" ht="14.95" customHeight="1" thickBot="1" x14ac:dyDescent="0.3">
      <c r="A5" s="134" t="s">
        <v>539</v>
      </c>
      <c r="B5" s="430">
        <v>4</v>
      </c>
      <c r="C5" s="163">
        <v>1</v>
      </c>
      <c r="D5" s="431">
        <f t="shared" si="0"/>
        <v>5</v>
      </c>
      <c r="E5" s="404" t="s">
        <v>539</v>
      </c>
      <c r="F5" s="434">
        <v>20</v>
      </c>
      <c r="G5" s="401">
        <v>5</v>
      </c>
      <c r="H5" s="402">
        <f t="shared" si="1"/>
        <v>25</v>
      </c>
      <c r="I5" s="134" t="s">
        <v>126</v>
      </c>
      <c r="J5" s="436" t="s">
        <v>17</v>
      </c>
      <c r="K5" s="436" t="s">
        <v>17</v>
      </c>
      <c r="L5" s="437" t="s">
        <v>17</v>
      </c>
      <c r="M5" s="436" t="s">
        <v>17</v>
      </c>
      <c r="N5" s="436" t="s">
        <v>17</v>
      </c>
      <c r="O5" s="437" t="s">
        <v>17</v>
      </c>
      <c r="P5" s="436">
        <v>10</v>
      </c>
      <c r="Q5" s="128">
        <v>4</v>
      </c>
      <c r="R5" s="128">
        <v>4</v>
      </c>
      <c r="S5" s="231">
        <f>SUM(Q5/R5)*100</f>
        <v>100</v>
      </c>
      <c r="T5" s="128">
        <v>20</v>
      </c>
      <c r="U5" s="128">
        <v>24</v>
      </c>
      <c r="V5" s="231">
        <f>SUM(T5/U5)*100</f>
        <v>83.333333333333343</v>
      </c>
      <c r="W5" s="136"/>
      <c r="Z5" s="252"/>
      <c r="AA5" s="128" t="s">
        <v>17</v>
      </c>
      <c r="AB5" s="128" t="s">
        <v>17</v>
      </c>
      <c r="AC5" s="231" t="s">
        <v>17</v>
      </c>
      <c r="AD5" s="128">
        <v>15</v>
      </c>
      <c r="AE5" s="128">
        <v>20</v>
      </c>
      <c r="AF5" s="231">
        <f>SUM(AD5/AE5)*100</f>
        <v>75</v>
      </c>
      <c r="AG5" s="228" t="s">
        <v>17</v>
      </c>
      <c r="AH5" s="128" t="s">
        <v>17</v>
      </c>
      <c r="AI5" s="231" t="s">
        <v>17</v>
      </c>
      <c r="AJ5" s="228">
        <v>1</v>
      </c>
      <c r="AK5" s="128">
        <v>1</v>
      </c>
      <c r="AL5" s="231">
        <f>SUM(AJ5/AK5)*100</f>
        <v>100</v>
      </c>
      <c r="AM5" s="232">
        <v>6</v>
      </c>
      <c r="AN5" s="128">
        <v>7</v>
      </c>
      <c r="AO5" s="231">
        <f>SUM(AM5/AN5)*100</f>
        <v>85.714285714285708</v>
      </c>
      <c r="AP5" s="128">
        <v>9</v>
      </c>
      <c r="AQ5" s="128">
        <v>14</v>
      </c>
      <c r="AR5" s="231">
        <f>SUM(AP5/AQ5)*100</f>
        <v>64.285714285714292</v>
      </c>
    </row>
    <row r="6" spans="1:44" ht="14.95" customHeight="1" thickBot="1" x14ac:dyDescent="0.3">
      <c r="A6" s="134" t="s">
        <v>1371</v>
      </c>
      <c r="B6" s="430">
        <v>3</v>
      </c>
      <c r="C6" s="163">
        <v>0</v>
      </c>
      <c r="D6" s="431">
        <f t="shared" si="0"/>
        <v>3</v>
      </c>
      <c r="E6" s="404" t="s">
        <v>1371</v>
      </c>
      <c r="F6" s="434">
        <v>15</v>
      </c>
      <c r="G6" s="401">
        <v>0</v>
      </c>
      <c r="H6" s="402">
        <f t="shared" si="1"/>
        <v>15</v>
      </c>
      <c r="I6" s="134" t="s">
        <v>1100</v>
      </c>
      <c r="J6" s="436" t="s">
        <v>17</v>
      </c>
      <c r="K6" s="436" t="s">
        <v>17</v>
      </c>
      <c r="L6" s="437" t="s">
        <v>17</v>
      </c>
      <c r="M6" s="436" t="s">
        <v>17</v>
      </c>
      <c r="N6" s="436" t="s">
        <v>17</v>
      </c>
      <c r="O6" s="437" t="s">
        <v>17</v>
      </c>
      <c r="P6" s="436">
        <v>1</v>
      </c>
      <c r="Q6" s="128">
        <v>3</v>
      </c>
      <c r="R6" s="128">
        <v>8</v>
      </c>
      <c r="S6" s="231">
        <f>SUM(Q6/R6)*100</f>
        <v>37.5</v>
      </c>
      <c r="T6" s="128" t="s">
        <v>17</v>
      </c>
      <c r="U6" s="128" t="s">
        <v>17</v>
      </c>
      <c r="V6" s="231" t="s">
        <v>17</v>
      </c>
      <c r="W6" s="136"/>
      <c r="Z6" s="252"/>
      <c r="AA6" s="128" t="s">
        <v>17</v>
      </c>
      <c r="AB6" s="128" t="s">
        <v>17</v>
      </c>
      <c r="AC6" s="231" t="s">
        <v>17</v>
      </c>
      <c r="AD6" s="128" t="s">
        <v>17</v>
      </c>
      <c r="AE6" s="128" t="s">
        <v>17</v>
      </c>
      <c r="AF6" s="231" t="s">
        <v>17</v>
      </c>
      <c r="AG6" s="228" t="s">
        <v>17</v>
      </c>
      <c r="AH6" s="128" t="s">
        <v>17</v>
      </c>
      <c r="AI6" s="231" t="s">
        <v>17</v>
      </c>
      <c r="AJ6" s="228" t="s">
        <v>17</v>
      </c>
      <c r="AK6" s="128" t="s">
        <v>17</v>
      </c>
      <c r="AL6" s="231" t="s">
        <v>17</v>
      </c>
      <c r="AM6" s="232" t="s">
        <v>17</v>
      </c>
      <c r="AN6" s="128" t="s">
        <v>17</v>
      </c>
      <c r="AO6" s="128" t="s">
        <v>17</v>
      </c>
      <c r="AP6" s="232" t="s">
        <v>17</v>
      </c>
      <c r="AQ6" s="128" t="s">
        <v>17</v>
      </c>
      <c r="AR6" s="128" t="s">
        <v>17</v>
      </c>
    </row>
    <row r="7" spans="1:44" ht="14.95" customHeight="1" thickBot="1" x14ac:dyDescent="0.3">
      <c r="A7" s="134" t="s">
        <v>1349</v>
      </c>
      <c r="B7" s="430">
        <v>5</v>
      </c>
      <c r="C7" s="163">
        <v>0</v>
      </c>
      <c r="D7" s="431">
        <f t="shared" si="0"/>
        <v>5</v>
      </c>
      <c r="E7" s="404" t="s">
        <v>1349</v>
      </c>
      <c r="F7" s="434">
        <v>25</v>
      </c>
      <c r="G7" s="401">
        <v>0</v>
      </c>
      <c r="H7" s="402">
        <f t="shared" si="1"/>
        <v>25</v>
      </c>
      <c r="I7" s="134" t="s">
        <v>563</v>
      </c>
      <c r="J7" s="436" t="s">
        <v>17</v>
      </c>
      <c r="K7" s="436" t="s">
        <v>17</v>
      </c>
      <c r="L7" s="437" t="s">
        <v>17</v>
      </c>
      <c r="M7" s="436" t="s">
        <v>17</v>
      </c>
      <c r="N7" s="436" t="s">
        <v>17</v>
      </c>
      <c r="O7" s="437" t="s">
        <v>17</v>
      </c>
      <c r="P7" s="436">
        <v>1</v>
      </c>
      <c r="Q7" s="128">
        <v>5</v>
      </c>
      <c r="R7" s="128">
        <v>7</v>
      </c>
      <c r="S7" s="231">
        <f>SUM(Q7/R7)*100</f>
        <v>71.428571428571431</v>
      </c>
      <c r="T7" s="128" t="s">
        <v>17</v>
      </c>
      <c r="U7" s="128" t="s">
        <v>17</v>
      </c>
      <c r="V7" s="231" t="s">
        <v>17</v>
      </c>
      <c r="W7" s="136"/>
      <c r="Z7" s="252"/>
      <c r="AA7" s="128" t="s">
        <v>17</v>
      </c>
      <c r="AB7" s="128" t="s">
        <v>17</v>
      </c>
      <c r="AC7" s="231" t="s">
        <v>17</v>
      </c>
      <c r="AD7" s="128" t="s">
        <v>17</v>
      </c>
      <c r="AE7" s="128" t="s">
        <v>17</v>
      </c>
      <c r="AF7" s="231" t="s">
        <v>17</v>
      </c>
      <c r="AG7" s="228" t="s">
        <v>17</v>
      </c>
      <c r="AH7" s="128" t="s">
        <v>17</v>
      </c>
      <c r="AI7" s="231" t="s">
        <v>17</v>
      </c>
      <c r="AJ7" s="228" t="s">
        <v>17</v>
      </c>
      <c r="AK7" s="128" t="s">
        <v>17</v>
      </c>
      <c r="AL7" s="231" t="s">
        <v>17</v>
      </c>
      <c r="AM7" s="232" t="s">
        <v>17</v>
      </c>
      <c r="AN7" s="128" t="s">
        <v>17</v>
      </c>
      <c r="AO7" s="128" t="s">
        <v>17</v>
      </c>
      <c r="AP7" s="232" t="s">
        <v>17</v>
      </c>
      <c r="AQ7" s="128" t="s">
        <v>17</v>
      </c>
      <c r="AR7" s="128" t="s">
        <v>17</v>
      </c>
    </row>
    <row r="8" spans="1:44" ht="14.95" customHeight="1" thickBot="1" x14ac:dyDescent="0.3">
      <c r="A8" s="134" t="s">
        <v>1090</v>
      </c>
      <c r="B8" s="430">
        <v>1</v>
      </c>
      <c r="C8" s="163">
        <v>0</v>
      </c>
      <c r="D8" s="431">
        <f t="shared" si="0"/>
        <v>1</v>
      </c>
      <c r="E8" s="404" t="s">
        <v>1090</v>
      </c>
      <c r="F8" s="434">
        <v>5</v>
      </c>
      <c r="G8" s="401">
        <v>0</v>
      </c>
      <c r="H8" s="402">
        <f t="shared" si="1"/>
        <v>5</v>
      </c>
      <c r="I8" s="134" t="s">
        <v>67</v>
      </c>
      <c r="J8" s="436" t="s">
        <v>17</v>
      </c>
      <c r="K8" s="436" t="s">
        <v>17</v>
      </c>
      <c r="L8" s="437" t="s">
        <v>17</v>
      </c>
      <c r="M8" s="436" t="s">
        <v>17</v>
      </c>
      <c r="N8" s="436" t="s">
        <v>17</v>
      </c>
      <c r="O8" s="437" t="s">
        <v>17</v>
      </c>
      <c r="P8" s="436">
        <v>-1</v>
      </c>
      <c r="Q8" s="128" t="s">
        <v>17</v>
      </c>
      <c r="R8" s="128" t="s">
        <v>17</v>
      </c>
      <c r="S8" s="231" t="s">
        <v>17</v>
      </c>
      <c r="T8" s="128" t="s">
        <v>17</v>
      </c>
      <c r="U8" s="128" t="s">
        <v>17</v>
      </c>
      <c r="V8" s="231" t="s">
        <v>17</v>
      </c>
      <c r="W8" s="136"/>
      <c r="Z8" s="252"/>
      <c r="AA8" s="128">
        <v>4</v>
      </c>
      <c r="AB8" s="128">
        <v>6</v>
      </c>
      <c r="AC8" s="231">
        <f>SUM(AA8/AB8)*100</f>
        <v>66.666666666666657</v>
      </c>
      <c r="AD8" s="128">
        <v>9</v>
      </c>
      <c r="AE8" s="128">
        <v>11</v>
      </c>
      <c r="AF8" s="231">
        <f>SUM(AD8/AE8)*100</f>
        <v>81.818181818181827</v>
      </c>
      <c r="AG8" s="228" t="s">
        <v>17</v>
      </c>
      <c r="AH8" s="128" t="s">
        <v>17</v>
      </c>
      <c r="AI8" s="231" t="s">
        <v>17</v>
      </c>
      <c r="AJ8" s="228">
        <v>37</v>
      </c>
      <c r="AK8" s="128">
        <v>47</v>
      </c>
      <c r="AL8" s="231">
        <f>SUM(AJ8/AK8)*100</f>
        <v>78.723404255319153</v>
      </c>
      <c r="AM8" s="246">
        <v>17</v>
      </c>
      <c r="AN8" s="163">
        <v>27</v>
      </c>
      <c r="AO8" s="231">
        <f>SUM(AM8/AN8)*100</f>
        <v>62.962962962962962</v>
      </c>
      <c r="AP8" s="163">
        <v>12</v>
      </c>
      <c r="AQ8" s="163">
        <v>16</v>
      </c>
      <c r="AR8" s="231">
        <f>SUM(AP8/AQ8)*100</f>
        <v>75</v>
      </c>
    </row>
    <row r="9" spans="1:44" ht="14.95" customHeight="1" thickBot="1" x14ac:dyDescent="0.3">
      <c r="A9" s="134" t="s">
        <v>793</v>
      </c>
      <c r="B9" s="430">
        <v>0</v>
      </c>
      <c r="C9" s="163">
        <v>0</v>
      </c>
      <c r="D9" s="431">
        <f t="shared" si="0"/>
        <v>0</v>
      </c>
      <c r="E9" s="404" t="s">
        <v>793</v>
      </c>
      <c r="F9" s="434">
        <v>0</v>
      </c>
      <c r="G9" s="401">
        <v>0</v>
      </c>
      <c r="H9" s="402">
        <f t="shared" si="1"/>
        <v>0</v>
      </c>
      <c r="I9" s="134" t="s">
        <v>68</v>
      </c>
      <c r="J9" s="436" t="s">
        <v>17</v>
      </c>
      <c r="K9" s="436" t="s">
        <v>17</v>
      </c>
      <c r="L9" s="437" t="s">
        <v>17</v>
      </c>
      <c r="M9" s="436" t="s">
        <v>17</v>
      </c>
      <c r="N9" s="436" t="s">
        <v>17</v>
      </c>
      <c r="O9" s="437" t="s">
        <v>17</v>
      </c>
      <c r="P9" s="436">
        <v>-1</v>
      </c>
      <c r="Q9" s="128">
        <v>1</v>
      </c>
      <c r="R9" s="128">
        <v>4</v>
      </c>
      <c r="S9" s="231">
        <f>SUM(Q9/R9)*100</f>
        <v>25</v>
      </c>
      <c r="T9" s="128" t="s">
        <v>17</v>
      </c>
      <c r="U9" s="128" t="s">
        <v>17</v>
      </c>
      <c r="V9" s="231" t="s">
        <v>17</v>
      </c>
      <c r="W9" s="136"/>
      <c r="Z9" s="252"/>
      <c r="AA9" s="128" t="s">
        <v>17</v>
      </c>
      <c r="AB9" s="128" t="s">
        <v>17</v>
      </c>
      <c r="AC9" s="231" t="s">
        <v>17</v>
      </c>
      <c r="AD9" s="128" t="s">
        <v>17</v>
      </c>
      <c r="AE9" s="128" t="s">
        <v>17</v>
      </c>
      <c r="AF9" s="231" t="s">
        <v>17</v>
      </c>
      <c r="AG9" s="128" t="s">
        <v>17</v>
      </c>
      <c r="AH9" s="128" t="s">
        <v>17</v>
      </c>
      <c r="AI9" s="231" t="s">
        <v>17</v>
      </c>
      <c r="AJ9" s="128" t="s">
        <v>17</v>
      </c>
      <c r="AK9" s="128" t="s">
        <v>17</v>
      </c>
      <c r="AL9" s="231" t="s">
        <v>17</v>
      </c>
      <c r="AM9" s="128" t="s">
        <v>17</v>
      </c>
      <c r="AN9" s="128" t="s">
        <v>17</v>
      </c>
      <c r="AO9" s="231" t="s">
        <v>17</v>
      </c>
      <c r="AP9" s="128" t="s">
        <v>17</v>
      </c>
      <c r="AQ9" s="128" t="s">
        <v>17</v>
      </c>
      <c r="AR9" s="231" t="s">
        <v>17</v>
      </c>
    </row>
    <row r="10" spans="1:44" ht="14.95" customHeight="1" thickBot="1" x14ac:dyDescent="0.3">
      <c r="A10" s="134" t="s">
        <v>1350</v>
      </c>
      <c r="B10" s="430">
        <v>1</v>
      </c>
      <c r="C10" s="163">
        <v>0</v>
      </c>
      <c r="D10" s="431">
        <f t="shared" si="0"/>
        <v>1</v>
      </c>
      <c r="E10" s="404" t="s">
        <v>1350</v>
      </c>
      <c r="F10" s="434">
        <v>5</v>
      </c>
      <c r="G10" s="401">
        <v>0</v>
      </c>
      <c r="H10" s="402">
        <f t="shared" si="1"/>
        <v>5</v>
      </c>
      <c r="I10" s="134" t="s">
        <v>137</v>
      </c>
      <c r="J10" s="436" t="s">
        <v>17</v>
      </c>
      <c r="K10" s="436" t="s">
        <v>17</v>
      </c>
      <c r="L10" s="437" t="s">
        <v>17</v>
      </c>
      <c r="M10" s="436" t="s">
        <v>17</v>
      </c>
      <c r="N10" s="436" t="s">
        <v>17</v>
      </c>
      <c r="O10" s="437" t="s">
        <v>17</v>
      </c>
      <c r="P10" s="436">
        <v>5</v>
      </c>
      <c r="Q10" s="128" t="s">
        <v>17</v>
      </c>
      <c r="R10" s="128" t="s">
        <v>17</v>
      </c>
      <c r="S10" s="231" t="s">
        <v>17</v>
      </c>
      <c r="T10" s="128" t="s">
        <v>17</v>
      </c>
      <c r="U10" s="128" t="s">
        <v>17</v>
      </c>
      <c r="V10" s="231" t="s">
        <v>17</v>
      </c>
      <c r="W10" s="136"/>
      <c r="Z10" s="252"/>
      <c r="AA10" s="128">
        <v>8</v>
      </c>
      <c r="AB10" s="128">
        <v>12</v>
      </c>
      <c r="AC10" s="231">
        <f>SUM(AA10/AB10)*100</f>
        <v>66.666666666666657</v>
      </c>
      <c r="AD10" s="128" t="s">
        <v>17</v>
      </c>
      <c r="AE10" s="128" t="s">
        <v>17</v>
      </c>
      <c r="AF10" s="231" t="s">
        <v>17</v>
      </c>
      <c r="AG10" s="228" t="s">
        <v>17</v>
      </c>
      <c r="AH10" s="128" t="s">
        <v>17</v>
      </c>
      <c r="AI10" s="231" t="s">
        <v>17</v>
      </c>
      <c r="AJ10" s="228" t="s">
        <v>17</v>
      </c>
      <c r="AK10" s="128" t="s">
        <v>17</v>
      </c>
      <c r="AL10" s="231" t="s">
        <v>17</v>
      </c>
      <c r="AM10" s="232" t="s">
        <v>17</v>
      </c>
      <c r="AN10" s="128" t="s">
        <v>17</v>
      </c>
      <c r="AO10" s="128" t="s">
        <v>17</v>
      </c>
      <c r="AP10" s="163">
        <v>9</v>
      </c>
      <c r="AQ10" s="163">
        <v>9</v>
      </c>
      <c r="AR10" s="231">
        <f>SUM(AP10/AQ10)*100</f>
        <v>100</v>
      </c>
    </row>
    <row r="11" spans="1:44" ht="14.95" customHeight="1" thickBot="1" x14ac:dyDescent="0.3">
      <c r="A11" s="134" t="s">
        <v>1351</v>
      </c>
      <c r="B11" s="430">
        <v>2</v>
      </c>
      <c r="C11" s="163">
        <v>1</v>
      </c>
      <c r="D11" s="431">
        <f t="shared" si="0"/>
        <v>3</v>
      </c>
      <c r="E11" s="404" t="s">
        <v>1351</v>
      </c>
      <c r="F11" s="434">
        <v>10</v>
      </c>
      <c r="G11" s="401">
        <v>5</v>
      </c>
      <c r="H11" s="402">
        <f t="shared" si="1"/>
        <v>15</v>
      </c>
      <c r="I11" s="137"/>
      <c r="J11" s="138"/>
      <c r="K11" s="38"/>
      <c r="L11" s="139"/>
      <c r="M11" s="38"/>
      <c r="N11" s="38"/>
      <c r="O11" s="24"/>
      <c r="P11" s="140"/>
    </row>
    <row r="12" spans="1:44" ht="14.95" thickBot="1" x14ac:dyDescent="0.3">
      <c r="A12" s="134" t="s">
        <v>1083</v>
      </c>
      <c r="B12" s="430">
        <v>0</v>
      </c>
      <c r="C12" s="163">
        <v>0</v>
      </c>
      <c r="D12" s="431">
        <f t="shared" si="0"/>
        <v>0</v>
      </c>
      <c r="E12" s="404" t="s">
        <v>1083</v>
      </c>
      <c r="F12" s="434">
        <v>0</v>
      </c>
      <c r="G12" s="401">
        <v>0</v>
      </c>
      <c r="H12" s="402">
        <f t="shared" si="1"/>
        <v>0</v>
      </c>
      <c r="I12" s="577" t="s">
        <v>33</v>
      </c>
      <c r="J12" s="568">
        <v>2023</v>
      </c>
      <c r="K12" s="569"/>
      <c r="L12" s="570"/>
      <c r="M12" s="557">
        <v>2019</v>
      </c>
      <c r="N12" s="563"/>
      <c r="O12" s="564"/>
      <c r="P12" s="557">
        <v>2015</v>
      </c>
      <c r="Q12" s="563"/>
      <c r="R12" s="564"/>
    </row>
    <row r="13" spans="1:44" ht="14.95" thickBot="1" x14ac:dyDescent="0.3">
      <c r="A13" s="134" t="s">
        <v>791</v>
      </c>
      <c r="B13" s="430">
        <v>0</v>
      </c>
      <c r="C13" s="163">
        <v>0</v>
      </c>
      <c r="D13" s="431">
        <f t="shared" si="0"/>
        <v>0</v>
      </c>
      <c r="E13" s="404" t="s">
        <v>791</v>
      </c>
      <c r="F13" s="434">
        <v>0</v>
      </c>
      <c r="G13" s="401">
        <v>0</v>
      </c>
      <c r="H13" s="402">
        <f t="shared" si="1"/>
        <v>0</v>
      </c>
      <c r="I13" s="578"/>
      <c r="J13" s="571"/>
      <c r="K13" s="572"/>
      <c r="L13" s="573"/>
      <c r="M13" s="565"/>
      <c r="N13" s="566"/>
      <c r="O13" s="567"/>
      <c r="P13" s="565"/>
      <c r="Q13" s="566"/>
      <c r="R13" s="567"/>
    </row>
    <row r="14" spans="1:44" ht="14.95" thickBot="1" x14ac:dyDescent="0.3">
      <c r="A14" s="134" t="s">
        <v>155</v>
      </c>
      <c r="B14" s="430">
        <v>0</v>
      </c>
      <c r="C14" s="163">
        <v>0</v>
      </c>
      <c r="D14" s="431">
        <f t="shared" si="0"/>
        <v>0</v>
      </c>
      <c r="E14" s="404" t="s">
        <v>155</v>
      </c>
      <c r="F14" s="434">
        <v>0</v>
      </c>
      <c r="G14" s="401">
        <v>0</v>
      </c>
      <c r="H14" s="402">
        <f t="shared" si="1"/>
        <v>0</v>
      </c>
      <c r="I14" s="380"/>
      <c r="J14" s="128" t="s">
        <v>152</v>
      </c>
      <c r="K14" s="128" t="s">
        <v>12</v>
      </c>
      <c r="L14" s="128" t="s">
        <v>13</v>
      </c>
      <c r="M14" s="119" t="s">
        <v>152</v>
      </c>
      <c r="N14" s="119" t="s">
        <v>12</v>
      </c>
      <c r="O14" s="119" t="s">
        <v>13</v>
      </c>
      <c r="P14" s="119" t="s">
        <v>152</v>
      </c>
      <c r="Q14" s="119" t="s">
        <v>12</v>
      </c>
      <c r="R14" s="119" t="s">
        <v>13</v>
      </c>
    </row>
    <row r="15" spans="1:44" ht="14.95" customHeight="1" thickBot="1" x14ac:dyDescent="0.3">
      <c r="A15" s="134" t="s">
        <v>789</v>
      </c>
      <c r="B15" s="430">
        <v>0</v>
      </c>
      <c r="C15" s="163">
        <v>0</v>
      </c>
      <c r="D15" s="431">
        <f t="shared" si="0"/>
        <v>0</v>
      </c>
      <c r="E15" s="404" t="s">
        <v>789</v>
      </c>
      <c r="F15" s="434">
        <v>0</v>
      </c>
      <c r="G15" s="401">
        <v>0</v>
      </c>
      <c r="H15" s="402">
        <f t="shared" si="1"/>
        <v>0</v>
      </c>
      <c r="I15" s="134" t="s">
        <v>126</v>
      </c>
      <c r="J15" s="128">
        <v>19</v>
      </c>
      <c r="K15" s="128">
        <v>20</v>
      </c>
      <c r="L15" s="231">
        <f>SUM(J15/K15)*100</f>
        <v>95</v>
      </c>
      <c r="M15" s="128">
        <v>1</v>
      </c>
      <c r="N15" s="128">
        <v>1</v>
      </c>
      <c r="O15" s="231">
        <f>SUM(M15/N15)*100</f>
        <v>100</v>
      </c>
      <c r="P15" s="119" t="s">
        <v>17</v>
      </c>
      <c r="Q15" s="119" t="s">
        <v>17</v>
      </c>
      <c r="R15" s="119" t="s">
        <v>17</v>
      </c>
    </row>
    <row r="16" spans="1:44" ht="14.95" customHeight="1" thickBot="1" x14ac:dyDescent="0.3">
      <c r="A16" s="134" t="s">
        <v>497</v>
      </c>
      <c r="B16" s="430">
        <v>0</v>
      </c>
      <c r="C16" s="163">
        <v>0</v>
      </c>
      <c r="D16" s="431">
        <f t="shared" si="0"/>
        <v>0</v>
      </c>
      <c r="E16" s="404" t="s">
        <v>497</v>
      </c>
      <c r="F16" s="434">
        <v>0</v>
      </c>
      <c r="G16" s="401">
        <v>0</v>
      </c>
      <c r="H16" s="402">
        <f t="shared" si="1"/>
        <v>0</v>
      </c>
      <c r="I16" s="134" t="s">
        <v>66</v>
      </c>
      <c r="J16" s="128" t="s">
        <v>17</v>
      </c>
      <c r="K16" s="128" t="s">
        <v>17</v>
      </c>
      <c r="L16" s="231" t="s">
        <v>17</v>
      </c>
      <c r="M16" s="128" t="s">
        <v>17</v>
      </c>
      <c r="N16" s="128" t="s">
        <v>17</v>
      </c>
      <c r="O16" s="231" t="s">
        <v>17</v>
      </c>
      <c r="P16" s="128">
        <v>20</v>
      </c>
      <c r="Q16" s="128">
        <v>27</v>
      </c>
      <c r="R16" s="231">
        <f>SUM(P16/Q16)*100</f>
        <v>74.074074074074076</v>
      </c>
    </row>
    <row r="17" spans="1:29" ht="14.95" thickBot="1" x14ac:dyDescent="0.3">
      <c r="A17" s="134" t="s">
        <v>1352</v>
      </c>
      <c r="B17" s="430">
        <v>3</v>
      </c>
      <c r="C17" s="163">
        <v>1</v>
      </c>
      <c r="D17" s="431">
        <f t="shared" si="0"/>
        <v>4</v>
      </c>
      <c r="E17" s="404" t="s">
        <v>1352</v>
      </c>
      <c r="F17" s="434">
        <v>15</v>
      </c>
      <c r="G17" s="401">
        <v>5</v>
      </c>
      <c r="H17" s="402">
        <f t="shared" si="1"/>
        <v>20</v>
      </c>
      <c r="I17" s="134" t="s">
        <v>67</v>
      </c>
      <c r="J17" s="128" t="s">
        <v>17</v>
      </c>
      <c r="K17" s="128" t="s">
        <v>17</v>
      </c>
      <c r="L17" s="231" t="s">
        <v>17</v>
      </c>
      <c r="M17" s="128">
        <v>20</v>
      </c>
      <c r="N17" s="128">
        <v>28</v>
      </c>
      <c r="O17" s="231">
        <f>SUM(M17/N17)*100</f>
        <v>71.428571428571431</v>
      </c>
      <c r="P17" s="128" t="s">
        <v>17</v>
      </c>
      <c r="Q17" s="128" t="s">
        <v>17</v>
      </c>
      <c r="R17" s="231" t="s">
        <v>17</v>
      </c>
    </row>
    <row r="18" spans="1:29" ht="14.95" thickBot="1" x14ac:dyDescent="0.3">
      <c r="A18" s="134" t="s">
        <v>787</v>
      </c>
      <c r="B18" s="430">
        <v>0</v>
      </c>
      <c r="C18" s="163">
        <v>0</v>
      </c>
      <c r="D18" s="431">
        <f t="shared" si="0"/>
        <v>0</v>
      </c>
      <c r="E18" s="404" t="s">
        <v>787</v>
      </c>
      <c r="F18" s="434">
        <v>0</v>
      </c>
      <c r="G18" s="401">
        <v>0</v>
      </c>
      <c r="H18" s="402">
        <f t="shared" si="1"/>
        <v>0</v>
      </c>
      <c r="J18" s="9"/>
      <c r="K18" s="9"/>
      <c r="L18" s="9"/>
    </row>
    <row r="19" spans="1:29" ht="15.8" customHeight="1" thickBot="1" x14ac:dyDescent="0.3">
      <c r="A19" s="134" t="s">
        <v>786</v>
      </c>
      <c r="B19" s="430">
        <v>0</v>
      </c>
      <c r="C19" s="163">
        <v>0</v>
      </c>
      <c r="D19" s="431">
        <f t="shared" si="0"/>
        <v>0</v>
      </c>
      <c r="E19" s="404" t="s">
        <v>786</v>
      </c>
      <c r="F19" s="434">
        <v>0</v>
      </c>
      <c r="G19" s="401">
        <v>0</v>
      </c>
      <c r="H19" s="402">
        <f t="shared" si="1"/>
        <v>0</v>
      </c>
      <c r="I19" s="667" t="s">
        <v>88</v>
      </c>
      <c r="J19" s="557">
        <v>2025</v>
      </c>
      <c r="K19" s="563"/>
      <c r="L19" s="564"/>
      <c r="M19" s="557">
        <v>2924</v>
      </c>
      <c r="N19" s="563"/>
      <c r="O19" s="564"/>
      <c r="P19" s="557">
        <v>2019</v>
      </c>
      <c r="Q19" s="563"/>
      <c r="R19" s="564"/>
      <c r="S19" s="557">
        <v>2015</v>
      </c>
      <c r="T19" s="563"/>
      <c r="U19" s="564"/>
      <c r="AA19" s="557">
        <v>2014</v>
      </c>
      <c r="AB19" s="563"/>
      <c r="AC19" s="564"/>
    </row>
    <row r="20" spans="1:29" ht="15.8" customHeight="1" thickBot="1" x14ac:dyDescent="0.3">
      <c r="A20" s="134" t="s">
        <v>330</v>
      </c>
      <c r="B20" s="430">
        <v>0</v>
      </c>
      <c r="C20" s="163">
        <v>0</v>
      </c>
      <c r="D20" s="431">
        <f t="shared" si="0"/>
        <v>0</v>
      </c>
      <c r="E20" s="404" t="s">
        <v>330</v>
      </c>
      <c r="F20" s="434">
        <v>0</v>
      </c>
      <c r="G20" s="401">
        <v>0</v>
      </c>
      <c r="H20" s="402">
        <f t="shared" si="1"/>
        <v>0</v>
      </c>
      <c r="I20" s="700"/>
      <c r="J20" s="565"/>
      <c r="K20" s="566"/>
      <c r="L20" s="567"/>
      <c r="M20" s="565"/>
      <c r="N20" s="566"/>
      <c r="O20" s="567"/>
      <c r="P20" s="565"/>
      <c r="Q20" s="566"/>
      <c r="R20" s="567"/>
      <c r="S20" s="565"/>
      <c r="T20" s="566"/>
      <c r="U20" s="567"/>
      <c r="AA20" s="565"/>
      <c r="AB20" s="566"/>
      <c r="AC20" s="567"/>
    </row>
    <row r="21" spans="1:29" ht="14.95" customHeight="1" thickBot="1" x14ac:dyDescent="0.3">
      <c r="A21" s="134" t="s">
        <v>499</v>
      </c>
      <c r="B21" s="430">
        <v>0</v>
      </c>
      <c r="C21" s="163">
        <v>0</v>
      </c>
      <c r="D21" s="431">
        <f t="shared" si="0"/>
        <v>0</v>
      </c>
      <c r="E21" s="404" t="s">
        <v>499</v>
      </c>
      <c r="F21" s="434">
        <v>61</v>
      </c>
      <c r="G21" s="401">
        <v>61</v>
      </c>
      <c r="H21" s="402">
        <f t="shared" si="1"/>
        <v>122</v>
      </c>
      <c r="I21" s="426" t="s">
        <v>20</v>
      </c>
      <c r="J21" s="119" t="s">
        <v>152</v>
      </c>
      <c r="K21" s="119" t="s">
        <v>12</v>
      </c>
      <c r="L21" s="119" t="s">
        <v>13</v>
      </c>
      <c r="M21" s="119" t="s">
        <v>152</v>
      </c>
      <c r="N21" s="119" t="s">
        <v>12</v>
      </c>
      <c r="O21" s="119" t="s">
        <v>13</v>
      </c>
      <c r="P21" s="119" t="s">
        <v>152</v>
      </c>
      <c r="Q21" s="119" t="s">
        <v>12</v>
      </c>
      <c r="R21" s="119" t="s">
        <v>13</v>
      </c>
      <c r="S21" s="119" t="s">
        <v>152</v>
      </c>
      <c r="T21" s="119" t="s">
        <v>12</v>
      </c>
      <c r="U21" s="119" t="s">
        <v>13</v>
      </c>
      <c r="AA21" s="171" t="s">
        <v>152</v>
      </c>
      <c r="AB21" s="119" t="s">
        <v>12</v>
      </c>
      <c r="AC21" s="119" t="s">
        <v>13</v>
      </c>
    </row>
    <row r="22" spans="1:29" ht="14.95" customHeight="1" thickBot="1" x14ac:dyDescent="0.3">
      <c r="A22" s="134" t="s">
        <v>792</v>
      </c>
      <c r="B22" s="430">
        <v>0</v>
      </c>
      <c r="C22" s="163">
        <v>0</v>
      </c>
      <c r="D22" s="431">
        <f t="shared" si="0"/>
        <v>0</v>
      </c>
      <c r="E22" s="404" t="s">
        <v>792</v>
      </c>
      <c r="F22" s="434">
        <v>0</v>
      </c>
      <c r="G22" s="401">
        <v>0</v>
      </c>
      <c r="H22" s="402">
        <f t="shared" si="1"/>
        <v>0</v>
      </c>
      <c r="I22" s="245" t="s">
        <v>66</v>
      </c>
      <c r="J22" s="436" t="s">
        <v>17</v>
      </c>
      <c r="K22" s="436" t="s">
        <v>17</v>
      </c>
      <c r="L22" s="437" t="s">
        <v>17</v>
      </c>
      <c r="M22" s="128" t="s">
        <v>17</v>
      </c>
      <c r="N22" s="128" t="s">
        <v>17</v>
      </c>
      <c r="O22" s="231" t="s">
        <v>17</v>
      </c>
      <c r="P22" s="128">
        <v>14</v>
      </c>
      <c r="Q22" s="128">
        <v>19</v>
      </c>
      <c r="R22" s="231">
        <f>SUM(P22/Q22)*100</f>
        <v>73.68421052631578</v>
      </c>
      <c r="S22" s="128">
        <v>14</v>
      </c>
      <c r="T22" s="128">
        <v>19</v>
      </c>
      <c r="U22" s="231">
        <f>SUM(S22/T22)*100</f>
        <v>73.68421052631578</v>
      </c>
      <c r="AA22" s="228">
        <v>14</v>
      </c>
      <c r="AB22" s="128">
        <v>16</v>
      </c>
      <c r="AC22" s="231">
        <f>SUM(AA22/AB22)*100</f>
        <v>87.5</v>
      </c>
    </row>
    <row r="23" spans="1:29" ht="14.95" thickBot="1" x14ac:dyDescent="0.3">
      <c r="A23" s="134" t="s">
        <v>1099</v>
      </c>
      <c r="B23" s="430">
        <v>0</v>
      </c>
      <c r="C23" s="163">
        <v>1</v>
      </c>
      <c r="D23" s="431">
        <f t="shared" si="0"/>
        <v>1</v>
      </c>
      <c r="E23" s="404" t="s">
        <v>1099</v>
      </c>
      <c r="F23" s="434">
        <v>0</v>
      </c>
      <c r="G23" s="401">
        <v>5</v>
      </c>
      <c r="H23" s="402">
        <f t="shared" si="1"/>
        <v>5</v>
      </c>
      <c r="I23" s="245" t="s">
        <v>499</v>
      </c>
      <c r="J23" s="436">
        <v>28</v>
      </c>
      <c r="K23" s="436">
        <v>31</v>
      </c>
      <c r="L23" s="437">
        <f>SUM(J23/K23)*100</f>
        <v>90.322580645161281</v>
      </c>
      <c r="M23" s="128">
        <v>17</v>
      </c>
      <c r="N23" s="128">
        <v>17</v>
      </c>
      <c r="O23" s="231">
        <v>100</v>
      </c>
      <c r="P23" s="128" t="s">
        <v>17</v>
      </c>
      <c r="Q23" s="128" t="s">
        <v>17</v>
      </c>
      <c r="R23" s="231" t="s">
        <v>17</v>
      </c>
      <c r="S23" s="128" t="s">
        <v>17</v>
      </c>
      <c r="T23" s="128" t="s">
        <v>17</v>
      </c>
      <c r="U23" s="231" t="s">
        <v>17</v>
      </c>
      <c r="AA23" s="228" t="s">
        <v>17</v>
      </c>
      <c r="AB23" s="128" t="s">
        <v>17</v>
      </c>
      <c r="AC23" s="231" t="s">
        <v>17</v>
      </c>
    </row>
    <row r="24" spans="1:29" ht="14.95" thickBot="1" x14ac:dyDescent="0.3">
      <c r="A24" s="134" t="s">
        <v>644</v>
      </c>
      <c r="B24" s="430">
        <v>0</v>
      </c>
      <c r="C24" s="163">
        <v>0</v>
      </c>
      <c r="D24" s="431">
        <f t="shared" si="0"/>
        <v>0</v>
      </c>
      <c r="E24" s="404" t="s">
        <v>644</v>
      </c>
      <c r="F24" s="434">
        <v>0</v>
      </c>
      <c r="G24" s="401">
        <v>0</v>
      </c>
      <c r="H24" s="402">
        <f t="shared" si="1"/>
        <v>0</v>
      </c>
      <c r="I24" s="245" t="s">
        <v>126</v>
      </c>
      <c r="J24" s="436" t="s">
        <v>17</v>
      </c>
      <c r="K24" s="436" t="s">
        <v>17</v>
      </c>
      <c r="L24" s="437" t="s">
        <v>17</v>
      </c>
      <c r="M24" s="128" t="s">
        <v>17</v>
      </c>
      <c r="N24" s="128" t="s">
        <v>17</v>
      </c>
      <c r="O24" s="231" t="s">
        <v>17</v>
      </c>
      <c r="P24" s="128" t="s">
        <v>17</v>
      </c>
      <c r="Q24" s="128" t="s">
        <v>17</v>
      </c>
      <c r="R24" s="231" t="s">
        <v>17</v>
      </c>
      <c r="S24" s="128" t="s">
        <v>17</v>
      </c>
      <c r="T24" s="128" t="s">
        <v>17</v>
      </c>
      <c r="U24" s="231" t="s">
        <v>17</v>
      </c>
      <c r="AA24" s="228" t="s">
        <v>17</v>
      </c>
      <c r="AB24" s="128" t="s">
        <v>17</v>
      </c>
      <c r="AC24" s="231" t="s">
        <v>17</v>
      </c>
    </row>
    <row r="25" spans="1:29" ht="14.95" thickBot="1" x14ac:dyDescent="0.3">
      <c r="A25" s="134" t="s">
        <v>126</v>
      </c>
      <c r="B25" s="430">
        <v>0</v>
      </c>
      <c r="C25" s="163">
        <v>0</v>
      </c>
      <c r="D25" s="431">
        <f t="shared" si="0"/>
        <v>0</v>
      </c>
      <c r="E25" s="404" t="s">
        <v>126</v>
      </c>
      <c r="F25" s="434">
        <v>0</v>
      </c>
      <c r="G25" s="401">
        <v>0</v>
      </c>
      <c r="H25" s="402">
        <f t="shared" si="1"/>
        <v>0</v>
      </c>
      <c r="I25" s="245" t="s">
        <v>67</v>
      </c>
      <c r="J25" s="436" t="s">
        <v>17</v>
      </c>
      <c r="K25" s="436" t="s">
        <v>17</v>
      </c>
      <c r="L25" s="437" t="s">
        <v>17</v>
      </c>
      <c r="M25" s="128" t="s">
        <v>17</v>
      </c>
      <c r="N25" s="128" t="s">
        <v>17</v>
      </c>
      <c r="O25" s="231" t="s">
        <v>17</v>
      </c>
      <c r="P25" s="128" t="s">
        <v>17</v>
      </c>
      <c r="Q25" s="128" t="s">
        <v>17</v>
      </c>
      <c r="R25" s="128" t="s">
        <v>17</v>
      </c>
      <c r="S25" s="128" t="s">
        <v>17</v>
      </c>
      <c r="T25" s="128" t="s">
        <v>17</v>
      </c>
      <c r="U25" s="128" t="s">
        <v>17</v>
      </c>
      <c r="AA25" s="228" t="s">
        <v>17</v>
      </c>
      <c r="AB25" s="128" t="s">
        <v>17</v>
      </c>
      <c r="AC25" s="128" t="s">
        <v>17</v>
      </c>
    </row>
    <row r="26" spans="1:29" ht="14.95" thickBot="1" x14ac:dyDescent="0.3">
      <c r="A26" s="134" t="s">
        <v>1100</v>
      </c>
      <c r="B26" s="430">
        <v>0</v>
      </c>
      <c r="C26" s="163">
        <v>1</v>
      </c>
      <c r="D26" s="431">
        <f t="shared" si="0"/>
        <v>1</v>
      </c>
      <c r="E26" s="404" t="s">
        <v>1100</v>
      </c>
      <c r="F26" s="434">
        <v>0</v>
      </c>
      <c r="G26" s="401">
        <v>5</v>
      </c>
      <c r="H26" s="402">
        <f t="shared" si="1"/>
        <v>5</v>
      </c>
      <c r="I26" s="245" t="s">
        <v>68</v>
      </c>
      <c r="J26" s="436" t="s">
        <v>17</v>
      </c>
      <c r="K26" s="436" t="s">
        <v>17</v>
      </c>
      <c r="L26" s="437" t="s">
        <v>17</v>
      </c>
      <c r="M26" s="128">
        <v>0</v>
      </c>
      <c r="N26" s="128">
        <v>2</v>
      </c>
      <c r="O26" s="231">
        <v>0</v>
      </c>
      <c r="P26" s="128">
        <v>3</v>
      </c>
      <c r="Q26" s="128">
        <v>5</v>
      </c>
      <c r="R26" s="231">
        <f>SUM(P26/Q26)*100</f>
        <v>60</v>
      </c>
      <c r="S26" s="128">
        <v>3</v>
      </c>
      <c r="T26" s="128">
        <v>5</v>
      </c>
      <c r="U26" s="231">
        <f>SUM(S26/T26)*100</f>
        <v>60</v>
      </c>
      <c r="AA26" s="228" t="s">
        <v>17</v>
      </c>
      <c r="AB26" s="128" t="s">
        <v>17</v>
      </c>
      <c r="AC26" s="128" t="s">
        <v>17</v>
      </c>
    </row>
    <row r="27" spans="1:29" ht="14.95" thickBot="1" x14ac:dyDescent="0.3">
      <c r="A27" s="134" t="s">
        <v>1082</v>
      </c>
      <c r="B27" s="430">
        <v>0</v>
      </c>
      <c r="C27" s="163">
        <v>0</v>
      </c>
      <c r="D27" s="431">
        <f t="shared" si="0"/>
        <v>0</v>
      </c>
      <c r="E27" s="404" t="s">
        <v>1082</v>
      </c>
      <c r="F27" s="434">
        <v>0</v>
      </c>
      <c r="G27" s="401">
        <v>0</v>
      </c>
      <c r="H27" s="402">
        <f t="shared" si="1"/>
        <v>0</v>
      </c>
    </row>
    <row r="28" spans="1:29" ht="14.95" thickBot="1" x14ac:dyDescent="0.3">
      <c r="A28" s="134" t="s">
        <v>1236</v>
      </c>
      <c r="B28" s="430">
        <v>1</v>
      </c>
      <c r="C28" s="163">
        <v>1</v>
      </c>
      <c r="D28" s="431">
        <f t="shared" si="0"/>
        <v>2</v>
      </c>
      <c r="E28" s="404" t="s">
        <v>1236</v>
      </c>
      <c r="F28" s="434">
        <v>5</v>
      </c>
      <c r="G28" s="401">
        <v>5</v>
      </c>
      <c r="H28" s="402">
        <f t="shared" si="1"/>
        <v>10</v>
      </c>
      <c r="I28" s="698" t="s">
        <v>219</v>
      </c>
      <c r="J28" s="557">
        <v>2017</v>
      </c>
      <c r="K28" s="563"/>
      <c r="L28" s="564"/>
    </row>
    <row r="29" spans="1:29" ht="14.95" thickBot="1" x14ac:dyDescent="0.3">
      <c r="A29" s="134" t="s">
        <v>645</v>
      </c>
      <c r="B29" s="430">
        <v>0</v>
      </c>
      <c r="C29" s="163">
        <v>0</v>
      </c>
      <c r="D29" s="431">
        <f t="shared" si="0"/>
        <v>0</v>
      </c>
      <c r="E29" s="404" t="s">
        <v>645</v>
      </c>
      <c r="F29" s="434">
        <v>0</v>
      </c>
      <c r="G29" s="401">
        <v>0</v>
      </c>
      <c r="H29" s="402">
        <f t="shared" si="1"/>
        <v>0</v>
      </c>
      <c r="I29" s="699"/>
      <c r="J29" s="565"/>
      <c r="K29" s="566"/>
      <c r="L29" s="567"/>
    </row>
    <row r="30" spans="1:29" ht="14.95" thickBot="1" x14ac:dyDescent="0.3">
      <c r="A30" s="134" t="s">
        <v>111</v>
      </c>
      <c r="B30" s="430">
        <v>0</v>
      </c>
      <c r="C30" s="163">
        <v>0</v>
      </c>
      <c r="D30" s="431">
        <f t="shared" si="0"/>
        <v>0</v>
      </c>
      <c r="E30" s="404" t="s">
        <v>111</v>
      </c>
      <c r="F30" s="434">
        <v>0</v>
      </c>
      <c r="G30" s="401">
        <v>0</v>
      </c>
      <c r="H30" s="402">
        <f t="shared" si="1"/>
        <v>0</v>
      </c>
      <c r="I30" s="439" t="s">
        <v>20</v>
      </c>
      <c r="J30" s="119" t="s">
        <v>152</v>
      </c>
      <c r="K30" s="119" t="s">
        <v>12</v>
      </c>
      <c r="L30" s="119" t="s">
        <v>13</v>
      </c>
    </row>
    <row r="31" spans="1:29" ht="14.95" thickBot="1" x14ac:dyDescent="0.3">
      <c r="A31" s="134" t="s">
        <v>935</v>
      </c>
      <c r="B31" s="430">
        <v>0</v>
      </c>
      <c r="C31" s="163">
        <v>0</v>
      </c>
      <c r="D31" s="431">
        <f t="shared" si="0"/>
        <v>0</v>
      </c>
      <c r="E31" s="404" t="s">
        <v>935</v>
      </c>
      <c r="F31" s="434">
        <v>0</v>
      </c>
      <c r="G31" s="401">
        <v>0</v>
      </c>
      <c r="H31" s="402">
        <f t="shared" si="1"/>
        <v>0</v>
      </c>
      <c r="I31" s="438" t="s">
        <v>126</v>
      </c>
      <c r="J31" s="128">
        <v>3</v>
      </c>
      <c r="K31" s="128">
        <v>6</v>
      </c>
      <c r="L31" s="231">
        <f>SUM(J31/K31)*100</f>
        <v>50</v>
      </c>
    </row>
    <row r="32" spans="1:29" ht="14.95" thickBot="1" x14ac:dyDescent="0.3">
      <c r="A32" s="134" t="s">
        <v>136</v>
      </c>
      <c r="B32" s="430">
        <v>0</v>
      </c>
      <c r="C32" s="163">
        <v>0</v>
      </c>
      <c r="D32" s="431">
        <f t="shared" si="0"/>
        <v>0</v>
      </c>
      <c r="E32" s="404" t="s">
        <v>136</v>
      </c>
      <c r="F32" s="434">
        <v>0</v>
      </c>
      <c r="G32" s="401">
        <v>0</v>
      </c>
      <c r="H32" s="402">
        <f t="shared" si="1"/>
        <v>0</v>
      </c>
      <c r="I32" s="438" t="s">
        <v>137</v>
      </c>
      <c r="J32" s="128">
        <v>9</v>
      </c>
      <c r="K32" s="128">
        <v>9</v>
      </c>
      <c r="L32" s="231">
        <f>SUM(J32/K32)*100</f>
        <v>100</v>
      </c>
    </row>
    <row r="33" spans="1:22" ht="14.95" thickBot="1" x14ac:dyDescent="0.3">
      <c r="A33" s="134" t="s">
        <v>794</v>
      </c>
      <c r="B33" s="430">
        <v>1</v>
      </c>
      <c r="C33" s="163">
        <v>0</v>
      </c>
      <c r="D33" s="431">
        <f t="shared" si="0"/>
        <v>1</v>
      </c>
      <c r="E33" s="404" t="s">
        <v>794</v>
      </c>
      <c r="F33" s="434">
        <v>5</v>
      </c>
      <c r="G33" s="401">
        <v>0</v>
      </c>
      <c r="H33" s="402">
        <f t="shared" si="1"/>
        <v>5</v>
      </c>
      <c r="I33" s="438" t="s">
        <v>136</v>
      </c>
      <c r="J33" s="128">
        <v>10</v>
      </c>
      <c r="K33" s="128">
        <v>13</v>
      </c>
      <c r="L33" s="231">
        <f>SUM(J33/K33)*100</f>
        <v>76.923076923076934</v>
      </c>
    </row>
    <row r="34" spans="1:22" ht="14.95" thickBot="1" x14ac:dyDescent="0.3">
      <c r="A34" s="134" t="s">
        <v>4</v>
      </c>
      <c r="B34" s="430">
        <v>1</v>
      </c>
      <c r="C34" s="163">
        <v>0</v>
      </c>
      <c r="D34" s="431">
        <f t="shared" si="0"/>
        <v>1</v>
      </c>
      <c r="E34" s="404" t="s">
        <v>4</v>
      </c>
      <c r="F34" s="434">
        <v>7</v>
      </c>
      <c r="G34" s="401">
        <v>0</v>
      </c>
      <c r="H34" s="402">
        <f t="shared" si="1"/>
        <v>7</v>
      </c>
      <c r="I34" s="658"/>
      <c r="J34" s="635"/>
      <c r="K34" s="635"/>
      <c r="L34" s="635"/>
      <c r="M34" s="635"/>
      <c r="N34" s="635"/>
      <c r="O34" s="635"/>
      <c r="P34" s="635"/>
      <c r="Q34" s="635"/>
      <c r="R34" s="635"/>
      <c r="S34" s="635"/>
      <c r="T34" s="635"/>
      <c r="U34" s="635"/>
      <c r="V34" s="635"/>
    </row>
    <row r="35" spans="1:22" ht="14.95" customHeight="1" thickBot="1" x14ac:dyDescent="0.3">
      <c r="A35" s="134" t="s">
        <v>498</v>
      </c>
      <c r="B35" s="430">
        <v>1</v>
      </c>
      <c r="C35" s="163">
        <v>2</v>
      </c>
      <c r="D35" s="431">
        <f t="shared" si="0"/>
        <v>3</v>
      </c>
      <c r="E35" s="404" t="s">
        <v>498</v>
      </c>
      <c r="F35" s="434">
        <v>5</v>
      </c>
      <c r="G35" s="401">
        <v>10</v>
      </c>
      <c r="H35" s="402">
        <f t="shared" si="1"/>
        <v>15</v>
      </c>
      <c r="I35" s="658" t="s">
        <v>1258</v>
      </c>
      <c r="J35" s="692"/>
      <c r="K35" s="692"/>
      <c r="L35" s="692"/>
      <c r="M35" s="692"/>
      <c r="N35" s="692"/>
      <c r="O35" s="692"/>
      <c r="P35" s="692"/>
      <c r="Q35" s="692"/>
      <c r="R35" s="692"/>
      <c r="S35" s="692"/>
      <c r="T35" s="692"/>
      <c r="U35" s="692"/>
    </row>
    <row r="36" spans="1:22" ht="14.95" thickBot="1" x14ac:dyDescent="0.3">
      <c r="A36" s="134" t="s">
        <v>1372</v>
      </c>
      <c r="B36" s="430">
        <v>1</v>
      </c>
      <c r="C36" s="163">
        <v>1</v>
      </c>
      <c r="D36" s="431">
        <f t="shared" ref="D36:D44" si="2">SUM(B36:C36)</f>
        <v>2</v>
      </c>
      <c r="E36" s="404" t="s">
        <v>1372</v>
      </c>
      <c r="F36" s="434">
        <v>5</v>
      </c>
      <c r="G36" s="401">
        <v>5</v>
      </c>
      <c r="H36" s="402">
        <f t="shared" ref="H36:H44" si="3">SUM(F36:G36)</f>
        <v>10</v>
      </c>
      <c r="I36" s="39"/>
      <c r="J36" s="38"/>
      <c r="K36" s="38"/>
      <c r="L36" s="24"/>
      <c r="M36" s="38"/>
      <c r="N36" s="38"/>
      <c r="O36" s="24"/>
    </row>
    <row r="37" spans="1:22" ht="14.95" thickBot="1" x14ac:dyDescent="0.3">
      <c r="A37" s="134" t="s">
        <v>1068</v>
      </c>
      <c r="B37" s="430">
        <v>1</v>
      </c>
      <c r="C37" s="163">
        <v>0</v>
      </c>
      <c r="D37" s="431">
        <f t="shared" si="2"/>
        <v>1</v>
      </c>
      <c r="E37" s="404" t="s">
        <v>1068</v>
      </c>
      <c r="F37" s="434">
        <v>5</v>
      </c>
      <c r="G37" s="401">
        <v>0</v>
      </c>
      <c r="H37" s="402">
        <f t="shared" si="3"/>
        <v>5</v>
      </c>
      <c r="I37" s="39"/>
      <c r="J37" s="38"/>
      <c r="K37" s="38"/>
      <c r="L37" s="38"/>
      <c r="M37" s="38"/>
      <c r="N37" s="38"/>
      <c r="O37" s="38"/>
    </row>
    <row r="38" spans="1:22" ht="14.95" thickBot="1" x14ac:dyDescent="0.3">
      <c r="A38" s="134" t="s">
        <v>1091</v>
      </c>
      <c r="B38" s="430">
        <v>0</v>
      </c>
      <c r="C38" s="163">
        <v>0</v>
      </c>
      <c r="D38" s="431">
        <f t="shared" si="2"/>
        <v>0</v>
      </c>
      <c r="E38" s="404" t="s">
        <v>1091</v>
      </c>
      <c r="F38" s="434">
        <v>0</v>
      </c>
      <c r="G38" s="401">
        <v>0</v>
      </c>
      <c r="H38" s="402">
        <f t="shared" si="3"/>
        <v>0</v>
      </c>
      <c r="I38" s="39"/>
      <c r="J38" s="38"/>
      <c r="K38" s="38"/>
      <c r="L38" s="38"/>
      <c r="M38" s="38"/>
      <c r="N38" s="38"/>
      <c r="O38" s="38"/>
    </row>
    <row r="39" spans="1:22" ht="14.95" thickBot="1" x14ac:dyDescent="0.3">
      <c r="A39" s="134" t="s">
        <v>1257</v>
      </c>
      <c r="B39" s="430">
        <v>0</v>
      </c>
      <c r="C39" s="163">
        <v>2</v>
      </c>
      <c r="D39" s="431">
        <f t="shared" si="2"/>
        <v>2</v>
      </c>
      <c r="E39" s="404" t="s">
        <v>1257</v>
      </c>
      <c r="F39" s="434">
        <v>0</v>
      </c>
      <c r="G39" s="401">
        <v>10</v>
      </c>
      <c r="H39" s="402">
        <f t="shared" si="3"/>
        <v>10</v>
      </c>
    </row>
    <row r="40" spans="1:22" ht="14.95" thickBot="1" x14ac:dyDescent="0.3">
      <c r="A40" s="134" t="s">
        <v>1373</v>
      </c>
      <c r="B40" s="430">
        <v>1</v>
      </c>
      <c r="C40" s="163">
        <v>0</v>
      </c>
      <c r="D40" s="431">
        <f t="shared" si="2"/>
        <v>1</v>
      </c>
      <c r="E40" s="404" t="s">
        <v>1373</v>
      </c>
      <c r="F40" s="434">
        <v>5</v>
      </c>
      <c r="G40" s="401">
        <v>0</v>
      </c>
      <c r="H40" s="402">
        <f t="shared" si="3"/>
        <v>5</v>
      </c>
    </row>
    <row r="41" spans="1:22" ht="14.3" customHeight="1" thickBot="1" x14ac:dyDescent="0.3">
      <c r="A41" s="134" t="s">
        <v>68</v>
      </c>
      <c r="B41" s="430">
        <v>0</v>
      </c>
      <c r="C41" s="163">
        <v>0</v>
      </c>
      <c r="D41" s="431">
        <f t="shared" si="2"/>
        <v>0</v>
      </c>
      <c r="E41" s="404" t="s">
        <v>68</v>
      </c>
      <c r="F41" s="434">
        <v>0</v>
      </c>
      <c r="G41" s="401">
        <v>0</v>
      </c>
      <c r="H41" s="402">
        <f t="shared" si="3"/>
        <v>0</v>
      </c>
    </row>
    <row r="42" spans="1:22" ht="14.95" thickBot="1" x14ac:dyDescent="0.3">
      <c r="A42" s="134" t="s">
        <v>1237</v>
      </c>
      <c r="B42" s="430">
        <v>0</v>
      </c>
      <c r="C42" s="163">
        <v>1</v>
      </c>
      <c r="D42" s="431">
        <f t="shared" si="2"/>
        <v>1</v>
      </c>
      <c r="E42" s="404" t="s">
        <v>1237</v>
      </c>
      <c r="F42" s="434">
        <v>0</v>
      </c>
      <c r="G42" s="401">
        <v>5</v>
      </c>
      <c r="H42" s="402">
        <f t="shared" si="3"/>
        <v>5</v>
      </c>
    </row>
    <row r="43" spans="1:22" ht="14.95" thickBot="1" x14ac:dyDescent="0.3">
      <c r="A43" s="134" t="s">
        <v>1081</v>
      </c>
      <c r="B43" s="430">
        <v>0</v>
      </c>
      <c r="C43" s="163">
        <v>0</v>
      </c>
      <c r="D43" s="431">
        <f t="shared" si="2"/>
        <v>0</v>
      </c>
      <c r="E43" s="404" t="s">
        <v>1081</v>
      </c>
      <c r="F43" s="434">
        <v>0</v>
      </c>
      <c r="G43" s="401">
        <v>0</v>
      </c>
      <c r="H43" s="402">
        <f t="shared" si="3"/>
        <v>0</v>
      </c>
    </row>
    <row r="44" spans="1:22" ht="14.95" thickBot="1" x14ac:dyDescent="0.3">
      <c r="A44" s="134" t="s">
        <v>1391</v>
      </c>
      <c r="B44" s="430">
        <v>0</v>
      </c>
      <c r="C44" s="163">
        <v>1</v>
      </c>
      <c r="D44" s="431">
        <f t="shared" si="2"/>
        <v>1</v>
      </c>
      <c r="E44" s="404" t="s">
        <v>1391</v>
      </c>
      <c r="F44" s="434">
        <v>0</v>
      </c>
      <c r="G44" s="401">
        <v>5</v>
      </c>
      <c r="H44" s="402">
        <f t="shared" si="3"/>
        <v>5</v>
      </c>
    </row>
    <row r="45" spans="1:22" ht="14.95" thickBot="1" x14ac:dyDescent="0.3">
      <c r="A45" s="134" t="s">
        <v>3</v>
      </c>
      <c r="B45" s="430">
        <f>SUM(B3:B44)</f>
        <v>26</v>
      </c>
      <c r="C45" s="163">
        <f>SUM(C3:C44)</f>
        <v>13</v>
      </c>
      <c r="D45" s="431">
        <f>SUM(D3:D44)</f>
        <v>39</v>
      </c>
      <c r="E45" s="404" t="s">
        <v>3</v>
      </c>
      <c r="F45" s="434">
        <f>SUM(F3:F44)</f>
        <v>193</v>
      </c>
      <c r="G45" s="401">
        <f>SUM(G3:G44)</f>
        <v>126</v>
      </c>
      <c r="H45" s="402">
        <f>SUM(H3:H44)</f>
        <v>319</v>
      </c>
    </row>
    <row r="46" spans="1:22" x14ac:dyDescent="0.25">
      <c r="E46" s="11"/>
    </row>
    <row r="47" spans="1:22" ht="14.95" thickBot="1" x14ac:dyDescent="0.3">
      <c r="A47" t="s">
        <v>15</v>
      </c>
      <c r="E47" s="9"/>
      <c r="F47" s="9"/>
      <c r="G47" s="9"/>
      <c r="H47" s="9"/>
    </row>
    <row r="48" spans="1:22" ht="14.95" thickBot="1" x14ac:dyDescent="0.3">
      <c r="A48" s="427" t="s">
        <v>0</v>
      </c>
      <c r="B48" s="428" t="s">
        <v>1361</v>
      </c>
      <c r="C48" s="165" t="s">
        <v>31</v>
      </c>
      <c r="D48" s="375" t="s">
        <v>1</v>
      </c>
      <c r="E48" s="398" t="s">
        <v>2</v>
      </c>
      <c r="F48" s="432" t="s">
        <v>1361</v>
      </c>
      <c r="G48" s="399" t="s">
        <v>31</v>
      </c>
      <c r="H48" s="400" t="s">
        <v>1</v>
      </c>
    </row>
    <row r="49" spans="1:8" ht="14.95" thickBot="1" x14ac:dyDescent="0.3">
      <c r="A49" s="134" t="s">
        <v>539</v>
      </c>
      <c r="B49" s="430">
        <v>4</v>
      </c>
      <c r="C49" s="163">
        <v>1</v>
      </c>
      <c r="D49" s="431">
        <f t="shared" ref="D49:D90" si="4">SUM(B49:C49)</f>
        <v>5</v>
      </c>
      <c r="E49" s="403" t="s">
        <v>499</v>
      </c>
      <c r="F49" s="434">
        <v>61</v>
      </c>
      <c r="G49" s="401">
        <v>61</v>
      </c>
      <c r="H49" s="402">
        <f t="shared" ref="H49:H90" si="5">SUM(F49:G49)</f>
        <v>122</v>
      </c>
    </row>
    <row r="50" spans="1:8" ht="14.95" thickBot="1" x14ac:dyDescent="0.3">
      <c r="A50" s="134" t="s">
        <v>1349</v>
      </c>
      <c r="B50" s="430">
        <v>5</v>
      </c>
      <c r="C50" s="163">
        <v>0</v>
      </c>
      <c r="D50" s="431">
        <f t="shared" si="4"/>
        <v>5</v>
      </c>
      <c r="E50" s="403" t="s">
        <v>539</v>
      </c>
      <c r="F50" s="434">
        <v>20</v>
      </c>
      <c r="G50" s="401">
        <v>5</v>
      </c>
      <c r="H50" s="402">
        <f t="shared" si="5"/>
        <v>25</v>
      </c>
    </row>
    <row r="51" spans="1:8" ht="14.95" thickBot="1" x14ac:dyDescent="0.3">
      <c r="A51" s="134" t="s">
        <v>1352</v>
      </c>
      <c r="B51" s="430">
        <v>3</v>
      </c>
      <c r="C51" s="163">
        <v>1</v>
      </c>
      <c r="D51" s="431">
        <f t="shared" si="4"/>
        <v>4</v>
      </c>
      <c r="E51" s="404" t="s">
        <v>1349</v>
      </c>
      <c r="F51" s="434">
        <v>25</v>
      </c>
      <c r="G51" s="401">
        <v>0</v>
      </c>
      <c r="H51" s="402">
        <f t="shared" si="5"/>
        <v>25</v>
      </c>
    </row>
    <row r="52" spans="1:8" ht="14.95" thickBot="1" x14ac:dyDescent="0.3">
      <c r="A52" s="134" t="s">
        <v>1371</v>
      </c>
      <c r="B52" s="430">
        <v>3</v>
      </c>
      <c r="C52" s="163">
        <v>0</v>
      </c>
      <c r="D52" s="431">
        <f t="shared" si="4"/>
        <v>3</v>
      </c>
      <c r="E52" s="404" t="s">
        <v>1352</v>
      </c>
      <c r="F52" s="434">
        <v>15</v>
      </c>
      <c r="G52" s="401">
        <v>5</v>
      </c>
      <c r="H52" s="402">
        <f t="shared" si="5"/>
        <v>20</v>
      </c>
    </row>
    <row r="53" spans="1:8" ht="14.95" thickBot="1" x14ac:dyDescent="0.3">
      <c r="A53" s="134" t="s">
        <v>1351</v>
      </c>
      <c r="B53" s="430">
        <v>2</v>
      </c>
      <c r="C53" s="163">
        <v>1</v>
      </c>
      <c r="D53" s="431">
        <f t="shared" si="4"/>
        <v>3</v>
      </c>
      <c r="E53" s="404" t="s">
        <v>1371</v>
      </c>
      <c r="F53" s="434">
        <v>15</v>
      </c>
      <c r="G53" s="401">
        <v>0</v>
      </c>
      <c r="H53" s="402">
        <f t="shared" si="5"/>
        <v>15</v>
      </c>
    </row>
    <row r="54" spans="1:8" ht="14.95" thickBot="1" x14ac:dyDescent="0.3">
      <c r="A54" s="134" t="s">
        <v>498</v>
      </c>
      <c r="B54" s="430">
        <v>1</v>
      </c>
      <c r="C54" s="163">
        <v>2</v>
      </c>
      <c r="D54" s="431">
        <f t="shared" si="4"/>
        <v>3</v>
      </c>
      <c r="E54" s="404" t="s">
        <v>1351</v>
      </c>
      <c r="F54" s="434">
        <v>10</v>
      </c>
      <c r="G54" s="401">
        <v>5</v>
      </c>
      <c r="H54" s="402">
        <f t="shared" si="5"/>
        <v>15</v>
      </c>
    </row>
    <row r="55" spans="1:8" ht="14.95" thickBot="1" x14ac:dyDescent="0.3">
      <c r="A55" s="134" t="s">
        <v>1236</v>
      </c>
      <c r="B55" s="430">
        <v>1</v>
      </c>
      <c r="C55" s="163">
        <v>1</v>
      </c>
      <c r="D55" s="431">
        <f t="shared" si="4"/>
        <v>2</v>
      </c>
      <c r="E55" s="404" t="s">
        <v>498</v>
      </c>
      <c r="F55" s="434">
        <v>5</v>
      </c>
      <c r="G55" s="401">
        <v>10</v>
      </c>
      <c r="H55" s="402">
        <f t="shared" si="5"/>
        <v>15</v>
      </c>
    </row>
    <row r="56" spans="1:8" ht="14.95" thickBot="1" x14ac:dyDescent="0.3">
      <c r="A56" s="134" t="s">
        <v>1372</v>
      </c>
      <c r="B56" s="430">
        <v>1</v>
      </c>
      <c r="C56" s="163">
        <v>1</v>
      </c>
      <c r="D56" s="431">
        <f t="shared" si="4"/>
        <v>2</v>
      </c>
      <c r="E56" s="404" t="s">
        <v>1236</v>
      </c>
      <c r="F56" s="434">
        <v>5</v>
      </c>
      <c r="G56" s="401">
        <v>5</v>
      </c>
      <c r="H56" s="402">
        <f t="shared" si="5"/>
        <v>10</v>
      </c>
    </row>
    <row r="57" spans="1:8" ht="14.95" thickBot="1" x14ac:dyDescent="0.3">
      <c r="A57" s="134" t="s">
        <v>1257</v>
      </c>
      <c r="B57" s="430">
        <v>0</v>
      </c>
      <c r="C57" s="163">
        <v>2</v>
      </c>
      <c r="D57" s="431">
        <f t="shared" si="4"/>
        <v>2</v>
      </c>
      <c r="E57" s="404" t="s">
        <v>1372</v>
      </c>
      <c r="F57" s="434">
        <v>5</v>
      </c>
      <c r="G57" s="401">
        <v>5</v>
      </c>
      <c r="H57" s="402">
        <f t="shared" si="5"/>
        <v>10</v>
      </c>
    </row>
    <row r="58" spans="1:8" ht="14.95" thickBot="1" x14ac:dyDescent="0.3">
      <c r="A58" s="134" t="s">
        <v>1090</v>
      </c>
      <c r="B58" s="430">
        <v>1</v>
      </c>
      <c r="C58" s="163">
        <v>0</v>
      </c>
      <c r="D58" s="431">
        <f t="shared" si="4"/>
        <v>1</v>
      </c>
      <c r="E58" s="404" t="s">
        <v>1257</v>
      </c>
      <c r="F58" s="434">
        <v>0</v>
      </c>
      <c r="G58" s="401">
        <v>10</v>
      </c>
      <c r="H58" s="402">
        <f t="shared" si="5"/>
        <v>10</v>
      </c>
    </row>
    <row r="59" spans="1:8" ht="14.95" thickBot="1" x14ac:dyDescent="0.3">
      <c r="A59" s="134" t="s">
        <v>1350</v>
      </c>
      <c r="B59" s="430">
        <v>1</v>
      </c>
      <c r="C59" s="163">
        <v>0</v>
      </c>
      <c r="D59" s="431">
        <f t="shared" si="4"/>
        <v>1</v>
      </c>
      <c r="E59" s="404" t="s">
        <v>4</v>
      </c>
      <c r="F59" s="434">
        <v>7</v>
      </c>
      <c r="G59" s="401">
        <v>0</v>
      </c>
      <c r="H59" s="402">
        <f t="shared" si="5"/>
        <v>7</v>
      </c>
    </row>
    <row r="60" spans="1:8" ht="14.95" thickBot="1" x14ac:dyDescent="0.3">
      <c r="A60" s="134" t="s">
        <v>1099</v>
      </c>
      <c r="B60" s="430">
        <v>0</v>
      </c>
      <c r="C60" s="163">
        <v>1</v>
      </c>
      <c r="D60" s="431">
        <f t="shared" si="4"/>
        <v>1</v>
      </c>
      <c r="E60" s="404" t="s">
        <v>1090</v>
      </c>
      <c r="F60" s="434">
        <v>5</v>
      </c>
      <c r="G60" s="401">
        <v>0</v>
      </c>
      <c r="H60" s="402">
        <f t="shared" si="5"/>
        <v>5</v>
      </c>
    </row>
    <row r="61" spans="1:8" ht="14.95" thickBot="1" x14ac:dyDescent="0.3">
      <c r="A61" s="134" t="s">
        <v>1100</v>
      </c>
      <c r="B61" s="430">
        <v>0</v>
      </c>
      <c r="C61" s="163">
        <v>1</v>
      </c>
      <c r="D61" s="431">
        <f t="shared" si="4"/>
        <v>1</v>
      </c>
      <c r="E61" s="404" t="s">
        <v>1350</v>
      </c>
      <c r="F61" s="434">
        <v>5</v>
      </c>
      <c r="G61" s="401">
        <v>0</v>
      </c>
      <c r="H61" s="402">
        <f t="shared" si="5"/>
        <v>5</v>
      </c>
    </row>
    <row r="62" spans="1:8" ht="14.95" thickBot="1" x14ac:dyDescent="0.3">
      <c r="A62" s="134" t="s">
        <v>794</v>
      </c>
      <c r="B62" s="430">
        <v>1</v>
      </c>
      <c r="C62" s="163">
        <v>0</v>
      </c>
      <c r="D62" s="431">
        <f t="shared" si="4"/>
        <v>1</v>
      </c>
      <c r="E62" s="404" t="s">
        <v>1099</v>
      </c>
      <c r="F62" s="434">
        <v>0</v>
      </c>
      <c r="G62" s="401">
        <v>5</v>
      </c>
      <c r="H62" s="402">
        <f t="shared" si="5"/>
        <v>5</v>
      </c>
    </row>
    <row r="63" spans="1:8" ht="14.95" thickBot="1" x14ac:dyDescent="0.3">
      <c r="A63" s="134" t="s">
        <v>4</v>
      </c>
      <c r="B63" s="430">
        <v>1</v>
      </c>
      <c r="C63" s="163">
        <v>0</v>
      </c>
      <c r="D63" s="431">
        <f t="shared" si="4"/>
        <v>1</v>
      </c>
      <c r="E63" s="404" t="s">
        <v>1100</v>
      </c>
      <c r="F63" s="434">
        <v>0</v>
      </c>
      <c r="G63" s="401">
        <v>5</v>
      </c>
      <c r="H63" s="402">
        <f t="shared" si="5"/>
        <v>5</v>
      </c>
    </row>
    <row r="64" spans="1:8" ht="14.95" thickBot="1" x14ac:dyDescent="0.3">
      <c r="A64" s="134" t="s">
        <v>1068</v>
      </c>
      <c r="B64" s="430">
        <v>1</v>
      </c>
      <c r="C64" s="163">
        <v>0</v>
      </c>
      <c r="D64" s="431">
        <f t="shared" si="4"/>
        <v>1</v>
      </c>
      <c r="E64" s="404" t="s">
        <v>794</v>
      </c>
      <c r="F64" s="434">
        <v>5</v>
      </c>
      <c r="G64" s="401">
        <v>0</v>
      </c>
      <c r="H64" s="402">
        <f t="shared" si="5"/>
        <v>5</v>
      </c>
    </row>
    <row r="65" spans="1:8" ht="14.95" thickBot="1" x14ac:dyDescent="0.3">
      <c r="A65" s="134" t="s">
        <v>1373</v>
      </c>
      <c r="B65" s="430">
        <v>1</v>
      </c>
      <c r="C65" s="163">
        <v>0</v>
      </c>
      <c r="D65" s="431">
        <f t="shared" si="4"/>
        <v>1</v>
      </c>
      <c r="E65" s="404" t="s">
        <v>1068</v>
      </c>
      <c r="F65" s="434">
        <v>5</v>
      </c>
      <c r="G65" s="401">
        <v>0</v>
      </c>
      <c r="H65" s="402">
        <f t="shared" si="5"/>
        <v>5</v>
      </c>
    </row>
    <row r="66" spans="1:8" ht="14.95" thickBot="1" x14ac:dyDescent="0.3">
      <c r="A66" s="134" t="s">
        <v>1237</v>
      </c>
      <c r="B66" s="430">
        <v>0</v>
      </c>
      <c r="C66" s="163">
        <v>1</v>
      </c>
      <c r="D66" s="431">
        <f t="shared" si="4"/>
        <v>1</v>
      </c>
      <c r="E66" s="404" t="s">
        <v>1373</v>
      </c>
      <c r="F66" s="434">
        <v>5</v>
      </c>
      <c r="G66" s="401">
        <v>0</v>
      </c>
      <c r="H66" s="402">
        <f t="shared" si="5"/>
        <v>5</v>
      </c>
    </row>
    <row r="67" spans="1:8" ht="14.95" thickBot="1" x14ac:dyDescent="0.3">
      <c r="A67" s="134" t="s">
        <v>1391</v>
      </c>
      <c r="B67" s="430">
        <v>0</v>
      </c>
      <c r="C67" s="163">
        <v>1</v>
      </c>
      <c r="D67" s="431">
        <f t="shared" si="4"/>
        <v>1</v>
      </c>
      <c r="E67" s="404" t="s">
        <v>1237</v>
      </c>
      <c r="F67" s="434">
        <v>0</v>
      </c>
      <c r="G67" s="401">
        <v>5</v>
      </c>
      <c r="H67" s="402">
        <f t="shared" si="5"/>
        <v>5</v>
      </c>
    </row>
    <row r="68" spans="1:8" ht="14.95" thickBot="1" x14ac:dyDescent="0.3">
      <c r="A68" s="134" t="s">
        <v>788</v>
      </c>
      <c r="B68" s="429">
        <v>0</v>
      </c>
      <c r="C68" s="128">
        <v>0</v>
      </c>
      <c r="D68" s="431">
        <f t="shared" si="4"/>
        <v>0</v>
      </c>
      <c r="E68" s="404" t="s">
        <v>1391</v>
      </c>
      <c r="F68" s="434">
        <v>0</v>
      </c>
      <c r="G68" s="401">
        <v>5</v>
      </c>
      <c r="H68" s="402">
        <f t="shared" si="5"/>
        <v>5</v>
      </c>
    </row>
    <row r="69" spans="1:8" ht="14.95" thickBot="1" x14ac:dyDescent="0.3">
      <c r="A69" s="134" t="s">
        <v>790</v>
      </c>
      <c r="B69" s="429">
        <v>0</v>
      </c>
      <c r="C69" s="128">
        <v>0</v>
      </c>
      <c r="D69" s="431">
        <f t="shared" si="4"/>
        <v>0</v>
      </c>
      <c r="E69" s="404" t="s">
        <v>788</v>
      </c>
      <c r="F69" s="433">
        <v>0</v>
      </c>
      <c r="G69" s="401">
        <v>0</v>
      </c>
      <c r="H69" s="402">
        <f t="shared" si="5"/>
        <v>0</v>
      </c>
    </row>
    <row r="70" spans="1:8" ht="14.95" thickBot="1" x14ac:dyDescent="0.3">
      <c r="A70" s="134" t="s">
        <v>793</v>
      </c>
      <c r="B70" s="430">
        <v>0</v>
      </c>
      <c r="C70" s="163">
        <v>0</v>
      </c>
      <c r="D70" s="431">
        <f t="shared" si="4"/>
        <v>0</v>
      </c>
      <c r="E70" s="404" t="s">
        <v>790</v>
      </c>
      <c r="F70" s="433">
        <v>0</v>
      </c>
      <c r="G70" s="401">
        <v>0</v>
      </c>
      <c r="H70" s="402">
        <f t="shared" si="5"/>
        <v>0</v>
      </c>
    </row>
    <row r="71" spans="1:8" ht="14.95" thickBot="1" x14ac:dyDescent="0.3">
      <c r="A71" s="134" t="s">
        <v>1083</v>
      </c>
      <c r="B71" s="430">
        <v>0</v>
      </c>
      <c r="C71" s="163">
        <v>0</v>
      </c>
      <c r="D71" s="431">
        <f t="shared" si="4"/>
        <v>0</v>
      </c>
      <c r="E71" s="404" t="s">
        <v>793</v>
      </c>
      <c r="F71" s="434">
        <v>0</v>
      </c>
      <c r="G71" s="401">
        <v>0</v>
      </c>
      <c r="H71" s="402">
        <f t="shared" si="5"/>
        <v>0</v>
      </c>
    </row>
    <row r="72" spans="1:8" ht="14.95" thickBot="1" x14ac:dyDescent="0.3">
      <c r="A72" s="134" t="s">
        <v>791</v>
      </c>
      <c r="B72" s="430">
        <v>0</v>
      </c>
      <c r="C72" s="163">
        <v>0</v>
      </c>
      <c r="D72" s="431">
        <f t="shared" si="4"/>
        <v>0</v>
      </c>
      <c r="E72" s="404" t="s">
        <v>1083</v>
      </c>
      <c r="F72" s="434">
        <v>0</v>
      </c>
      <c r="G72" s="401">
        <v>0</v>
      </c>
      <c r="H72" s="402">
        <f t="shared" si="5"/>
        <v>0</v>
      </c>
    </row>
    <row r="73" spans="1:8" ht="14.95" thickBot="1" x14ac:dyDescent="0.3">
      <c r="A73" s="134" t="s">
        <v>155</v>
      </c>
      <c r="B73" s="430">
        <v>0</v>
      </c>
      <c r="C73" s="163">
        <v>0</v>
      </c>
      <c r="D73" s="431">
        <f t="shared" si="4"/>
        <v>0</v>
      </c>
      <c r="E73" s="404" t="s">
        <v>791</v>
      </c>
      <c r="F73" s="434">
        <v>0</v>
      </c>
      <c r="G73" s="401">
        <v>0</v>
      </c>
      <c r="H73" s="402">
        <f t="shared" si="5"/>
        <v>0</v>
      </c>
    </row>
    <row r="74" spans="1:8" ht="14.95" thickBot="1" x14ac:dyDescent="0.3">
      <c r="A74" s="134" t="s">
        <v>789</v>
      </c>
      <c r="B74" s="430">
        <v>0</v>
      </c>
      <c r="C74" s="163">
        <v>0</v>
      </c>
      <c r="D74" s="431">
        <f t="shared" si="4"/>
        <v>0</v>
      </c>
      <c r="E74" s="404" t="s">
        <v>155</v>
      </c>
      <c r="F74" s="434">
        <v>0</v>
      </c>
      <c r="G74" s="401">
        <v>0</v>
      </c>
      <c r="H74" s="402">
        <f t="shared" si="5"/>
        <v>0</v>
      </c>
    </row>
    <row r="75" spans="1:8" ht="14.95" thickBot="1" x14ac:dyDescent="0.3">
      <c r="A75" s="134" t="s">
        <v>497</v>
      </c>
      <c r="B75" s="430">
        <v>0</v>
      </c>
      <c r="C75" s="163">
        <v>0</v>
      </c>
      <c r="D75" s="431">
        <f t="shared" si="4"/>
        <v>0</v>
      </c>
      <c r="E75" s="404" t="s">
        <v>789</v>
      </c>
      <c r="F75" s="434">
        <v>0</v>
      </c>
      <c r="G75" s="401">
        <v>0</v>
      </c>
      <c r="H75" s="402">
        <f t="shared" si="5"/>
        <v>0</v>
      </c>
    </row>
    <row r="76" spans="1:8" ht="14.95" thickBot="1" x14ac:dyDescent="0.3">
      <c r="A76" s="134" t="s">
        <v>787</v>
      </c>
      <c r="B76" s="430">
        <v>0</v>
      </c>
      <c r="C76" s="163">
        <v>0</v>
      </c>
      <c r="D76" s="431">
        <f t="shared" si="4"/>
        <v>0</v>
      </c>
      <c r="E76" s="404" t="s">
        <v>497</v>
      </c>
      <c r="F76" s="434">
        <v>0</v>
      </c>
      <c r="G76" s="401">
        <v>0</v>
      </c>
      <c r="H76" s="402">
        <f t="shared" si="5"/>
        <v>0</v>
      </c>
    </row>
    <row r="77" spans="1:8" ht="14.95" thickBot="1" x14ac:dyDescent="0.3">
      <c r="A77" s="134" t="s">
        <v>786</v>
      </c>
      <c r="B77" s="430">
        <v>0</v>
      </c>
      <c r="C77" s="163">
        <v>0</v>
      </c>
      <c r="D77" s="431">
        <f t="shared" si="4"/>
        <v>0</v>
      </c>
      <c r="E77" s="404" t="s">
        <v>787</v>
      </c>
      <c r="F77" s="434">
        <v>0</v>
      </c>
      <c r="G77" s="401">
        <v>0</v>
      </c>
      <c r="H77" s="402">
        <f t="shared" si="5"/>
        <v>0</v>
      </c>
    </row>
    <row r="78" spans="1:8" ht="14.95" thickBot="1" x14ac:dyDescent="0.3">
      <c r="A78" s="134" t="s">
        <v>330</v>
      </c>
      <c r="B78" s="430">
        <v>0</v>
      </c>
      <c r="C78" s="163">
        <v>0</v>
      </c>
      <c r="D78" s="431">
        <f t="shared" si="4"/>
        <v>0</v>
      </c>
      <c r="E78" s="404" t="s">
        <v>786</v>
      </c>
      <c r="F78" s="434">
        <v>0</v>
      </c>
      <c r="G78" s="401">
        <v>0</v>
      </c>
      <c r="H78" s="402">
        <f t="shared" si="5"/>
        <v>0</v>
      </c>
    </row>
    <row r="79" spans="1:8" ht="14.95" thickBot="1" x14ac:dyDescent="0.3">
      <c r="A79" s="134" t="s">
        <v>499</v>
      </c>
      <c r="B79" s="430">
        <v>0</v>
      </c>
      <c r="C79" s="163">
        <v>0</v>
      </c>
      <c r="D79" s="431">
        <f t="shared" si="4"/>
        <v>0</v>
      </c>
      <c r="E79" s="404" t="s">
        <v>330</v>
      </c>
      <c r="F79" s="434">
        <v>0</v>
      </c>
      <c r="G79" s="401">
        <v>0</v>
      </c>
      <c r="H79" s="402">
        <f t="shared" si="5"/>
        <v>0</v>
      </c>
    </row>
    <row r="80" spans="1:8" ht="14.95" thickBot="1" x14ac:dyDescent="0.3">
      <c r="A80" s="134" t="s">
        <v>792</v>
      </c>
      <c r="B80" s="430">
        <v>0</v>
      </c>
      <c r="C80" s="163">
        <v>0</v>
      </c>
      <c r="D80" s="431">
        <f t="shared" si="4"/>
        <v>0</v>
      </c>
      <c r="E80" s="404" t="s">
        <v>792</v>
      </c>
      <c r="F80" s="434">
        <v>0</v>
      </c>
      <c r="G80" s="401">
        <v>0</v>
      </c>
      <c r="H80" s="402">
        <f t="shared" si="5"/>
        <v>0</v>
      </c>
    </row>
    <row r="81" spans="1:8" ht="14.95" thickBot="1" x14ac:dyDescent="0.3">
      <c r="A81" s="134" t="s">
        <v>644</v>
      </c>
      <c r="B81" s="430">
        <v>0</v>
      </c>
      <c r="C81" s="163">
        <v>0</v>
      </c>
      <c r="D81" s="431">
        <f t="shared" si="4"/>
        <v>0</v>
      </c>
      <c r="E81" s="404" t="s">
        <v>644</v>
      </c>
      <c r="F81" s="434">
        <v>0</v>
      </c>
      <c r="G81" s="401">
        <v>0</v>
      </c>
      <c r="H81" s="402">
        <f t="shared" si="5"/>
        <v>0</v>
      </c>
    </row>
    <row r="82" spans="1:8" ht="14.95" thickBot="1" x14ac:dyDescent="0.3">
      <c r="A82" s="134" t="s">
        <v>126</v>
      </c>
      <c r="B82" s="430">
        <v>0</v>
      </c>
      <c r="C82" s="163">
        <v>0</v>
      </c>
      <c r="D82" s="431">
        <f t="shared" si="4"/>
        <v>0</v>
      </c>
      <c r="E82" s="404" t="s">
        <v>126</v>
      </c>
      <c r="F82" s="434">
        <v>0</v>
      </c>
      <c r="G82" s="401">
        <v>0</v>
      </c>
      <c r="H82" s="402">
        <f t="shared" si="5"/>
        <v>0</v>
      </c>
    </row>
    <row r="83" spans="1:8" ht="14.95" thickBot="1" x14ac:dyDescent="0.3">
      <c r="A83" s="134" t="s">
        <v>1082</v>
      </c>
      <c r="B83" s="430">
        <v>0</v>
      </c>
      <c r="C83" s="163">
        <v>0</v>
      </c>
      <c r="D83" s="431">
        <f t="shared" si="4"/>
        <v>0</v>
      </c>
      <c r="E83" s="404" t="s">
        <v>1082</v>
      </c>
      <c r="F83" s="434">
        <v>0</v>
      </c>
      <c r="G83" s="401">
        <v>0</v>
      </c>
      <c r="H83" s="402">
        <f t="shared" si="5"/>
        <v>0</v>
      </c>
    </row>
    <row r="84" spans="1:8" ht="14.95" thickBot="1" x14ac:dyDescent="0.3">
      <c r="A84" s="134" t="s">
        <v>645</v>
      </c>
      <c r="B84" s="430">
        <v>0</v>
      </c>
      <c r="C84" s="163">
        <v>0</v>
      </c>
      <c r="D84" s="431">
        <f t="shared" si="4"/>
        <v>0</v>
      </c>
      <c r="E84" s="404" t="s">
        <v>645</v>
      </c>
      <c r="F84" s="434">
        <v>0</v>
      </c>
      <c r="G84" s="401">
        <v>0</v>
      </c>
      <c r="H84" s="402">
        <f t="shared" si="5"/>
        <v>0</v>
      </c>
    </row>
    <row r="85" spans="1:8" ht="14.95" thickBot="1" x14ac:dyDescent="0.3">
      <c r="A85" s="134" t="s">
        <v>111</v>
      </c>
      <c r="B85" s="430">
        <v>0</v>
      </c>
      <c r="C85" s="163">
        <v>0</v>
      </c>
      <c r="D85" s="431">
        <f t="shared" si="4"/>
        <v>0</v>
      </c>
      <c r="E85" s="404" t="s">
        <v>111</v>
      </c>
      <c r="F85" s="434">
        <v>0</v>
      </c>
      <c r="G85" s="401">
        <v>0</v>
      </c>
      <c r="H85" s="402">
        <f t="shared" si="5"/>
        <v>0</v>
      </c>
    </row>
    <row r="86" spans="1:8" ht="14.95" thickBot="1" x14ac:dyDescent="0.3">
      <c r="A86" s="134" t="s">
        <v>935</v>
      </c>
      <c r="B86" s="430">
        <v>0</v>
      </c>
      <c r="C86" s="163">
        <v>0</v>
      </c>
      <c r="D86" s="431">
        <f t="shared" si="4"/>
        <v>0</v>
      </c>
      <c r="E86" s="404" t="s">
        <v>935</v>
      </c>
      <c r="F86" s="434">
        <v>0</v>
      </c>
      <c r="G86" s="401">
        <v>0</v>
      </c>
      <c r="H86" s="402">
        <f t="shared" si="5"/>
        <v>0</v>
      </c>
    </row>
    <row r="87" spans="1:8" ht="14.95" thickBot="1" x14ac:dyDescent="0.3">
      <c r="A87" s="134" t="s">
        <v>136</v>
      </c>
      <c r="B87" s="430">
        <v>0</v>
      </c>
      <c r="C87" s="163">
        <v>0</v>
      </c>
      <c r="D87" s="431">
        <f t="shared" si="4"/>
        <v>0</v>
      </c>
      <c r="E87" s="404" t="s">
        <v>136</v>
      </c>
      <c r="F87" s="434">
        <v>0</v>
      </c>
      <c r="G87" s="401">
        <v>0</v>
      </c>
      <c r="H87" s="402">
        <f t="shared" si="5"/>
        <v>0</v>
      </c>
    </row>
    <row r="88" spans="1:8" ht="14.95" thickBot="1" x14ac:dyDescent="0.3">
      <c r="A88" s="134" t="s">
        <v>1091</v>
      </c>
      <c r="B88" s="430">
        <v>0</v>
      </c>
      <c r="C88" s="163">
        <v>0</v>
      </c>
      <c r="D88" s="431">
        <f t="shared" si="4"/>
        <v>0</v>
      </c>
      <c r="E88" s="404" t="s">
        <v>1091</v>
      </c>
      <c r="F88" s="434">
        <v>0</v>
      </c>
      <c r="G88" s="401">
        <v>0</v>
      </c>
      <c r="H88" s="402">
        <f t="shared" si="5"/>
        <v>0</v>
      </c>
    </row>
    <row r="89" spans="1:8" ht="14.95" thickBot="1" x14ac:dyDescent="0.3">
      <c r="A89" s="134" t="s">
        <v>68</v>
      </c>
      <c r="B89" s="430">
        <v>0</v>
      </c>
      <c r="C89" s="163">
        <v>0</v>
      </c>
      <c r="D89" s="431">
        <f t="shared" si="4"/>
        <v>0</v>
      </c>
      <c r="E89" s="404" t="s">
        <v>68</v>
      </c>
      <c r="F89" s="434">
        <v>0</v>
      </c>
      <c r="G89" s="401">
        <v>0</v>
      </c>
      <c r="H89" s="402">
        <f t="shared" si="5"/>
        <v>0</v>
      </c>
    </row>
    <row r="90" spans="1:8" ht="14.95" thickBot="1" x14ac:dyDescent="0.3">
      <c r="A90" s="134" t="s">
        <v>1081</v>
      </c>
      <c r="B90" s="430">
        <v>0</v>
      </c>
      <c r="C90" s="163">
        <v>0</v>
      </c>
      <c r="D90" s="431">
        <f t="shared" si="4"/>
        <v>0</v>
      </c>
      <c r="E90" s="404" t="s">
        <v>1081</v>
      </c>
      <c r="F90" s="434">
        <v>0</v>
      </c>
      <c r="G90" s="401">
        <v>0</v>
      </c>
      <c r="H90" s="402">
        <f t="shared" si="5"/>
        <v>0</v>
      </c>
    </row>
    <row r="91" spans="1:8" ht="14.95" thickBot="1" x14ac:dyDescent="0.3">
      <c r="A91" s="134" t="s">
        <v>3</v>
      </c>
      <c r="B91" s="430">
        <f>SUM(B49:B90)</f>
        <v>26</v>
      </c>
      <c r="C91" s="163">
        <f>SUM(C49:C90)</f>
        <v>13</v>
      </c>
      <c r="D91" s="431">
        <f>SUM(D49:D90)</f>
        <v>39</v>
      </c>
      <c r="E91" s="404" t="s">
        <v>3</v>
      </c>
      <c r="F91" s="434">
        <f>SUM(F49:F90)</f>
        <v>193</v>
      </c>
      <c r="G91" s="401">
        <f>SUM(G49:G90)</f>
        <v>126</v>
      </c>
      <c r="H91" s="402">
        <f>SUM(H49:H90)</f>
        <v>319</v>
      </c>
    </row>
    <row r="92" spans="1:8" ht="16.3" x14ac:dyDescent="0.3">
      <c r="A92" s="487" t="s">
        <v>28</v>
      </c>
    </row>
  </sheetData>
  <sortState xmlns:xlrd2="http://schemas.microsoft.com/office/spreadsheetml/2017/richdata2" ref="E49:H90">
    <sortCondition descending="1" ref="H49:H90"/>
  </sortState>
  <mergeCells count="27">
    <mergeCell ref="A1:H1"/>
    <mergeCell ref="I28:I29"/>
    <mergeCell ref="J28:L29"/>
    <mergeCell ref="I12:I13"/>
    <mergeCell ref="M12:O13"/>
    <mergeCell ref="I19:I20"/>
    <mergeCell ref="AA1:AC2"/>
    <mergeCell ref="I34:V34"/>
    <mergeCell ref="Q1:S2"/>
    <mergeCell ref="J19:L20"/>
    <mergeCell ref="AA19:AC20"/>
    <mergeCell ref="I35:U35"/>
    <mergeCell ref="AD1:AF2"/>
    <mergeCell ref="J12:L13"/>
    <mergeCell ref="AP1:AR2"/>
    <mergeCell ref="AG1:AI2"/>
    <mergeCell ref="M19:O20"/>
    <mergeCell ref="T1:V2"/>
    <mergeCell ref="AJ1:AL2"/>
    <mergeCell ref="P12:R13"/>
    <mergeCell ref="AM1:AO2"/>
    <mergeCell ref="S19:U20"/>
    <mergeCell ref="I1:I2"/>
    <mergeCell ref="J1:L2"/>
    <mergeCell ref="M1:O2"/>
    <mergeCell ref="P1:P2"/>
    <mergeCell ref="P19:R20"/>
  </mergeCell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P84"/>
  <sheetViews>
    <sheetView zoomScaleNormal="100" workbookViewId="0">
      <selection activeCell="L35" sqref="L35:N36"/>
    </sheetView>
  </sheetViews>
  <sheetFormatPr defaultRowHeight="14.3" x14ac:dyDescent="0.25"/>
  <cols>
    <col min="1" max="1" width="16.5" customWidth="1"/>
    <col min="2" max="2" width="4.625" customWidth="1"/>
    <col min="3" max="3" width="5.125" bestFit="1" customWidth="1"/>
    <col min="4" max="5" width="4.5" customWidth="1"/>
    <col min="6" max="6" width="16.5" customWidth="1"/>
    <col min="7" max="7" width="4.625" customWidth="1"/>
    <col min="8" max="8" width="5.125" bestFit="1" customWidth="1"/>
    <col min="9" max="10" width="4.5" customWidth="1"/>
    <col min="11" max="11" width="15.5" customWidth="1"/>
    <col min="12" max="21" width="5.5" customWidth="1"/>
    <col min="22" max="42" width="5.625" customWidth="1"/>
  </cols>
  <sheetData>
    <row r="1" spans="1:42" ht="14.95" customHeight="1" thickBot="1" x14ac:dyDescent="0.3">
      <c r="A1" s="673" t="s">
        <v>1161</v>
      </c>
      <c r="B1" s="674"/>
      <c r="C1" s="674"/>
      <c r="D1" s="674"/>
      <c r="E1" s="674"/>
      <c r="F1" s="674"/>
      <c r="G1" s="674"/>
      <c r="H1" s="674"/>
      <c r="I1" s="674"/>
      <c r="J1" s="675"/>
      <c r="K1" s="676" t="s">
        <v>112</v>
      </c>
      <c r="L1" s="583">
        <v>2025</v>
      </c>
      <c r="M1" s="584"/>
      <c r="N1" s="585"/>
      <c r="O1" s="583" t="s">
        <v>32</v>
      </c>
      <c r="P1" s="584"/>
      <c r="Q1" s="585"/>
      <c r="R1" s="579" t="s">
        <v>121</v>
      </c>
      <c r="S1" s="557">
        <v>2024</v>
      </c>
      <c r="T1" s="563"/>
      <c r="U1" s="564"/>
      <c r="V1" s="568">
        <v>2023</v>
      </c>
      <c r="W1" s="569"/>
      <c r="X1" s="570"/>
      <c r="Y1" s="616"/>
      <c r="Z1" s="616"/>
      <c r="AA1" s="616"/>
      <c r="AB1" s="557">
        <v>2022</v>
      </c>
      <c r="AC1" s="563"/>
      <c r="AD1" s="564"/>
      <c r="AE1" s="557">
        <v>2021</v>
      </c>
      <c r="AF1" s="563"/>
      <c r="AG1" s="564"/>
      <c r="AH1" s="557">
        <v>2020</v>
      </c>
      <c r="AI1" s="563"/>
      <c r="AJ1" s="564"/>
      <c r="AK1" s="557">
        <v>2019</v>
      </c>
      <c r="AL1" s="563"/>
      <c r="AM1" s="564"/>
      <c r="AN1" s="568">
        <v>2018</v>
      </c>
      <c r="AO1" s="569"/>
      <c r="AP1" s="570"/>
    </row>
    <row r="2" spans="1:42" ht="14.95" customHeight="1" thickBot="1" x14ac:dyDescent="0.3">
      <c r="A2" s="202" t="s">
        <v>0</v>
      </c>
      <c r="B2" s="216" t="s">
        <v>1069</v>
      </c>
      <c r="C2" s="506" t="s">
        <v>1285</v>
      </c>
      <c r="D2" s="286" t="s">
        <v>31</v>
      </c>
      <c r="E2" s="204" t="s">
        <v>1</v>
      </c>
      <c r="F2" s="205" t="s">
        <v>2</v>
      </c>
      <c r="G2" s="206" t="s">
        <v>1069</v>
      </c>
      <c r="H2" s="507" t="s">
        <v>1285</v>
      </c>
      <c r="I2" s="350" t="s">
        <v>31</v>
      </c>
      <c r="J2" s="206" t="s">
        <v>1</v>
      </c>
      <c r="K2" s="677"/>
      <c r="L2" s="586"/>
      <c r="M2" s="587"/>
      <c r="N2" s="588"/>
      <c r="O2" s="586"/>
      <c r="P2" s="587"/>
      <c r="Q2" s="588"/>
      <c r="R2" s="580"/>
      <c r="S2" s="565"/>
      <c r="T2" s="566"/>
      <c r="U2" s="567"/>
      <c r="V2" s="571"/>
      <c r="W2" s="572"/>
      <c r="X2" s="573"/>
      <c r="Y2" s="616"/>
      <c r="Z2" s="616"/>
      <c r="AA2" s="616"/>
      <c r="AB2" s="565"/>
      <c r="AC2" s="566"/>
      <c r="AD2" s="567"/>
      <c r="AE2" s="565"/>
      <c r="AF2" s="566"/>
      <c r="AG2" s="567"/>
      <c r="AH2" s="565"/>
      <c r="AI2" s="566"/>
      <c r="AJ2" s="567"/>
      <c r="AK2" s="565"/>
      <c r="AL2" s="566"/>
      <c r="AM2" s="567"/>
      <c r="AN2" s="571"/>
      <c r="AO2" s="572"/>
      <c r="AP2" s="573"/>
    </row>
    <row r="3" spans="1:42" ht="14.95" customHeight="1" thickBot="1" x14ac:dyDescent="0.3">
      <c r="A3" s="66" t="s">
        <v>855</v>
      </c>
      <c r="B3" s="275">
        <v>0</v>
      </c>
      <c r="C3" s="378">
        <v>0</v>
      </c>
      <c r="D3" s="287">
        <v>0</v>
      </c>
      <c r="E3" s="67">
        <f>SUM(B3:D3)</f>
        <v>0</v>
      </c>
      <c r="F3" s="93" t="s">
        <v>855</v>
      </c>
      <c r="G3" s="93">
        <v>0</v>
      </c>
      <c r="H3" s="379">
        <v>0</v>
      </c>
      <c r="I3" s="351">
        <v>0</v>
      </c>
      <c r="J3" s="94">
        <f>SUM(G3:I3)</f>
        <v>0</v>
      </c>
      <c r="K3" s="4"/>
      <c r="L3" s="53" t="s">
        <v>152</v>
      </c>
      <c r="M3" s="53" t="s">
        <v>12</v>
      </c>
      <c r="N3" s="53" t="s">
        <v>13</v>
      </c>
      <c r="O3" s="181" t="s">
        <v>152</v>
      </c>
      <c r="P3" s="53" t="s">
        <v>12</v>
      </c>
      <c r="Q3" s="53" t="s">
        <v>13</v>
      </c>
      <c r="R3" s="1"/>
      <c r="S3" s="128" t="s">
        <v>152</v>
      </c>
      <c r="T3" s="128" t="s">
        <v>12</v>
      </c>
      <c r="U3" s="128" t="s">
        <v>13</v>
      </c>
      <c r="V3" s="128" t="s">
        <v>152</v>
      </c>
      <c r="W3" s="128" t="s">
        <v>12</v>
      </c>
      <c r="X3" s="128" t="s">
        <v>13</v>
      </c>
      <c r="Y3" s="41"/>
      <c r="Z3" s="41"/>
      <c r="AA3" s="41"/>
      <c r="AB3" s="228" t="s">
        <v>152</v>
      </c>
      <c r="AC3" s="128" t="s">
        <v>12</v>
      </c>
      <c r="AD3" s="128" t="s">
        <v>13</v>
      </c>
      <c r="AE3" s="228" t="s">
        <v>152</v>
      </c>
      <c r="AF3" s="128" t="s">
        <v>12</v>
      </c>
      <c r="AG3" s="128" t="s">
        <v>13</v>
      </c>
      <c r="AH3" s="228" t="s">
        <v>152</v>
      </c>
      <c r="AI3" s="128" t="s">
        <v>12</v>
      </c>
      <c r="AJ3" s="128" t="s">
        <v>13</v>
      </c>
      <c r="AK3" s="228" t="s">
        <v>152</v>
      </c>
      <c r="AL3" s="128" t="s">
        <v>12</v>
      </c>
      <c r="AM3" s="128" t="s">
        <v>13</v>
      </c>
      <c r="AN3" s="128" t="s">
        <v>152</v>
      </c>
      <c r="AO3" s="128" t="s">
        <v>12</v>
      </c>
      <c r="AP3" s="128" t="s">
        <v>13</v>
      </c>
    </row>
    <row r="4" spans="1:42" ht="14.95" customHeight="1" thickBot="1" x14ac:dyDescent="0.3">
      <c r="A4" s="66" t="s">
        <v>1427</v>
      </c>
      <c r="B4" s="275">
        <v>0</v>
      </c>
      <c r="C4" s="378">
        <v>1</v>
      </c>
      <c r="D4" s="287">
        <v>0</v>
      </c>
      <c r="E4" s="67">
        <f>SUM(B4:D4)</f>
        <v>1</v>
      </c>
      <c r="F4" s="93" t="s">
        <v>1427</v>
      </c>
      <c r="G4" s="93">
        <v>0</v>
      </c>
      <c r="H4" s="379">
        <v>5</v>
      </c>
      <c r="I4" s="351">
        <v>0</v>
      </c>
      <c r="J4" s="94">
        <f>SUM(G4:I4)</f>
        <v>5</v>
      </c>
      <c r="K4" s="66" t="s">
        <v>1071</v>
      </c>
      <c r="L4" s="67" t="s">
        <v>17</v>
      </c>
      <c r="M4" s="67" t="s">
        <v>17</v>
      </c>
      <c r="N4" s="95" t="s">
        <v>17</v>
      </c>
      <c r="O4" s="67" t="s">
        <v>17</v>
      </c>
      <c r="P4" s="67" t="s">
        <v>17</v>
      </c>
      <c r="Q4" s="95" t="s">
        <v>17</v>
      </c>
      <c r="R4" s="67">
        <v>-1</v>
      </c>
      <c r="S4" s="128">
        <v>10</v>
      </c>
      <c r="T4" s="128">
        <v>13</v>
      </c>
      <c r="U4" s="231">
        <f t="shared" ref="U4:U5" si="0">SUM(S4/T4)*100</f>
        <v>76.923076923076934</v>
      </c>
      <c r="V4" s="128" t="s">
        <v>17</v>
      </c>
      <c r="W4" s="128" t="s">
        <v>17</v>
      </c>
      <c r="X4" s="231" t="s">
        <v>17</v>
      </c>
      <c r="Y4" s="41"/>
      <c r="Z4" s="41"/>
      <c r="AA4" s="43"/>
      <c r="AB4" s="232" t="s">
        <v>17</v>
      </c>
      <c r="AC4" s="128" t="s">
        <v>17</v>
      </c>
      <c r="AD4" s="231" t="s">
        <v>17</v>
      </c>
      <c r="AE4" s="228" t="s">
        <v>17</v>
      </c>
      <c r="AF4" s="128" t="s">
        <v>17</v>
      </c>
      <c r="AG4" s="231" t="s">
        <v>17</v>
      </c>
      <c r="AH4" s="128" t="s">
        <v>17</v>
      </c>
      <c r="AI4" s="128" t="s">
        <v>17</v>
      </c>
      <c r="AJ4" s="231" t="s">
        <v>17</v>
      </c>
      <c r="AK4" s="128" t="s">
        <v>17</v>
      </c>
      <c r="AL4" s="128" t="s">
        <v>17</v>
      </c>
      <c r="AM4" s="231" t="s">
        <v>17</v>
      </c>
      <c r="AN4" s="128" t="s">
        <v>17</v>
      </c>
      <c r="AO4" s="128" t="s">
        <v>17</v>
      </c>
      <c r="AP4" s="231" t="s">
        <v>17</v>
      </c>
    </row>
    <row r="5" spans="1:42" ht="14.95" customHeight="1" thickBot="1" x14ac:dyDescent="0.3">
      <c r="A5" s="66" t="s">
        <v>863</v>
      </c>
      <c r="B5" s="275">
        <v>0</v>
      </c>
      <c r="C5" s="378">
        <v>0</v>
      </c>
      <c r="D5" s="287">
        <v>0</v>
      </c>
      <c r="E5" s="67">
        <f t="shared" ref="E5:E40" si="1">SUM(B5:D5)</f>
        <v>0</v>
      </c>
      <c r="F5" s="93" t="s">
        <v>863</v>
      </c>
      <c r="G5" s="93">
        <v>0</v>
      </c>
      <c r="H5" s="379">
        <v>0</v>
      </c>
      <c r="I5" s="351">
        <v>0</v>
      </c>
      <c r="J5" s="94">
        <f t="shared" ref="J5:J40" si="2">SUM(G5:I5)</f>
        <v>0</v>
      </c>
      <c r="K5" s="66" t="s">
        <v>22</v>
      </c>
      <c r="L5" s="67">
        <v>0</v>
      </c>
      <c r="M5" s="67">
        <v>1</v>
      </c>
      <c r="N5" s="95">
        <f>SUM(L5/M5)*100</f>
        <v>0</v>
      </c>
      <c r="O5" s="67" t="s">
        <v>17</v>
      </c>
      <c r="P5" s="67" t="s">
        <v>17</v>
      </c>
      <c r="Q5" s="95" t="s">
        <v>17</v>
      </c>
      <c r="R5" s="67">
        <v>-1</v>
      </c>
      <c r="S5" s="128">
        <v>3</v>
      </c>
      <c r="T5" s="128">
        <v>5</v>
      </c>
      <c r="U5" s="231">
        <f t="shared" si="0"/>
        <v>60</v>
      </c>
      <c r="V5" s="128" t="s">
        <v>17</v>
      </c>
      <c r="W5" s="128" t="s">
        <v>17</v>
      </c>
      <c r="X5" s="231" t="s">
        <v>17</v>
      </c>
      <c r="Y5" s="41"/>
      <c r="Z5" s="41"/>
      <c r="AA5" s="43"/>
      <c r="AB5" s="232" t="s">
        <v>17</v>
      </c>
      <c r="AC5" s="128" t="s">
        <v>17</v>
      </c>
      <c r="AD5" s="231" t="s">
        <v>17</v>
      </c>
      <c r="AE5" s="228" t="s">
        <v>17</v>
      </c>
      <c r="AF5" s="128" t="s">
        <v>17</v>
      </c>
      <c r="AG5" s="231" t="s">
        <v>17</v>
      </c>
      <c r="AH5" s="128" t="s">
        <v>17</v>
      </c>
      <c r="AI5" s="128" t="s">
        <v>17</v>
      </c>
      <c r="AJ5" s="231" t="s">
        <v>17</v>
      </c>
      <c r="AK5" s="128" t="s">
        <v>17</v>
      </c>
      <c r="AL5" s="128" t="s">
        <v>17</v>
      </c>
      <c r="AM5" s="231" t="s">
        <v>17</v>
      </c>
      <c r="AN5" s="128" t="s">
        <v>17</v>
      </c>
      <c r="AO5" s="128" t="s">
        <v>17</v>
      </c>
      <c r="AP5" s="231" t="s">
        <v>17</v>
      </c>
    </row>
    <row r="6" spans="1:42" ht="14.95" customHeight="1" thickBot="1" x14ac:dyDescent="0.3">
      <c r="A6" s="66" t="s">
        <v>1281</v>
      </c>
      <c r="B6" s="275">
        <v>1</v>
      </c>
      <c r="C6" s="378">
        <v>0</v>
      </c>
      <c r="D6" s="287">
        <v>0</v>
      </c>
      <c r="E6" s="67">
        <f t="shared" si="1"/>
        <v>1</v>
      </c>
      <c r="F6" s="92" t="s">
        <v>1281</v>
      </c>
      <c r="G6" s="93">
        <v>5</v>
      </c>
      <c r="H6" s="379">
        <v>0</v>
      </c>
      <c r="I6" s="351">
        <v>0</v>
      </c>
      <c r="J6" s="94">
        <f t="shared" si="2"/>
        <v>5</v>
      </c>
      <c r="K6" s="66" t="s">
        <v>1279</v>
      </c>
      <c r="L6" s="67">
        <v>0</v>
      </c>
      <c r="M6" s="67">
        <v>1</v>
      </c>
      <c r="N6" s="95">
        <f>SUM(L6/M6)*100</f>
        <v>0</v>
      </c>
      <c r="O6" s="67" t="s">
        <v>17</v>
      </c>
      <c r="P6" s="67" t="s">
        <v>17</v>
      </c>
      <c r="Q6" s="95" t="s">
        <v>17</v>
      </c>
      <c r="R6" s="67">
        <v>-1</v>
      </c>
      <c r="S6" s="128" t="s">
        <v>17</v>
      </c>
      <c r="T6" s="128" t="s">
        <v>17</v>
      </c>
      <c r="U6" s="231" t="s">
        <v>17</v>
      </c>
      <c r="V6" s="128" t="s">
        <v>17</v>
      </c>
      <c r="W6" s="128" t="s">
        <v>17</v>
      </c>
      <c r="X6" s="231" t="s">
        <v>17</v>
      </c>
      <c r="Y6" s="41"/>
      <c r="Z6" s="41"/>
      <c r="AA6" s="43"/>
      <c r="AB6" s="232" t="s">
        <v>17</v>
      </c>
      <c r="AC6" s="128" t="s">
        <v>17</v>
      </c>
      <c r="AD6" s="231" t="s">
        <v>17</v>
      </c>
      <c r="AE6" s="128" t="s">
        <v>17</v>
      </c>
      <c r="AF6" s="128" t="s">
        <v>17</v>
      </c>
      <c r="AG6" s="231" t="s">
        <v>17</v>
      </c>
      <c r="AH6" s="128" t="s">
        <v>17</v>
      </c>
      <c r="AI6" s="128" t="s">
        <v>17</v>
      </c>
      <c r="AJ6" s="231" t="s">
        <v>17</v>
      </c>
      <c r="AK6" s="128" t="s">
        <v>17</v>
      </c>
      <c r="AL6" s="128" t="s">
        <v>17</v>
      </c>
      <c r="AM6" s="231" t="s">
        <v>17</v>
      </c>
      <c r="AN6" s="128" t="s">
        <v>17</v>
      </c>
      <c r="AO6" s="128" t="s">
        <v>17</v>
      </c>
      <c r="AP6" s="231" t="s">
        <v>17</v>
      </c>
    </row>
    <row r="7" spans="1:42" ht="14.95" customHeight="1" thickBot="1" x14ac:dyDescent="0.3">
      <c r="A7" s="66" t="s">
        <v>22</v>
      </c>
      <c r="B7" s="275">
        <v>0</v>
      </c>
      <c r="C7" s="378">
        <v>0</v>
      </c>
      <c r="D7" s="287">
        <v>0</v>
      </c>
      <c r="E7" s="67">
        <f t="shared" si="1"/>
        <v>0</v>
      </c>
      <c r="F7" s="92" t="s">
        <v>22</v>
      </c>
      <c r="G7" s="93">
        <v>0</v>
      </c>
      <c r="H7" s="379">
        <v>0</v>
      </c>
      <c r="I7" s="351">
        <v>0</v>
      </c>
      <c r="J7" s="94">
        <f t="shared" si="2"/>
        <v>0</v>
      </c>
      <c r="K7" s="66" t="s">
        <v>150</v>
      </c>
      <c r="L7" s="67">
        <v>19</v>
      </c>
      <c r="M7" s="67">
        <v>25</v>
      </c>
      <c r="N7" s="95">
        <f>SUM(L7/M7)*100</f>
        <v>76</v>
      </c>
      <c r="O7" s="67">
        <v>5</v>
      </c>
      <c r="P7" s="67">
        <v>6</v>
      </c>
      <c r="Q7" s="95">
        <f>SUM(O7/P7)*100</f>
        <v>83.333333333333343</v>
      </c>
      <c r="R7" s="67">
        <v>-1</v>
      </c>
      <c r="S7" s="128" t="s">
        <v>17</v>
      </c>
      <c r="T7" s="128" t="s">
        <v>17</v>
      </c>
      <c r="U7" s="231" t="s">
        <v>17</v>
      </c>
      <c r="V7" s="128" t="s">
        <v>17</v>
      </c>
      <c r="W7" s="128" t="s">
        <v>17</v>
      </c>
      <c r="X7" s="231" t="s">
        <v>17</v>
      </c>
      <c r="Y7" s="41"/>
      <c r="Z7" s="41"/>
      <c r="AA7" s="43"/>
      <c r="AB7" s="228">
        <v>19</v>
      </c>
      <c r="AC7" s="128">
        <v>28</v>
      </c>
      <c r="AD7" s="231">
        <f>SUM(AB7/AC7)*100</f>
        <v>67.857142857142861</v>
      </c>
      <c r="AE7" s="228">
        <v>12</v>
      </c>
      <c r="AF7" s="128">
        <v>16</v>
      </c>
      <c r="AG7" s="231">
        <f>SUM(AE7/AF7)*100</f>
        <v>75</v>
      </c>
      <c r="AH7" s="228" t="s">
        <v>17</v>
      </c>
      <c r="AI7" s="128" t="s">
        <v>17</v>
      </c>
      <c r="AJ7" s="128" t="s">
        <v>17</v>
      </c>
      <c r="AK7" s="228">
        <v>10</v>
      </c>
      <c r="AL7" s="128">
        <v>13</v>
      </c>
      <c r="AM7" s="231">
        <f>SUM(AK7/AL7)*100</f>
        <v>76.923076923076934</v>
      </c>
      <c r="AN7" s="128">
        <v>40</v>
      </c>
      <c r="AO7" s="128">
        <v>50</v>
      </c>
      <c r="AP7" s="231">
        <f>SUM(AN7/AO7)*100</f>
        <v>80</v>
      </c>
    </row>
    <row r="8" spans="1:42" ht="14.95" customHeight="1" thickBot="1" x14ac:dyDescent="0.3">
      <c r="A8" s="66" t="s">
        <v>123</v>
      </c>
      <c r="B8" s="275">
        <v>0</v>
      </c>
      <c r="C8" s="378">
        <v>0</v>
      </c>
      <c r="D8" s="287">
        <v>0</v>
      </c>
      <c r="E8" s="67">
        <f t="shared" si="1"/>
        <v>0</v>
      </c>
      <c r="F8" s="92" t="s">
        <v>123</v>
      </c>
      <c r="G8" s="93">
        <v>0</v>
      </c>
      <c r="H8" s="379">
        <v>0</v>
      </c>
      <c r="I8" s="351">
        <v>0</v>
      </c>
      <c r="J8" s="94">
        <f t="shared" si="2"/>
        <v>0</v>
      </c>
      <c r="K8" s="66" t="s">
        <v>681</v>
      </c>
      <c r="L8" s="67">
        <v>6</v>
      </c>
      <c r="M8" s="67">
        <v>6</v>
      </c>
      <c r="N8" s="95">
        <f>SUM(L8/M8)*100</f>
        <v>100</v>
      </c>
      <c r="O8" s="67" t="s">
        <v>17</v>
      </c>
      <c r="P8" s="67" t="s">
        <v>17</v>
      </c>
      <c r="Q8" s="95" t="s">
        <v>17</v>
      </c>
      <c r="R8" s="67">
        <v>19</v>
      </c>
      <c r="S8" s="128">
        <v>6</v>
      </c>
      <c r="T8" s="128">
        <v>6</v>
      </c>
      <c r="U8" s="231">
        <f>SUM(S8/T8)*100</f>
        <v>100</v>
      </c>
      <c r="V8" s="128">
        <v>13</v>
      </c>
      <c r="W8" s="128">
        <v>18</v>
      </c>
      <c r="X8" s="231">
        <f>SUM(V8/W8)*100</f>
        <v>72.222222222222214</v>
      </c>
      <c r="Y8" s="41"/>
      <c r="Z8" s="41"/>
      <c r="AA8" s="43"/>
      <c r="AB8" s="228" t="s">
        <v>17</v>
      </c>
      <c r="AC8" s="128" t="s">
        <v>17</v>
      </c>
      <c r="AD8" s="231" t="s">
        <v>17</v>
      </c>
      <c r="AE8" s="228" t="s">
        <v>17</v>
      </c>
      <c r="AF8" s="128" t="s">
        <v>17</v>
      </c>
      <c r="AG8" s="231" t="s">
        <v>17</v>
      </c>
      <c r="AH8" s="128" t="s">
        <v>17</v>
      </c>
      <c r="AI8" s="128" t="s">
        <v>17</v>
      </c>
      <c r="AJ8" s="231" t="s">
        <v>17</v>
      </c>
      <c r="AK8" s="128" t="s">
        <v>17</v>
      </c>
      <c r="AL8" s="128" t="s">
        <v>17</v>
      </c>
      <c r="AM8" s="231" t="s">
        <v>17</v>
      </c>
      <c r="AN8" s="128" t="s">
        <v>17</v>
      </c>
      <c r="AO8" s="128" t="s">
        <v>17</v>
      </c>
      <c r="AP8" s="231" t="s">
        <v>17</v>
      </c>
    </row>
    <row r="9" spans="1:42" ht="14.95" customHeight="1" thickBot="1" x14ac:dyDescent="0.3">
      <c r="A9" s="66" t="s">
        <v>1278</v>
      </c>
      <c r="B9" s="275">
        <v>1</v>
      </c>
      <c r="C9" s="378">
        <v>2</v>
      </c>
      <c r="D9" s="287">
        <v>0</v>
      </c>
      <c r="E9" s="67">
        <f t="shared" si="1"/>
        <v>3</v>
      </c>
      <c r="F9" s="92" t="s">
        <v>1278</v>
      </c>
      <c r="G9" s="93">
        <v>5</v>
      </c>
      <c r="H9" s="379">
        <v>10</v>
      </c>
      <c r="I9" s="351">
        <v>0</v>
      </c>
      <c r="J9" s="94">
        <f t="shared" si="2"/>
        <v>15</v>
      </c>
      <c r="K9" s="66" t="s">
        <v>865</v>
      </c>
      <c r="L9" s="67">
        <v>11</v>
      </c>
      <c r="M9" s="67">
        <v>15</v>
      </c>
      <c r="N9" s="95">
        <f>SUM(L9/M9)*100</f>
        <v>73.333333333333329</v>
      </c>
      <c r="O9" s="67" t="s">
        <v>17</v>
      </c>
      <c r="P9" s="67" t="s">
        <v>17</v>
      </c>
      <c r="Q9" s="95" t="s">
        <v>17</v>
      </c>
      <c r="R9" s="67">
        <v>10</v>
      </c>
      <c r="S9" s="128" t="s">
        <v>17</v>
      </c>
      <c r="T9" s="128" t="s">
        <v>17</v>
      </c>
      <c r="U9" s="231" t="s">
        <v>17</v>
      </c>
      <c r="V9" s="128" t="s">
        <v>17</v>
      </c>
      <c r="W9" s="128" t="s">
        <v>17</v>
      </c>
      <c r="X9" s="231" t="s">
        <v>17</v>
      </c>
      <c r="Y9" s="41"/>
      <c r="Z9" s="41"/>
      <c r="AA9" s="43"/>
      <c r="AB9" s="228" t="s">
        <v>17</v>
      </c>
      <c r="AC9" s="128" t="s">
        <v>17</v>
      </c>
      <c r="AD9" s="231" t="s">
        <v>17</v>
      </c>
      <c r="AE9" s="228">
        <v>4</v>
      </c>
      <c r="AF9" s="128">
        <v>9</v>
      </c>
      <c r="AG9" s="231">
        <f>SUM(AE9/AF9)*100</f>
        <v>44.444444444444443</v>
      </c>
      <c r="AH9" s="228" t="s">
        <v>17</v>
      </c>
      <c r="AI9" s="128" t="s">
        <v>17</v>
      </c>
      <c r="AJ9" s="128" t="s">
        <v>17</v>
      </c>
      <c r="AK9" s="228">
        <v>3</v>
      </c>
      <c r="AL9" s="128">
        <v>3</v>
      </c>
      <c r="AM9" s="231">
        <f>SUM(AK9/AL9)*100</f>
        <v>100</v>
      </c>
      <c r="AN9" s="128">
        <v>5</v>
      </c>
      <c r="AO9" s="128">
        <v>5</v>
      </c>
      <c r="AP9" s="231">
        <f>SUM(AN9/AO9)*100</f>
        <v>100</v>
      </c>
    </row>
    <row r="10" spans="1:42" ht="14.95" customHeight="1" thickBot="1" x14ac:dyDescent="0.3">
      <c r="A10" s="66" t="s">
        <v>1407</v>
      </c>
      <c r="B10" s="275">
        <v>0</v>
      </c>
      <c r="C10" s="378">
        <v>1</v>
      </c>
      <c r="D10" s="287">
        <v>0</v>
      </c>
      <c r="E10" s="67">
        <f t="shared" si="1"/>
        <v>1</v>
      </c>
      <c r="F10" s="92" t="s">
        <v>1407</v>
      </c>
      <c r="G10" s="93">
        <v>0</v>
      </c>
      <c r="H10" s="379">
        <v>5</v>
      </c>
      <c r="I10" s="351">
        <v>0</v>
      </c>
      <c r="J10" s="94">
        <f t="shared" si="2"/>
        <v>5</v>
      </c>
      <c r="K10" s="160" t="s">
        <v>20</v>
      </c>
      <c r="L10" s="161"/>
      <c r="M10" s="161"/>
      <c r="N10" s="161"/>
      <c r="O10" s="161"/>
      <c r="P10" s="38"/>
      <c r="Q10" s="24"/>
      <c r="R10" s="38"/>
    </row>
    <row r="11" spans="1:42" ht="14.95" thickBot="1" x14ac:dyDescent="0.3">
      <c r="A11" s="66" t="s">
        <v>1072</v>
      </c>
      <c r="B11" s="275">
        <v>0</v>
      </c>
      <c r="C11" s="378">
        <v>0</v>
      </c>
      <c r="D11" s="287">
        <v>0</v>
      </c>
      <c r="E11" s="67">
        <f t="shared" si="1"/>
        <v>0</v>
      </c>
      <c r="F11" s="92" t="s">
        <v>1072</v>
      </c>
      <c r="G11" s="93">
        <v>0</v>
      </c>
      <c r="H11" s="379">
        <v>0</v>
      </c>
      <c r="I11" s="351">
        <v>0</v>
      </c>
      <c r="J11" s="94">
        <f t="shared" si="2"/>
        <v>0</v>
      </c>
      <c r="K11" s="577" t="s">
        <v>33</v>
      </c>
      <c r="L11" s="568">
        <v>2023</v>
      </c>
      <c r="M11" s="569"/>
      <c r="N11" s="570"/>
      <c r="O11" s="557">
        <v>2019</v>
      </c>
      <c r="P11" s="563"/>
      <c r="Q11" s="564"/>
      <c r="R11" s="557">
        <v>2015</v>
      </c>
      <c r="S11" s="563"/>
      <c r="T11" s="564"/>
    </row>
    <row r="12" spans="1:42" ht="14.95" customHeight="1" thickBot="1" x14ac:dyDescent="0.3">
      <c r="A12" s="66" t="s">
        <v>862</v>
      </c>
      <c r="B12" s="275">
        <v>2</v>
      </c>
      <c r="C12" s="378">
        <v>0</v>
      </c>
      <c r="D12" s="287">
        <v>0</v>
      </c>
      <c r="E12" s="67">
        <f t="shared" si="1"/>
        <v>2</v>
      </c>
      <c r="F12" s="92" t="s">
        <v>862</v>
      </c>
      <c r="G12" s="93">
        <v>10</v>
      </c>
      <c r="H12" s="379">
        <v>0</v>
      </c>
      <c r="I12" s="351">
        <v>0</v>
      </c>
      <c r="J12" s="94">
        <f t="shared" si="2"/>
        <v>10</v>
      </c>
      <c r="K12" s="578"/>
      <c r="L12" s="571"/>
      <c r="M12" s="572"/>
      <c r="N12" s="573"/>
      <c r="O12" s="565"/>
      <c r="P12" s="566"/>
      <c r="Q12" s="567"/>
      <c r="R12" s="565"/>
      <c r="S12" s="566"/>
      <c r="T12" s="567"/>
    </row>
    <row r="13" spans="1:42" ht="14.95" customHeight="1" thickBot="1" x14ac:dyDescent="0.3">
      <c r="A13" s="66" t="s">
        <v>69</v>
      </c>
      <c r="B13" s="275">
        <v>0</v>
      </c>
      <c r="C13" s="378">
        <v>0</v>
      </c>
      <c r="D13" s="287">
        <v>0</v>
      </c>
      <c r="E13" s="67">
        <f t="shared" si="1"/>
        <v>0</v>
      </c>
      <c r="F13" s="92" t="s">
        <v>69</v>
      </c>
      <c r="G13" s="93">
        <v>0</v>
      </c>
      <c r="H13" s="379">
        <v>0</v>
      </c>
      <c r="I13" s="351">
        <v>0</v>
      </c>
      <c r="J13" s="94">
        <f t="shared" si="2"/>
        <v>0</v>
      </c>
      <c r="K13" s="4"/>
      <c r="L13" s="128" t="s">
        <v>152</v>
      </c>
      <c r="M13" s="128" t="s">
        <v>12</v>
      </c>
      <c r="N13" s="128" t="s">
        <v>13</v>
      </c>
      <c r="O13" s="119" t="s">
        <v>152</v>
      </c>
      <c r="P13" s="119" t="s">
        <v>12</v>
      </c>
      <c r="Q13" s="119" t="s">
        <v>13</v>
      </c>
      <c r="R13" s="119" t="s">
        <v>152</v>
      </c>
      <c r="S13" s="119" t="s">
        <v>12</v>
      </c>
      <c r="T13" s="119" t="s">
        <v>13</v>
      </c>
      <c r="X13" s="9"/>
    </row>
    <row r="14" spans="1:42" ht="14.95" customHeight="1" thickBot="1" x14ac:dyDescent="0.3">
      <c r="A14" s="66" t="s">
        <v>859</v>
      </c>
      <c r="B14" s="275">
        <v>0</v>
      </c>
      <c r="C14" s="378">
        <v>1</v>
      </c>
      <c r="D14" s="287">
        <v>0</v>
      </c>
      <c r="E14" s="67">
        <f t="shared" si="1"/>
        <v>1</v>
      </c>
      <c r="F14" s="92" t="s">
        <v>859</v>
      </c>
      <c r="G14" s="93">
        <v>0</v>
      </c>
      <c r="H14" s="379">
        <v>5</v>
      </c>
      <c r="I14" s="351">
        <v>0</v>
      </c>
      <c r="J14" s="94">
        <f t="shared" si="2"/>
        <v>5</v>
      </c>
      <c r="K14" s="66" t="s">
        <v>71</v>
      </c>
      <c r="L14" s="128" t="s">
        <v>17</v>
      </c>
      <c r="M14" s="128" t="s">
        <v>17</v>
      </c>
      <c r="N14" s="231" t="s">
        <v>17</v>
      </c>
      <c r="O14" s="128" t="s">
        <v>17</v>
      </c>
      <c r="P14" s="128" t="s">
        <v>17</v>
      </c>
      <c r="Q14" s="128" t="s">
        <v>17</v>
      </c>
      <c r="R14" s="128">
        <v>12</v>
      </c>
      <c r="S14" s="128">
        <v>13</v>
      </c>
      <c r="T14" s="231">
        <f>SUM(R14/S14)*100</f>
        <v>92.307692307692307</v>
      </c>
    </row>
    <row r="15" spans="1:42" ht="14.95" thickBot="1" x14ac:dyDescent="0.3">
      <c r="A15" s="66" t="s">
        <v>1074</v>
      </c>
      <c r="B15" s="275">
        <v>0</v>
      </c>
      <c r="C15" s="378">
        <v>0</v>
      </c>
      <c r="D15" s="287">
        <v>0</v>
      </c>
      <c r="E15" s="67">
        <f t="shared" si="1"/>
        <v>0</v>
      </c>
      <c r="F15" s="92" t="s">
        <v>1073</v>
      </c>
      <c r="G15" s="93">
        <v>0</v>
      </c>
      <c r="H15" s="379">
        <v>0</v>
      </c>
      <c r="I15" s="351">
        <v>0</v>
      </c>
      <c r="J15" s="94">
        <f t="shared" si="2"/>
        <v>0</v>
      </c>
      <c r="K15" s="66" t="s">
        <v>150</v>
      </c>
      <c r="L15" s="128" t="s">
        <v>17</v>
      </c>
      <c r="M15" s="128" t="s">
        <v>17</v>
      </c>
      <c r="N15" s="231" t="s">
        <v>17</v>
      </c>
      <c r="O15" s="128">
        <v>4</v>
      </c>
      <c r="P15" s="128">
        <v>6</v>
      </c>
      <c r="Q15" s="231">
        <f>SUM(O15/P15)*100</f>
        <v>66.666666666666657</v>
      </c>
      <c r="R15" s="128" t="s">
        <v>17</v>
      </c>
      <c r="S15" s="128" t="s">
        <v>17</v>
      </c>
      <c r="T15" s="231" t="s">
        <v>17</v>
      </c>
    </row>
    <row r="16" spans="1:42" ht="14.95" customHeight="1" thickBot="1" x14ac:dyDescent="0.3">
      <c r="A16" s="66" t="s">
        <v>1075</v>
      </c>
      <c r="B16" s="275">
        <v>0</v>
      </c>
      <c r="C16" s="378">
        <v>0</v>
      </c>
      <c r="D16" s="287">
        <v>0</v>
      </c>
      <c r="E16" s="67">
        <f t="shared" si="1"/>
        <v>0</v>
      </c>
      <c r="F16" s="92" t="s">
        <v>1075</v>
      </c>
      <c r="G16" s="93">
        <v>0</v>
      </c>
      <c r="H16" s="379">
        <v>0</v>
      </c>
      <c r="I16" s="351">
        <v>0</v>
      </c>
      <c r="J16" s="94">
        <f t="shared" si="2"/>
        <v>0</v>
      </c>
      <c r="K16" s="66" t="s">
        <v>72</v>
      </c>
      <c r="L16" s="128" t="s">
        <v>17</v>
      </c>
      <c r="M16" s="128" t="s">
        <v>17</v>
      </c>
      <c r="N16" s="231" t="s">
        <v>17</v>
      </c>
      <c r="O16" s="128" t="s">
        <v>17</v>
      </c>
      <c r="P16" s="128" t="s">
        <v>17</v>
      </c>
      <c r="Q16" s="128" t="s">
        <v>17</v>
      </c>
      <c r="R16" s="128">
        <v>0</v>
      </c>
      <c r="S16" s="128">
        <v>1</v>
      </c>
      <c r="T16" s="231">
        <f>SUM(R16/S16)*100</f>
        <v>0</v>
      </c>
    </row>
    <row r="17" spans="1:30" ht="14.95" customHeight="1" thickBot="1" x14ac:dyDescent="0.3">
      <c r="A17" s="66" t="s">
        <v>229</v>
      </c>
      <c r="B17" s="275">
        <v>0</v>
      </c>
      <c r="C17" s="378">
        <v>1</v>
      </c>
      <c r="D17" s="287">
        <v>0</v>
      </c>
      <c r="E17" s="67">
        <f t="shared" si="1"/>
        <v>1</v>
      </c>
      <c r="F17" s="92" t="s">
        <v>229</v>
      </c>
      <c r="G17" s="93">
        <v>0</v>
      </c>
      <c r="H17" s="379">
        <v>5</v>
      </c>
      <c r="I17" s="351">
        <v>0</v>
      </c>
      <c r="J17" s="94">
        <f t="shared" si="2"/>
        <v>5</v>
      </c>
      <c r="K17" s="66" t="s">
        <v>9</v>
      </c>
      <c r="L17" s="128" t="s">
        <v>17</v>
      </c>
      <c r="M17" s="128" t="s">
        <v>17</v>
      </c>
      <c r="N17" s="231" t="s">
        <v>17</v>
      </c>
      <c r="O17" s="128">
        <v>3</v>
      </c>
      <c r="P17" s="128">
        <v>3</v>
      </c>
      <c r="Q17" s="231">
        <f>SUM(O17/P17)*100</f>
        <v>100</v>
      </c>
      <c r="R17" s="128" t="s">
        <v>17</v>
      </c>
      <c r="S17" s="128" t="s">
        <v>17</v>
      </c>
      <c r="T17" s="231" t="s">
        <v>17</v>
      </c>
    </row>
    <row r="18" spans="1:30" ht="14.95" customHeight="1" thickBot="1" x14ac:dyDescent="0.3">
      <c r="A18" s="66" t="s">
        <v>1279</v>
      </c>
      <c r="B18" s="275">
        <v>1</v>
      </c>
      <c r="C18" s="378">
        <v>1</v>
      </c>
      <c r="D18" s="287">
        <v>0</v>
      </c>
      <c r="E18" s="67">
        <f t="shared" si="1"/>
        <v>2</v>
      </c>
      <c r="F18" s="92" t="s">
        <v>1279</v>
      </c>
      <c r="G18" s="93">
        <v>5</v>
      </c>
      <c r="H18" s="379">
        <v>5</v>
      </c>
      <c r="I18" s="351">
        <v>0</v>
      </c>
      <c r="J18" s="94">
        <f t="shared" si="2"/>
        <v>10</v>
      </c>
      <c r="K18" s="202" t="s">
        <v>681</v>
      </c>
      <c r="L18" s="128">
        <v>6</v>
      </c>
      <c r="M18" s="128">
        <v>9</v>
      </c>
      <c r="N18" s="231">
        <f>SUM(L18/M18)*100</f>
        <v>66.666666666666657</v>
      </c>
      <c r="O18" s="128" t="s">
        <v>17</v>
      </c>
      <c r="P18" s="128" t="s">
        <v>17</v>
      </c>
      <c r="Q18" s="128" t="s">
        <v>17</v>
      </c>
      <c r="R18" s="128" t="s">
        <v>17</v>
      </c>
      <c r="S18" s="128" t="s">
        <v>17</v>
      </c>
      <c r="T18" s="128" t="s">
        <v>17</v>
      </c>
    </row>
    <row r="19" spans="1:30" ht="14.95" customHeight="1" thickBot="1" x14ac:dyDescent="0.3">
      <c r="A19" s="66" t="s">
        <v>1319</v>
      </c>
      <c r="B19" s="275">
        <v>0</v>
      </c>
      <c r="C19" s="378">
        <v>1</v>
      </c>
      <c r="D19" s="287">
        <v>0</v>
      </c>
      <c r="E19" s="67">
        <f t="shared" si="1"/>
        <v>1</v>
      </c>
      <c r="F19" s="92" t="s">
        <v>1319</v>
      </c>
      <c r="G19" s="93">
        <v>0</v>
      </c>
      <c r="H19" s="379">
        <v>5</v>
      </c>
      <c r="I19" s="351">
        <v>0</v>
      </c>
      <c r="J19" s="94">
        <f t="shared" si="2"/>
        <v>5</v>
      </c>
    </row>
    <row r="20" spans="1:30" ht="14.95" customHeight="1" thickBot="1" x14ac:dyDescent="0.3">
      <c r="A20" s="66" t="s">
        <v>150</v>
      </c>
      <c r="B20" s="275">
        <v>1</v>
      </c>
      <c r="C20" s="378">
        <v>0</v>
      </c>
      <c r="D20" s="287">
        <v>0</v>
      </c>
      <c r="E20" s="67">
        <f t="shared" si="1"/>
        <v>1</v>
      </c>
      <c r="F20" s="92" t="s">
        <v>150</v>
      </c>
      <c r="G20" s="93">
        <v>35</v>
      </c>
      <c r="H20" s="379">
        <v>15</v>
      </c>
      <c r="I20" s="351">
        <v>0</v>
      </c>
      <c r="J20" s="94">
        <f t="shared" si="2"/>
        <v>50</v>
      </c>
      <c r="K20" s="701" t="s">
        <v>105</v>
      </c>
      <c r="L20" s="568">
        <v>2019</v>
      </c>
      <c r="M20" s="569"/>
      <c r="N20" s="570"/>
      <c r="O20" s="557">
        <v>2015</v>
      </c>
      <c r="P20" s="563"/>
      <c r="Q20" s="564"/>
    </row>
    <row r="21" spans="1:30" ht="14.95" customHeight="1" thickBot="1" x14ac:dyDescent="0.3">
      <c r="A21" s="66" t="s">
        <v>1321</v>
      </c>
      <c r="B21" s="275">
        <v>1</v>
      </c>
      <c r="C21" s="378">
        <v>2</v>
      </c>
      <c r="D21" s="287">
        <v>0</v>
      </c>
      <c r="E21" s="67">
        <f t="shared" si="1"/>
        <v>3</v>
      </c>
      <c r="F21" s="92" t="s">
        <v>1321</v>
      </c>
      <c r="G21" s="93">
        <v>5</v>
      </c>
      <c r="H21" s="379">
        <v>10</v>
      </c>
      <c r="I21" s="351">
        <v>0</v>
      </c>
      <c r="J21" s="94">
        <f t="shared" si="2"/>
        <v>15</v>
      </c>
      <c r="K21" s="702"/>
      <c r="L21" s="571"/>
      <c r="M21" s="572"/>
      <c r="N21" s="573"/>
      <c r="O21" s="565"/>
      <c r="P21" s="566"/>
      <c r="Q21" s="567"/>
    </row>
    <row r="22" spans="1:30" ht="14.95" customHeight="1" thickBot="1" x14ac:dyDescent="0.3">
      <c r="A22" s="66" t="s">
        <v>1408</v>
      </c>
      <c r="B22" s="275">
        <v>0</v>
      </c>
      <c r="C22" s="378">
        <v>1</v>
      </c>
      <c r="D22" s="287">
        <v>0</v>
      </c>
      <c r="E22" s="67">
        <f t="shared" si="1"/>
        <v>1</v>
      </c>
      <c r="F22" s="92" t="s">
        <v>1409</v>
      </c>
      <c r="G22" s="93">
        <v>0</v>
      </c>
      <c r="H22" s="379">
        <v>5</v>
      </c>
      <c r="I22" s="351">
        <v>0</v>
      </c>
      <c r="J22" s="94">
        <f t="shared" si="2"/>
        <v>5</v>
      </c>
      <c r="K22" s="4" t="s">
        <v>20</v>
      </c>
      <c r="L22" s="128" t="s">
        <v>152</v>
      </c>
      <c r="M22" s="128" t="s">
        <v>12</v>
      </c>
      <c r="N22" s="128" t="s">
        <v>13</v>
      </c>
      <c r="O22" s="119" t="s">
        <v>152</v>
      </c>
      <c r="P22" s="119" t="s">
        <v>12</v>
      </c>
      <c r="Q22" s="119" t="s">
        <v>13</v>
      </c>
    </row>
    <row r="23" spans="1:30" ht="14.95" customHeight="1" thickBot="1" x14ac:dyDescent="0.3">
      <c r="A23" s="66" t="s">
        <v>1280</v>
      </c>
      <c r="B23" s="275">
        <v>1</v>
      </c>
      <c r="C23" s="378">
        <v>0</v>
      </c>
      <c r="D23" s="287">
        <v>0</v>
      </c>
      <c r="E23" s="67">
        <f t="shared" si="1"/>
        <v>1</v>
      </c>
      <c r="F23" s="92" t="s">
        <v>1070</v>
      </c>
      <c r="G23" s="93">
        <v>5</v>
      </c>
      <c r="H23" s="379">
        <v>0</v>
      </c>
      <c r="I23" s="351">
        <v>0</v>
      </c>
      <c r="J23" s="94">
        <f t="shared" si="2"/>
        <v>5</v>
      </c>
      <c r="K23" s="202" t="s">
        <v>150</v>
      </c>
      <c r="L23" s="128">
        <v>6</v>
      </c>
      <c r="M23" s="128">
        <v>7</v>
      </c>
      <c r="N23" s="231">
        <f>SUM(L23/M23)*100</f>
        <v>85.714285714285708</v>
      </c>
      <c r="O23" s="128" t="s">
        <v>17</v>
      </c>
      <c r="P23" s="128" t="s">
        <v>17</v>
      </c>
      <c r="Q23" s="128" t="s">
        <v>17</v>
      </c>
    </row>
    <row r="24" spans="1:30" ht="14.95" customHeight="1" thickBot="1" x14ac:dyDescent="0.3">
      <c r="A24" s="66" t="s">
        <v>1277</v>
      </c>
      <c r="B24" s="275">
        <v>1</v>
      </c>
      <c r="C24" s="378">
        <v>3</v>
      </c>
      <c r="D24" s="287">
        <v>0</v>
      </c>
      <c r="E24" s="67">
        <f t="shared" si="1"/>
        <v>4</v>
      </c>
      <c r="F24" s="92" t="s">
        <v>1277</v>
      </c>
      <c r="G24" s="93">
        <v>5</v>
      </c>
      <c r="H24" s="379">
        <v>15</v>
      </c>
      <c r="I24" s="351">
        <v>0</v>
      </c>
      <c r="J24" s="94">
        <f t="shared" si="2"/>
        <v>20</v>
      </c>
      <c r="K24" s="159"/>
    </row>
    <row r="25" spans="1:30" ht="14.95" customHeight="1" thickBot="1" x14ac:dyDescent="0.3">
      <c r="A25" s="66" t="s">
        <v>1320</v>
      </c>
      <c r="B25" s="275">
        <v>0</v>
      </c>
      <c r="C25" s="378">
        <v>2</v>
      </c>
      <c r="D25" s="287">
        <v>0</v>
      </c>
      <c r="E25" s="67">
        <f t="shared" si="1"/>
        <v>2</v>
      </c>
      <c r="F25" s="92" t="s">
        <v>1320</v>
      </c>
      <c r="G25" s="93">
        <v>0</v>
      </c>
      <c r="H25" s="379">
        <v>10</v>
      </c>
      <c r="I25" s="351">
        <v>0</v>
      </c>
      <c r="J25" s="94">
        <f t="shared" si="2"/>
        <v>10</v>
      </c>
      <c r="K25" s="703" t="s">
        <v>1284</v>
      </c>
      <c r="L25" s="583">
        <v>2025</v>
      </c>
      <c r="M25" s="584"/>
      <c r="N25" s="585"/>
      <c r="O25" s="568">
        <v>2024</v>
      </c>
      <c r="P25" s="569"/>
      <c r="Q25" s="570"/>
      <c r="R25" s="568">
        <v>2022</v>
      </c>
      <c r="S25" s="569"/>
      <c r="T25" s="570"/>
      <c r="U25" s="557">
        <v>2021</v>
      </c>
      <c r="V25" s="563"/>
      <c r="W25" s="564"/>
      <c r="AB25" s="568">
        <v>2018</v>
      </c>
      <c r="AC25" s="569"/>
      <c r="AD25" s="570"/>
    </row>
    <row r="26" spans="1:30" ht="14.95" customHeight="1" thickBot="1" x14ac:dyDescent="0.3">
      <c r="A26" s="66" t="s">
        <v>1283</v>
      </c>
      <c r="B26" s="275">
        <v>1</v>
      </c>
      <c r="C26" s="378">
        <v>2</v>
      </c>
      <c r="D26" s="287">
        <v>0</v>
      </c>
      <c r="E26" s="67">
        <f t="shared" si="1"/>
        <v>3</v>
      </c>
      <c r="F26" s="92" t="s">
        <v>1283</v>
      </c>
      <c r="G26" s="93">
        <v>5</v>
      </c>
      <c r="H26" s="379">
        <v>10</v>
      </c>
      <c r="I26" s="351">
        <v>0</v>
      </c>
      <c r="J26" s="94">
        <f t="shared" si="2"/>
        <v>15</v>
      </c>
      <c r="K26" s="704"/>
      <c r="L26" s="586"/>
      <c r="M26" s="587"/>
      <c r="N26" s="588"/>
      <c r="O26" s="571"/>
      <c r="P26" s="572"/>
      <c r="Q26" s="573"/>
      <c r="R26" s="571"/>
      <c r="S26" s="572"/>
      <c r="T26" s="573"/>
      <c r="U26" s="565"/>
      <c r="V26" s="566"/>
      <c r="W26" s="567"/>
      <c r="AB26" s="571"/>
      <c r="AC26" s="572"/>
      <c r="AD26" s="573"/>
    </row>
    <row r="27" spans="1:30" ht="14.95" customHeight="1" thickBot="1" x14ac:dyDescent="0.3">
      <c r="A27" s="66" t="s">
        <v>557</v>
      </c>
      <c r="B27" s="275">
        <v>1</v>
      </c>
      <c r="C27" s="378">
        <v>0</v>
      </c>
      <c r="D27" s="287">
        <v>0</v>
      </c>
      <c r="E27" s="67">
        <f t="shared" si="1"/>
        <v>1</v>
      </c>
      <c r="F27" s="92" t="s">
        <v>557</v>
      </c>
      <c r="G27" s="93">
        <v>5</v>
      </c>
      <c r="H27" s="379">
        <v>0</v>
      </c>
      <c r="I27" s="351">
        <v>0</v>
      </c>
      <c r="J27" s="94">
        <f t="shared" si="2"/>
        <v>5</v>
      </c>
      <c r="K27" s="4"/>
      <c r="L27" s="53" t="s">
        <v>152</v>
      </c>
      <c r="M27" s="53" t="s">
        <v>12</v>
      </c>
      <c r="N27" s="53" t="s">
        <v>13</v>
      </c>
      <c r="O27" s="128" t="s">
        <v>152</v>
      </c>
      <c r="P27" s="128" t="s">
        <v>12</v>
      </c>
      <c r="Q27" s="128" t="s">
        <v>13</v>
      </c>
      <c r="R27" s="128" t="s">
        <v>152</v>
      </c>
      <c r="S27" s="128" t="s">
        <v>12</v>
      </c>
      <c r="T27" s="128" t="s">
        <v>13</v>
      </c>
      <c r="U27" s="119" t="s">
        <v>152</v>
      </c>
      <c r="V27" s="119" t="s">
        <v>12</v>
      </c>
      <c r="W27" s="119" t="s">
        <v>13</v>
      </c>
      <c r="AB27" s="228" t="s">
        <v>152</v>
      </c>
      <c r="AC27" s="128" t="s">
        <v>12</v>
      </c>
      <c r="AD27" s="128" t="s">
        <v>13</v>
      </c>
    </row>
    <row r="28" spans="1:30" ht="14.95" customHeight="1" thickBot="1" x14ac:dyDescent="0.3">
      <c r="A28" s="66" t="s">
        <v>500</v>
      </c>
      <c r="B28" s="275">
        <v>0</v>
      </c>
      <c r="C28" s="378">
        <v>0</v>
      </c>
      <c r="D28" s="287">
        <v>0</v>
      </c>
      <c r="E28" s="67">
        <f t="shared" si="1"/>
        <v>0</v>
      </c>
      <c r="F28" s="92" t="s">
        <v>500</v>
      </c>
      <c r="G28" s="93">
        <v>0</v>
      </c>
      <c r="H28" s="379">
        <v>0</v>
      </c>
      <c r="I28" s="351">
        <v>0</v>
      </c>
      <c r="J28" s="94">
        <f t="shared" si="2"/>
        <v>0</v>
      </c>
      <c r="K28" s="66" t="s">
        <v>1071</v>
      </c>
      <c r="L28" s="67" t="s">
        <v>17</v>
      </c>
      <c r="M28" s="67" t="s">
        <v>17</v>
      </c>
      <c r="N28" s="95" t="s">
        <v>17</v>
      </c>
      <c r="O28" s="128">
        <v>10</v>
      </c>
      <c r="P28" s="128">
        <v>13</v>
      </c>
      <c r="Q28" s="231">
        <f t="shared" ref="Q28:Q29" si="3">SUM(O28/P28)*100</f>
        <v>76.923076923076934</v>
      </c>
      <c r="R28" s="128" t="s">
        <v>17</v>
      </c>
      <c r="S28" s="128" t="s">
        <v>17</v>
      </c>
      <c r="T28" s="231" t="s">
        <v>17</v>
      </c>
      <c r="U28" s="128" t="s">
        <v>17</v>
      </c>
      <c r="V28" s="128" t="s">
        <v>17</v>
      </c>
      <c r="W28" s="231" t="s">
        <v>17</v>
      </c>
      <c r="AB28" s="228" t="s">
        <v>17</v>
      </c>
      <c r="AC28" s="128" t="s">
        <v>17</v>
      </c>
      <c r="AD28" s="231" t="s">
        <v>17</v>
      </c>
    </row>
    <row r="29" spans="1:30" ht="14.95" customHeight="1" thickBot="1" x14ac:dyDescent="0.3">
      <c r="A29" s="66" t="s">
        <v>4</v>
      </c>
      <c r="B29" s="275">
        <v>0</v>
      </c>
      <c r="C29" s="378">
        <v>0</v>
      </c>
      <c r="D29" s="287">
        <v>0</v>
      </c>
      <c r="E29" s="67">
        <f t="shared" si="1"/>
        <v>0</v>
      </c>
      <c r="F29" s="92" t="s">
        <v>4</v>
      </c>
      <c r="G29" s="93">
        <v>0</v>
      </c>
      <c r="H29" s="379">
        <v>0</v>
      </c>
      <c r="I29" s="351">
        <v>0</v>
      </c>
      <c r="J29" s="94">
        <f t="shared" si="2"/>
        <v>0</v>
      </c>
      <c r="K29" s="66" t="s">
        <v>22</v>
      </c>
      <c r="L29" s="67">
        <v>0</v>
      </c>
      <c r="M29" s="67">
        <v>1</v>
      </c>
      <c r="N29" s="95">
        <f>SUM(L29/M29)*100</f>
        <v>0</v>
      </c>
      <c r="O29" s="128">
        <v>3</v>
      </c>
      <c r="P29" s="128">
        <v>5</v>
      </c>
      <c r="Q29" s="231">
        <f t="shared" si="3"/>
        <v>60</v>
      </c>
      <c r="R29" s="128" t="s">
        <v>17</v>
      </c>
      <c r="S29" s="128" t="s">
        <v>17</v>
      </c>
      <c r="T29" s="231" t="s">
        <v>17</v>
      </c>
      <c r="U29" s="128" t="s">
        <v>17</v>
      </c>
      <c r="V29" s="128" t="s">
        <v>17</v>
      </c>
      <c r="W29" s="231" t="s">
        <v>17</v>
      </c>
      <c r="AB29" s="228" t="s">
        <v>17</v>
      </c>
      <c r="AC29" s="128" t="s">
        <v>17</v>
      </c>
      <c r="AD29" s="231" t="s">
        <v>17</v>
      </c>
    </row>
    <row r="30" spans="1:30" ht="14.95" customHeight="1" thickBot="1" x14ac:dyDescent="0.3">
      <c r="A30" s="66" t="s">
        <v>856</v>
      </c>
      <c r="B30" s="275">
        <v>0</v>
      </c>
      <c r="C30" s="378">
        <v>0</v>
      </c>
      <c r="D30" s="287">
        <v>0</v>
      </c>
      <c r="E30" s="67">
        <f t="shared" si="1"/>
        <v>0</v>
      </c>
      <c r="F30" s="92" t="s">
        <v>856</v>
      </c>
      <c r="G30" s="93">
        <v>0</v>
      </c>
      <c r="H30" s="379">
        <v>0</v>
      </c>
      <c r="I30" s="351">
        <v>0</v>
      </c>
      <c r="J30" s="94">
        <f t="shared" si="2"/>
        <v>0</v>
      </c>
      <c r="K30" s="66" t="s">
        <v>150</v>
      </c>
      <c r="L30" s="67">
        <v>12</v>
      </c>
      <c r="M30" s="67">
        <v>15</v>
      </c>
      <c r="N30" s="95">
        <f>SUM(L30/M30)*100</f>
        <v>80</v>
      </c>
      <c r="O30" s="128" t="s">
        <v>17</v>
      </c>
      <c r="P30" s="128" t="s">
        <v>17</v>
      </c>
      <c r="Q30" s="231" t="s">
        <v>17</v>
      </c>
      <c r="R30" s="163">
        <v>15</v>
      </c>
      <c r="S30" s="163">
        <v>21</v>
      </c>
      <c r="T30" s="348">
        <f>SUM(R30/S30)*100</f>
        <v>71.428571428571431</v>
      </c>
      <c r="U30" s="128" t="s">
        <v>17</v>
      </c>
      <c r="V30" s="128" t="s">
        <v>17</v>
      </c>
      <c r="W30" s="231" t="s">
        <v>17</v>
      </c>
      <c r="AB30" s="228">
        <v>34</v>
      </c>
      <c r="AC30" s="128">
        <v>46</v>
      </c>
      <c r="AD30" s="231">
        <f>SUM(AB30/AC30)*100</f>
        <v>73.91304347826086</v>
      </c>
    </row>
    <row r="31" spans="1:30" ht="14.95" thickBot="1" x14ac:dyDescent="0.3">
      <c r="A31" s="66" t="s">
        <v>9</v>
      </c>
      <c r="B31" s="275">
        <v>0</v>
      </c>
      <c r="C31" s="378">
        <v>0</v>
      </c>
      <c r="D31" s="287">
        <v>0</v>
      </c>
      <c r="E31" s="67">
        <f t="shared" si="1"/>
        <v>0</v>
      </c>
      <c r="F31" s="92" t="s">
        <v>9</v>
      </c>
      <c r="G31" s="93">
        <v>0</v>
      </c>
      <c r="H31" s="379">
        <v>0</v>
      </c>
      <c r="I31" s="351">
        <v>0</v>
      </c>
      <c r="J31" s="94">
        <f t="shared" si="2"/>
        <v>0</v>
      </c>
      <c r="K31" s="66" t="s">
        <v>220</v>
      </c>
      <c r="L31" s="67" t="s">
        <v>17</v>
      </c>
      <c r="M31" s="67" t="s">
        <v>17</v>
      </c>
      <c r="N31" s="95" t="s">
        <v>17</v>
      </c>
      <c r="O31" s="128" t="s">
        <v>17</v>
      </c>
      <c r="P31" s="128" t="s">
        <v>17</v>
      </c>
      <c r="Q31" s="231" t="s">
        <v>17</v>
      </c>
      <c r="R31" s="163">
        <v>2</v>
      </c>
      <c r="S31" s="163">
        <v>3</v>
      </c>
      <c r="T31" s="348">
        <f>SUM(R31/S31)*100</f>
        <v>66.666666666666657</v>
      </c>
      <c r="U31" s="128" t="s">
        <v>17</v>
      </c>
      <c r="V31" s="128" t="s">
        <v>17</v>
      </c>
      <c r="W31" s="231" t="s">
        <v>17</v>
      </c>
      <c r="AB31" s="228">
        <v>6</v>
      </c>
      <c r="AC31" s="128">
        <v>7</v>
      </c>
      <c r="AD31" s="231">
        <f>SUM(AB31/AC31)*100</f>
        <v>85.714285714285708</v>
      </c>
    </row>
    <row r="32" spans="1:30" ht="14.95" thickBot="1" x14ac:dyDescent="0.3">
      <c r="A32" s="66" t="s">
        <v>681</v>
      </c>
      <c r="B32" s="275">
        <v>1</v>
      </c>
      <c r="C32" s="378">
        <v>0</v>
      </c>
      <c r="D32" s="287">
        <v>0</v>
      </c>
      <c r="E32" s="67">
        <f t="shared" si="1"/>
        <v>1</v>
      </c>
      <c r="F32" s="92" t="s">
        <v>681</v>
      </c>
      <c r="G32" s="93">
        <v>14</v>
      </c>
      <c r="H32" s="379">
        <v>0</v>
      </c>
      <c r="I32" s="351">
        <v>6</v>
      </c>
      <c r="J32" s="94">
        <f t="shared" si="2"/>
        <v>20</v>
      </c>
      <c r="K32" s="66" t="s">
        <v>681</v>
      </c>
      <c r="L32" s="67">
        <v>4</v>
      </c>
      <c r="M32" s="67">
        <v>4</v>
      </c>
      <c r="N32" s="95">
        <f t="shared" ref="N32" si="4">SUM(L32/M32)*100</f>
        <v>100</v>
      </c>
      <c r="O32" s="128" t="s">
        <v>17</v>
      </c>
      <c r="P32" s="128" t="s">
        <v>17</v>
      </c>
      <c r="Q32" s="231" t="s">
        <v>17</v>
      </c>
      <c r="R32" s="128" t="s">
        <v>17</v>
      </c>
      <c r="S32" s="128" t="s">
        <v>17</v>
      </c>
      <c r="T32" s="231" t="s">
        <v>17</v>
      </c>
      <c r="U32" s="128" t="s">
        <v>17</v>
      </c>
      <c r="V32" s="128" t="s">
        <v>17</v>
      </c>
      <c r="W32" s="231" t="s">
        <v>17</v>
      </c>
      <c r="AB32" s="228" t="s">
        <v>17</v>
      </c>
      <c r="AC32" s="128" t="s">
        <v>17</v>
      </c>
      <c r="AD32" s="128" t="s">
        <v>17</v>
      </c>
    </row>
    <row r="33" spans="1:30" ht="14.95" thickBot="1" x14ac:dyDescent="0.3">
      <c r="A33" s="66" t="s">
        <v>864</v>
      </c>
      <c r="B33" s="275">
        <v>0</v>
      </c>
      <c r="C33" s="378">
        <v>0</v>
      </c>
      <c r="D33" s="287">
        <v>0</v>
      </c>
      <c r="E33" s="67">
        <f t="shared" si="1"/>
        <v>0</v>
      </c>
      <c r="F33" s="92" t="s">
        <v>864</v>
      </c>
      <c r="G33" s="93">
        <v>0</v>
      </c>
      <c r="H33" s="379">
        <v>0</v>
      </c>
      <c r="I33" s="351">
        <v>0</v>
      </c>
      <c r="J33" s="94">
        <f t="shared" si="2"/>
        <v>0</v>
      </c>
      <c r="K33" s="66" t="s">
        <v>865</v>
      </c>
      <c r="L33" s="67">
        <v>0</v>
      </c>
      <c r="M33" s="67">
        <v>1</v>
      </c>
      <c r="N33" s="95">
        <f>SUM(L33/M33)*100</f>
        <v>0</v>
      </c>
      <c r="O33" s="128" t="s">
        <v>17</v>
      </c>
      <c r="P33" s="128" t="s">
        <v>17</v>
      </c>
      <c r="Q33" s="231" t="s">
        <v>17</v>
      </c>
      <c r="R33" s="128" t="s">
        <v>17</v>
      </c>
      <c r="S33" s="128" t="s">
        <v>17</v>
      </c>
      <c r="T33" s="231" t="s">
        <v>17</v>
      </c>
      <c r="U33" s="128" t="s">
        <v>17</v>
      </c>
      <c r="V33" s="128" t="s">
        <v>17</v>
      </c>
      <c r="W33" s="231" t="s">
        <v>17</v>
      </c>
      <c r="AB33" s="228" t="s">
        <v>17</v>
      </c>
      <c r="AC33" s="128" t="s">
        <v>17</v>
      </c>
      <c r="AD33" s="128" t="s">
        <v>17</v>
      </c>
    </row>
    <row r="34" spans="1:30" ht="14.95" thickBot="1" x14ac:dyDescent="0.3">
      <c r="A34" s="66" t="s">
        <v>860</v>
      </c>
      <c r="B34" s="275">
        <v>0</v>
      </c>
      <c r="C34" s="378">
        <v>0</v>
      </c>
      <c r="D34" s="287">
        <v>0</v>
      </c>
      <c r="E34" s="67">
        <f t="shared" si="1"/>
        <v>0</v>
      </c>
      <c r="F34" s="92" t="s">
        <v>860</v>
      </c>
      <c r="G34" s="93">
        <v>0</v>
      </c>
      <c r="H34" s="379">
        <v>0</v>
      </c>
      <c r="I34" s="351">
        <v>0</v>
      </c>
      <c r="J34" s="94">
        <f t="shared" si="2"/>
        <v>0</v>
      </c>
      <c r="K34" s="508" t="s">
        <v>20</v>
      </c>
      <c r="L34" s="161"/>
      <c r="M34" s="161"/>
      <c r="N34" s="161"/>
    </row>
    <row r="35" spans="1:30" ht="14.95" thickBot="1" x14ac:dyDescent="0.3">
      <c r="A35" s="66" t="s">
        <v>861</v>
      </c>
      <c r="B35" s="275">
        <v>0</v>
      </c>
      <c r="C35" s="378">
        <v>0</v>
      </c>
      <c r="D35" s="287">
        <v>0</v>
      </c>
      <c r="E35" s="67">
        <f t="shared" si="1"/>
        <v>0</v>
      </c>
      <c r="F35" s="92" t="s">
        <v>861</v>
      </c>
      <c r="G35" s="93">
        <v>0</v>
      </c>
      <c r="H35" s="379">
        <v>0</v>
      </c>
      <c r="I35" s="351">
        <v>0</v>
      </c>
      <c r="J35" s="94">
        <f t="shared" si="2"/>
        <v>0</v>
      </c>
      <c r="K35" s="632" t="s">
        <v>148</v>
      </c>
      <c r="L35" s="596" t="s">
        <v>1326</v>
      </c>
      <c r="M35" s="646"/>
      <c r="N35" s="647"/>
    </row>
    <row r="36" spans="1:30" ht="14.95" thickBot="1" x14ac:dyDescent="0.3">
      <c r="A36" s="66" t="s">
        <v>865</v>
      </c>
      <c r="B36" s="275">
        <v>1</v>
      </c>
      <c r="C36" s="378">
        <v>0</v>
      </c>
      <c r="D36" s="287">
        <v>0</v>
      </c>
      <c r="E36" s="67">
        <f t="shared" si="1"/>
        <v>1</v>
      </c>
      <c r="F36" s="92" t="s">
        <v>865</v>
      </c>
      <c r="G36" s="93">
        <v>5</v>
      </c>
      <c r="H36" s="379">
        <v>24</v>
      </c>
      <c r="I36" s="351">
        <v>0</v>
      </c>
      <c r="J36" s="94">
        <f t="shared" si="2"/>
        <v>29</v>
      </c>
      <c r="K36" s="633"/>
      <c r="L36" s="648"/>
      <c r="M36" s="649"/>
      <c r="N36" s="650"/>
    </row>
    <row r="37" spans="1:30" ht="14.95" thickBot="1" x14ac:dyDescent="0.3">
      <c r="A37" s="66" t="s">
        <v>357</v>
      </c>
      <c r="B37" s="275">
        <v>0</v>
      </c>
      <c r="C37" s="378">
        <v>2</v>
      </c>
      <c r="D37" s="287">
        <v>0</v>
      </c>
      <c r="E37" s="67">
        <f t="shared" si="1"/>
        <v>2</v>
      </c>
      <c r="F37" s="92" t="s">
        <v>357</v>
      </c>
      <c r="G37" s="93">
        <v>0</v>
      </c>
      <c r="H37" s="379">
        <v>10</v>
      </c>
      <c r="I37" s="351">
        <v>0</v>
      </c>
      <c r="J37" s="94">
        <f t="shared" si="2"/>
        <v>10</v>
      </c>
      <c r="K37" s="4"/>
      <c r="L37" s="53" t="s">
        <v>152</v>
      </c>
      <c r="M37" s="53" t="s">
        <v>12</v>
      </c>
      <c r="N37" s="53" t="s">
        <v>13</v>
      </c>
    </row>
    <row r="38" spans="1:30" ht="14.95" thickBot="1" x14ac:dyDescent="0.3">
      <c r="A38" s="66" t="s">
        <v>857</v>
      </c>
      <c r="B38" s="275">
        <v>0</v>
      </c>
      <c r="C38" s="378">
        <v>2</v>
      </c>
      <c r="D38" s="287">
        <v>0</v>
      </c>
      <c r="E38" s="67">
        <f t="shared" si="1"/>
        <v>2</v>
      </c>
      <c r="F38" s="92" t="s">
        <v>857</v>
      </c>
      <c r="G38" s="93">
        <v>0</v>
      </c>
      <c r="H38" s="379">
        <v>10</v>
      </c>
      <c r="I38" s="351">
        <v>0</v>
      </c>
      <c r="J38" s="94">
        <f t="shared" si="2"/>
        <v>10</v>
      </c>
      <c r="K38" s="66" t="s">
        <v>1279</v>
      </c>
      <c r="L38" s="67">
        <v>0</v>
      </c>
      <c r="M38" s="67">
        <v>1</v>
      </c>
      <c r="N38" s="95">
        <f>SUM(L38/M38)*100</f>
        <v>0</v>
      </c>
    </row>
    <row r="39" spans="1:30" ht="14.95" thickBot="1" x14ac:dyDescent="0.3">
      <c r="A39" s="66" t="s">
        <v>73</v>
      </c>
      <c r="B39" s="275">
        <v>0</v>
      </c>
      <c r="C39" s="378">
        <v>0</v>
      </c>
      <c r="D39" s="287">
        <v>0</v>
      </c>
      <c r="E39" s="67">
        <f t="shared" si="1"/>
        <v>0</v>
      </c>
      <c r="F39" s="92" t="s">
        <v>73</v>
      </c>
      <c r="G39" s="93">
        <v>0</v>
      </c>
      <c r="H39" s="379">
        <v>0</v>
      </c>
      <c r="I39" s="351">
        <v>0</v>
      </c>
      <c r="J39" s="94">
        <f t="shared" si="2"/>
        <v>0</v>
      </c>
      <c r="K39" s="66" t="s">
        <v>150</v>
      </c>
      <c r="L39" s="67">
        <v>7</v>
      </c>
      <c r="M39" s="67">
        <v>10</v>
      </c>
      <c r="N39" s="95">
        <f>SUM(L39/M39)*100</f>
        <v>70</v>
      </c>
    </row>
    <row r="40" spans="1:30" ht="14.95" thickBot="1" x14ac:dyDescent="0.3">
      <c r="A40" s="66" t="s">
        <v>858</v>
      </c>
      <c r="B40" s="275">
        <v>0</v>
      </c>
      <c r="C40" s="378">
        <v>0</v>
      </c>
      <c r="D40" s="287">
        <v>0</v>
      </c>
      <c r="E40" s="67">
        <f t="shared" si="1"/>
        <v>0</v>
      </c>
      <c r="F40" s="92" t="s">
        <v>858</v>
      </c>
      <c r="G40" s="93">
        <v>0</v>
      </c>
      <c r="H40" s="379">
        <v>0</v>
      </c>
      <c r="I40" s="351">
        <v>0</v>
      </c>
      <c r="J40" s="94">
        <f t="shared" si="2"/>
        <v>0</v>
      </c>
      <c r="K40" s="66" t="s">
        <v>865</v>
      </c>
      <c r="L40" s="67">
        <v>11</v>
      </c>
      <c r="M40" s="67">
        <v>14</v>
      </c>
      <c r="N40" s="95">
        <f>SUM(L40/M40)*100</f>
        <v>78.571428571428569</v>
      </c>
    </row>
    <row r="41" spans="1:30" ht="14.95" thickBot="1" x14ac:dyDescent="0.3">
      <c r="A41" s="66" t="s">
        <v>3</v>
      </c>
      <c r="B41" s="275">
        <f>SUM(B3:B40)</f>
        <v>13</v>
      </c>
      <c r="C41" s="378">
        <f>SUM(C3:C40)</f>
        <v>22</v>
      </c>
      <c r="D41" s="287">
        <f>SUM(D3:D40)</f>
        <v>0</v>
      </c>
      <c r="E41" s="67">
        <f>SUM(B41:D41)</f>
        <v>35</v>
      </c>
      <c r="F41" s="93" t="s">
        <v>3</v>
      </c>
      <c r="G41" s="93">
        <f>SUM(G3:G40)</f>
        <v>104</v>
      </c>
      <c r="H41" s="379">
        <f>SUM(H3:H40)</f>
        <v>149</v>
      </c>
      <c r="I41" s="351">
        <f>SUM(I3:I40)</f>
        <v>6</v>
      </c>
      <c r="J41" s="94">
        <f>SUM(J3:J40)</f>
        <v>259</v>
      </c>
    </row>
    <row r="42" spans="1:30" ht="14.3" customHeight="1" x14ac:dyDescent="0.25">
      <c r="A42" t="s">
        <v>20</v>
      </c>
      <c r="D42" s="9"/>
      <c r="E42" s="5"/>
      <c r="F42" s="5"/>
      <c r="G42" s="5"/>
      <c r="H42" s="5"/>
      <c r="I42" s="9"/>
      <c r="J42" s="10"/>
    </row>
    <row r="43" spans="1:30" ht="14.95" thickBot="1" x14ac:dyDescent="0.3">
      <c r="A43" t="s">
        <v>15</v>
      </c>
    </row>
    <row r="44" spans="1:30" ht="14.95" thickBot="1" x14ac:dyDescent="0.3">
      <c r="A44" s="202" t="s">
        <v>0</v>
      </c>
      <c r="B44" s="216" t="s">
        <v>1069</v>
      </c>
      <c r="C44" s="506" t="s">
        <v>1285</v>
      </c>
      <c r="D44" s="286" t="s">
        <v>31</v>
      </c>
      <c r="E44" s="204" t="s">
        <v>1</v>
      </c>
      <c r="F44" s="205" t="s">
        <v>2</v>
      </c>
      <c r="G44" s="206" t="s">
        <v>1069</v>
      </c>
      <c r="H44" s="507" t="s">
        <v>1285</v>
      </c>
      <c r="I44" s="350" t="s">
        <v>31</v>
      </c>
      <c r="J44" s="206" t="s">
        <v>1</v>
      </c>
    </row>
    <row r="45" spans="1:30" ht="14.95" thickBot="1" x14ac:dyDescent="0.3">
      <c r="A45" s="66" t="s">
        <v>1277</v>
      </c>
      <c r="B45" s="275">
        <v>1</v>
      </c>
      <c r="C45" s="378">
        <v>3</v>
      </c>
      <c r="D45" s="287">
        <v>0</v>
      </c>
      <c r="E45" s="67">
        <f t="shared" ref="E45:E83" si="5">SUM(B45:D45)</f>
        <v>4</v>
      </c>
      <c r="F45" s="93" t="s">
        <v>150</v>
      </c>
      <c r="G45" s="93">
        <v>35</v>
      </c>
      <c r="H45" s="379">
        <v>15</v>
      </c>
      <c r="I45" s="351">
        <v>0</v>
      </c>
      <c r="J45" s="94">
        <f t="shared" ref="J45:J82" si="6">SUM(G45:I45)</f>
        <v>50</v>
      </c>
    </row>
    <row r="46" spans="1:30" ht="14.95" thickBot="1" x14ac:dyDescent="0.3">
      <c r="A46" s="66" t="s">
        <v>1278</v>
      </c>
      <c r="B46" s="275">
        <v>1</v>
      </c>
      <c r="C46" s="378">
        <v>2</v>
      </c>
      <c r="D46" s="287">
        <v>0</v>
      </c>
      <c r="E46" s="67">
        <f t="shared" si="5"/>
        <v>3</v>
      </c>
      <c r="F46" s="93" t="s">
        <v>865</v>
      </c>
      <c r="G46" s="93">
        <v>5</v>
      </c>
      <c r="H46" s="379">
        <v>24</v>
      </c>
      <c r="I46" s="351">
        <v>0</v>
      </c>
      <c r="J46" s="94">
        <f t="shared" si="6"/>
        <v>29</v>
      </c>
    </row>
    <row r="47" spans="1:30" ht="14.95" thickBot="1" x14ac:dyDescent="0.3">
      <c r="A47" s="66" t="s">
        <v>1321</v>
      </c>
      <c r="B47" s="275">
        <v>1</v>
      </c>
      <c r="C47" s="378">
        <v>2</v>
      </c>
      <c r="D47" s="287">
        <v>0</v>
      </c>
      <c r="E47" s="67">
        <f t="shared" si="5"/>
        <v>3</v>
      </c>
      <c r="F47" s="93" t="s">
        <v>1277</v>
      </c>
      <c r="G47" s="93">
        <v>5</v>
      </c>
      <c r="H47" s="379">
        <v>15</v>
      </c>
      <c r="I47" s="351">
        <v>0</v>
      </c>
      <c r="J47" s="94">
        <f t="shared" si="6"/>
        <v>20</v>
      </c>
    </row>
    <row r="48" spans="1:30" ht="14.95" thickBot="1" x14ac:dyDescent="0.3">
      <c r="A48" s="66" t="s">
        <v>1283</v>
      </c>
      <c r="B48" s="275">
        <v>1</v>
      </c>
      <c r="C48" s="378">
        <v>2</v>
      </c>
      <c r="D48" s="287">
        <v>0</v>
      </c>
      <c r="E48" s="67">
        <f t="shared" si="5"/>
        <v>3</v>
      </c>
      <c r="F48" s="92" t="s">
        <v>681</v>
      </c>
      <c r="G48" s="93">
        <v>14</v>
      </c>
      <c r="H48" s="379">
        <v>0</v>
      </c>
      <c r="I48" s="351">
        <v>6</v>
      </c>
      <c r="J48" s="94">
        <f t="shared" si="6"/>
        <v>20</v>
      </c>
    </row>
    <row r="49" spans="1:10" ht="14.95" thickBot="1" x14ac:dyDescent="0.3">
      <c r="A49" s="66" t="s">
        <v>862</v>
      </c>
      <c r="B49" s="275">
        <v>2</v>
      </c>
      <c r="C49" s="378">
        <v>0</v>
      </c>
      <c r="D49" s="287">
        <v>0</v>
      </c>
      <c r="E49" s="67">
        <f t="shared" si="5"/>
        <v>2</v>
      </c>
      <c r="F49" s="92" t="s">
        <v>1278</v>
      </c>
      <c r="G49" s="93">
        <v>5</v>
      </c>
      <c r="H49" s="379">
        <v>10</v>
      </c>
      <c r="I49" s="351">
        <v>0</v>
      </c>
      <c r="J49" s="94">
        <f t="shared" si="6"/>
        <v>15</v>
      </c>
    </row>
    <row r="50" spans="1:10" ht="14.95" thickBot="1" x14ac:dyDescent="0.3">
      <c r="A50" s="66" t="s">
        <v>1279</v>
      </c>
      <c r="B50" s="275">
        <v>1</v>
      </c>
      <c r="C50" s="378">
        <v>1</v>
      </c>
      <c r="D50" s="287">
        <v>0</v>
      </c>
      <c r="E50" s="67">
        <f t="shared" si="5"/>
        <v>2</v>
      </c>
      <c r="F50" s="92" t="s">
        <v>1321</v>
      </c>
      <c r="G50" s="93">
        <v>5</v>
      </c>
      <c r="H50" s="379">
        <v>10</v>
      </c>
      <c r="I50" s="351">
        <v>0</v>
      </c>
      <c r="J50" s="94">
        <f t="shared" si="6"/>
        <v>15</v>
      </c>
    </row>
    <row r="51" spans="1:10" ht="14.95" thickBot="1" x14ac:dyDescent="0.3">
      <c r="A51" s="66" t="s">
        <v>1320</v>
      </c>
      <c r="B51" s="275">
        <v>0</v>
      </c>
      <c r="C51" s="378">
        <v>2</v>
      </c>
      <c r="D51" s="287">
        <v>0</v>
      </c>
      <c r="E51" s="67">
        <f t="shared" si="5"/>
        <v>2</v>
      </c>
      <c r="F51" s="92" t="s">
        <v>1283</v>
      </c>
      <c r="G51" s="93">
        <v>5</v>
      </c>
      <c r="H51" s="379">
        <v>10</v>
      </c>
      <c r="I51" s="351">
        <v>0</v>
      </c>
      <c r="J51" s="94">
        <f t="shared" si="6"/>
        <v>15</v>
      </c>
    </row>
    <row r="52" spans="1:10" ht="14.95" thickBot="1" x14ac:dyDescent="0.3">
      <c r="A52" s="66" t="s">
        <v>357</v>
      </c>
      <c r="B52" s="275">
        <v>0</v>
      </c>
      <c r="C52" s="378">
        <v>2</v>
      </c>
      <c r="D52" s="287">
        <v>0</v>
      </c>
      <c r="E52" s="67">
        <f t="shared" si="5"/>
        <v>2</v>
      </c>
      <c r="F52" s="92" t="s">
        <v>862</v>
      </c>
      <c r="G52" s="93">
        <v>10</v>
      </c>
      <c r="H52" s="379">
        <v>0</v>
      </c>
      <c r="I52" s="351">
        <v>0</v>
      </c>
      <c r="J52" s="94">
        <f t="shared" si="6"/>
        <v>10</v>
      </c>
    </row>
    <row r="53" spans="1:10" ht="14.95" thickBot="1" x14ac:dyDescent="0.3">
      <c r="A53" s="66" t="s">
        <v>857</v>
      </c>
      <c r="B53" s="275">
        <v>0</v>
      </c>
      <c r="C53" s="378">
        <v>2</v>
      </c>
      <c r="D53" s="287">
        <v>0</v>
      </c>
      <c r="E53" s="67">
        <f t="shared" si="5"/>
        <v>2</v>
      </c>
      <c r="F53" s="92" t="s">
        <v>1279</v>
      </c>
      <c r="G53" s="93">
        <v>5</v>
      </c>
      <c r="H53" s="379">
        <v>5</v>
      </c>
      <c r="I53" s="351">
        <v>0</v>
      </c>
      <c r="J53" s="94">
        <f t="shared" si="6"/>
        <v>10</v>
      </c>
    </row>
    <row r="54" spans="1:10" ht="14.95" thickBot="1" x14ac:dyDescent="0.3">
      <c r="A54" s="66" t="s">
        <v>1427</v>
      </c>
      <c r="B54" s="275">
        <v>0</v>
      </c>
      <c r="C54" s="378">
        <v>1</v>
      </c>
      <c r="D54" s="287">
        <v>0</v>
      </c>
      <c r="E54" s="67">
        <f t="shared" si="5"/>
        <v>1</v>
      </c>
      <c r="F54" s="92" t="s">
        <v>1320</v>
      </c>
      <c r="G54" s="93">
        <v>0</v>
      </c>
      <c r="H54" s="379">
        <v>10</v>
      </c>
      <c r="I54" s="351">
        <v>0</v>
      </c>
      <c r="J54" s="94">
        <f t="shared" si="6"/>
        <v>10</v>
      </c>
    </row>
    <row r="55" spans="1:10" ht="14.95" thickBot="1" x14ac:dyDescent="0.3">
      <c r="A55" s="66" t="s">
        <v>1281</v>
      </c>
      <c r="B55" s="275">
        <v>1</v>
      </c>
      <c r="C55" s="378">
        <v>0</v>
      </c>
      <c r="D55" s="287">
        <v>0</v>
      </c>
      <c r="E55" s="67">
        <f t="shared" si="5"/>
        <v>1</v>
      </c>
      <c r="F55" s="92" t="s">
        <v>357</v>
      </c>
      <c r="G55" s="93">
        <v>0</v>
      </c>
      <c r="H55" s="379">
        <v>10</v>
      </c>
      <c r="I55" s="351">
        <v>0</v>
      </c>
      <c r="J55" s="94">
        <f t="shared" si="6"/>
        <v>10</v>
      </c>
    </row>
    <row r="56" spans="1:10" ht="14.95" thickBot="1" x14ac:dyDescent="0.3">
      <c r="A56" s="66" t="s">
        <v>1407</v>
      </c>
      <c r="B56" s="275">
        <v>0</v>
      </c>
      <c r="C56" s="378">
        <v>1</v>
      </c>
      <c r="D56" s="287">
        <v>0</v>
      </c>
      <c r="E56" s="67">
        <f t="shared" si="5"/>
        <v>1</v>
      </c>
      <c r="F56" s="92" t="s">
        <v>857</v>
      </c>
      <c r="G56" s="93">
        <v>0</v>
      </c>
      <c r="H56" s="379">
        <v>10</v>
      </c>
      <c r="I56" s="351">
        <v>0</v>
      </c>
      <c r="J56" s="94">
        <f t="shared" si="6"/>
        <v>10</v>
      </c>
    </row>
    <row r="57" spans="1:10" ht="14.95" thickBot="1" x14ac:dyDescent="0.3">
      <c r="A57" s="66" t="s">
        <v>859</v>
      </c>
      <c r="B57" s="275">
        <v>0</v>
      </c>
      <c r="C57" s="378">
        <v>1</v>
      </c>
      <c r="D57" s="287">
        <v>0</v>
      </c>
      <c r="E57" s="67">
        <f t="shared" si="5"/>
        <v>1</v>
      </c>
      <c r="F57" s="92" t="s">
        <v>1427</v>
      </c>
      <c r="G57" s="93">
        <v>0</v>
      </c>
      <c r="H57" s="379">
        <v>5</v>
      </c>
      <c r="I57" s="351">
        <v>0</v>
      </c>
      <c r="J57" s="94">
        <f t="shared" si="6"/>
        <v>5</v>
      </c>
    </row>
    <row r="58" spans="1:10" ht="14.95" thickBot="1" x14ac:dyDescent="0.3">
      <c r="A58" s="66" t="s">
        <v>229</v>
      </c>
      <c r="B58" s="275">
        <v>0</v>
      </c>
      <c r="C58" s="378">
        <v>1</v>
      </c>
      <c r="D58" s="287">
        <v>0</v>
      </c>
      <c r="E58" s="67">
        <f t="shared" si="5"/>
        <v>1</v>
      </c>
      <c r="F58" s="92" t="s">
        <v>1281</v>
      </c>
      <c r="G58" s="93">
        <v>5</v>
      </c>
      <c r="H58" s="379">
        <v>0</v>
      </c>
      <c r="I58" s="351">
        <v>0</v>
      </c>
      <c r="J58" s="94">
        <f t="shared" si="6"/>
        <v>5</v>
      </c>
    </row>
    <row r="59" spans="1:10" ht="14.95" thickBot="1" x14ac:dyDescent="0.3">
      <c r="A59" s="66" t="s">
        <v>1319</v>
      </c>
      <c r="B59" s="275">
        <v>0</v>
      </c>
      <c r="C59" s="378">
        <v>1</v>
      </c>
      <c r="D59" s="287">
        <v>0</v>
      </c>
      <c r="E59" s="67">
        <f t="shared" si="5"/>
        <v>1</v>
      </c>
      <c r="F59" s="92" t="s">
        <v>1407</v>
      </c>
      <c r="G59" s="93">
        <v>0</v>
      </c>
      <c r="H59" s="379">
        <v>5</v>
      </c>
      <c r="I59" s="351">
        <v>0</v>
      </c>
      <c r="J59" s="94">
        <f t="shared" si="6"/>
        <v>5</v>
      </c>
    </row>
    <row r="60" spans="1:10" ht="14.95" thickBot="1" x14ac:dyDescent="0.3">
      <c r="A60" s="66" t="s">
        <v>150</v>
      </c>
      <c r="B60" s="275">
        <v>1</v>
      </c>
      <c r="C60" s="378">
        <v>0</v>
      </c>
      <c r="D60" s="287">
        <v>0</v>
      </c>
      <c r="E60" s="67">
        <f t="shared" si="5"/>
        <v>1</v>
      </c>
      <c r="F60" s="92" t="s">
        <v>859</v>
      </c>
      <c r="G60" s="93">
        <v>0</v>
      </c>
      <c r="H60" s="379">
        <v>5</v>
      </c>
      <c r="I60" s="351">
        <v>0</v>
      </c>
      <c r="J60" s="94">
        <f t="shared" si="6"/>
        <v>5</v>
      </c>
    </row>
    <row r="61" spans="1:10" ht="14.95" thickBot="1" x14ac:dyDescent="0.3">
      <c r="A61" s="66" t="s">
        <v>1408</v>
      </c>
      <c r="B61" s="275">
        <v>0</v>
      </c>
      <c r="C61" s="378">
        <v>1</v>
      </c>
      <c r="D61" s="287">
        <v>0</v>
      </c>
      <c r="E61" s="67">
        <f t="shared" si="5"/>
        <v>1</v>
      </c>
      <c r="F61" s="92" t="s">
        <v>229</v>
      </c>
      <c r="G61" s="93">
        <v>0</v>
      </c>
      <c r="H61" s="379">
        <v>5</v>
      </c>
      <c r="I61" s="351">
        <v>0</v>
      </c>
      <c r="J61" s="94">
        <f t="shared" si="6"/>
        <v>5</v>
      </c>
    </row>
    <row r="62" spans="1:10" ht="14.95" thickBot="1" x14ac:dyDescent="0.3">
      <c r="A62" s="66" t="s">
        <v>1280</v>
      </c>
      <c r="B62" s="275">
        <v>1</v>
      </c>
      <c r="C62" s="378">
        <v>0</v>
      </c>
      <c r="D62" s="287">
        <v>0</v>
      </c>
      <c r="E62" s="67">
        <f t="shared" si="5"/>
        <v>1</v>
      </c>
      <c r="F62" s="92" t="s">
        <v>1319</v>
      </c>
      <c r="G62" s="93">
        <v>0</v>
      </c>
      <c r="H62" s="379">
        <v>5</v>
      </c>
      <c r="I62" s="351">
        <v>0</v>
      </c>
      <c r="J62" s="94">
        <f t="shared" si="6"/>
        <v>5</v>
      </c>
    </row>
    <row r="63" spans="1:10" ht="14.95" thickBot="1" x14ac:dyDescent="0.3">
      <c r="A63" s="66" t="s">
        <v>557</v>
      </c>
      <c r="B63" s="275">
        <v>1</v>
      </c>
      <c r="C63" s="378">
        <v>0</v>
      </c>
      <c r="D63" s="287">
        <v>0</v>
      </c>
      <c r="E63" s="67">
        <f t="shared" si="5"/>
        <v>1</v>
      </c>
      <c r="F63" s="92" t="s">
        <v>1409</v>
      </c>
      <c r="G63" s="93">
        <v>0</v>
      </c>
      <c r="H63" s="379">
        <v>5</v>
      </c>
      <c r="I63" s="351">
        <v>0</v>
      </c>
      <c r="J63" s="94">
        <f t="shared" si="6"/>
        <v>5</v>
      </c>
    </row>
    <row r="64" spans="1:10" ht="14.95" thickBot="1" x14ac:dyDescent="0.3">
      <c r="A64" s="66" t="s">
        <v>681</v>
      </c>
      <c r="B64" s="275">
        <v>1</v>
      </c>
      <c r="C64" s="378">
        <v>0</v>
      </c>
      <c r="D64" s="287">
        <v>0</v>
      </c>
      <c r="E64" s="67">
        <f t="shared" si="5"/>
        <v>1</v>
      </c>
      <c r="F64" s="92" t="s">
        <v>1070</v>
      </c>
      <c r="G64" s="93">
        <v>5</v>
      </c>
      <c r="H64" s="379">
        <v>0</v>
      </c>
      <c r="I64" s="351">
        <v>0</v>
      </c>
      <c r="J64" s="94">
        <f t="shared" si="6"/>
        <v>5</v>
      </c>
    </row>
    <row r="65" spans="1:10" ht="14.95" thickBot="1" x14ac:dyDescent="0.3">
      <c r="A65" s="66" t="s">
        <v>865</v>
      </c>
      <c r="B65" s="275">
        <v>1</v>
      </c>
      <c r="C65" s="378">
        <v>0</v>
      </c>
      <c r="D65" s="287">
        <v>0</v>
      </c>
      <c r="E65" s="67">
        <f t="shared" si="5"/>
        <v>1</v>
      </c>
      <c r="F65" s="92" t="s">
        <v>557</v>
      </c>
      <c r="G65" s="93">
        <v>5</v>
      </c>
      <c r="H65" s="379">
        <v>0</v>
      </c>
      <c r="I65" s="351">
        <v>0</v>
      </c>
      <c r="J65" s="94">
        <f t="shared" si="6"/>
        <v>5</v>
      </c>
    </row>
    <row r="66" spans="1:10" ht="14.95" thickBot="1" x14ac:dyDescent="0.3">
      <c r="A66" s="66" t="s">
        <v>855</v>
      </c>
      <c r="B66" s="275">
        <v>0</v>
      </c>
      <c r="C66" s="378">
        <v>0</v>
      </c>
      <c r="D66" s="287">
        <v>0</v>
      </c>
      <c r="E66" s="67">
        <f t="shared" si="5"/>
        <v>0</v>
      </c>
      <c r="F66" s="92" t="s">
        <v>855</v>
      </c>
      <c r="G66" s="93">
        <v>0</v>
      </c>
      <c r="H66" s="379">
        <v>0</v>
      </c>
      <c r="I66" s="351">
        <v>0</v>
      </c>
      <c r="J66" s="94">
        <f t="shared" si="6"/>
        <v>0</v>
      </c>
    </row>
    <row r="67" spans="1:10" ht="14.95" thickBot="1" x14ac:dyDescent="0.3">
      <c r="A67" s="66" t="s">
        <v>863</v>
      </c>
      <c r="B67" s="275">
        <v>0</v>
      </c>
      <c r="C67" s="378">
        <v>0</v>
      </c>
      <c r="D67" s="287">
        <v>0</v>
      </c>
      <c r="E67" s="67">
        <f t="shared" si="5"/>
        <v>0</v>
      </c>
      <c r="F67" s="92" t="s">
        <v>863</v>
      </c>
      <c r="G67" s="93">
        <v>0</v>
      </c>
      <c r="H67" s="379">
        <v>0</v>
      </c>
      <c r="I67" s="351">
        <v>0</v>
      </c>
      <c r="J67" s="94">
        <f t="shared" si="6"/>
        <v>0</v>
      </c>
    </row>
    <row r="68" spans="1:10" ht="14.95" thickBot="1" x14ac:dyDescent="0.3">
      <c r="A68" s="66" t="s">
        <v>22</v>
      </c>
      <c r="B68" s="275">
        <v>0</v>
      </c>
      <c r="C68" s="378">
        <v>0</v>
      </c>
      <c r="D68" s="287">
        <v>0</v>
      </c>
      <c r="E68" s="67">
        <f t="shared" si="5"/>
        <v>0</v>
      </c>
      <c r="F68" s="92" t="s">
        <v>22</v>
      </c>
      <c r="G68" s="93">
        <v>0</v>
      </c>
      <c r="H68" s="379">
        <v>0</v>
      </c>
      <c r="I68" s="351">
        <v>0</v>
      </c>
      <c r="J68" s="94">
        <f t="shared" si="6"/>
        <v>0</v>
      </c>
    </row>
    <row r="69" spans="1:10" ht="14.95" thickBot="1" x14ac:dyDescent="0.3">
      <c r="A69" s="66" t="s">
        <v>123</v>
      </c>
      <c r="B69" s="275">
        <v>0</v>
      </c>
      <c r="C69" s="378">
        <v>0</v>
      </c>
      <c r="D69" s="287">
        <v>0</v>
      </c>
      <c r="E69" s="67">
        <f t="shared" si="5"/>
        <v>0</v>
      </c>
      <c r="F69" s="92" t="s">
        <v>123</v>
      </c>
      <c r="G69" s="93">
        <v>0</v>
      </c>
      <c r="H69" s="379">
        <v>0</v>
      </c>
      <c r="I69" s="351">
        <v>0</v>
      </c>
      <c r="J69" s="94">
        <f t="shared" si="6"/>
        <v>0</v>
      </c>
    </row>
    <row r="70" spans="1:10" ht="14.95" thickBot="1" x14ac:dyDescent="0.3">
      <c r="A70" s="66" t="s">
        <v>1072</v>
      </c>
      <c r="B70" s="275">
        <v>0</v>
      </c>
      <c r="C70" s="378">
        <v>0</v>
      </c>
      <c r="D70" s="287">
        <v>0</v>
      </c>
      <c r="E70" s="67">
        <f t="shared" si="5"/>
        <v>0</v>
      </c>
      <c r="F70" s="92" t="s">
        <v>1072</v>
      </c>
      <c r="G70" s="93">
        <v>0</v>
      </c>
      <c r="H70" s="379">
        <v>0</v>
      </c>
      <c r="I70" s="351">
        <v>0</v>
      </c>
      <c r="J70" s="94">
        <f t="shared" si="6"/>
        <v>0</v>
      </c>
    </row>
    <row r="71" spans="1:10" ht="14.95" thickBot="1" x14ac:dyDescent="0.3">
      <c r="A71" s="66" t="s">
        <v>69</v>
      </c>
      <c r="B71" s="275">
        <v>0</v>
      </c>
      <c r="C71" s="378">
        <v>0</v>
      </c>
      <c r="D71" s="287">
        <v>0</v>
      </c>
      <c r="E71" s="67">
        <f t="shared" si="5"/>
        <v>0</v>
      </c>
      <c r="F71" s="92" t="s">
        <v>69</v>
      </c>
      <c r="G71" s="93">
        <v>0</v>
      </c>
      <c r="H71" s="379">
        <v>0</v>
      </c>
      <c r="I71" s="351">
        <v>0</v>
      </c>
      <c r="J71" s="94">
        <f t="shared" si="6"/>
        <v>0</v>
      </c>
    </row>
    <row r="72" spans="1:10" ht="14.95" thickBot="1" x14ac:dyDescent="0.3">
      <c r="A72" s="66" t="s">
        <v>1074</v>
      </c>
      <c r="B72" s="275">
        <v>0</v>
      </c>
      <c r="C72" s="378">
        <v>0</v>
      </c>
      <c r="D72" s="287">
        <v>0</v>
      </c>
      <c r="E72" s="67">
        <f t="shared" si="5"/>
        <v>0</v>
      </c>
      <c r="F72" s="92" t="s">
        <v>1073</v>
      </c>
      <c r="G72" s="93">
        <v>0</v>
      </c>
      <c r="H72" s="379">
        <v>0</v>
      </c>
      <c r="I72" s="351">
        <v>0</v>
      </c>
      <c r="J72" s="94">
        <f t="shared" si="6"/>
        <v>0</v>
      </c>
    </row>
    <row r="73" spans="1:10" ht="14.95" thickBot="1" x14ac:dyDescent="0.3">
      <c r="A73" s="66" t="s">
        <v>1075</v>
      </c>
      <c r="B73" s="275">
        <v>0</v>
      </c>
      <c r="C73" s="378">
        <v>0</v>
      </c>
      <c r="D73" s="287">
        <v>0</v>
      </c>
      <c r="E73" s="67">
        <f t="shared" si="5"/>
        <v>0</v>
      </c>
      <c r="F73" s="92" t="s">
        <v>1075</v>
      </c>
      <c r="G73" s="93">
        <v>0</v>
      </c>
      <c r="H73" s="379">
        <v>0</v>
      </c>
      <c r="I73" s="351">
        <v>0</v>
      </c>
      <c r="J73" s="94">
        <f t="shared" si="6"/>
        <v>0</v>
      </c>
    </row>
    <row r="74" spans="1:10" ht="14.95" thickBot="1" x14ac:dyDescent="0.3">
      <c r="A74" s="66" t="s">
        <v>500</v>
      </c>
      <c r="B74" s="275">
        <v>0</v>
      </c>
      <c r="C74" s="378">
        <v>0</v>
      </c>
      <c r="D74" s="287">
        <v>0</v>
      </c>
      <c r="E74" s="67">
        <f t="shared" si="5"/>
        <v>0</v>
      </c>
      <c r="F74" s="92" t="s">
        <v>500</v>
      </c>
      <c r="G74" s="93">
        <v>0</v>
      </c>
      <c r="H74" s="379">
        <v>0</v>
      </c>
      <c r="I74" s="351">
        <v>0</v>
      </c>
      <c r="J74" s="94">
        <f t="shared" si="6"/>
        <v>0</v>
      </c>
    </row>
    <row r="75" spans="1:10" ht="14.95" thickBot="1" x14ac:dyDescent="0.3">
      <c r="A75" s="66" t="s">
        <v>4</v>
      </c>
      <c r="B75" s="275">
        <v>0</v>
      </c>
      <c r="C75" s="378">
        <v>0</v>
      </c>
      <c r="D75" s="287">
        <v>0</v>
      </c>
      <c r="E75" s="67">
        <f t="shared" si="5"/>
        <v>0</v>
      </c>
      <c r="F75" s="92" t="s">
        <v>4</v>
      </c>
      <c r="G75" s="93">
        <v>0</v>
      </c>
      <c r="H75" s="379">
        <v>0</v>
      </c>
      <c r="I75" s="351">
        <v>0</v>
      </c>
      <c r="J75" s="94">
        <f t="shared" si="6"/>
        <v>0</v>
      </c>
    </row>
    <row r="76" spans="1:10" ht="14.95" thickBot="1" x14ac:dyDescent="0.3">
      <c r="A76" s="66" t="s">
        <v>856</v>
      </c>
      <c r="B76" s="275">
        <v>0</v>
      </c>
      <c r="C76" s="378">
        <v>0</v>
      </c>
      <c r="D76" s="287">
        <v>0</v>
      </c>
      <c r="E76" s="67">
        <f t="shared" si="5"/>
        <v>0</v>
      </c>
      <c r="F76" s="92" t="s">
        <v>856</v>
      </c>
      <c r="G76" s="93">
        <v>0</v>
      </c>
      <c r="H76" s="379">
        <v>0</v>
      </c>
      <c r="I76" s="351">
        <v>0</v>
      </c>
      <c r="J76" s="94">
        <f t="shared" si="6"/>
        <v>0</v>
      </c>
    </row>
    <row r="77" spans="1:10" ht="14.95" thickBot="1" x14ac:dyDescent="0.3">
      <c r="A77" s="66" t="s">
        <v>9</v>
      </c>
      <c r="B77" s="275">
        <v>0</v>
      </c>
      <c r="C77" s="378">
        <v>0</v>
      </c>
      <c r="D77" s="287">
        <v>0</v>
      </c>
      <c r="E77" s="67">
        <f t="shared" si="5"/>
        <v>0</v>
      </c>
      <c r="F77" s="92" t="s">
        <v>9</v>
      </c>
      <c r="G77" s="93">
        <v>0</v>
      </c>
      <c r="H77" s="379">
        <v>0</v>
      </c>
      <c r="I77" s="351">
        <v>0</v>
      </c>
      <c r="J77" s="94">
        <f t="shared" si="6"/>
        <v>0</v>
      </c>
    </row>
    <row r="78" spans="1:10" ht="14.95" thickBot="1" x14ac:dyDescent="0.3">
      <c r="A78" s="66" t="s">
        <v>864</v>
      </c>
      <c r="B78" s="275">
        <v>0</v>
      </c>
      <c r="C78" s="378">
        <v>0</v>
      </c>
      <c r="D78" s="287">
        <v>0</v>
      </c>
      <c r="E78" s="67">
        <f t="shared" si="5"/>
        <v>0</v>
      </c>
      <c r="F78" s="92" t="s">
        <v>864</v>
      </c>
      <c r="G78" s="93">
        <v>0</v>
      </c>
      <c r="H78" s="379">
        <v>0</v>
      </c>
      <c r="I78" s="351">
        <v>0</v>
      </c>
      <c r="J78" s="94">
        <f t="shared" si="6"/>
        <v>0</v>
      </c>
    </row>
    <row r="79" spans="1:10" ht="14.95" thickBot="1" x14ac:dyDescent="0.3">
      <c r="A79" s="66" t="s">
        <v>860</v>
      </c>
      <c r="B79" s="275">
        <v>0</v>
      </c>
      <c r="C79" s="378">
        <v>0</v>
      </c>
      <c r="D79" s="287">
        <v>0</v>
      </c>
      <c r="E79" s="67">
        <f t="shared" si="5"/>
        <v>0</v>
      </c>
      <c r="F79" s="92" t="s">
        <v>860</v>
      </c>
      <c r="G79" s="93">
        <v>0</v>
      </c>
      <c r="H79" s="379">
        <v>0</v>
      </c>
      <c r="I79" s="351">
        <v>0</v>
      </c>
      <c r="J79" s="94">
        <f t="shared" si="6"/>
        <v>0</v>
      </c>
    </row>
    <row r="80" spans="1:10" ht="14.95" thickBot="1" x14ac:dyDescent="0.3">
      <c r="A80" s="66" t="s">
        <v>861</v>
      </c>
      <c r="B80" s="275">
        <v>0</v>
      </c>
      <c r="C80" s="378">
        <v>0</v>
      </c>
      <c r="D80" s="287">
        <v>0</v>
      </c>
      <c r="E80" s="67">
        <f t="shared" si="5"/>
        <v>0</v>
      </c>
      <c r="F80" s="92" t="s">
        <v>861</v>
      </c>
      <c r="G80" s="93">
        <v>0</v>
      </c>
      <c r="H80" s="379">
        <v>0</v>
      </c>
      <c r="I80" s="351">
        <v>0</v>
      </c>
      <c r="J80" s="94">
        <f t="shared" si="6"/>
        <v>0</v>
      </c>
    </row>
    <row r="81" spans="1:10" ht="14.95" thickBot="1" x14ac:dyDescent="0.3">
      <c r="A81" s="66" t="s">
        <v>73</v>
      </c>
      <c r="B81" s="275">
        <v>0</v>
      </c>
      <c r="C81" s="378">
        <v>0</v>
      </c>
      <c r="D81" s="287">
        <v>0</v>
      </c>
      <c r="E81" s="67">
        <f t="shared" si="5"/>
        <v>0</v>
      </c>
      <c r="F81" s="92" t="s">
        <v>73</v>
      </c>
      <c r="G81" s="93">
        <v>0</v>
      </c>
      <c r="H81" s="379">
        <v>0</v>
      </c>
      <c r="I81" s="351">
        <v>0</v>
      </c>
      <c r="J81" s="94">
        <f t="shared" si="6"/>
        <v>0</v>
      </c>
    </row>
    <row r="82" spans="1:10" ht="14.95" thickBot="1" x14ac:dyDescent="0.3">
      <c r="A82" s="66" t="s">
        <v>858</v>
      </c>
      <c r="B82" s="275">
        <v>0</v>
      </c>
      <c r="C82" s="378">
        <v>0</v>
      </c>
      <c r="D82" s="287">
        <v>0</v>
      </c>
      <c r="E82" s="67">
        <f t="shared" si="5"/>
        <v>0</v>
      </c>
      <c r="F82" s="92" t="s">
        <v>858</v>
      </c>
      <c r="G82" s="93">
        <v>0</v>
      </c>
      <c r="H82" s="379">
        <v>0</v>
      </c>
      <c r="I82" s="351">
        <v>0</v>
      </c>
      <c r="J82" s="94">
        <f t="shared" si="6"/>
        <v>0</v>
      </c>
    </row>
    <row r="83" spans="1:10" ht="14.95" thickBot="1" x14ac:dyDescent="0.3">
      <c r="A83" s="66" t="s">
        <v>3</v>
      </c>
      <c r="B83" s="275">
        <f>SUM(B45:B82)</f>
        <v>13</v>
      </c>
      <c r="C83" s="378">
        <f>SUM(C45:C82)</f>
        <v>22</v>
      </c>
      <c r="D83" s="287">
        <f>SUM(D45:D82)</f>
        <v>0</v>
      </c>
      <c r="E83" s="67">
        <f t="shared" si="5"/>
        <v>35</v>
      </c>
      <c r="F83" s="93" t="s">
        <v>3</v>
      </c>
      <c r="G83" s="93">
        <f>SUM(G45:G82)</f>
        <v>104</v>
      </c>
      <c r="H83" s="379">
        <f>SUM(H45:H82)</f>
        <v>149</v>
      </c>
      <c r="I83" s="351">
        <f>SUM(I45:I82)</f>
        <v>6</v>
      </c>
      <c r="J83" s="94">
        <f>SUM(J45:J82)</f>
        <v>259</v>
      </c>
    </row>
    <row r="84" spans="1:10" ht="16.3" x14ac:dyDescent="0.3">
      <c r="A84" s="487" t="s">
        <v>28</v>
      </c>
      <c r="C84" s="487"/>
    </row>
  </sheetData>
  <sortState xmlns:xlrd2="http://schemas.microsoft.com/office/spreadsheetml/2017/richdata2" ref="F45:J82">
    <sortCondition descending="1" ref="J45:J82"/>
  </sortState>
  <mergeCells count="28">
    <mergeCell ref="AE1:AG2"/>
    <mergeCell ref="L25:N26"/>
    <mergeCell ref="K35:K36"/>
    <mergeCell ref="L35:N36"/>
    <mergeCell ref="AN1:AP2"/>
    <mergeCell ref="R1:R2"/>
    <mergeCell ref="K25:K26"/>
    <mergeCell ref="R25:T26"/>
    <mergeCell ref="O1:Q2"/>
    <mergeCell ref="O20:Q21"/>
    <mergeCell ref="R11:T12"/>
    <mergeCell ref="AK1:AM2"/>
    <mergeCell ref="U25:W26"/>
    <mergeCell ref="Y1:AA2"/>
    <mergeCell ref="O11:Q12"/>
    <mergeCell ref="AH1:AJ2"/>
    <mergeCell ref="V1:X2"/>
    <mergeCell ref="S1:U2"/>
    <mergeCell ref="AB1:AD2"/>
    <mergeCell ref="O25:Q26"/>
    <mergeCell ref="A1:J1"/>
    <mergeCell ref="K11:K12"/>
    <mergeCell ref="L11:N12"/>
    <mergeCell ref="K20:K21"/>
    <mergeCell ref="L20:N21"/>
    <mergeCell ref="K1:K2"/>
    <mergeCell ref="L1:N2"/>
    <mergeCell ref="AB25:AD26"/>
  </mergeCells>
  <pageMargins left="0.7" right="0.7" top="0.75" bottom="0.75" header="0.3" footer="0.3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V49"/>
  <sheetViews>
    <sheetView zoomScaleNormal="100" workbookViewId="0">
      <selection activeCell="Y21" sqref="Y21"/>
    </sheetView>
  </sheetViews>
  <sheetFormatPr defaultRowHeight="14.3" x14ac:dyDescent="0.25"/>
  <cols>
    <col min="1" max="1" width="16.5" customWidth="1"/>
    <col min="2" max="3" width="4.5" customWidth="1"/>
    <col min="4" max="4" width="4.625" customWidth="1"/>
    <col min="5" max="5" width="16.5" customWidth="1"/>
    <col min="6" max="8" width="4.5" customWidth="1"/>
    <col min="9" max="9" width="15.5" customWidth="1"/>
    <col min="10" max="24" width="5.5" customWidth="1"/>
    <col min="25" max="45" width="5.625" customWidth="1"/>
  </cols>
  <sheetData>
    <row r="1" spans="1:48" ht="14.95" customHeight="1" thickBot="1" x14ac:dyDescent="0.3">
      <c r="A1" s="705" t="s">
        <v>1455</v>
      </c>
      <c r="B1" s="706"/>
      <c r="C1" s="706"/>
      <c r="D1" s="706"/>
      <c r="E1" s="706"/>
      <c r="F1" s="706"/>
      <c r="G1" s="706"/>
      <c r="H1" s="707"/>
      <c r="I1" s="708" t="s">
        <v>112</v>
      </c>
      <c r="J1" s="583">
        <v>2026</v>
      </c>
      <c r="K1" s="584"/>
      <c r="L1" s="585"/>
      <c r="M1" s="583" t="s">
        <v>32</v>
      </c>
      <c r="N1" s="584"/>
      <c r="O1" s="585"/>
      <c r="P1" s="579" t="s">
        <v>121</v>
      </c>
      <c r="Q1" s="568">
        <v>2025</v>
      </c>
      <c r="R1" s="569"/>
      <c r="S1" s="570"/>
      <c r="T1" s="568">
        <v>2024</v>
      </c>
      <c r="U1" s="569"/>
      <c r="V1" s="570"/>
      <c r="W1" s="125"/>
      <c r="X1" s="125"/>
      <c r="Y1" s="568">
        <v>2023</v>
      </c>
      <c r="Z1" s="569"/>
      <c r="AA1" s="570"/>
      <c r="AB1" s="557">
        <v>2022</v>
      </c>
      <c r="AC1" s="563"/>
      <c r="AD1" s="564"/>
      <c r="AE1" s="557">
        <v>2021</v>
      </c>
      <c r="AF1" s="563"/>
      <c r="AG1" s="564"/>
      <c r="AH1" s="568">
        <v>2020</v>
      </c>
      <c r="AI1" s="569"/>
      <c r="AJ1" s="570"/>
      <c r="AK1" s="568">
        <v>2019</v>
      </c>
      <c r="AL1" s="569"/>
      <c r="AM1" s="570"/>
      <c r="AN1" s="568">
        <v>2018</v>
      </c>
      <c r="AO1" s="569"/>
      <c r="AP1" s="570"/>
      <c r="AQ1" s="568">
        <v>2017</v>
      </c>
      <c r="AR1" s="569"/>
      <c r="AS1" s="570"/>
      <c r="AT1" s="568">
        <v>2016</v>
      </c>
      <c r="AU1" s="569"/>
      <c r="AV1" s="570"/>
    </row>
    <row r="2" spans="1:48" ht="14.95" customHeight="1" thickBot="1" x14ac:dyDescent="0.3">
      <c r="A2" s="184" t="s">
        <v>0</v>
      </c>
      <c r="B2" s="471" t="s">
        <v>31</v>
      </c>
      <c r="C2" s="467" t="s">
        <v>1354</v>
      </c>
      <c r="D2" s="185" t="s">
        <v>1</v>
      </c>
      <c r="E2" s="263" t="s">
        <v>2</v>
      </c>
      <c r="F2" s="474" t="s">
        <v>31</v>
      </c>
      <c r="G2" s="469" t="s">
        <v>1354</v>
      </c>
      <c r="H2" s="262" t="s">
        <v>1</v>
      </c>
      <c r="I2" s="709"/>
      <c r="J2" s="586"/>
      <c r="K2" s="587"/>
      <c r="L2" s="588"/>
      <c r="M2" s="586"/>
      <c r="N2" s="587"/>
      <c r="O2" s="588"/>
      <c r="P2" s="710"/>
      <c r="Q2" s="571"/>
      <c r="R2" s="572"/>
      <c r="S2" s="573"/>
      <c r="T2" s="571"/>
      <c r="U2" s="572"/>
      <c r="V2" s="573"/>
      <c r="W2" s="125"/>
      <c r="X2" s="125"/>
      <c r="Y2" s="571"/>
      <c r="Z2" s="572"/>
      <c r="AA2" s="573"/>
      <c r="AB2" s="565"/>
      <c r="AC2" s="566"/>
      <c r="AD2" s="567"/>
      <c r="AE2" s="565"/>
      <c r="AF2" s="566"/>
      <c r="AG2" s="567"/>
      <c r="AH2" s="571"/>
      <c r="AI2" s="572"/>
      <c r="AJ2" s="573"/>
      <c r="AK2" s="571"/>
      <c r="AL2" s="572"/>
      <c r="AM2" s="573"/>
      <c r="AN2" s="571"/>
      <c r="AO2" s="572"/>
      <c r="AP2" s="573"/>
      <c r="AQ2" s="571"/>
      <c r="AR2" s="572"/>
      <c r="AS2" s="573"/>
      <c r="AT2" s="571"/>
      <c r="AU2" s="572"/>
      <c r="AV2" s="573"/>
    </row>
    <row r="3" spans="1:48" ht="14.95" customHeight="1" thickBot="1" x14ac:dyDescent="0.3">
      <c r="A3" s="88" t="s">
        <v>117</v>
      </c>
      <c r="B3" s="472">
        <v>0</v>
      </c>
      <c r="C3" s="468">
        <v>0</v>
      </c>
      <c r="D3" s="89">
        <f t="shared" ref="D3:D46" si="0">SUM(B3:C3)</f>
        <v>0</v>
      </c>
      <c r="E3" s="264" t="s">
        <v>117</v>
      </c>
      <c r="F3" s="475">
        <v>0</v>
      </c>
      <c r="G3" s="470">
        <v>0</v>
      </c>
      <c r="H3" s="265">
        <f t="shared" ref="H3:H46" si="1">SUM(F3:G3)</f>
        <v>0</v>
      </c>
      <c r="I3" s="4" t="s">
        <v>20</v>
      </c>
      <c r="J3" s="1" t="s">
        <v>152</v>
      </c>
      <c r="K3" s="1" t="s">
        <v>12</v>
      </c>
      <c r="L3" s="1" t="s">
        <v>13</v>
      </c>
      <c r="M3" s="183" t="s">
        <v>152</v>
      </c>
      <c r="N3" s="1" t="s">
        <v>12</v>
      </c>
      <c r="O3" s="1" t="s">
        <v>13</v>
      </c>
      <c r="P3" s="1"/>
      <c r="Q3" s="128" t="s">
        <v>152</v>
      </c>
      <c r="R3" s="128" t="s">
        <v>12</v>
      </c>
      <c r="S3" s="128" t="s">
        <v>13</v>
      </c>
      <c r="T3" s="128" t="s">
        <v>152</v>
      </c>
      <c r="U3" s="128" t="s">
        <v>12</v>
      </c>
      <c r="V3" s="128" t="s">
        <v>13</v>
      </c>
      <c r="W3" s="121"/>
      <c r="X3" s="121"/>
      <c r="Y3" s="128" t="s">
        <v>152</v>
      </c>
      <c r="Z3" s="128" t="s">
        <v>12</v>
      </c>
      <c r="AA3" s="128" t="s">
        <v>13</v>
      </c>
      <c r="AB3" s="171" t="s">
        <v>152</v>
      </c>
      <c r="AC3" s="119" t="s">
        <v>12</v>
      </c>
      <c r="AD3" s="119" t="s">
        <v>13</v>
      </c>
      <c r="AE3" s="171" t="s">
        <v>152</v>
      </c>
      <c r="AF3" s="119" t="s">
        <v>12</v>
      </c>
      <c r="AG3" s="119" t="s">
        <v>13</v>
      </c>
      <c r="AH3" s="228" t="s">
        <v>152</v>
      </c>
      <c r="AI3" s="128" t="s">
        <v>12</v>
      </c>
      <c r="AJ3" s="128" t="s">
        <v>13</v>
      </c>
      <c r="AK3" s="228" t="s">
        <v>152</v>
      </c>
      <c r="AL3" s="128" t="s">
        <v>12</v>
      </c>
      <c r="AM3" s="128" t="s">
        <v>13</v>
      </c>
      <c r="AN3" s="228" t="s">
        <v>152</v>
      </c>
      <c r="AO3" s="128" t="s">
        <v>12</v>
      </c>
      <c r="AP3" s="128" t="s">
        <v>13</v>
      </c>
      <c r="AQ3" s="228" t="s">
        <v>152</v>
      </c>
      <c r="AR3" s="128" t="s">
        <v>12</v>
      </c>
      <c r="AS3" s="128" t="s">
        <v>13</v>
      </c>
      <c r="AT3" s="228" t="s">
        <v>152</v>
      </c>
      <c r="AU3" s="128" t="s">
        <v>12</v>
      </c>
      <c r="AV3" s="128" t="s">
        <v>13</v>
      </c>
    </row>
    <row r="4" spans="1:48" ht="14.95" customHeight="1" thickBot="1" x14ac:dyDescent="0.3">
      <c r="A4" s="88" t="s">
        <v>149</v>
      </c>
      <c r="B4" s="472">
        <v>0</v>
      </c>
      <c r="C4" s="468">
        <v>0</v>
      </c>
      <c r="D4" s="89">
        <f t="shared" si="0"/>
        <v>0</v>
      </c>
      <c r="E4" s="264" t="s">
        <v>149</v>
      </c>
      <c r="F4" s="475">
        <v>0</v>
      </c>
      <c r="G4" s="470">
        <v>0</v>
      </c>
      <c r="H4" s="265">
        <f t="shared" si="1"/>
        <v>0</v>
      </c>
      <c r="I4" s="88" t="s">
        <v>117</v>
      </c>
      <c r="J4" s="89" t="s">
        <v>17</v>
      </c>
      <c r="K4" s="89" t="s">
        <v>17</v>
      </c>
      <c r="L4" s="90" t="s">
        <v>17</v>
      </c>
      <c r="M4" s="89" t="s">
        <v>17</v>
      </c>
      <c r="N4" s="89" t="s">
        <v>17</v>
      </c>
      <c r="O4" s="90" t="s">
        <v>17</v>
      </c>
      <c r="P4" s="90">
        <v>1</v>
      </c>
      <c r="Q4" s="128">
        <v>25</v>
      </c>
      <c r="R4" s="128">
        <v>35</v>
      </c>
      <c r="S4" s="231">
        <v>71.428571428571431</v>
      </c>
      <c r="T4" s="128">
        <v>13</v>
      </c>
      <c r="U4" s="128">
        <v>15</v>
      </c>
      <c r="V4" s="231">
        <f>SUM(T4/U4)*100</f>
        <v>86.666666666666671</v>
      </c>
      <c r="W4" s="121"/>
      <c r="X4" s="121"/>
      <c r="Y4" s="128">
        <v>2</v>
      </c>
      <c r="Z4" s="128">
        <v>2</v>
      </c>
      <c r="AA4" s="231">
        <f>SUM(Y4/Z4)*100</f>
        <v>100</v>
      </c>
      <c r="AB4" s="228">
        <v>2</v>
      </c>
      <c r="AC4" s="128">
        <v>2</v>
      </c>
      <c r="AD4" s="231">
        <v>100</v>
      </c>
      <c r="AE4" s="228">
        <v>18</v>
      </c>
      <c r="AF4" s="128">
        <v>28</v>
      </c>
      <c r="AG4" s="231">
        <f>SUM(AE4/AF4)*100</f>
        <v>64.285714285714292</v>
      </c>
      <c r="AH4" s="228" t="s">
        <v>17</v>
      </c>
      <c r="AI4" s="128" t="s">
        <v>17</v>
      </c>
      <c r="AJ4" s="231" t="s">
        <v>17</v>
      </c>
      <c r="AK4" s="228">
        <v>15</v>
      </c>
      <c r="AL4" s="128">
        <v>19</v>
      </c>
      <c r="AM4" s="231">
        <f>SUM(AK4/AL4)*100</f>
        <v>78.94736842105263</v>
      </c>
      <c r="AN4" s="228">
        <v>36</v>
      </c>
      <c r="AO4" s="128">
        <v>53</v>
      </c>
      <c r="AP4" s="231">
        <f>SUM(AN4/AO4)*100</f>
        <v>67.924528301886795</v>
      </c>
      <c r="AQ4" s="228">
        <v>61</v>
      </c>
      <c r="AR4" s="128">
        <v>75</v>
      </c>
      <c r="AS4" s="231">
        <f>SUM(AQ4/AR4)*100</f>
        <v>81.333333333333329</v>
      </c>
      <c r="AT4" s="228">
        <v>49</v>
      </c>
      <c r="AU4" s="128">
        <v>70</v>
      </c>
      <c r="AV4" s="231">
        <f>SUM(AT4/AU4)*100</f>
        <v>70</v>
      </c>
    </row>
    <row r="5" spans="1:48" ht="14.95" customHeight="1" thickBot="1" x14ac:dyDescent="0.3">
      <c r="A5" s="88" t="s">
        <v>153</v>
      </c>
      <c r="B5" s="472">
        <v>0</v>
      </c>
      <c r="C5" s="468">
        <v>0</v>
      </c>
      <c r="D5" s="89">
        <f t="shared" si="0"/>
        <v>0</v>
      </c>
      <c r="E5" s="264" t="s">
        <v>153</v>
      </c>
      <c r="F5" s="475">
        <v>0</v>
      </c>
      <c r="G5" s="470">
        <v>0</v>
      </c>
      <c r="H5" s="265">
        <f t="shared" si="1"/>
        <v>0</v>
      </c>
      <c r="I5" s="88" t="s">
        <v>149</v>
      </c>
      <c r="J5" s="89" t="s">
        <v>17</v>
      </c>
      <c r="K5" s="89" t="s">
        <v>17</v>
      </c>
      <c r="L5" s="90" t="s">
        <v>17</v>
      </c>
      <c r="M5" s="89" t="s">
        <v>17</v>
      </c>
      <c r="N5" s="89" t="s">
        <v>17</v>
      </c>
      <c r="O5" s="90" t="s">
        <v>17</v>
      </c>
      <c r="P5" s="89">
        <v>-1</v>
      </c>
      <c r="Q5" s="128">
        <v>2</v>
      </c>
      <c r="R5" s="128">
        <v>3</v>
      </c>
      <c r="S5" s="231">
        <v>66.666666666666657</v>
      </c>
      <c r="T5" s="128" t="s">
        <v>17</v>
      </c>
      <c r="U5" s="128" t="s">
        <v>17</v>
      </c>
      <c r="V5" s="231" t="s">
        <v>17</v>
      </c>
      <c r="W5" s="121"/>
      <c r="X5" s="121"/>
      <c r="Y5" s="128">
        <v>3</v>
      </c>
      <c r="Z5" s="128">
        <v>5</v>
      </c>
      <c r="AA5" s="231">
        <f>SUM(Y5/Z5)*100</f>
        <v>60</v>
      </c>
      <c r="AB5" s="228">
        <v>21</v>
      </c>
      <c r="AC5" s="128">
        <v>27</v>
      </c>
      <c r="AD5" s="231">
        <v>77.777777777777786</v>
      </c>
      <c r="AE5" s="228">
        <v>35</v>
      </c>
      <c r="AF5" s="128">
        <v>42</v>
      </c>
      <c r="AG5" s="231">
        <f>SUM(AE5/AF5)*100</f>
        <v>83.333333333333343</v>
      </c>
      <c r="AH5" s="228">
        <v>5</v>
      </c>
      <c r="AI5" s="128">
        <v>10</v>
      </c>
      <c r="AJ5" s="231">
        <f>SUM(AH5/AI5)*100</f>
        <v>50</v>
      </c>
      <c r="AK5" s="228">
        <v>8</v>
      </c>
      <c r="AL5" s="128">
        <v>11</v>
      </c>
      <c r="AM5" s="231">
        <f>SUM(AK5/AL5)*100</f>
        <v>72.727272727272734</v>
      </c>
      <c r="AN5" s="228">
        <v>1</v>
      </c>
      <c r="AO5" s="128">
        <v>2</v>
      </c>
      <c r="AP5" s="231">
        <f>SUM(AN5/AO5)*100</f>
        <v>50</v>
      </c>
      <c r="AQ5" s="128" t="s">
        <v>17</v>
      </c>
      <c r="AR5" s="128" t="s">
        <v>17</v>
      </c>
      <c r="AS5" s="232" t="s">
        <v>17</v>
      </c>
      <c r="AT5" s="128" t="s">
        <v>17</v>
      </c>
      <c r="AU5" s="128" t="s">
        <v>17</v>
      </c>
      <c r="AV5" s="232" t="s">
        <v>17</v>
      </c>
    </row>
    <row r="6" spans="1:48" ht="14.95" customHeight="1" thickBot="1" x14ac:dyDescent="0.3">
      <c r="A6" s="88" t="s">
        <v>711</v>
      </c>
      <c r="B6" s="472">
        <v>0</v>
      </c>
      <c r="C6" s="468">
        <v>0</v>
      </c>
      <c r="D6" s="89">
        <f t="shared" si="0"/>
        <v>0</v>
      </c>
      <c r="E6" s="264" t="s">
        <v>711</v>
      </c>
      <c r="F6" s="475">
        <v>0</v>
      </c>
      <c r="G6" s="470">
        <v>0</v>
      </c>
      <c r="H6" s="265">
        <f t="shared" si="1"/>
        <v>0</v>
      </c>
      <c r="I6" s="88" t="s">
        <v>629</v>
      </c>
      <c r="J6" s="89" t="s">
        <v>17</v>
      </c>
      <c r="K6" s="89" t="s">
        <v>17</v>
      </c>
      <c r="L6" s="90" t="s">
        <v>17</v>
      </c>
      <c r="M6" s="89">
        <v>8</v>
      </c>
      <c r="N6" s="89">
        <v>8</v>
      </c>
      <c r="O6" s="90">
        <f>SUM(M6/N6)*100</f>
        <v>100</v>
      </c>
      <c r="P6" s="142">
        <v>10</v>
      </c>
      <c r="Q6" s="128">
        <v>27</v>
      </c>
      <c r="R6" s="128">
        <v>33</v>
      </c>
      <c r="S6" s="231">
        <v>81.818181818181827</v>
      </c>
      <c r="T6" s="128">
        <v>56</v>
      </c>
      <c r="U6" s="128">
        <v>72</v>
      </c>
      <c r="V6" s="231">
        <f>SUM(T6/U6)*100</f>
        <v>77.777777777777786</v>
      </c>
      <c r="W6" s="121"/>
      <c r="X6" s="121"/>
      <c r="Y6" s="128">
        <v>19</v>
      </c>
      <c r="Z6" s="128">
        <v>26</v>
      </c>
      <c r="AA6" s="231">
        <f>SUM(Y6/Z6)*100</f>
        <v>73.076923076923066</v>
      </c>
      <c r="AB6" s="228" t="s">
        <v>17</v>
      </c>
      <c r="AC6" s="128" t="s">
        <v>17</v>
      </c>
      <c r="AD6" s="231" t="s">
        <v>17</v>
      </c>
      <c r="AE6" s="228">
        <v>4</v>
      </c>
      <c r="AF6" s="128">
        <v>7</v>
      </c>
      <c r="AG6" s="231">
        <f>SUM(AE6/AF6)*100</f>
        <v>57.142857142857139</v>
      </c>
      <c r="AH6" s="228" t="s">
        <v>17</v>
      </c>
      <c r="AI6" s="128" t="s">
        <v>17</v>
      </c>
      <c r="AJ6" s="231" t="s">
        <v>17</v>
      </c>
      <c r="AK6" s="228" t="s">
        <v>17</v>
      </c>
      <c r="AL6" s="128" t="s">
        <v>17</v>
      </c>
      <c r="AM6" s="128" t="s">
        <v>17</v>
      </c>
      <c r="AN6" s="228">
        <v>10</v>
      </c>
      <c r="AO6" s="128">
        <v>11</v>
      </c>
      <c r="AP6" s="231">
        <f>SUM(AN6/AO6)*100</f>
        <v>90.909090909090907</v>
      </c>
      <c r="AQ6" s="247">
        <v>0</v>
      </c>
      <c r="AR6" s="246">
        <v>2</v>
      </c>
      <c r="AS6" s="231">
        <f>SUM(AQ6/AR6)*100</f>
        <v>0</v>
      </c>
      <c r="AT6" s="228" t="s">
        <v>17</v>
      </c>
      <c r="AU6" s="128" t="s">
        <v>17</v>
      </c>
      <c r="AV6" s="128" t="s">
        <v>17</v>
      </c>
    </row>
    <row r="7" spans="1:48" ht="14.95" customHeight="1" thickBot="1" x14ac:dyDescent="0.3">
      <c r="A7" s="88" t="s">
        <v>1383</v>
      </c>
      <c r="B7" s="472">
        <v>0</v>
      </c>
      <c r="C7" s="468">
        <v>0</v>
      </c>
      <c r="D7" s="89">
        <f t="shared" si="0"/>
        <v>0</v>
      </c>
      <c r="E7" s="264" t="s">
        <v>1383</v>
      </c>
      <c r="F7" s="475">
        <v>0</v>
      </c>
      <c r="G7" s="470">
        <v>0</v>
      </c>
      <c r="H7" s="265">
        <f t="shared" si="1"/>
        <v>0</v>
      </c>
      <c r="I7" s="88" t="s">
        <v>238</v>
      </c>
      <c r="J7" s="89" t="s">
        <v>17</v>
      </c>
      <c r="K7" s="89" t="s">
        <v>17</v>
      </c>
      <c r="L7" s="90" t="s">
        <v>17</v>
      </c>
      <c r="M7" s="89" t="s">
        <v>17</v>
      </c>
      <c r="N7" s="89" t="s">
        <v>17</v>
      </c>
      <c r="O7" s="90" t="s">
        <v>17</v>
      </c>
      <c r="P7" s="142">
        <v>-1</v>
      </c>
      <c r="Q7" s="128" t="s">
        <v>17</v>
      </c>
      <c r="R7" s="128" t="s">
        <v>17</v>
      </c>
      <c r="S7" s="231" t="s">
        <v>17</v>
      </c>
      <c r="T7" s="128" t="s">
        <v>17</v>
      </c>
      <c r="U7" s="128" t="s">
        <v>17</v>
      </c>
      <c r="V7" s="231" t="s">
        <v>17</v>
      </c>
      <c r="W7" s="121"/>
      <c r="X7" s="121"/>
      <c r="Y7" s="128">
        <v>37</v>
      </c>
      <c r="Z7" s="128">
        <v>51</v>
      </c>
      <c r="AA7" s="231">
        <f>SUM(Y7/Z7)*100</f>
        <v>72.549019607843135</v>
      </c>
      <c r="AB7" s="228">
        <v>32</v>
      </c>
      <c r="AC7" s="128">
        <v>39</v>
      </c>
      <c r="AD7" s="231">
        <v>82.051282051282044</v>
      </c>
      <c r="AE7" s="228">
        <v>38</v>
      </c>
      <c r="AF7" s="128">
        <v>51</v>
      </c>
      <c r="AG7" s="231">
        <f>SUM(AE7/AF7)*100</f>
        <v>74.509803921568633</v>
      </c>
      <c r="AH7" s="228">
        <v>17</v>
      </c>
      <c r="AI7" s="128">
        <v>22</v>
      </c>
      <c r="AJ7" s="231">
        <f>SUM(AH7/AI7)*100</f>
        <v>77.272727272727266</v>
      </c>
      <c r="AK7" s="228">
        <v>32</v>
      </c>
      <c r="AL7" s="128">
        <v>40</v>
      </c>
      <c r="AM7" s="231">
        <f>SUM(AK7/AL7)*100</f>
        <v>80</v>
      </c>
      <c r="AN7" s="228">
        <v>22</v>
      </c>
      <c r="AO7" s="128">
        <v>26</v>
      </c>
      <c r="AP7" s="231">
        <f>SUM(AN7/AO7)*100</f>
        <v>84.615384615384613</v>
      </c>
      <c r="AQ7" s="243" t="s">
        <v>17</v>
      </c>
      <c r="AR7" s="228" t="s">
        <v>17</v>
      </c>
      <c r="AS7" s="128" t="s">
        <v>17</v>
      </c>
      <c r="AT7" s="228" t="s">
        <v>17</v>
      </c>
      <c r="AU7" s="128" t="s">
        <v>17</v>
      </c>
      <c r="AV7" s="128" t="s">
        <v>17</v>
      </c>
    </row>
    <row r="8" spans="1:48" ht="14.95" customHeight="1" thickBot="1" x14ac:dyDescent="0.3">
      <c r="A8" s="88" t="s">
        <v>1365</v>
      </c>
      <c r="B8" s="472">
        <v>0</v>
      </c>
      <c r="C8" s="468">
        <v>0</v>
      </c>
      <c r="D8" s="89">
        <f t="shared" si="0"/>
        <v>0</v>
      </c>
      <c r="E8" s="264" t="s">
        <v>1365</v>
      </c>
      <c r="F8" s="475">
        <v>0</v>
      </c>
      <c r="G8" s="470">
        <v>0</v>
      </c>
      <c r="H8" s="265">
        <f t="shared" si="1"/>
        <v>0</v>
      </c>
      <c r="P8" s="120"/>
      <c r="Q8" s="120"/>
      <c r="R8" s="120"/>
    </row>
    <row r="9" spans="1:48" ht="14.95" customHeight="1" thickBot="1" x14ac:dyDescent="0.3">
      <c r="A9" s="88" t="s">
        <v>530</v>
      </c>
      <c r="B9" s="472">
        <v>0</v>
      </c>
      <c r="C9" s="468">
        <v>0</v>
      </c>
      <c r="D9" s="89">
        <f t="shared" si="0"/>
        <v>0</v>
      </c>
      <c r="E9" s="264" t="s">
        <v>530</v>
      </c>
      <c r="F9" s="475">
        <v>0</v>
      </c>
      <c r="G9" s="470">
        <v>0</v>
      </c>
      <c r="H9" s="265">
        <f t="shared" si="1"/>
        <v>0</v>
      </c>
      <c r="I9" s="607" t="s">
        <v>34</v>
      </c>
      <c r="J9" s="596">
        <v>2025</v>
      </c>
      <c r="K9" s="597"/>
      <c r="L9" s="598"/>
      <c r="M9" s="568">
        <v>2024</v>
      </c>
      <c r="N9" s="602"/>
      <c r="O9" s="603"/>
      <c r="P9" s="568">
        <v>2023</v>
      </c>
      <c r="Q9" s="602"/>
      <c r="R9" s="603"/>
      <c r="S9" s="568">
        <v>2022</v>
      </c>
      <c r="T9" s="558"/>
      <c r="U9" s="559"/>
      <c r="V9" s="614"/>
      <c r="W9" s="270"/>
      <c r="X9" s="270"/>
      <c r="Y9" s="568">
        <v>2021</v>
      </c>
      <c r="Z9" s="602"/>
      <c r="AA9" s="603"/>
      <c r="AB9" s="568">
        <v>2020</v>
      </c>
      <c r="AC9" s="602"/>
      <c r="AD9" s="603"/>
      <c r="AE9" s="568">
        <v>2019</v>
      </c>
      <c r="AF9" s="602"/>
      <c r="AG9" s="603"/>
      <c r="AH9" s="569">
        <v>2018</v>
      </c>
      <c r="AI9" s="602"/>
      <c r="AJ9" s="603"/>
      <c r="AK9" s="568">
        <v>2017</v>
      </c>
      <c r="AL9" s="602"/>
      <c r="AM9" s="603"/>
      <c r="AN9" s="568">
        <v>2016</v>
      </c>
      <c r="AO9" s="602"/>
      <c r="AP9" s="603"/>
      <c r="AQ9" s="568">
        <v>2015</v>
      </c>
      <c r="AR9" s="569"/>
      <c r="AS9" s="570"/>
      <c r="AT9" s="568">
        <v>2014</v>
      </c>
      <c r="AU9" s="660"/>
      <c r="AV9" s="661"/>
    </row>
    <row r="10" spans="1:48" ht="14.95" customHeight="1" thickBot="1" x14ac:dyDescent="0.3">
      <c r="A10" s="88" t="s">
        <v>1054</v>
      </c>
      <c r="B10" s="472">
        <v>0</v>
      </c>
      <c r="C10" s="468">
        <v>0</v>
      </c>
      <c r="D10" s="89">
        <f t="shared" si="0"/>
        <v>0</v>
      </c>
      <c r="E10" s="264" t="s">
        <v>1054</v>
      </c>
      <c r="F10" s="475">
        <v>0</v>
      </c>
      <c r="G10" s="470">
        <v>0</v>
      </c>
      <c r="H10" s="265">
        <f t="shared" si="1"/>
        <v>0</v>
      </c>
      <c r="I10" s="608"/>
      <c r="J10" s="599"/>
      <c r="K10" s="600"/>
      <c r="L10" s="601"/>
      <c r="M10" s="604"/>
      <c r="N10" s="605"/>
      <c r="O10" s="606"/>
      <c r="P10" s="604"/>
      <c r="Q10" s="605"/>
      <c r="R10" s="606"/>
      <c r="S10" s="560"/>
      <c r="T10" s="561"/>
      <c r="U10" s="562"/>
      <c r="V10" s="622"/>
      <c r="W10" s="270"/>
      <c r="X10" s="270"/>
      <c r="Y10" s="604"/>
      <c r="Z10" s="605"/>
      <c r="AA10" s="606"/>
      <c r="AB10" s="604"/>
      <c r="AC10" s="605"/>
      <c r="AD10" s="606"/>
      <c r="AE10" s="604"/>
      <c r="AF10" s="605"/>
      <c r="AG10" s="606"/>
      <c r="AH10" s="605"/>
      <c r="AI10" s="605"/>
      <c r="AJ10" s="606"/>
      <c r="AK10" s="604"/>
      <c r="AL10" s="605"/>
      <c r="AM10" s="606"/>
      <c r="AN10" s="604"/>
      <c r="AO10" s="605"/>
      <c r="AP10" s="606"/>
      <c r="AQ10" s="571"/>
      <c r="AR10" s="572"/>
      <c r="AS10" s="573"/>
      <c r="AT10" s="662"/>
      <c r="AU10" s="663"/>
      <c r="AV10" s="664"/>
    </row>
    <row r="11" spans="1:48" ht="14.95" customHeight="1" thickBot="1" x14ac:dyDescent="0.3">
      <c r="A11" s="88" t="s">
        <v>435</v>
      </c>
      <c r="B11" s="472">
        <v>0</v>
      </c>
      <c r="C11" s="468">
        <v>0</v>
      </c>
      <c r="D11" s="89">
        <f t="shared" si="0"/>
        <v>0</v>
      </c>
      <c r="E11" s="264" t="s">
        <v>435</v>
      </c>
      <c r="F11" s="475">
        <v>0</v>
      </c>
      <c r="G11" s="470">
        <v>0</v>
      </c>
      <c r="H11" s="265">
        <f t="shared" si="1"/>
        <v>0</v>
      </c>
      <c r="I11" s="4" t="s">
        <v>20</v>
      </c>
      <c r="J11" s="1" t="s">
        <v>152</v>
      </c>
      <c r="K11" s="1" t="s">
        <v>12</v>
      </c>
      <c r="L11" s="1" t="s">
        <v>13</v>
      </c>
      <c r="M11" s="128" t="s">
        <v>152</v>
      </c>
      <c r="N11" s="128" t="s">
        <v>12</v>
      </c>
      <c r="O11" s="128" t="s">
        <v>13</v>
      </c>
      <c r="P11" s="128" t="s">
        <v>152</v>
      </c>
      <c r="Q11" s="128" t="s">
        <v>12</v>
      </c>
      <c r="R11" s="128" t="s">
        <v>13</v>
      </c>
      <c r="S11" s="128" t="s">
        <v>152</v>
      </c>
      <c r="T11" s="128" t="s">
        <v>12</v>
      </c>
      <c r="U11" s="128" t="s">
        <v>13</v>
      </c>
      <c r="V11" s="41"/>
      <c r="W11" s="121"/>
      <c r="X11" s="121"/>
      <c r="Y11" s="228" t="s">
        <v>152</v>
      </c>
      <c r="Z11" s="128" t="s">
        <v>12</v>
      </c>
      <c r="AA11" s="128" t="s">
        <v>13</v>
      </c>
      <c r="AB11" s="228" t="s">
        <v>152</v>
      </c>
      <c r="AC11" s="128" t="s">
        <v>12</v>
      </c>
      <c r="AD11" s="128" t="s">
        <v>13</v>
      </c>
      <c r="AE11" s="228" t="s">
        <v>152</v>
      </c>
      <c r="AF11" s="128" t="s">
        <v>12</v>
      </c>
      <c r="AG11" s="128" t="s">
        <v>13</v>
      </c>
      <c r="AH11" s="128" t="s">
        <v>152</v>
      </c>
      <c r="AI11" s="128" t="s">
        <v>12</v>
      </c>
      <c r="AJ11" s="128" t="s">
        <v>13</v>
      </c>
      <c r="AK11" s="228" t="s">
        <v>152</v>
      </c>
      <c r="AL11" s="128" t="s">
        <v>12</v>
      </c>
      <c r="AM11" s="128" t="s">
        <v>13</v>
      </c>
      <c r="AN11" s="228" t="s">
        <v>152</v>
      </c>
      <c r="AO11" s="128" t="s">
        <v>12</v>
      </c>
      <c r="AP11" s="128" t="s">
        <v>13</v>
      </c>
      <c r="AQ11" s="228" t="s">
        <v>152</v>
      </c>
      <c r="AR11" s="128" t="s">
        <v>12</v>
      </c>
      <c r="AS11" s="128" t="s">
        <v>13</v>
      </c>
      <c r="AT11" s="228" t="s">
        <v>152</v>
      </c>
      <c r="AU11" s="128" t="s">
        <v>12</v>
      </c>
      <c r="AV11" s="128" t="s">
        <v>13</v>
      </c>
    </row>
    <row r="12" spans="1:48" ht="14.95" customHeight="1" thickBot="1" x14ac:dyDescent="0.3">
      <c r="A12" s="88" t="s">
        <v>555</v>
      </c>
      <c r="B12" s="472">
        <v>0</v>
      </c>
      <c r="C12" s="468">
        <v>0</v>
      </c>
      <c r="D12" s="89">
        <f t="shared" si="0"/>
        <v>0</v>
      </c>
      <c r="E12" s="264" t="s">
        <v>555</v>
      </c>
      <c r="F12" s="475">
        <v>0</v>
      </c>
      <c r="G12" s="470">
        <v>0</v>
      </c>
      <c r="H12" s="265">
        <f t="shared" si="1"/>
        <v>0</v>
      </c>
      <c r="I12" s="88" t="s">
        <v>117</v>
      </c>
      <c r="J12" s="89">
        <v>8</v>
      </c>
      <c r="K12" s="89">
        <v>15</v>
      </c>
      <c r="L12" s="90">
        <f>SUM(J12/K12)*100</f>
        <v>53.333333333333336</v>
      </c>
      <c r="M12" s="128">
        <v>4</v>
      </c>
      <c r="N12" s="128">
        <v>5</v>
      </c>
      <c r="O12" s="231">
        <f>SUM(M12/N12)*100</f>
        <v>80</v>
      </c>
      <c r="P12" s="128" t="s">
        <v>17</v>
      </c>
      <c r="Q12" s="128" t="s">
        <v>17</v>
      </c>
      <c r="R12" s="231" t="s">
        <v>17</v>
      </c>
      <c r="S12" s="128" t="s">
        <v>17</v>
      </c>
      <c r="T12" s="128" t="s">
        <v>17</v>
      </c>
      <c r="U12" s="231" t="s">
        <v>17</v>
      </c>
      <c r="V12" s="41"/>
      <c r="W12" s="121"/>
      <c r="X12" s="121"/>
      <c r="Y12" s="228">
        <v>7</v>
      </c>
      <c r="Z12" s="128">
        <v>11</v>
      </c>
      <c r="AA12" s="231">
        <f>SUM(Y12/Z12)*100</f>
        <v>63.636363636363633</v>
      </c>
      <c r="AB12" s="228" t="s">
        <v>17</v>
      </c>
      <c r="AC12" s="128" t="s">
        <v>17</v>
      </c>
      <c r="AD12" s="231" t="s">
        <v>17</v>
      </c>
      <c r="AE12" s="228">
        <v>6</v>
      </c>
      <c r="AF12" s="128">
        <v>8</v>
      </c>
      <c r="AG12" s="231">
        <f>SUM(AE12/AF12)*100</f>
        <v>75</v>
      </c>
      <c r="AH12" s="163">
        <v>17</v>
      </c>
      <c r="AI12" s="163">
        <v>26</v>
      </c>
      <c r="AJ12" s="231">
        <f>SUM(AH12/AI12)*100</f>
        <v>65.384615384615387</v>
      </c>
      <c r="AK12" s="245">
        <v>26</v>
      </c>
      <c r="AL12" s="163">
        <v>32</v>
      </c>
      <c r="AM12" s="231">
        <f>SUM(AK12/AL12)*100</f>
        <v>81.25</v>
      </c>
      <c r="AN12" s="245">
        <v>28</v>
      </c>
      <c r="AO12" s="163">
        <v>45</v>
      </c>
      <c r="AP12" s="231">
        <f>SUM(AN12/AO12)*100</f>
        <v>62.222222222222221</v>
      </c>
      <c r="AQ12" s="228" t="s">
        <v>17</v>
      </c>
      <c r="AR12" s="128" t="s">
        <v>17</v>
      </c>
      <c r="AS12" s="128" t="s">
        <v>17</v>
      </c>
      <c r="AT12" s="228">
        <v>12</v>
      </c>
      <c r="AU12" s="128">
        <v>17</v>
      </c>
      <c r="AV12" s="231">
        <f>SUM(AT12/AU12)*100</f>
        <v>70.588235294117652</v>
      </c>
    </row>
    <row r="13" spans="1:48" ht="14.95" customHeight="1" thickBot="1" x14ac:dyDescent="0.3">
      <c r="A13" s="88" t="s">
        <v>672</v>
      </c>
      <c r="B13" s="472">
        <v>0</v>
      </c>
      <c r="C13" s="468">
        <v>0</v>
      </c>
      <c r="D13" s="89">
        <f t="shared" si="0"/>
        <v>0</v>
      </c>
      <c r="E13" s="264" t="s">
        <v>672</v>
      </c>
      <c r="F13" s="475">
        <v>0</v>
      </c>
      <c r="G13" s="470">
        <v>0</v>
      </c>
      <c r="H13" s="265">
        <f t="shared" si="1"/>
        <v>0</v>
      </c>
      <c r="I13" s="88" t="s">
        <v>149</v>
      </c>
      <c r="J13" s="89">
        <v>1</v>
      </c>
      <c r="K13" s="89">
        <v>2</v>
      </c>
      <c r="L13" s="90">
        <f>SUM(J13/K13)*100</f>
        <v>50</v>
      </c>
      <c r="M13" s="128" t="s">
        <v>17</v>
      </c>
      <c r="N13" s="128" t="s">
        <v>17</v>
      </c>
      <c r="O13" s="231" t="s">
        <v>17</v>
      </c>
      <c r="P13" s="128" t="s">
        <v>17</v>
      </c>
      <c r="Q13" s="128" t="s">
        <v>17</v>
      </c>
      <c r="R13" s="231" t="s">
        <v>17</v>
      </c>
      <c r="S13" s="128">
        <v>3</v>
      </c>
      <c r="T13" s="128">
        <v>5</v>
      </c>
      <c r="U13" s="231">
        <v>60</v>
      </c>
      <c r="V13" s="41"/>
      <c r="W13" s="121"/>
      <c r="X13" s="121"/>
      <c r="Y13" s="228">
        <v>19</v>
      </c>
      <c r="Z13" s="128">
        <v>22</v>
      </c>
      <c r="AA13" s="231">
        <f>SUM(Y13/Z13)*100</f>
        <v>86.36363636363636</v>
      </c>
      <c r="AB13" s="228">
        <v>3</v>
      </c>
      <c r="AC13" s="128">
        <v>5</v>
      </c>
      <c r="AD13" s="231">
        <f>SUM(AB13/AC13)*100</f>
        <v>60</v>
      </c>
      <c r="AE13" s="228" t="s">
        <v>17</v>
      </c>
      <c r="AF13" s="128" t="s">
        <v>17</v>
      </c>
      <c r="AG13" s="128" t="s">
        <v>17</v>
      </c>
      <c r="AH13" s="128" t="s">
        <v>17</v>
      </c>
      <c r="AI13" s="128" t="s">
        <v>17</v>
      </c>
      <c r="AJ13" s="128" t="s">
        <v>17</v>
      </c>
      <c r="AK13" s="228" t="s">
        <v>17</v>
      </c>
      <c r="AL13" s="128" t="s">
        <v>17</v>
      </c>
      <c r="AM13" s="128" t="s">
        <v>17</v>
      </c>
      <c r="AN13" s="228" t="s">
        <v>17</v>
      </c>
      <c r="AO13" s="128" t="s">
        <v>17</v>
      </c>
      <c r="AP13" s="128" t="s">
        <v>17</v>
      </c>
      <c r="AQ13" s="228">
        <v>9</v>
      </c>
      <c r="AR13" s="128">
        <v>14</v>
      </c>
      <c r="AS13" s="231">
        <f>SUM(AQ13/AR13)*100</f>
        <v>64.285714285714292</v>
      </c>
      <c r="AT13" s="228" t="s">
        <v>17</v>
      </c>
      <c r="AU13" s="128" t="s">
        <v>17</v>
      </c>
      <c r="AV13" s="128" t="s">
        <v>17</v>
      </c>
    </row>
    <row r="14" spans="1:48" ht="14.95" customHeight="1" thickBot="1" x14ac:dyDescent="0.3">
      <c r="A14" s="88" t="s">
        <v>334</v>
      </c>
      <c r="B14" s="472">
        <v>0</v>
      </c>
      <c r="C14" s="468">
        <v>0</v>
      </c>
      <c r="D14" s="89">
        <f t="shared" si="0"/>
        <v>0</v>
      </c>
      <c r="E14" s="264" t="s">
        <v>334</v>
      </c>
      <c r="F14" s="475">
        <v>0</v>
      </c>
      <c r="G14" s="470">
        <v>0</v>
      </c>
      <c r="H14" s="265">
        <f t="shared" si="1"/>
        <v>0</v>
      </c>
      <c r="I14" s="91" t="s">
        <v>629</v>
      </c>
      <c r="J14" s="89">
        <v>13</v>
      </c>
      <c r="K14" s="89">
        <v>17</v>
      </c>
      <c r="L14" s="90">
        <f>SUM(J14/K14)*100</f>
        <v>76.470588235294116</v>
      </c>
      <c r="M14" s="128">
        <v>24</v>
      </c>
      <c r="N14" s="128">
        <v>30</v>
      </c>
      <c r="O14" s="231">
        <f>SUM(M14/N14)*100</f>
        <v>80</v>
      </c>
      <c r="P14" s="128">
        <v>3</v>
      </c>
      <c r="Q14" s="128">
        <v>7</v>
      </c>
      <c r="R14" s="231">
        <f>SUM(P14/Q14)*100</f>
        <v>42.857142857142854</v>
      </c>
      <c r="S14" s="128" t="s">
        <v>17</v>
      </c>
      <c r="T14" s="128" t="s">
        <v>17</v>
      </c>
      <c r="U14" s="231" t="s">
        <v>17</v>
      </c>
      <c r="V14" s="41"/>
      <c r="W14" s="121"/>
      <c r="X14" s="121"/>
      <c r="Y14" s="228">
        <v>1</v>
      </c>
      <c r="Z14" s="128">
        <v>3</v>
      </c>
      <c r="AA14" s="231">
        <f>SUM(Y14/Z14)*100</f>
        <v>33.333333333333329</v>
      </c>
      <c r="AB14" s="228" t="s">
        <v>17</v>
      </c>
      <c r="AC14" s="128" t="s">
        <v>17</v>
      </c>
      <c r="AD14" s="231" t="s">
        <v>17</v>
      </c>
      <c r="AE14" s="228" t="s">
        <v>17</v>
      </c>
      <c r="AF14" s="128" t="s">
        <v>17</v>
      </c>
      <c r="AG14" s="128" t="s">
        <v>17</v>
      </c>
      <c r="AH14" s="128" t="s">
        <v>17</v>
      </c>
      <c r="AI14" s="128" t="s">
        <v>17</v>
      </c>
      <c r="AJ14" s="128" t="s">
        <v>17</v>
      </c>
      <c r="AK14" s="228">
        <v>0</v>
      </c>
      <c r="AL14" s="128">
        <v>1</v>
      </c>
      <c r="AM14" s="128" t="s">
        <v>17</v>
      </c>
      <c r="AN14" s="228" t="s">
        <v>17</v>
      </c>
      <c r="AO14" s="128" t="s">
        <v>17</v>
      </c>
      <c r="AP14" s="128" t="s">
        <v>17</v>
      </c>
      <c r="AQ14" s="228" t="s">
        <v>17</v>
      </c>
      <c r="AR14" s="128" t="s">
        <v>17</v>
      </c>
      <c r="AS14" s="128" t="s">
        <v>17</v>
      </c>
      <c r="AT14" s="228" t="s">
        <v>17</v>
      </c>
      <c r="AU14" s="128" t="s">
        <v>17</v>
      </c>
      <c r="AV14" s="128" t="s">
        <v>17</v>
      </c>
    </row>
    <row r="15" spans="1:48" ht="14.95" customHeight="1" thickBot="1" x14ac:dyDescent="0.3">
      <c r="A15" s="88" t="s">
        <v>404</v>
      </c>
      <c r="B15" s="472">
        <v>0</v>
      </c>
      <c r="C15" s="468">
        <v>0</v>
      </c>
      <c r="D15" s="89">
        <f t="shared" si="0"/>
        <v>0</v>
      </c>
      <c r="E15" s="264" t="s">
        <v>404</v>
      </c>
      <c r="F15" s="475">
        <v>0</v>
      </c>
      <c r="G15" s="470">
        <v>0</v>
      </c>
      <c r="H15" s="265">
        <f t="shared" si="1"/>
        <v>0</v>
      </c>
      <c r="I15" s="88" t="s">
        <v>238</v>
      </c>
      <c r="J15" s="89" t="s">
        <v>17</v>
      </c>
      <c r="K15" s="89" t="s">
        <v>17</v>
      </c>
      <c r="L15" s="90" t="s">
        <v>17</v>
      </c>
      <c r="M15" s="128" t="s">
        <v>17</v>
      </c>
      <c r="N15" s="128" t="s">
        <v>17</v>
      </c>
      <c r="O15" s="231" t="s">
        <v>17</v>
      </c>
      <c r="P15" s="128">
        <v>10</v>
      </c>
      <c r="Q15" s="128">
        <v>12</v>
      </c>
      <c r="R15" s="231">
        <f>SUM(P15/Q15)*100</f>
        <v>83.333333333333343</v>
      </c>
      <c r="S15" s="128">
        <v>21</v>
      </c>
      <c r="T15" s="128">
        <v>26</v>
      </c>
      <c r="U15" s="231">
        <v>80.769230769230774</v>
      </c>
      <c r="V15" s="41"/>
      <c r="W15" s="121"/>
      <c r="X15" s="121"/>
      <c r="Y15" s="228">
        <v>5</v>
      </c>
      <c r="Z15" s="128">
        <v>7</v>
      </c>
      <c r="AA15" s="231">
        <f>SUM(Y15/Z15)*100</f>
        <v>71.428571428571431</v>
      </c>
      <c r="AB15" s="228">
        <v>14</v>
      </c>
      <c r="AC15" s="128">
        <v>17</v>
      </c>
      <c r="AD15" s="231">
        <f>SUM(AB15/AC15)*100</f>
        <v>82.35294117647058</v>
      </c>
      <c r="AE15" s="228">
        <v>5</v>
      </c>
      <c r="AF15" s="128">
        <v>6</v>
      </c>
      <c r="AG15" s="231">
        <f>SUM(AE15/AF15)*100</f>
        <v>83.333333333333343</v>
      </c>
      <c r="AH15" s="128">
        <v>11</v>
      </c>
      <c r="AI15" s="128">
        <v>13</v>
      </c>
      <c r="AJ15" s="231">
        <f>SUM(AH15/AI15)*100</f>
        <v>84.615384615384613</v>
      </c>
      <c r="AK15" s="228" t="s">
        <v>17</v>
      </c>
      <c r="AL15" s="128" t="s">
        <v>17</v>
      </c>
      <c r="AM15" s="128" t="s">
        <v>17</v>
      </c>
      <c r="AN15" s="228" t="s">
        <v>17</v>
      </c>
      <c r="AO15" s="128" t="s">
        <v>17</v>
      </c>
      <c r="AP15" s="128" t="s">
        <v>17</v>
      </c>
      <c r="AQ15" s="228" t="s">
        <v>17</v>
      </c>
      <c r="AR15" s="128" t="s">
        <v>17</v>
      </c>
      <c r="AS15" s="128" t="s">
        <v>17</v>
      </c>
      <c r="AT15" s="228" t="s">
        <v>17</v>
      </c>
      <c r="AU15" s="128" t="s">
        <v>17</v>
      </c>
      <c r="AV15" s="128" t="s">
        <v>17</v>
      </c>
    </row>
    <row r="16" spans="1:48" ht="14.95" customHeight="1" thickBot="1" x14ac:dyDescent="0.3">
      <c r="A16" s="88" t="s">
        <v>30</v>
      </c>
      <c r="B16" s="472">
        <v>0</v>
      </c>
      <c r="C16" s="468">
        <v>0</v>
      </c>
      <c r="D16" s="89">
        <f t="shared" si="0"/>
        <v>0</v>
      </c>
      <c r="E16" s="264" t="s">
        <v>30</v>
      </c>
      <c r="F16" s="475">
        <v>0</v>
      </c>
      <c r="G16" s="470">
        <v>0</v>
      </c>
      <c r="H16" s="265">
        <f t="shared" si="1"/>
        <v>0</v>
      </c>
      <c r="I16" s="42"/>
      <c r="J16" s="18"/>
      <c r="K16" s="18" t="s">
        <v>20</v>
      </c>
      <c r="L16" s="18"/>
      <c r="M16" s="50"/>
      <c r="N16" s="50"/>
      <c r="O16" s="51"/>
    </row>
    <row r="17" spans="1:18" ht="14.95" customHeight="1" thickBot="1" x14ac:dyDescent="0.3">
      <c r="A17" s="88" t="s">
        <v>397</v>
      </c>
      <c r="B17" s="472">
        <v>0</v>
      </c>
      <c r="C17" s="468">
        <v>0</v>
      </c>
      <c r="D17" s="89">
        <f t="shared" si="0"/>
        <v>0</v>
      </c>
      <c r="E17" s="264" t="s">
        <v>397</v>
      </c>
      <c r="F17" s="475">
        <v>0</v>
      </c>
      <c r="G17" s="470">
        <v>0</v>
      </c>
      <c r="H17" s="265">
        <f t="shared" si="1"/>
        <v>0</v>
      </c>
      <c r="I17" s="577" t="s">
        <v>33</v>
      </c>
      <c r="J17" s="568">
        <v>2023</v>
      </c>
      <c r="K17" s="569"/>
      <c r="L17" s="570"/>
      <c r="M17" s="568">
        <v>2019</v>
      </c>
      <c r="N17" s="569"/>
      <c r="O17" s="570"/>
      <c r="P17" s="557">
        <v>2015</v>
      </c>
      <c r="Q17" s="563"/>
      <c r="R17" s="564"/>
    </row>
    <row r="18" spans="1:18" ht="14.95" customHeight="1" thickBot="1" x14ac:dyDescent="0.3">
      <c r="A18" s="88" t="s">
        <v>370</v>
      </c>
      <c r="B18" s="472">
        <v>0</v>
      </c>
      <c r="C18" s="468">
        <v>0</v>
      </c>
      <c r="D18" s="89">
        <f t="shared" si="0"/>
        <v>0</v>
      </c>
      <c r="E18" s="264" t="s">
        <v>370</v>
      </c>
      <c r="F18" s="475">
        <v>0</v>
      </c>
      <c r="G18" s="470">
        <v>0</v>
      </c>
      <c r="H18" s="265">
        <f t="shared" si="1"/>
        <v>0</v>
      </c>
      <c r="I18" s="578"/>
      <c r="J18" s="571"/>
      <c r="K18" s="572"/>
      <c r="L18" s="573"/>
      <c r="M18" s="571"/>
      <c r="N18" s="572"/>
      <c r="O18" s="573"/>
      <c r="P18" s="565"/>
      <c r="Q18" s="566"/>
      <c r="R18" s="567"/>
    </row>
    <row r="19" spans="1:18" ht="14.95" customHeight="1" thickBot="1" x14ac:dyDescent="0.3">
      <c r="A19" s="88" t="s">
        <v>1297</v>
      </c>
      <c r="B19" s="472">
        <v>0</v>
      </c>
      <c r="C19" s="468">
        <v>0</v>
      </c>
      <c r="D19" s="89">
        <f t="shared" si="0"/>
        <v>0</v>
      </c>
      <c r="E19" s="264" t="s">
        <v>1297</v>
      </c>
      <c r="F19" s="475">
        <v>0</v>
      </c>
      <c r="G19" s="470">
        <v>0</v>
      </c>
      <c r="H19" s="265">
        <f t="shared" si="1"/>
        <v>0</v>
      </c>
      <c r="I19" s="4" t="s">
        <v>20</v>
      </c>
      <c r="J19" s="128" t="s">
        <v>14</v>
      </c>
      <c r="K19" s="128" t="s">
        <v>12</v>
      </c>
      <c r="L19" s="128" t="s">
        <v>13</v>
      </c>
      <c r="M19" s="128" t="s">
        <v>14</v>
      </c>
      <c r="N19" s="128" t="s">
        <v>12</v>
      </c>
      <c r="O19" s="128" t="s">
        <v>13</v>
      </c>
      <c r="P19" s="119" t="s">
        <v>14</v>
      </c>
      <c r="Q19" s="119" t="s">
        <v>12</v>
      </c>
      <c r="R19" s="119" t="s">
        <v>13</v>
      </c>
    </row>
    <row r="20" spans="1:18" ht="14.95" customHeight="1" thickBot="1" x14ac:dyDescent="0.3">
      <c r="A20" s="88" t="s">
        <v>1131</v>
      </c>
      <c r="B20" s="472">
        <v>0</v>
      </c>
      <c r="C20" s="468">
        <v>0</v>
      </c>
      <c r="D20" s="89">
        <f t="shared" si="0"/>
        <v>0</v>
      </c>
      <c r="E20" s="264" t="s">
        <v>1131</v>
      </c>
      <c r="F20" s="475">
        <v>0</v>
      </c>
      <c r="G20" s="470">
        <v>0</v>
      </c>
      <c r="H20" s="265">
        <f t="shared" si="1"/>
        <v>0</v>
      </c>
      <c r="I20" s="88" t="s">
        <v>117</v>
      </c>
      <c r="J20" s="128">
        <v>2</v>
      </c>
      <c r="K20" s="128">
        <v>2</v>
      </c>
      <c r="L20" s="231">
        <f>SUM(J20/K20)*100</f>
        <v>100</v>
      </c>
      <c r="M20" s="128">
        <v>1</v>
      </c>
      <c r="N20" s="128">
        <v>1</v>
      </c>
      <c r="O20" s="231">
        <f>SUM(M20/N20)*100</f>
        <v>100</v>
      </c>
      <c r="P20" s="128">
        <v>5</v>
      </c>
      <c r="Q20" s="128">
        <v>9</v>
      </c>
      <c r="R20" s="231">
        <f>SUM(P20/Q20)*100</f>
        <v>55.555555555555557</v>
      </c>
    </row>
    <row r="21" spans="1:18" ht="14.95" customHeight="1" thickBot="1" x14ac:dyDescent="0.3">
      <c r="A21" s="88" t="s">
        <v>116</v>
      </c>
      <c r="B21" s="472">
        <v>0</v>
      </c>
      <c r="C21" s="468">
        <v>0</v>
      </c>
      <c r="D21" s="89">
        <f t="shared" si="0"/>
        <v>0</v>
      </c>
      <c r="E21" s="264" t="s">
        <v>116</v>
      </c>
      <c r="F21" s="475">
        <v>0</v>
      </c>
      <c r="G21" s="470">
        <v>0</v>
      </c>
      <c r="H21" s="265">
        <f t="shared" si="1"/>
        <v>0</v>
      </c>
      <c r="I21" s="88" t="s">
        <v>149</v>
      </c>
      <c r="J21" s="128">
        <v>3</v>
      </c>
      <c r="K21" s="128">
        <v>5</v>
      </c>
      <c r="L21" s="231">
        <f>SUM(J21/K21)*100</f>
        <v>60</v>
      </c>
      <c r="M21" s="128">
        <v>8</v>
      </c>
      <c r="N21" s="128">
        <v>11</v>
      </c>
      <c r="O21" s="231">
        <f>SUM(M21/N21)*100</f>
        <v>72.727272727272734</v>
      </c>
      <c r="P21" s="128" t="s">
        <v>17</v>
      </c>
      <c r="Q21" s="128" t="s">
        <v>17</v>
      </c>
      <c r="R21" s="128" t="s">
        <v>17</v>
      </c>
    </row>
    <row r="22" spans="1:18" ht="14.95" customHeight="1" thickBot="1" x14ac:dyDescent="0.3">
      <c r="A22" s="88" t="s">
        <v>656</v>
      </c>
      <c r="B22" s="472">
        <v>0</v>
      </c>
      <c r="C22" s="468">
        <v>0</v>
      </c>
      <c r="D22" s="89">
        <f t="shared" si="0"/>
        <v>0</v>
      </c>
      <c r="E22" s="264" t="s">
        <v>656</v>
      </c>
      <c r="F22" s="475">
        <v>0</v>
      </c>
      <c r="G22" s="470">
        <v>0</v>
      </c>
      <c r="H22" s="265">
        <f t="shared" si="1"/>
        <v>0</v>
      </c>
      <c r="I22" s="88" t="s">
        <v>629</v>
      </c>
      <c r="J22" s="128">
        <v>14</v>
      </c>
      <c r="K22" s="128">
        <v>17</v>
      </c>
      <c r="L22" s="231">
        <f>SUM(J22/K22)*100</f>
        <v>82.35294117647058</v>
      </c>
      <c r="M22" s="128" t="s">
        <v>17</v>
      </c>
      <c r="N22" s="128" t="s">
        <v>17</v>
      </c>
      <c r="O22" s="231" t="s">
        <v>17</v>
      </c>
      <c r="P22" s="128" t="s">
        <v>17</v>
      </c>
      <c r="Q22" s="128" t="s">
        <v>17</v>
      </c>
      <c r="R22" s="231" t="s">
        <v>17</v>
      </c>
    </row>
    <row r="23" spans="1:18" ht="14.95" customHeight="1" thickBot="1" x14ac:dyDescent="0.3">
      <c r="A23" s="88" t="s">
        <v>1101</v>
      </c>
      <c r="B23" s="472">
        <v>0</v>
      </c>
      <c r="C23" s="468">
        <v>0</v>
      </c>
      <c r="D23" s="89">
        <f t="shared" si="0"/>
        <v>0</v>
      </c>
      <c r="E23" s="264" t="s">
        <v>1101</v>
      </c>
      <c r="F23" s="475">
        <v>0</v>
      </c>
      <c r="G23" s="470">
        <v>0</v>
      </c>
      <c r="H23" s="265">
        <f t="shared" si="1"/>
        <v>0</v>
      </c>
      <c r="I23" s="88" t="s">
        <v>238</v>
      </c>
      <c r="J23" s="128">
        <v>23</v>
      </c>
      <c r="K23" s="128">
        <v>34</v>
      </c>
      <c r="L23" s="231">
        <f>SUM(J23/K23)*100</f>
        <v>67.64705882352942</v>
      </c>
      <c r="M23" s="128">
        <v>23</v>
      </c>
      <c r="N23" s="128">
        <v>29</v>
      </c>
      <c r="O23" s="231">
        <f>SUM(M23/N23)*100</f>
        <v>79.310344827586206</v>
      </c>
      <c r="P23" s="128" t="s">
        <v>17</v>
      </c>
      <c r="Q23" s="128" t="s">
        <v>17</v>
      </c>
      <c r="R23" s="128" t="s">
        <v>17</v>
      </c>
    </row>
    <row r="24" spans="1:18" ht="14.95" customHeight="1" thickBot="1" x14ac:dyDescent="0.3">
      <c r="A24" s="88" t="s">
        <v>1299</v>
      </c>
      <c r="B24" s="472">
        <v>0</v>
      </c>
      <c r="C24" s="468">
        <v>0</v>
      </c>
      <c r="D24" s="89">
        <f t="shared" si="0"/>
        <v>0</v>
      </c>
      <c r="E24" s="264" t="s">
        <v>1299</v>
      </c>
      <c r="F24" s="475">
        <v>0</v>
      </c>
      <c r="G24" s="470">
        <v>0</v>
      </c>
      <c r="H24" s="265">
        <f t="shared" si="1"/>
        <v>0</v>
      </c>
    </row>
    <row r="25" spans="1:18" ht="14.95" customHeight="1" thickBot="1" x14ac:dyDescent="0.3">
      <c r="A25" s="88" t="s">
        <v>629</v>
      </c>
      <c r="B25" s="472">
        <v>0</v>
      </c>
      <c r="C25" s="468">
        <v>0</v>
      </c>
      <c r="D25" s="89">
        <f t="shared" si="0"/>
        <v>0</v>
      </c>
      <c r="E25" s="264" t="s">
        <v>629</v>
      </c>
      <c r="F25" s="475">
        <v>0</v>
      </c>
      <c r="G25" s="470">
        <v>0</v>
      </c>
      <c r="H25" s="265">
        <f t="shared" si="1"/>
        <v>0</v>
      </c>
    </row>
    <row r="26" spans="1:18" ht="14.95" customHeight="1" thickBot="1" x14ac:dyDescent="0.3">
      <c r="A26" s="88" t="s">
        <v>238</v>
      </c>
      <c r="B26" s="472">
        <v>0</v>
      </c>
      <c r="C26" s="468">
        <v>0</v>
      </c>
      <c r="D26" s="89">
        <f t="shared" si="0"/>
        <v>0</v>
      </c>
      <c r="E26" s="264" t="s">
        <v>238</v>
      </c>
      <c r="F26" s="475">
        <v>0</v>
      </c>
      <c r="G26" s="470">
        <v>0</v>
      </c>
      <c r="H26" s="265">
        <f t="shared" si="1"/>
        <v>0</v>
      </c>
    </row>
    <row r="27" spans="1:18" ht="14.95" customHeight="1" thickBot="1" x14ac:dyDescent="0.3">
      <c r="A27" s="88" t="s">
        <v>630</v>
      </c>
      <c r="B27" s="472">
        <v>0</v>
      </c>
      <c r="C27" s="468">
        <v>0</v>
      </c>
      <c r="D27" s="89">
        <f t="shared" si="0"/>
        <v>0</v>
      </c>
      <c r="E27" s="264" t="s">
        <v>630</v>
      </c>
      <c r="F27" s="475">
        <v>0</v>
      </c>
      <c r="G27" s="470">
        <v>0</v>
      </c>
      <c r="H27" s="265">
        <f t="shared" si="1"/>
        <v>0</v>
      </c>
    </row>
    <row r="28" spans="1:18" ht="14.95" customHeight="1" thickBot="1" x14ac:dyDescent="0.3">
      <c r="A28" s="88" t="s">
        <v>653</v>
      </c>
      <c r="B28" s="472">
        <v>0</v>
      </c>
      <c r="C28" s="468">
        <v>0</v>
      </c>
      <c r="D28" s="89">
        <f t="shared" si="0"/>
        <v>0</v>
      </c>
      <c r="E28" s="264" t="s">
        <v>653</v>
      </c>
      <c r="F28" s="475">
        <v>0</v>
      </c>
      <c r="G28" s="470">
        <v>0</v>
      </c>
      <c r="H28" s="265">
        <f t="shared" si="1"/>
        <v>0</v>
      </c>
    </row>
    <row r="29" spans="1:18" ht="14.95" customHeight="1" thickBot="1" x14ac:dyDescent="0.3">
      <c r="A29" s="88" t="s">
        <v>396</v>
      </c>
      <c r="B29" s="472">
        <v>0</v>
      </c>
      <c r="C29" s="468">
        <v>0</v>
      </c>
      <c r="D29" s="89">
        <f t="shared" si="0"/>
        <v>0</v>
      </c>
      <c r="E29" s="264" t="s">
        <v>396</v>
      </c>
      <c r="F29" s="475">
        <v>0</v>
      </c>
      <c r="G29" s="470">
        <v>0</v>
      </c>
      <c r="H29" s="265">
        <f t="shared" si="1"/>
        <v>0</v>
      </c>
    </row>
    <row r="30" spans="1:18" ht="14.95" customHeight="1" thickBot="1" x14ac:dyDescent="0.3">
      <c r="A30" s="88" t="s">
        <v>4</v>
      </c>
      <c r="B30" s="472">
        <v>0</v>
      </c>
      <c r="C30" s="468">
        <v>0</v>
      </c>
      <c r="D30" s="89">
        <f t="shared" si="0"/>
        <v>0</v>
      </c>
      <c r="E30" s="264" t="s">
        <v>4</v>
      </c>
      <c r="F30" s="475">
        <v>0</v>
      </c>
      <c r="G30" s="470">
        <v>0</v>
      </c>
      <c r="H30" s="265">
        <f t="shared" si="1"/>
        <v>0</v>
      </c>
    </row>
    <row r="31" spans="1:18" ht="14.95" customHeight="1" thickBot="1" x14ac:dyDescent="0.3">
      <c r="A31" s="88" t="s">
        <v>1009</v>
      </c>
      <c r="B31" s="472">
        <v>0</v>
      </c>
      <c r="C31" s="468">
        <v>0</v>
      </c>
      <c r="D31" s="89">
        <f t="shared" si="0"/>
        <v>0</v>
      </c>
      <c r="E31" s="264" t="s">
        <v>1009</v>
      </c>
      <c r="F31" s="475">
        <v>0</v>
      </c>
      <c r="G31" s="470">
        <v>0</v>
      </c>
      <c r="H31" s="265">
        <f t="shared" si="1"/>
        <v>0</v>
      </c>
    </row>
    <row r="32" spans="1:18" ht="14.95" customHeight="1" thickBot="1" x14ac:dyDescent="0.3">
      <c r="A32" s="88" t="s">
        <v>1007</v>
      </c>
      <c r="B32" s="472">
        <v>0</v>
      </c>
      <c r="C32" s="468">
        <v>0</v>
      </c>
      <c r="D32" s="89">
        <f t="shared" si="0"/>
        <v>0</v>
      </c>
      <c r="E32" s="264" t="s">
        <v>1007</v>
      </c>
      <c r="F32" s="475">
        <v>0</v>
      </c>
      <c r="G32" s="470">
        <v>0</v>
      </c>
      <c r="H32" s="265">
        <f t="shared" si="1"/>
        <v>0</v>
      </c>
    </row>
    <row r="33" spans="1:8" ht="14.95" customHeight="1" thickBot="1" x14ac:dyDescent="0.3">
      <c r="A33" s="88" t="s">
        <v>949</v>
      </c>
      <c r="B33" s="472">
        <v>0</v>
      </c>
      <c r="C33" s="468">
        <v>0</v>
      </c>
      <c r="D33" s="89">
        <f t="shared" si="0"/>
        <v>0</v>
      </c>
      <c r="E33" s="264" t="s">
        <v>949</v>
      </c>
      <c r="F33" s="475">
        <v>0</v>
      </c>
      <c r="G33" s="470">
        <v>0</v>
      </c>
      <c r="H33" s="265">
        <f t="shared" si="1"/>
        <v>0</v>
      </c>
    </row>
    <row r="34" spans="1:8" ht="14.95" customHeight="1" thickBot="1" x14ac:dyDescent="0.3">
      <c r="A34" s="88" t="s">
        <v>657</v>
      </c>
      <c r="B34" s="472">
        <v>0</v>
      </c>
      <c r="C34" s="468">
        <v>0</v>
      </c>
      <c r="D34" s="89">
        <f t="shared" si="0"/>
        <v>0</v>
      </c>
      <c r="E34" s="264" t="s">
        <v>657</v>
      </c>
      <c r="F34" s="475">
        <v>0</v>
      </c>
      <c r="G34" s="470">
        <v>0</v>
      </c>
      <c r="H34" s="265">
        <f t="shared" si="1"/>
        <v>0</v>
      </c>
    </row>
    <row r="35" spans="1:8" ht="14.95" customHeight="1" thickBot="1" x14ac:dyDescent="0.3">
      <c r="A35" s="88" t="s">
        <v>511</v>
      </c>
      <c r="B35" s="472">
        <v>0</v>
      </c>
      <c r="C35" s="468">
        <v>0</v>
      </c>
      <c r="D35" s="89">
        <f t="shared" si="0"/>
        <v>0</v>
      </c>
      <c r="E35" s="264" t="s">
        <v>511</v>
      </c>
      <c r="F35" s="475">
        <v>0</v>
      </c>
      <c r="G35" s="470">
        <v>0</v>
      </c>
      <c r="H35" s="265">
        <f t="shared" si="1"/>
        <v>0</v>
      </c>
    </row>
    <row r="36" spans="1:8" ht="14.95" customHeight="1" thickBot="1" x14ac:dyDescent="0.3">
      <c r="A36" s="88" t="s">
        <v>1393</v>
      </c>
      <c r="B36" s="472">
        <v>0</v>
      </c>
      <c r="C36" s="468">
        <v>0</v>
      </c>
      <c r="D36" s="89">
        <f t="shared" si="0"/>
        <v>0</v>
      </c>
      <c r="E36" s="264" t="s">
        <v>1393</v>
      </c>
      <c r="F36" s="475">
        <v>0</v>
      </c>
      <c r="G36" s="470">
        <v>0</v>
      </c>
      <c r="H36" s="265">
        <f t="shared" si="1"/>
        <v>0</v>
      </c>
    </row>
    <row r="37" spans="1:8" ht="14.95" customHeight="1" thickBot="1" x14ac:dyDescent="0.3">
      <c r="A37" s="88" t="s">
        <v>411</v>
      </c>
      <c r="B37" s="472">
        <v>0</v>
      </c>
      <c r="C37" s="468">
        <v>0</v>
      </c>
      <c r="D37" s="89">
        <f t="shared" si="0"/>
        <v>0</v>
      </c>
      <c r="E37" s="264" t="s">
        <v>411</v>
      </c>
      <c r="F37" s="475">
        <v>0</v>
      </c>
      <c r="G37" s="470">
        <v>0</v>
      </c>
      <c r="H37" s="265">
        <f t="shared" si="1"/>
        <v>0</v>
      </c>
    </row>
    <row r="38" spans="1:8" ht="14.95" thickBot="1" x14ac:dyDescent="0.3">
      <c r="A38" s="88" t="s">
        <v>19</v>
      </c>
      <c r="B38" s="472">
        <v>0</v>
      </c>
      <c r="C38" s="468">
        <v>0</v>
      </c>
      <c r="D38" s="89">
        <f t="shared" si="0"/>
        <v>0</v>
      </c>
      <c r="E38" s="264" t="s">
        <v>19</v>
      </c>
      <c r="F38" s="475">
        <v>0</v>
      </c>
      <c r="G38" s="470">
        <v>0</v>
      </c>
      <c r="H38" s="265">
        <f t="shared" si="1"/>
        <v>0</v>
      </c>
    </row>
    <row r="39" spans="1:8" ht="14.95" thickBot="1" x14ac:dyDescent="0.3">
      <c r="A39" s="88" t="s">
        <v>995</v>
      </c>
      <c r="B39" s="472">
        <v>0</v>
      </c>
      <c r="C39" s="468">
        <v>0</v>
      </c>
      <c r="D39" s="89">
        <f t="shared" si="0"/>
        <v>0</v>
      </c>
      <c r="E39" s="264" t="s">
        <v>995</v>
      </c>
      <c r="F39" s="475">
        <v>0</v>
      </c>
      <c r="G39" s="470">
        <v>0</v>
      </c>
      <c r="H39" s="265">
        <f t="shared" si="1"/>
        <v>0</v>
      </c>
    </row>
    <row r="40" spans="1:8" ht="14.95" thickBot="1" x14ac:dyDescent="0.3">
      <c r="A40" s="88" t="s">
        <v>1103</v>
      </c>
      <c r="B40" s="472">
        <v>0</v>
      </c>
      <c r="C40" s="468">
        <v>0</v>
      </c>
      <c r="D40" s="89">
        <f t="shared" si="0"/>
        <v>0</v>
      </c>
      <c r="E40" s="264" t="s">
        <v>1103</v>
      </c>
      <c r="F40" s="475">
        <v>0</v>
      </c>
      <c r="G40" s="470">
        <v>0</v>
      </c>
      <c r="H40" s="265">
        <f t="shared" si="1"/>
        <v>0</v>
      </c>
    </row>
    <row r="41" spans="1:8" ht="14.95" thickBot="1" x14ac:dyDescent="0.3">
      <c r="A41" s="88" t="s">
        <v>573</v>
      </c>
      <c r="B41" s="472">
        <v>0</v>
      </c>
      <c r="C41" s="468">
        <v>0</v>
      </c>
      <c r="D41" s="89">
        <f t="shared" si="0"/>
        <v>0</v>
      </c>
      <c r="E41" s="264" t="s">
        <v>573</v>
      </c>
      <c r="F41" s="475">
        <v>0</v>
      </c>
      <c r="G41" s="470">
        <v>0</v>
      </c>
      <c r="H41" s="265">
        <f t="shared" si="1"/>
        <v>0</v>
      </c>
    </row>
    <row r="42" spans="1:8" ht="14.95" thickBot="1" x14ac:dyDescent="0.3">
      <c r="A42" s="88" t="s">
        <v>1356</v>
      </c>
      <c r="B42" s="472">
        <v>0</v>
      </c>
      <c r="C42" s="468">
        <v>0</v>
      </c>
      <c r="D42" s="89">
        <f t="shared" si="0"/>
        <v>0</v>
      </c>
      <c r="E42" s="264" t="s">
        <v>1356</v>
      </c>
      <c r="F42" s="475">
        <v>0</v>
      </c>
      <c r="G42" s="470">
        <v>0</v>
      </c>
      <c r="H42" s="265">
        <f t="shared" si="1"/>
        <v>0</v>
      </c>
    </row>
    <row r="43" spans="1:8" ht="14.95" thickBot="1" x14ac:dyDescent="0.3">
      <c r="A43" s="88" t="s">
        <v>654</v>
      </c>
      <c r="B43" s="472">
        <v>0</v>
      </c>
      <c r="C43" s="468">
        <v>0</v>
      </c>
      <c r="D43" s="89">
        <f t="shared" si="0"/>
        <v>0</v>
      </c>
      <c r="E43" s="264" t="s">
        <v>654</v>
      </c>
      <c r="F43" s="475">
        <v>0</v>
      </c>
      <c r="G43" s="470">
        <v>0</v>
      </c>
      <c r="H43" s="265">
        <f t="shared" si="1"/>
        <v>0</v>
      </c>
    </row>
    <row r="44" spans="1:8" ht="14.95" thickBot="1" x14ac:dyDescent="0.3">
      <c r="A44" s="88" t="s">
        <v>428</v>
      </c>
      <c r="B44" s="472">
        <v>0</v>
      </c>
      <c r="C44" s="468">
        <v>0</v>
      </c>
      <c r="D44" s="89">
        <f t="shared" si="0"/>
        <v>0</v>
      </c>
      <c r="E44" s="264" t="s">
        <v>428</v>
      </c>
      <c r="F44" s="475">
        <v>0</v>
      </c>
      <c r="G44" s="470">
        <v>0</v>
      </c>
      <c r="H44" s="265">
        <f t="shared" si="1"/>
        <v>0</v>
      </c>
    </row>
    <row r="45" spans="1:8" ht="14.95" thickBot="1" x14ac:dyDescent="0.3">
      <c r="A45" s="88" t="s">
        <v>655</v>
      </c>
      <c r="B45" s="472">
        <v>0</v>
      </c>
      <c r="C45" s="468">
        <v>0</v>
      </c>
      <c r="D45" s="89">
        <f t="shared" si="0"/>
        <v>0</v>
      </c>
      <c r="E45" s="264" t="s">
        <v>655</v>
      </c>
      <c r="F45" s="475">
        <v>0</v>
      </c>
      <c r="G45" s="470">
        <v>0</v>
      </c>
      <c r="H45" s="265">
        <f t="shared" si="1"/>
        <v>0</v>
      </c>
    </row>
    <row r="46" spans="1:8" ht="14.3" customHeight="1" thickBot="1" x14ac:dyDescent="0.3">
      <c r="A46" s="88" t="s">
        <v>3</v>
      </c>
      <c r="B46" s="473">
        <f>SUM(B3:B45)</f>
        <v>0</v>
      </c>
      <c r="C46" s="468">
        <f>SUM(C3:C45)</f>
        <v>0</v>
      </c>
      <c r="D46" s="89">
        <f t="shared" si="0"/>
        <v>0</v>
      </c>
      <c r="E46" s="266" t="s">
        <v>3</v>
      </c>
      <c r="F46" s="476">
        <f>SUM(F3:F45)</f>
        <v>0</v>
      </c>
      <c r="G46" s="470">
        <f>SUM(G3:G45)</f>
        <v>0</v>
      </c>
      <c r="H46" s="265">
        <f t="shared" si="1"/>
        <v>0</v>
      </c>
    </row>
    <row r="47" spans="1:8" x14ac:dyDescent="0.25">
      <c r="E47" s="7"/>
      <c r="F47" s="7"/>
      <c r="G47" s="7"/>
      <c r="H47" s="7"/>
    </row>
    <row r="48" spans="1:8" x14ac:dyDescent="0.25">
      <c r="A48" t="s">
        <v>15</v>
      </c>
      <c r="E48" s="9"/>
      <c r="F48" s="9"/>
      <c r="G48" s="9"/>
      <c r="H48" s="9"/>
    </row>
    <row r="49" spans="1:7" ht="16.3" x14ac:dyDescent="0.3">
      <c r="A49" s="487" t="s">
        <v>28</v>
      </c>
      <c r="C49" s="390"/>
      <c r="E49" s="390"/>
      <c r="G49" s="390"/>
    </row>
  </sheetData>
  <mergeCells count="33">
    <mergeCell ref="P1:P2"/>
    <mergeCell ref="S9:U10"/>
    <mergeCell ref="V9:V10"/>
    <mergeCell ref="J9:L10"/>
    <mergeCell ref="AK9:AM10"/>
    <mergeCell ref="Q1:S2"/>
    <mergeCell ref="M9:O10"/>
    <mergeCell ref="T1:V2"/>
    <mergeCell ref="A1:H1"/>
    <mergeCell ref="M1:O2"/>
    <mergeCell ref="I9:I10"/>
    <mergeCell ref="I1:I2"/>
    <mergeCell ref="J1:L2"/>
    <mergeCell ref="AN1:AP2"/>
    <mergeCell ref="Y9:AA10"/>
    <mergeCell ref="AQ9:AS10"/>
    <mergeCell ref="AT1:AV2"/>
    <mergeCell ref="AQ1:AS2"/>
    <mergeCell ref="AK1:AM2"/>
    <mergeCell ref="AN9:AP10"/>
    <mergeCell ref="AB1:AD2"/>
    <mergeCell ref="Y1:AA2"/>
    <mergeCell ref="AT9:AV10"/>
    <mergeCell ref="AH9:AJ10"/>
    <mergeCell ref="AH1:AJ2"/>
    <mergeCell ref="AE9:AG10"/>
    <mergeCell ref="AE1:AG2"/>
    <mergeCell ref="AB9:AD10"/>
    <mergeCell ref="I17:I18"/>
    <mergeCell ref="J17:L18"/>
    <mergeCell ref="M17:O18"/>
    <mergeCell ref="P17:R18"/>
    <mergeCell ref="P9:R10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D41BD1-47D5-4B8C-B590-0081FD14507D}">
  <dimension ref="A1:V96"/>
  <sheetViews>
    <sheetView workbookViewId="0">
      <selection activeCell="Q16" sqref="Q16"/>
    </sheetView>
  </sheetViews>
  <sheetFormatPr defaultRowHeight="14.3" x14ac:dyDescent="0.25"/>
  <cols>
    <col min="1" max="1" width="18.625" customWidth="1"/>
    <col min="2" max="4" width="5.625" customWidth="1"/>
    <col min="5" max="5" width="18.625" customWidth="1"/>
    <col min="6" max="8" width="5.625" customWidth="1"/>
    <col min="9" max="9" width="15.5" customWidth="1"/>
    <col min="10" max="22" width="5.625" customWidth="1"/>
  </cols>
  <sheetData>
    <row r="1" spans="1:22" ht="14.95" customHeight="1" thickBot="1" x14ac:dyDescent="0.3">
      <c r="A1" s="711" t="s">
        <v>1162</v>
      </c>
      <c r="B1" s="712"/>
      <c r="C1" s="712"/>
      <c r="D1" s="712"/>
      <c r="E1" s="712"/>
      <c r="F1" s="712"/>
      <c r="G1" s="712"/>
      <c r="H1" s="713"/>
      <c r="I1" s="714" t="s">
        <v>112</v>
      </c>
      <c r="J1" s="583">
        <v>2025</v>
      </c>
      <c r="K1" s="584"/>
      <c r="L1" s="585"/>
      <c r="M1" s="583" t="s">
        <v>32</v>
      </c>
      <c r="N1" s="584"/>
      <c r="O1" s="585"/>
      <c r="P1" s="579" t="s">
        <v>121</v>
      </c>
      <c r="Q1" s="568">
        <v>2024</v>
      </c>
      <c r="R1" s="569"/>
      <c r="S1" s="570"/>
      <c r="T1" s="568">
        <v>2023</v>
      </c>
      <c r="U1" s="569"/>
      <c r="V1" s="570"/>
    </row>
    <row r="2" spans="1:22" ht="14.95" customHeight="1" thickBot="1" x14ac:dyDescent="0.3">
      <c r="A2" s="289" t="s">
        <v>0</v>
      </c>
      <c r="B2" s="295" t="s">
        <v>134</v>
      </c>
      <c r="C2" s="297" t="s">
        <v>31</v>
      </c>
      <c r="D2" s="290" t="s">
        <v>1</v>
      </c>
      <c r="E2" s="292" t="s">
        <v>2</v>
      </c>
      <c r="F2" s="327" t="s">
        <v>134</v>
      </c>
      <c r="G2" s="279" t="s">
        <v>31</v>
      </c>
      <c r="H2" s="328" t="s">
        <v>1</v>
      </c>
      <c r="I2" s="715"/>
      <c r="J2" s="586"/>
      <c r="K2" s="587"/>
      <c r="L2" s="588"/>
      <c r="M2" s="586"/>
      <c r="N2" s="587"/>
      <c r="O2" s="588"/>
      <c r="P2" s="580"/>
      <c r="Q2" s="571"/>
      <c r="R2" s="572"/>
      <c r="S2" s="573"/>
      <c r="T2" s="571"/>
      <c r="U2" s="572"/>
      <c r="V2" s="573"/>
    </row>
    <row r="3" spans="1:22" ht="14.95" customHeight="1" thickBot="1" x14ac:dyDescent="0.3">
      <c r="A3" s="293" t="s">
        <v>881</v>
      </c>
      <c r="B3" s="296">
        <v>0</v>
      </c>
      <c r="C3" s="298">
        <v>0</v>
      </c>
      <c r="D3" s="291">
        <f t="shared" ref="D3:D46" si="0">SUM(B3:C3)</f>
        <v>0</v>
      </c>
      <c r="E3" s="329" t="s">
        <v>881</v>
      </c>
      <c r="F3" s="119">
        <v>0</v>
      </c>
      <c r="G3" s="280">
        <v>0</v>
      </c>
      <c r="H3" s="324">
        <f t="shared" ref="H3:H46" si="1">SUM(F3:G3)</f>
        <v>0</v>
      </c>
      <c r="I3" s="4"/>
      <c r="J3" s="53" t="s">
        <v>152</v>
      </c>
      <c r="K3" s="53" t="s">
        <v>12</v>
      </c>
      <c r="L3" s="53" t="s">
        <v>13</v>
      </c>
      <c r="M3" s="181" t="s">
        <v>152</v>
      </c>
      <c r="N3" s="53" t="s">
        <v>12</v>
      </c>
      <c r="O3" s="53" t="s">
        <v>13</v>
      </c>
      <c r="P3" s="1"/>
      <c r="Q3" s="128" t="s">
        <v>152</v>
      </c>
      <c r="R3" s="128" t="s">
        <v>12</v>
      </c>
      <c r="S3" s="128" t="s">
        <v>13</v>
      </c>
      <c r="T3" s="128" t="s">
        <v>152</v>
      </c>
      <c r="U3" s="128" t="s">
        <v>12</v>
      </c>
      <c r="V3" s="128" t="s">
        <v>13</v>
      </c>
    </row>
    <row r="4" spans="1:22" ht="14.95" customHeight="1" thickBot="1" x14ac:dyDescent="0.3">
      <c r="A4" s="293" t="s">
        <v>621</v>
      </c>
      <c r="B4" s="296">
        <v>0</v>
      </c>
      <c r="C4" s="298">
        <v>0</v>
      </c>
      <c r="D4" s="291">
        <f t="shared" si="0"/>
        <v>0</v>
      </c>
      <c r="E4" s="294" t="s">
        <v>621</v>
      </c>
      <c r="F4" s="119">
        <v>0</v>
      </c>
      <c r="G4" s="280">
        <v>0</v>
      </c>
      <c r="H4" s="324">
        <f t="shared" si="1"/>
        <v>0</v>
      </c>
      <c r="I4" s="293" t="s">
        <v>923</v>
      </c>
      <c r="J4" s="291">
        <v>5</v>
      </c>
      <c r="K4" s="291">
        <v>5</v>
      </c>
      <c r="L4" s="299">
        <f>SUM(J4/K4)*100</f>
        <v>100</v>
      </c>
      <c r="M4" s="291" t="s">
        <v>17</v>
      </c>
      <c r="N4" s="291" t="s">
        <v>17</v>
      </c>
      <c r="O4" s="299" t="s">
        <v>17</v>
      </c>
      <c r="P4" s="291">
        <v>21</v>
      </c>
      <c r="Q4" s="128">
        <v>26</v>
      </c>
      <c r="R4" s="128">
        <v>28</v>
      </c>
      <c r="S4" s="231">
        <v>92.857142857142861</v>
      </c>
      <c r="T4" s="128" t="s">
        <v>17</v>
      </c>
      <c r="U4" s="128" t="s">
        <v>17</v>
      </c>
      <c r="V4" s="231" t="s">
        <v>17</v>
      </c>
    </row>
    <row r="5" spans="1:22" ht="14.95" customHeight="1" thickBot="1" x14ac:dyDescent="0.3">
      <c r="A5" s="293" t="s">
        <v>923</v>
      </c>
      <c r="B5" s="296">
        <v>0</v>
      </c>
      <c r="C5" s="298">
        <v>0</v>
      </c>
      <c r="D5" s="291">
        <f t="shared" si="0"/>
        <v>0</v>
      </c>
      <c r="E5" s="294" t="s">
        <v>923</v>
      </c>
      <c r="F5" s="119">
        <v>4</v>
      </c>
      <c r="G5" s="280">
        <v>6</v>
      </c>
      <c r="H5" s="324">
        <f t="shared" si="1"/>
        <v>10</v>
      </c>
      <c r="I5" s="293" t="s">
        <v>1000</v>
      </c>
      <c r="J5" s="291" t="s">
        <v>17</v>
      </c>
      <c r="K5" s="291" t="s">
        <v>17</v>
      </c>
      <c r="L5" s="299" t="s">
        <v>17</v>
      </c>
      <c r="M5" s="291" t="s">
        <v>17</v>
      </c>
      <c r="N5" s="291" t="s">
        <v>17</v>
      </c>
      <c r="O5" s="299" t="s">
        <v>17</v>
      </c>
      <c r="P5" s="291">
        <v>6</v>
      </c>
      <c r="Q5" s="128">
        <v>8</v>
      </c>
      <c r="R5" s="128">
        <v>9</v>
      </c>
      <c r="S5" s="231">
        <v>88.888888888888886</v>
      </c>
      <c r="T5" s="128" t="s">
        <v>17</v>
      </c>
      <c r="U5" s="128" t="s">
        <v>17</v>
      </c>
      <c r="V5" s="231" t="s">
        <v>17</v>
      </c>
    </row>
    <row r="6" spans="1:22" ht="14.95" customHeight="1" thickBot="1" x14ac:dyDescent="0.3">
      <c r="A6" s="293" t="s">
        <v>928</v>
      </c>
      <c r="B6" s="296">
        <v>1</v>
      </c>
      <c r="C6" s="298">
        <v>1</v>
      </c>
      <c r="D6" s="291">
        <f t="shared" si="0"/>
        <v>2</v>
      </c>
      <c r="E6" s="294" t="s">
        <v>928</v>
      </c>
      <c r="F6" s="119">
        <v>5</v>
      </c>
      <c r="G6" s="280">
        <v>5</v>
      </c>
      <c r="H6" s="324">
        <f t="shared" si="1"/>
        <v>10</v>
      </c>
      <c r="I6" s="293" t="s">
        <v>622</v>
      </c>
      <c r="J6" s="291" t="s">
        <v>17</v>
      </c>
      <c r="K6" s="291" t="s">
        <v>17</v>
      </c>
      <c r="L6" s="299" t="s">
        <v>17</v>
      </c>
      <c r="M6" s="291" t="s">
        <v>17</v>
      </c>
      <c r="N6" s="291" t="s">
        <v>17</v>
      </c>
      <c r="O6" s="299" t="s">
        <v>17</v>
      </c>
      <c r="P6" s="291">
        <v>2</v>
      </c>
      <c r="Q6" s="128" t="s">
        <v>17</v>
      </c>
      <c r="R6" s="128" t="s">
        <v>17</v>
      </c>
      <c r="S6" s="231" t="s">
        <v>17</v>
      </c>
      <c r="T6" s="128">
        <v>2</v>
      </c>
      <c r="U6" s="128">
        <v>2</v>
      </c>
      <c r="V6" s="231">
        <f>SUM(T6/U6)*100</f>
        <v>100</v>
      </c>
    </row>
    <row r="7" spans="1:22" ht="14.95" customHeight="1" thickBot="1" x14ac:dyDescent="0.3">
      <c r="A7" s="293" t="s">
        <v>927</v>
      </c>
      <c r="B7" s="296">
        <v>1</v>
      </c>
      <c r="C7" s="298">
        <v>1</v>
      </c>
      <c r="D7" s="291">
        <f t="shared" si="0"/>
        <v>2</v>
      </c>
      <c r="E7" s="294" t="s">
        <v>927</v>
      </c>
      <c r="F7" s="119">
        <v>5</v>
      </c>
      <c r="G7" s="280">
        <v>5</v>
      </c>
      <c r="H7" s="324">
        <f t="shared" si="1"/>
        <v>10</v>
      </c>
      <c r="I7" s="293" t="s">
        <v>926</v>
      </c>
      <c r="J7" s="291" t="s">
        <v>17</v>
      </c>
      <c r="K7" s="291" t="s">
        <v>17</v>
      </c>
      <c r="L7" s="299" t="s">
        <v>17</v>
      </c>
      <c r="M7" s="291" t="s">
        <v>17</v>
      </c>
      <c r="N7" s="291" t="s">
        <v>17</v>
      </c>
      <c r="O7" s="299" t="s">
        <v>17</v>
      </c>
      <c r="P7" s="291">
        <v>1</v>
      </c>
      <c r="Q7" s="128">
        <v>1</v>
      </c>
      <c r="R7" s="128">
        <v>1</v>
      </c>
      <c r="S7" s="231">
        <v>100</v>
      </c>
      <c r="T7" s="128" t="s">
        <v>17</v>
      </c>
      <c r="U7" s="128" t="s">
        <v>17</v>
      </c>
      <c r="V7" s="231" t="s">
        <v>17</v>
      </c>
    </row>
    <row r="8" spans="1:22" ht="14.95" customHeight="1" thickBot="1" x14ac:dyDescent="0.3">
      <c r="A8" s="293" t="s">
        <v>887</v>
      </c>
      <c r="B8" s="296">
        <v>0</v>
      </c>
      <c r="C8" s="298">
        <v>0</v>
      </c>
      <c r="D8" s="291">
        <f t="shared" si="0"/>
        <v>0</v>
      </c>
      <c r="E8" s="294" t="s">
        <v>887</v>
      </c>
      <c r="F8" s="119">
        <v>0</v>
      </c>
      <c r="G8" s="280">
        <v>0</v>
      </c>
      <c r="H8" s="324">
        <f t="shared" si="1"/>
        <v>0</v>
      </c>
      <c r="I8" s="293" t="s">
        <v>607</v>
      </c>
      <c r="J8" s="291">
        <v>9</v>
      </c>
      <c r="K8" s="291">
        <v>15</v>
      </c>
      <c r="L8" s="299">
        <f>SUM(J8/K8)*100</f>
        <v>60</v>
      </c>
      <c r="M8" s="291" t="s">
        <v>17</v>
      </c>
      <c r="N8" s="291" t="s">
        <v>17</v>
      </c>
      <c r="O8" s="299" t="s">
        <v>17</v>
      </c>
      <c r="P8" s="291">
        <v>1</v>
      </c>
      <c r="Q8" s="128">
        <v>3</v>
      </c>
      <c r="R8" s="128">
        <v>3</v>
      </c>
      <c r="S8" s="231">
        <v>100</v>
      </c>
      <c r="T8" s="128">
        <v>22</v>
      </c>
      <c r="U8" s="128">
        <v>33</v>
      </c>
      <c r="V8" s="231">
        <f>SUM(T8/U8)*100</f>
        <v>66.666666666666657</v>
      </c>
    </row>
    <row r="9" spans="1:22" ht="14.95" customHeight="1" thickBot="1" x14ac:dyDescent="0.3">
      <c r="A9" s="293" t="s">
        <v>886</v>
      </c>
      <c r="B9" s="296">
        <v>0</v>
      </c>
      <c r="C9" s="298">
        <v>1</v>
      </c>
      <c r="D9" s="291">
        <f t="shared" si="0"/>
        <v>1</v>
      </c>
      <c r="E9" s="294" t="s">
        <v>886</v>
      </c>
      <c r="F9" s="119">
        <v>0</v>
      </c>
      <c r="G9" s="280">
        <v>5</v>
      </c>
      <c r="H9" s="324">
        <f t="shared" si="1"/>
        <v>5</v>
      </c>
      <c r="I9" s="293" t="s">
        <v>1183</v>
      </c>
      <c r="J9" s="291">
        <v>7</v>
      </c>
      <c r="K9" s="291">
        <v>7</v>
      </c>
      <c r="L9" s="299">
        <f>SUM(J9/K9)*100</f>
        <v>100</v>
      </c>
      <c r="M9" s="291" t="s">
        <v>17</v>
      </c>
      <c r="N9" s="291" t="s">
        <v>17</v>
      </c>
      <c r="O9" s="299" t="s">
        <v>17</v>
      </c>
      <c r="P9" s="291">
        <v>8</v>
      </c>
      <c r="Q9" s="128">
        <v>1</v>
      </c>
      <c r="R9" s="128">
        <v>1</v>
      </c>
      <c r="S9" s="231">
        <v>100</v>
      </c>
      <c r="T9" s="128" t="s">
        <v>17</v>
      </c>
      <c r="U9" s="128" t="s">
        <v>17</v>
      </c>
      <c r="V9" s="231" t="s">
        <v>17</v>
      </c>
    </row>
    <row r="10" spans="1:22" ht="14.95" customHeight="1" thickBot="1" x14ac:dyDescent="0.3">
      <c r="A10" s="293" t="s">
        <v>622</v>
      </c>
      <c r="B10" s="296">
        <v>2</v>
      </c>
      <c r="C10" s="298">
        <v>1</v>
      </c>
      <c r="D10" s="291">
        <f t="shared" si="0"/>
        <v>3</v>
      </c>
      <c r="E10" s="294" t="s">
        <v>622</v>
      </c>
      <c r="F10" s="119">
        <v>10</v>
      </c>
      <c r="G10" s="280">
        <v>5</v>
      </c>
      <c r="H10" s="324">
        <f t="shared" si="1"/>
        <v>15</v>
      </c>
      <c r="I10" s="293" t="s">
        <v>608</v>
      </c>
      <c r="J10" s="291" t="s">
        <v>17</v>
      </c>
      <c r="K10" s="291" t="s">
        <v>17</v>
      </c>
      <c r="L10" s="299" t="s">
        <v>17</v>
      </c>
      <c r="M10" s="291" t="s">
        <v>17</v>
      </c>
      <c r="N10" s="291" t="s">
        <v>17</v>
      </c>
      <c r="O10" s="299" t="s">
        <v>17</v>
      </c>
      <c r="P10" s="291">
        <v>-1</v>
      </c>
      <c r="Q10" s="128" t="s">
        <v>17</v>
      </c>
      <c r="R10" s="128" t="s">
        <v>17</v>
      </c>
      <c r="S10" s="231" t="s">
        <v>17</v>
      </c>
      <c r="T10" s="128">
        <v>1</v>
      </c>
      <c r="U10" s="128">
        <v>4</v>
      </c>
      <c r="V10" s="231">
        <f>SUM(T10/U10)*100</f>
        <v>25</v>
      </c>
    </row>
    <row r="11" spans="1:22" ht="14.95" customHeight="1" thickBot="1" x14ac:dyDescent="0.3">
      <c r="A11" s="293" t="s">
        <v>613</v>
      </c>
      <c r="B11" s="296">
        <v>0</v>
      </c>
      <c r="C11" s="298">
        <v>0</v>
      </c>
      <c r="D11" s="291">
        <f t="shared" si="0"/>
        <v>0</v>
      </c>
      <c r="E11" s="294" t="s">
        <v>613</v>
      </c>
      <c r="F11" s="119">
        <v>0</v>
      </c>
      <c r="G11" s="280">
        <v>0</v>
      </c>
      <c r="H11" s="324">
        <f t="shared" si="1"/>
        <v>0</v>
      </c>
      <c r="I11" s="293" t="s">
        <v>929</v>
      </c>
      <c r="J11" s="291" t="s">
        <v>17</v>
      </c>
      <c r="K11" s="291" t="s">
        <v>17</v>
      </c>
      <c r="L11" s="299" t="s">
        <v>17</v>
      </c>
      <c r="M11" s="291" t="s">
        <v>17</v>
      </c>
      <c r="N11" s="291" t="s">
        <v>17</v>
      </c>
      <c r="O11" s="299" t="s">
        <v>17</v>
      </c>
      <c r="P11" s="291">
        <v>-1</v>
      </c>
      <c r="Q11" s="128">
        <v>1</v>
      </c>
      <c r="R11" s="128">
        <v>2</v>
      </c>
      <c r="S11" s="231">
        <v>50</v>
      </c>
      <c r="T11" s="128" t="s">
        <v>17</v>
      </c>
      <c r="U11" s="128" t="s">
        <v>17</v>
      </c>
      <c r="V11" s="231" t="s">
        <v>17</v>
      </c>
    </row>
    <row r="12" spans="1:22" ht="14.95" customHeight="1" thickBot="1" x14ac:dyDescent="0.3">
      <c r="A12" s="293" t="s">
        <v>546</v>
      </c>
      <c r="B12" s="296">
        <v>0</v>
      </c>
      <c r="C12" s="298">
        <v>0</v>
      </c>
      <c r="D12" s="291">
        <f t="shared" si="0"/>
        <v>0</v>
      </c>
      <c r="E12" s="294" t="s">
        <v>546</v>
      </c>
      <c r="F12" s="119">
        <v>0</v>
      </c>
      <c r="G12" s="280">
        <v>0</v>
      </c>
      <c r="H12" s="324">
        <f t="shared" si="1"/>
        <v>0</v>
      </c>
      <c r="I12" s="293" t="s">
        <v>752</v>
      </c>
      <c r="J12" s="291">
        <v>3</v>
      </c>
      <c r="K12" s="291">
        <v>6</v>
      </c>
      <c r="L12" s="299">
        <f>SUM(J12/K12)*100</f>
        <v>50</v>
      </c>
      <c r="M12" s="291" t="s">
        <v>17</v>
      </c>
      <c r="N12" s="291" t="s">
        <v>17</v>
      </c>
      <c r="O12" s="299" t="s">
        <v>17</v>
      </c>
      <c r="P12" s="291">
        <v>-1</v>
      </c>
      <c r="Q12" s="128" t="s">
        <v>17</v>
      </c>
      <c r="R12" s="128" t="s">
        <v>17</v>
      </c>
      <c r="S12" s="231" t="s">
        <v>17</v>
      </c>
      <c r="T12" s="128">
        <v>14</v>
      </c>
      <c r="U12" s="128">
        <v>18</v>
      </c>
      <c r="V12" s="231">
        <f>SUM(T12/U12)*100</f>
        <v>77.777777777777786</v>
      </c>
    </row>
    <row r="13" spans="1:22" ht="14.95" customHeight="1" thickBot="1" x14ac:dyDescent="0.3">
      <c r="A13" s="293" t="s">
        <v>1000</v>
      </c>
      <c r="B13" s="296">
        <v>0</v>
      </c>
      <c r="C13" s="298">
        <v>0</v>
      </c>
      <c r="D13" s="291">
        <f t="shared" si="0"/>
        <v>0</v>
      </c>
      <c r="E13" s="294" t="s">
        <v>1000</v>
      </c>
      <c r="F13" s="119">
        <v>0</v>
      </c>
      <c r="G13" s="280">
        <v>0</v>
      </c>
      <c r="H13" s="324">
        <f t="shared" si="1"/>
        <v>0</v>
      </c>
      <c r="I13" s="293" t="s">
        <v>1001</v>
      </c>
      <c r="J13" s="291">
        <v>14</v>
      </c>
      <c r="K13" s="291">
        <v>18</v>
      </c>
      <c r="L13" s="299">
        <f>SUM(J13/K13)*100</f>
        <v>77.777777777777786</v>
      </c>
      <c r="M13" s="291">
        <v>7</v>
      </c>
      <c r="N13" s="291">
        <v>8</v>
      </c>
      <c r="O13" s="299">
        <f>SUM(M13/N13)*100</f>
        <v>87.5</v>
      </c>
      <c r="P13" s="291">
        <v>2</v>
      </c>
      <c r="Q13" s="128">
        <v>1</v>
      </c>
      <c r="R13" s="128">
        <v>1</v>
      </c>
      <c r="S13" s="231">
        <v>100</v>
      </c>
      <c r="T13" s="128" t="s">
        <v>17</v>
      </c>
      <c r="U13" s="128" t="s">
        <v>17</v>
      </c>
      <c r="V13" s="231" t="s">
        <v>17</v>
      </c>
    </row>
    <row r="14" spans="1:22" ht="14.95" customHeight="1" thickBot="1" x14ac:dyDescent="0.3">
      <c r="A14" s="293" t="s">
        <v>889</v>
      </c>
      <c r="B14" s="296">
        <v>0</v>
      </c>
      <c r="C14" s="298">
        <v>0</v>
      </c>
      <c r="D14" s="291">
        <f t="shared" si="0"/>
        <v>0</v>
      </c>
      <c r="E14" s="294" t="s">
        <v>889</v>
      </c>
      <c r="F14" s="119">
        <v>0</v>
      </c>
      <c r="G14" s="280">
        <v>0</v>
      </c>
      <c r="H14" s="324">
        <f t="shared" si="1"/>
        <v>0</v>
      </c>
      <c r="I14" s="137"/>
      <c r="J14" s="138"/>
      <c r="K14" s="38"/>
      <c r="L14" s="139"/>
      <c r="M14" s="38"/>
      <c r="N14" s="38"/>
      <c r="O14" s="24"/>
      <c r="P14" s="140"/>
    </row>
    <row r="15" spans="1:22" ht="14.95" customHeight="1" thickBot="1" x14ac:dyDescent="0.3">
      <c r="A15" s="293" t="s">
        <v>883</v>
      </c>
      <c r="B15" s="296">
        <v>0</v>
      </c>
      <c r="C15" s="298">
        <v>0</v>
      </c>
      <c r="D15" s="291">
        <f t="shared" si="0"/>
        <v>0</v>
      </c>
      <c r="E15" s="294" t="s">
        <v>883</v>
      </c>
      <c r="F15" s="119">
        <v>0</v>
      </c>
      <c r="G15" s="280">
        <v>0</v>
      </c>
      <c r="H15" s="324">
        <f t="shared" si="1"/>
        <v>0</v>
      </c>
      <c r="I15" s="577" t="s">
        <v>33</v>
      </c>
      <c r="J15" s="568">
        <v>2023</v>
      </c>
      <c r="K15" s="569"/>
      <c r="L15" s="570"/>
    </row>
    <row r="16" spans="1:22" ht="14.95" customHeight="1" thickBot="1" x14ac:dyDescent="0.3">
      <c r="A16" s="293" t="s">
        <v>1028</v>
      </c>
      <c r="B16" s="296">
        <v>0</v>
      </c>
      <c r="C16" s="298">
        <v>0</v>
      </c>
      <c r="D16" s="291">
        <f t="shared" si="0"/>
        <v>0</v>
      </c>
      <c r="E16" s="294" t="s">
        <v>1028</v>
      </c>
      <c r="F16" s="119">
        <v>0</v>
      </c>
      <c r="G16" s="280">
        <v>0</v>
      </c>
      <c r="H16" s="324">
        <f t="shared" si="1"/>
        <v>0</v>
      </c>
      <c r="I16" s="578"/>
      <c r="J16" s="571"/>
      <c r="K16" s="572"/>
      <c r="L16" s="573"/>
    </row>
    <row r="17" spans="1:18" ht="14.95" customHeight="1" thickBot="1" x14ac:dyDescent="0.3">
      <c r="A17" s="293" t="s">
        <v>884</v>
      </c>
      <c r="B17" s="296">
        <v>0</v>
      </c>
      <c r="C17" s="298">
        <v>0</v>
      </c>
      <c r="D17" s="291">
        <f t="shared" si="0"/>
        <v>0</v>
      </c>
      <c r="E17" s="294" t="s">
        <v>884</v>
      </c>
      <c r="F17" s="119">
        <v>0</v>
      </c>
      <c r="G17" s="280">
        <v>0</v>
      </c>
      <c r="H17" s="324">
        <f t="shared" si="1"/>
        <v>0</v>
      </c>
      <c r="I17" s="4"/>
      <c r="J17" s="128" t="s">
        <v>152</v>
      </c>
      <c r="K17" s="128" t="s">
        <v>12</v>
      </c>
      <c r="L17" s="128" t="s">
        <v>13</v>
      </c>
    </row>
    <row r="18" spans="1:18" ht="14.95" customHeight="1" thickBot="1" x14ac:dyDescent="0.3">
      <c r="A18" s="293" t="s">
        <v>614</v>
      </c>
      <c r="B18" s="296">
        <v>0</v>
      </c>
      <c r="C18" s="298">
        <v>0</v>
      </c>
      <c r="D18" s="291">
        <f t="shared" si="0"/>
        <v>0</v>
      </c>
      <c r="E18" s="294" t="s">
        <v>614</v>
      </c>
      <c r="F18" s="119">
        <v>0</v>
      </c>
      <c r="G18" s="280">
        <v>0</v>
      </c>
      <c r="H18" s="324">
        <f t="shared" si="1"/>
        <v>0</v>
      </c>
      <c r="I18" s="293" t="s">
        <v>607</v>
      </c>
      <c r="J18" s="128">
        <v>10</v>
      </c>
      <c r="K18" s="128">
        <v>14</v>
      </c>
      <c r="L18" s="231">
        <f>SUM(J18/K18)*100</f>
        <v>71.428571428571431</v>
      </c>
    </row>
    <row r="19" spans="1:18" ht="14.95" customHeight="1" thickBot="1" x14ac:dyDescent="0.3">
      <c r="A19" s="293" t="s">
        <v>623</v>
      </c>
      <c r="B19" s="296">
        <v>0</v>
      </c>
      <c r="C19" s="298">
        <v>0</v>
      </c>
      <c r="D19" s="291">
        <f t="shared" si="0"/>
        <v>0</v>
      </c>
      <c r="E19" s="294" t="s">
        <v>623</v>
      </c>
      <c r="F19" s="119">
        <v>0</v>
      </c>
      <c r="G19" s="280">
        <v>0</v>
      </c>
      <c r="H19" s="324">
        <f t="shared" si="1"/>
        <v>0</v>
      </c>
      <c r="I19" s="293" t="s">
        <v>752</v>
      </c>
      <c r="J19" s="232">
        <v>0</v>
      </c>
      <c r="K19" s="232">
        <v>1</v>
      </c>
      <c r="L19" s="230">
        <f>SUM(J19/K19)*100</f>
        <v>0</v>
      </c>
    </row>
    <row r="20" spans="1:18" ht="14.95" customHeight="1" thickBot="1" x14ac:dyDescent="0.3">
      <c r="A20" s="293" t="s">
        <v>926</v>
      </c>
      <c r="B20" s="296">
        <v>2</v>
      </c>
      <c r="C20" s="298">
        <v>0</v>
      </c>
      <c r="D20" s="291">
        <f t="shared" si="0"/>
        <v>2</v>
      </c>
      <c r="E20" s="294" t="s">
        <v>926</v>
      </c>
      <c r="F20" s="119">
        <v>10</v>
      </c>
      <c r="G20" s="280">
        <v>0</v>
      </c>
      <c r="H20" s="324">
        <f t="shared" si="1"/>
        <v>10</v>
      </c>
    </row>
    <row r="21" spans="1:18" ht="14.95" customHeight="1" thickBot="1" x14ac:dyDescent="0.3">
      <c r="A21" s="293" t="s">
        <v>624</v>
      </c>
      <c r="B21" s="296">
        <v>0</v>
      </c>
      <c r="C21" s="298">
        <v>0</v>
      </c>
      <c r="D21" s="291">
        <f t="shared" si="0"/>
        <v>0</v>
      </c>
      <c r="E21" s="294" t="s">
        <v>624</v>
      </c>
      <c r="F21" s="119">
        <v>0</v>
      </c>
      <c r="G21" s="280">
        <v>0</v>
      </c>
      <c r="H21" s="324">
        <f t="shared" si="1"/>
        <v>0</v>
      </c>
      <c r="I21" s="680" t="s">
        <v>133</v>
      </c>
      <c r="J21" s="596">
        <v>2025</v>
      </c>
      <c r="K21" s="597"/>
      <c r="L21" s="598"/>
      <c r="M21" s="568">
        <v>2024</v>
      </c>
      <c r="N21" s="602"/>
      <c r="O21" s="603"/>
      <c r="P21" s="568">
        <v>2023</v>
      </c>
      <c r="Q21" s="602"/>
      <c r="R21" s="603"/>
    </row>
    <row r="22" spans="1:18" ht="14.95" customHeight="1" thickBot="1" x14ac:dyDescent="0.3">
      <c r="A22" s="293" t="s">
        <v>596</v>
      </c>
      <c r="B22" s="296">
        <v>0</v>
      </c>
      <c r="C22" s="298">
        <v>0</v>
      </c>
      <c r="D22" s="291">
        <f t="shared" si="0"/>
        <v>0</v>
      </c>
      <c r="E22" s="294" t="s">
        <v>596</v>
      </c>
      <c r="F22" s="119">
        <v>0</v>
      </c>
      <c r="G22" s="280">
        <v>0</v>
      </c>
      <c r="H22" s="324">
        <f t="shared" si="1"/>
        <v>0</v>
      </c>
      <c r="I22" s="681"/>
      <c r="J22" s="599"/>
      <c r="K22" s="600"/>
      <c r="L22" s="601"/>
      <c r="M22" s="604"/>
      <c r="N22" s="605"/>
      <c r="O22" s="606"/>
      <c r="P22" s="604"/>
      <c r="Q22" s="605"/>
      <c r="R22" s="606"/>
    </row>
    <row r="23" spans="1:18" ht="14.95" customHeight="1" thickBot="1" x14ac:dyDescent="0.3">
      <c r="A23" s="293" t="s">
        <v>597</v>
      </c>
      <c r="B23" s="296">
        <v>0</v>
      </c>
      <c r="C23" s="298">
        <v>0</v>
      </c>
      <c r="D23" s="291">
        <f t="shared" si="0"/>
        <v>0</v>
      </c>
      <c r="E23" s="294" t="s">
        <v>597</v>
      </c>
      <c r="F23" s="119">
        <v>0</v>
      </c>
      <c r="G23" s="280">
        <v>0</v>
      </c>
      <c r="H23" s="324">
        <f t="shared" si="1"/>
        <v>0</v>
      </c>
      <c r="I23" s="4"/>
      <c r="J23" s="188" t="s">
        <v>152</v>
      </c>
      <c r="K23" s="188" t="s">
        <v>12</v>
      </c>
      <c r="L23" s="188" t="s">
        <v>13</v>
      </c>
      <c r="M23" s="158" t="s">
        <v>152</v>
      </c>
      <c r="N23" s="158" t="s">
        <v>12</v>
      </c>
      <c r="O23" s="158" t="s">
        <v>13</v>
      </c>
      <c r="P23" s="158" t="s">
        <v>152</v>
      </c>
      <c r="Q23" s="158" t="s">
        <v>12</v>
      </c>
      <c r="R23" s="158" t="s">
        <v>13</v>
      </c>
    </row>
    <row r="24" spans="1:18" ht="14.95" customHeight="1" thickBot="1" x14ac:dyDescent="0.3">
      <c r="A24" s="293" t="s">
        <v>880</v>
      </c>
      <c r="B24" s="296">
        <v>0</v>
      </c>
      <c r="C24" s="298">
        <v>0</v>
      </c>
      <c r="D24" s="291">
        <f t="shared" si="0"/>
        <v>0</v>
      </c>
      <c r="E24" s="294" t="s">
        <v>880</v>
      </c>
      <c r="F24" s="119">
        <v>0</v>
      </c>
      <c r="G24" s="280">
        <v>0</v>
      </c>
      <c r="H24" s="324">
        <f t="shared" si="1"/>
        <v>0</v>
      </c>
      <c r="I24" s="293" t="s">
        <v>923</v>
      </c>
      <c r="J24" s="291">
        <v>2</v>
      </c>
      <c r="K24" s="291">
        <v>2</v>
      </c>
      <c r="L24" s="299">
        <f>SUM(J24/K24)*100</f>
        <v>100</v>
      </c>
      <c r="M24" s="128">
        <v>23</v>
      </c>
      <c r="N24" s="128">
        <v>25</v>
      </c>
      <c r="O24" s="231">
        <v>92</v>
      </c>
      <c r="P24" s="128" t="s">
        <v>17</v>
      </c>
      <c r="Q24" s="128" t="s">
        <v>17</v>
      </c>
      <c r="R24" s="231" t="s">
        <v>17</v>
      </c>
    </row>
    <row r="25" spans="1:18" ht="14.95" customHeight="1" thickBot="1" x14ac:dyDescent="0.3">
      <c r="A25" s="293" t="s">
        <v>612</v>
      </c>
      <c r="B25" s="296">
        <v>0</v>
      </c>
      <c r="C25" s="298">
        <v>0</v>
      </c>
      <c r="D25" s="291">
        <f t="shared" si="0"/>
        <v>0</v>
      </c>
      <c r="E25" s="294" t="s">
        <v>612</v>
      </c>
      <c r="F25" s="119">
        <v>0</v>
      </c>
      <c r="G25" s="280">
        <v>0</v>
      </c>
      <c r="H25" s="324">
        <f t="shared" si="1"/>
        <v>0</v>
      </c>
      <c r="I25" s="293" t="s">
        <v>622</v>
      </c>
      <c r="J25" s="291" t="s">
        <v>17</v>
      </c>
      <c r="K25" s="291" t="s">
        <v>17</v>
      </c>
      <c r="L25" s="299" t="s">
        <v>17</v>
      </c>
      <c r="M25" s="128" t="s">
        <v>17</v>
      </c>
      <c r="N25" s="128" t="s">
        <v>17</v>
      </c>
      <c r="O25" s="231" t="s">
        <v>17</v>
      </c>
      <c r="P25" s="128">
        <v>2</v>
      </c>
      <c r="Q25" s="128">
        <v>2</v>
      </c>
      <c r="R25" s="231">
        <f>SUM(P25/Q25)*100</f>
        <v>100</v>
      </c>
    </row>
    <row r="26" spans="1:18" ht="14.95" customHeight="1" thickBot="1" x14ac:dyDescent="0.3">
      <c r="A26" s="293" t="s">
        <v>607</v>
      </c>
      <c r="B26" s="296">
        <v>0</v>
      </c>
      <c r="C26" s="298">
        <v>0</v>
      </c>
      <c r="D26" s="291">
        <f t="shared" si="0"/>
        <v>0</v>
      </c>
      <c r="E26" s="294" t="s">
        <v>607</v>
      </c>
      <c r="F26" s="119">
        <v>17</v>
      </c>
      <c r="G26" s="280">
        <v>3</v>
      </c>
      <c r="H26" s="324">
        <f t="shared" si="1"/>
        <v>20</v>
      </c>
      <c r="I26" s="293" t="s">
        <v>926</v>
      </c>
      <c r="J26" s="291" t="s">
        <v>17</v>
      </c>
      <c r="K26" s="291" t="s">
        <v>17</v>
      </c>
      <c r="L26" s="299" t="s">
        <v>17</v>
      </c>
      <c r="M26" s="128">
        <v>1</v>
      </c>
      <c r="N26" s="128">
        <v>1</v>
      </c>
      <c r="O26" s="231">
        <v>100</v>
      </c>
      <c r="P26" s="128" t="s">
        <v>17</v>
      </c>
      <c r="Q26" s="128" t="s">
        <v>17</v>
      </c>
      <c r="R26" s="231" t="s">
        <v>17</v>
      </c>
    </row>
    <row r="27" spans="1:18" ht="14.95" customHeight="1" thickBot="1" x14ac:dyDescent="0.3">
      <c r="A27" s="293" t="s">
        <v>595</v>
      </c>
      <c r="B27" s="296">
        <v>2</v>
      </c>
      <c r="C27" s="298">
        <v>4</v>
      </c>
      <c r="D27" s="291">
        <f t="shared" si="0"/>
        <v>6</v>
      </c>
      <c r="E27" s="294" t="s">
        <v>595</v>
      </c>
      <c r="F27" s="119">
        <v>10</v>
      </c>
      <c r="G27" s="280">
        <v>20</v>
      </c>
      <c r="H27" s="324">
        <f t="shared" si="1"/>
        <v>30</v>
      </c>
      <c r="I27" s="293" t="s">
        <v>607</v>
      </c>
      <c r="J27" s="291">
        <v>8</v>
      </c>
      <c r="K27" s="291">
        <v>12</v>
      </c>
      <c r="L27" s="299">
        <f>SUM(J27/K27)*100</f>
        <v>66.666666666666657</v>
      </c>
      <c r="M27" s="128" t="s">
        <v>17</v>
      </c>
      <c r="N27" s="128" t="s">
        <v>17</v>
      </c>
      <c r="O27" s="231" t="s">
        <v>17</v>
      </c>
      <c r="P27" s="128">
        <v>9</v>
      </c>
      <c r="Q27" s="128">
        <v>14</v>
      </c>
      <c r="R27" s="231">
        <f>SUM(P27/Q27)*100</f>
        <v>64.285714285714292</v>
      </c>
    </row>
    <row r="28" spans="1:18" ht="14.95" customHeight="1" thickBot="1" x14ac:dyDescent="0.3">
      <c r="A28" s="293" t="s">
        <v>931</v>
      </c>
      <c r="B28" s="296">
        <v>0</v>
      </c>
      <c r="C28" s="298">
        <v>0</v>
      </c>
      <c r="D28" s="291">
        <f t="shared" si="0"/>
        <v>0</v>
      </c>
      <c r="E28" s="294" t="s">
        <v>931</v>
      </c>
      <c r="F28" s="119">
        <v>0</v>
      </c>
      <c r="G28" s="280">
        <v>0</v>
      </c>
      <c r="H28" s="324">
        <f t="shared" si="1"/>
        <v>0</v>
      </c>
      <c r="I28" s="293" t="s">
        <v>1183</v>
      </c>
      <c r="J28" s="291">
        <v>7</v>
      </c>
      <c r="K28" s="291">
        <v>7</v>
      </c>
      <c r="L28" s="299">
        <f>SUM(J28/K28)*100</f>
        <v>100</v>
      </c>
      <c r="M28" s="128" t="s">
        <v>17</v>
      </c>
      <c r="N28" s="128" t="s">
        <v>17</v>
      </c>
      <c r="O28" s="231" t="s">
        <v>17</v>
      </c>
      <c r="P28" s="128" t="s">
        <v>17</v>
      </c>
      <c r="Q28" s="128" t="s">
        <v>17</v>
      </c>
      <c r="R28" s="231" t="s">
        <v>17</v>
      </c>
    </row>
    <row r="29" spans="1:18" ht="14.95" customHeight="1" thickBot="1" x14ac:dyDescent="0.3">
      <c r="A29" s="293" t="s">
        <v>932</v>
      </c>
      <c r="B29" s="296">
        <v>3</v>
      </c>
      <c r="C29" s="298">
        <v>3</v>
      </c>
      <c r="D29" s="291">
        <f t="shared" si="0"/>
        <v>6</v>
      </c>
      <c r="E29" s="294" t="s">
        <v>932</v>
      </c>
      <c r="F29" s="119">
        <v>15</v>
      </c>
      <c r="G29" s="280">
        <v>15</v>
      </c>
      <c r="H29" s="324">
        <f t="shared" si="1"/>
        <v>30</v>
      </c>
      <c r="I29" s="293" t="s">
        <v>608</v>
      </c>
      <c r="J29" s="291" t="s">
        <v>17</v>
      </c>
      <c r="K29" s="291" t="s">
        <v>17</v>
      </c>
      <c r="L29" s="299" t="s">
        <v>17</v>
      </c>
      <c r="M29" s="128" t="s">
        <v>17</v>
      </c>
      <c r="N29" s="128" t="s">
        <v>17</v>
      </c>
      <c r="O29" s="231" t="s">
        <v>17</v>
      </c>
      <c r="P29" s="128">
        <v>1</v>
      </c>
      <c r="Q29" s="128">
        <v>4</v>
      </c>
      <c r="R29" s="231">
        <f>SUM(P29/Q29)*100</f>
        <v>25</v>
      </c>
    </row>
    <row r="30" spans="1:18" ht="14.95" customHeight="1" thickBot="1" x14ac:dyDescent="0.3">
      <c r="A30" s="293" t="s">
        <v>1231</v>
      </c>
      <c r="B30" s="296">
        <v>1</v>
      </c>
      <c r="C30" s="298">
        <v>0</v>
      </c>
      <c r="D30" s="291">
        <f t="shared" si="0"/>
        <v>1</v>
      </c>
      <c r="E30" s="294" t="s">
        <v>1231</v>
      </c>
      <c r="F30" s="119">
        <v>5</v>
      </c>
      <c r="G30" s="280">
        <v>0</v>
      </c>
      <c r="H30" s="324">
        <f t="shared" si="1"/>
        <v>5</v>
      </c>
      <c r="I30" s="293" t="s">
        <v>929</v>
      </c>
      <c r="J30" s="291" t="s">
        <v>17</v>
      </c>
      <c r="K30" s="291" t="s">
        <v>17</v>
      </c>
      <c r="L30" s="299" t="s">
        <v>17</v>
      </c>
      <c r="M30" s="128">
        <v>1</v>
      </c>
      <c r="N30" s="128">
        <v>2</v>
      </c>
      <c r="O30" s="231">
        <v>50</v>
      </c>
      <c r="P30" s="128" t="s">
        <v>17</v>
      </c>
      <c r="Q30" s="128" t="s">
        <v>17</v>
      </c>
      <c r="R30" s="231" t="s">
        <v>17</v>
      </c>
    </row>
    <row r="31" spans="1:18" ht="14.95" customHeight="1" thickBot="1" x14ac:dyDescent="0.3">
      <c r="A31" s="293" t="s">
        <v>1183</v>
      </c>
      <c r="B31" s="296">
        <v>2</v>
      </c>
      <c r="C31" s="298">
        <v>0</v>
      </c>
      <c r="D31" s="291">
        <f t="shared" si="0"/>
        <v>2</v>
      </c>
      <c r="E31" s="294" t="s">
        <v>1183</v>
      </c>
      <c r="F31" s="119">
        <v>24</v>
      </c>
      <c r="G31" s="280">
        <v>0</v>
      </c>
      <c r="H31" s="324">
        <f t="shared" si="1"/>
        <v>24</v>
      </c>
      <c r="I31" s="293" t="s">
        <v>752</v>
      </c>
      <c r="J31" s="291" t="s">
        <v>17</v>
      </c>
      <c r="K31" s="291" t="s">
        <v>17</v>
      </c>
      <c r="L31" s="299" t="s">
        <v>17</v>
      </c>
      <c r="M31" s="128" t="s">
        <v>17</v>
      </c>
      <c r="N31" s="128" t="s">
        <v>17</v>
      </c>
      <c r="O31" s="231" t="s">
        <v>17</v>
      </c>
      <c r="P31" s="128">
        <v>13</v>
      </c>
      <c r="Q31" s="128">
        <v>15</v>
      </c>
      <c r="R31" s="231">
        <f>SUM(P31/Q31)*100</f>
        <v>86.666666666666671</v>
      </c>
    </row>
    <row r="32" spans="1:18" ht="14.95" customHeight="1" thickBot="1" x14ac:dyDescent="0.3">
      <c r="A32" s="293" t="s">
        <v>999</v>
      </c>
      <c r="B32" s="296">
        <v>0</v>
      </c>
      <c r="C32" s="298">
        <v>0</v>
      </c>
      <c r="D32" s="291">
        <f t="shared" si="0"/>
        <v>0</v>
      </c>
      <c r="E32" s="294" t="s">
        <v>999</v>
      </c>
      <c r="F32" s="119">
        <v>0</v>
      </c>
      <c r="G32" s="280">
        <v>0</v>
      </c>
      <c r="H32" s="324">
        <f t="shared" si="1"/>
        <v>0</v>
      </c>
      <c r="I32" s="293" t="s">
        <v>1001</v>
      </c>
      <c r="J32" s="291">
        <v>6</v>
      </c>
      <c r="K32" s="291">
        <v>7</v>
      </c>
      <c r="L32" s="299">
        <f>SUM(J32/K32)*100</f>
        <v>85.714285714285708</v>
      </c>
      <c r="M32" s="128" t="s">
        <v>17</v>
      </c>
      <c r="N32" s="128" t="s">
        <v>17</v>
      </c>
      <c r="O32" s="231" t="s">
        <v>17</v>
      </c>
      <c r="P32" s="128" t="s">
        <v>17</v>
      </c>
      <c r="Q32" s="128" t="s">
        <v>17</v>
      </c>
      <c r="R32" s="231" t="s">
        <v>17</v>
      </c>
    </row>
    <row r="33" spans="1:12" ht="14.95" customHeight="1" thickBot="1" x14ac:dyDescent="0.3">
      <c r="A33" s="293" t="s">
        <v>4</v>
      </c>
      <c r="B33" s="296">
        <v>0</v>
      </c>
      <c r="C33" s="298">
        <v>0</v>
      </c>
      <c r="D33" s="291">
        <f t="shared" si="0"/>
        <v>0</v>
      </c>
      <c r="E33" s="294" t="s">
        <v>4</v>
      </c>
      <c r="F33" s="119">
        <v>0</v>
      </c>
      <c r="G33" s="280">
        <v>0</v>
      </c>
      <c r="H33" s="324">
        <f t="shared" si="1"/>
        <v>0</v>
      </c>
      <c r="I33" s="9"/>
      <c r="J33" s="9"/>
      <c r="K33" s="9"/>
      <c r="L33" s="9"/>
    </row>
    <row r="34" spans="1:12" ht="14.95" customHeight="1" thickBot="1" x14ac:dyDescent="0.3">
      <c r="A34" s="293" t="s">
        <v>1197</v>
      </c>
      <c r="B34" s="296">
        <v>1</v>
      </c>
      <c r="C34" s="298">
        <v>0</v>
      </c>
      <c r="D34" s="291">
        <f t="shared" si="0"/>
        <v>1</v>
      </c>
      <c r="E34" s="294" t="s">
        <v>1197</v>
      </c>
      <c r="F34" s="119">
        <v>5</v>
      </c>
      <c r="G34" s="280">
        <v>0</v>
      </c>
      <c r="H34" s="324">
        <f t="shared" si="1"/>
        <v>5</v>
      </c>
      <c r="I34" s="716"/>
      <c r="J34" s="616"/>
      <c r="K34" s="616"/>
      <c r="L34" s="616"/>
    </row>
    <row r="35" spans="1:12" ht="14.95" customHeight="1" thickBot="1" x14ac:dyDescent="0.3">
      <c r="A35" s="293" t="s">
        <v>888</v>
      </c>
      <c r="B35" s="296">
        <v>1</v>
      </c>
      <c r="C35" s="298">
        <v>0</v>
      </c>
      <c r="D35" s="291">
        <f t="shared" si="0"/>
        <v>1</v>
      </c>
      <c r="E35" s="294" t="s">
        <v>888</v>
      </c>
      <c r="F35" s="119">
        <v>5</v>
      </c>
      <c r="G35" s="280">
        <v>0</v>
      </c>
      <c r="H35" s="324">
        <f t="shared" si="1"/>
        <v>5</v>
      </c>
      <c r="I35" s="716"/>
      <c r="J35" s="616"/>
      <c r="K35" s="616"/>
      <c r="L35" s="616"/>
    </row>
    <row r="36" spans="1:12" ht="14.95" customHeight="1" thickBot="1" x14ac:dyDescent="0.3">
      <c r="A36" s="293" t="s">
        <v>1198</v>
      </c>
      <c r="B36" s="296">
        <v>1</v>
      </c>
      <c r="C36" s="298">
        <v>0</v>
      </c>
      <c r="D36" s="291">
        <f t="shared" si="0"/>
        <v>1</v>
      </c>
      <c r="E36" s="294" t="s">
        <v>1198</v>
      </c>
      <c r="F36" s="119">
        <v>5</v>
      </c>
      <c r="G36" s="280">
        <v>0</v>
      </c>
      <c r="H36" s="324">
        <f t="shared" si="1"/>
        <v>5</v>
      </c>
      <c r="I36" s="716"/>
      <c r="J36" s="616"/>
      <c r="K36" s="616"/>
      <c r="L36" s="616"/>
    </row>
    <row r="37" spans="1:12" ht="14.95" customHeight="1" thickBot="1" x14ac:dyDescent="0.3">
      <c r="A37" s="293" t="s">
        <v>1216</v>
      </c>
      <c r="B37" s="296">
        <v>1</v>
      </c>
      <c r="C37" s="298">
        <v>0</v>
      </c>
      <c r="D37" s="291">
        <f t="shared" ref="D37" si="2">SUM(B37:C37)</f>
        <v>1</v>
      </c>
      <c r="E37" s="294" t="s">
        <v>1216</v>
      </c>
      <c r="F37" s="119">
        <v>5</v>
      </c>
      <c r="G37" s="280">
        <v>0</v>
      </c>
      <c r="H37" s="324">
        <f t="shared" ref="H37" si="3">SUM(F37:G37)</f>
        <v>5</v>
      </c>
      <c r="I37" s="42"/>
      <c r="J37" s="18"/>
      <c r="K37" s="18"/>
      <c r="L37" s="18"/>
    </row>
    <row r="38" spans="1:12" ht="14.95" customHeight="1" thickBot="1" x14ac:dyDescent="0.3">
      <c r="A38" s="293" t="s">
        <v>1215</v>
      </c>
      <c r="B38" s="296">
        <v>1</v>
      </c>
      <c r="C38" s="298">
        <v>0</v>
      </c>
      <c r="D38" s="291">
        <f t="shared" si="0"/>
        <v>1</v>
      </c>
      <c r="E38" s="294" t="s">
        <v>1215</v>
      </c>
      <c r="F38" s="119">
        <v>5</v>
      </c>
      <c r="G38" s="280">
        <v>0</v>
      </c>
      <c r="H38" s="324">
        <f t="shared" si="1"/>
        <v>5</v>
      </c>
      <c r="I38" s="46"/>
      <c r="J38" s="36"/>
      <c r="K38" s="36"/>
      <c r="L38" s="36"/>
    </row>
    <row r="39" spans="1:12" ht="14.95" customHeight="1" thickBot="1" x14ac:dyDescent="0.3">
      <c r="A39" s="293" t="s">
        <v>929</v>
      </c>
      <c r="B39" s="296">
        <v>2</v>
      </c>
      <c r="C39" s="298">
        <v>0</v>
      </c>
      <c r="D39" s="291">
        <f t="shared" si="0"/>
        <v>2</v>
      </c>
      <c r="E39" s="294" t="s">
        <v>929</v>
      </c>
      <c r="F39" s="119">
        <v>10</v>
      </c>
      <c r="G39" s="280">
        <v>0</v>
      </c>
      <c r="H39" s="324">
        <f t="shared" si="1"/>
        <v>10</v>
      </c>
      <c r="I39" s="46"/>
      <c r="J39" s="36"/>
      <c r="K39" s="36"/>
      <c r="L39" s="36"/>
    </row>
    <row r="40" spans="1:12" ht="14.95" customHeight="1" thickBot="1" x14ac:dyDescent="0.3">
      <c r="A40" s="293" t="s">
        <v>752</v>
      </c>
      <c r="B40" s="296">
        <v>0</v>
      </c>
      <c r="C40" s="298">
        <v>0</v>
      </c>
      <c r="D40" s="291">
        <f t="shared" si="0"/>
        <v>0</v>
      </c>
      <c r="E40" s="294" t="s">
        <v>752</v>
      </c>
      <c r="F40" s="119">
        <v>0</v>
      </c>
      <c r="G40" s="280">
        <v>7</v>
      </c>
      <c r="H40" s="324">
        <f t="shared" si="1"/>
        <v>7</v>
      </c>
      <c r="I40" s="46"/>
      <c r="J40" s="36"/>
      <c r="K40" s="36"/>
      <c r="L40" s="36"/>
    </row>
    <row r="41" spans="1:12" ht="14.95" customHeight="1" thickBot="1" x14ac:dyDescent="0.3">
      <c r="A41" s="293" t="s">
        <v>879</v>
      </c>
      <c r="B41" s="296">
        <v>2</v>
      </c>
      <c r="C41" s="298">
        <v>1</v>
      </c>
      <c r="D41" s="291">
        <f t="shared" si="0"/>
        <v>3</v>
      </c>
      <c r="E41" s="294" t="s">
        <v>879</v>
      </c>
      <c r="F41" s="119">
        <v>10</v>
      </c>
      <c r="G41" s="280">
        <v>5</v>
      </c>
      <c r="H41" s="324">
        <f t="shared" si="1"/>
        <v>15</v>
      </c>
      <c r="I41" s="46"/>
      <c r="J41" s="36"/>
      <c r="K41" s="36"/>
      <c r="L41" s="37"/>
    </row>
    <row r="42" spans="1:12" ht="14.95" thickBot="1" x14ac:dyDescent="0.3">
      <c r="A42" s="293" t="s">
        <v>606</v>
      </c>
      <c r="B42" s="296">
        <v>0</v>
      </c>
      <c r="C42" s="298">
        <v>0</v>
      </c>
      <c r="D42" s="291">
        <f t="shared" si="0"/>
        <v>0</v>
      </c>
      <c r="E42" s="294" t="s">
        <v>606</v>
      </c>
      <c r="F42" s="119">
        <v>0</v>
      </c>
      <c r="G42" s="280">
        <v>0</v>
      </c>
      <c r="H42" s="324">
        <f t="shared" si="1"/>
        <v>0</v>
      </c>
      <c r="I42" s="46"/>
      <c r="J42" s="36"/>
      <c r="K42" s="36"/>
      <c r="L42" s="37"/>
    </row>
    <row r="43" spans="1:12" ht="14.95" thickBot="1" x14ac:dyDescent="0.3">
      <c r="A43" s="293" t="s">
        <v>882</v>
      </c>
      <c r="B43" s="296">
        <v>0</v>
      </c>
      <c r="C43" s="298">
        <v>0</v>
      </c>
      <c r="D43" s="291">
        <f t="shared" si="0"/>
        <v>0</v>
      </c>
      <c r="E43" s="294" t="s">
        <v>882</v>
      </c>
      <c r="F43" s="119">
        <v>0</v>
      </c>
      <c r="G43" s="280">
        <v>0</v>
      </c>
      <c r="H43" s="324">
        <f t="shared" si="1"/>
        <v>0</v>
      </c>
      <c r="I43" s="46"/>
      <c r="J43" s="36"/>
      <c r="K43" s="36"/>
      <c r="L43" s="37"/>
    </row>
    <row r="44" spans="1:12" ht="14.95" thickBot="1" x14ac:dyDescent="0.3">
      <c r="A44" s="293" t="s">
        <v>1001</v>
      </c>
      <c r="B44" s="296">
        <v>1</v>
      </c>
      <c r="C44" s="298">
        <v>1</v>
      </c>
      <c r="D44" s="291">
        <f t="shared" si="0"/>
        <v>2</v>
      </c>
      <c r="E44" s="294" t="s">
        <v>1001</v>
      </c>
      <c r="F44" s="119">
        <v>18</v>
      </c>
      <c r="G44" s="280">
        <v>25</v>
      </c>
      <c r="H44" s="324">
        <f t="shared" si="1"/>
        <v>43</v>
      </c>
    </row>
    <row r="45" spans="1:12" ht="14.95" thickBot="1" x14ac:dyDescent="0.3">
      <c r="A45" s="293" t="s">
        <v>1440</v>
      </c>
      <c r="B45" s="296">
        <v>0</v>
      </c>
      <c r="C45" s="298">
        <v>1</v>
      </c>
      <c r="D45" s="291">
        <f t="shared" si="0"/>
        <v>1</v>
      </c>
      <c r="E45" s="294" t="s">
        <v>1440</v>
      </c>
      <c r="F45" s="119">
        <v>0</v>
      </c>
      <c r="G45" s="280">
        <v>5</v>
      </c>
      <c r="H45" s="324">
        <f t="shared" si="1"/>
        <v>5</v>
      </c>
    </row>
    <row r="46" spans="1:12" ht="14.95" thickBot="1" x14ac:dyDescent="0.3">
      <c r="A46" s="293" t="s">
        <v>885</v>
      </c>
      <c r="B46" s="296">
        <v>0</v>
      </c>
      <c r="C46" s="298">
        <v>0</v>
      </c>
      <c r="D46" s="291">
        <f t="shared" si="0"/>
        <v>0</v>
      </c>
      <c r="E46" s="294" t="s">
        <v>885</v>
      </c>
      <c r="F46" s="119">
        <v>0</v>
      </c>
      <c r="G46" s="280">
        <v>0</v>
      </c>
      <c r="H46" s="324">
        <f t="shared" si="1"/>
        <v>0</v>
      </c>
    </row>
    <row r="47" spans="1:12" ht="14.95" thickBot="1" x14ac:dyDescent="0.3">
      <c r="A47" s="293" t="s">
        <v>3</v>
      </c>
      <c r="B47" s="296">
        <f>SUM(B3:B46)</f>
        <v>24</v>
      </c>
      <c r="C47" s="298">
        <f>SUM(C3:C46)</f>
        <v>14</v>
      </c>
      <c r="D47" s="291">
        <f>SUM(D3:D46)</f>
        <v>38</v>
      </c>
      <c r="E47" s="294" t="s">
        <v>3</v>
      </c>
      <c r="F47" s="119">
        <f>SUM(F3:F46)</f>
        <v>168</v>
      </c>
      <c r="G47" s="280">
        <f>SUM(G3:G46)</f>
        <v>106</v>
      </c>
      <c r="H47" s="324">
        <f>SUM(H3:H46)</f>
        <v>274</v>
      </c>
    </row>
    <row r="48" spans="1:12" x14ac:dyDescent="0.25">
      <c r="E48" s="21"/>
      <c r="F48" s="20"/>
      <c r="G48" s="35"/>
      <c r="H48" s="19"/>
    </row>
    <row r="49" spans="1:8" ht="14.95" thickBot="1" x14ac:dyDescent="0.3">
      <c r="A49" s="30" t="s">
        <v>15</v>
      </c>
      <c r="E49" s="16"/>
      <c r="F49" s="17"/>
      <c r="G49" s="35"/>
      <c r="H49" s="18"/>
    </row>
    <row r="50" spans="1:8" ht="14.95" thickBot="1" x14ac:dyDescent="0.3">
      <c r="A50" s="289" t="s">
        <v>0</v>
      </c>
      <c r="B50" s="295" t="s">
        <v>134</v>
      </c>
      <c r="C50" s="297" t="s">
        <v>31</v>
      </c>
      <c r="D50" s="290" t="s">
        <v>1</v>
      </c>
      <c r="E50" s="292" t="s">
        <v>2</v>
      </c>
      <c r="F50" s="327" t="s">
        <v>134</v>
      </c>
      <c r="G50" s="279" t="s">
        <v>31</v>
      </c>
      <c r="H50" s="328" t="s">
        <v>1</v>
      </c>
    </row>
    <row r="51" spans="1:8" ht="14.95" thickBot="1" x14ac:dyDescent="0.3">
      <c r="A51" s="293" t="s">
        <v>595</v>
      </c>
      <c r="B51" s="296">
        <v>2</v>
      </c>
      <c r="C51" s="298">
        <v>4</v>
      </c>
      <c r="D51" s="291">
        <f t="shared" ref="D51:D94" si="4">SUM(B51:C51)</f>
        <v>6</v>
      </c>
      <c r="E51" s="329" t="s">
        <v>1001</v>
      </c>
      <c r="F51" s="119">
        <v>18</v>
      </c>
      <c r="G51" s="280">
        <v>25</v>
      </c>
      <c r="H51" s="324">
        <f t="shared" ref="H51:H94" si="5">SUM(F51:G51)</f>
        <v>43</v>
      </c>
    </row>
    <row r="52" spans="1:8" ht="14.95" thickBot="1" x14ac:dyDescent="0.3">
      <c r="A52" s="293" t="s">
        <v>932</v>
      </c>
      <c r="B52" s="296">
        <v>3</v>
      </c>
      <c r="C52" s="298">
        <v>3</v>
      </c>
      <c r="D52" s="291">
        <f t="shared" si="4"/>
        <v>6</v>
      </c>
      <c r="E52" s="294" t="s">
        <v>595</v>
      </c>
      <c r="F52" s="119">
        <v>10</v>
      </c>
      <c r="G52" s="280">
        <v>20</v>
      </c>
      <c r="H52" s="324">
        <f t="shared" si="5"/>
        <v>30</v>
      </c>
    </row>
    <row r="53" spans="1:8" ht="14.95" thickBot="1" x14ac:dyDescent="0.3">
      <c r="A53" s="293" t="s">
        <v>622</v>
      </c>
      <c r="B53" s="296">
        <v>2</v>
      </c>
      <c r="C53" s="298">
        <v>1</v>
      </c>
      <c r="D53" s="291">
        <f t="shared" si="4"/>
        <v>3</v>
      </c>
      <c r="E53" s="294" t="s">
        <v>932</v>
      </c>
      <c r="F53" s="119">
        <v>15</v>
      </c>
      <c r="G53" s="280">
        <v>15</v>
      </c>
      <c r="H53" s="324">
        <f t="shared" si="5"/>
        <v>30</v>
      </c>
    </row>
    <row r="54" spans="1:8" ht="14.95" thickBot="1" x14ac:dyDescent="0.3">
      <c r="A54" s="293" t="s">
        <v>879</v>
      </c>
      <c r="B54" s="296">
        <v>2</v>
      </c>
      <c r="C54" s="298">
        <v>1</v>
      </c>
      <c r="D54" s="291">
        <f t="shared" si="4"/>
        <v>3</v>
      </c>
      <c r="E54" s="294" t="s">
        <v>1183</v>
      </c>
      <c r="F54" s="119">
        <v>24</v>
      </c>
      <c r="G54" s="280">
        <v>0</v>
      </c>
      <c r="H54" s="324">
        <f t="shared" si="5"/>
        <v>24</v>
      </c>
    </row>
    <row r="55" spans="1:8" ht="14.95" thickBot="1" x14ac:dyDescent="0.3">
      <c r="A55" s="293" t="s">
        <v>928</v>
      </c>
      <c r="B55" s="296">
        <v>1</v>
      </c>
      <c r="C55" s="298">
        <v>1</v>
      </c>
      <c r="D55" s="291">
        <f t="shared" si="4"/>
        <v>2</v>
      </c>
      <c r="E55" s="294" t="s">
        <v>607</v>
      </c>
      <c r="F55" s="119">
        <v>17</v>
      </c>
      <c r="G55" s="280">
        <v>3</v>
      </c>
      <c r="H55" s="324">
        <f t="shared" si="5"/>
        <v>20</v>
      </c>
    </row>
    <row r="56" spans="1:8" ht="14.95" thickBot="1" x14ac:dyDescent="0.3">
      <c r="A56" s="293" t="s">
        <v>927</v>
      </c>
      <c r="B56" s="296">
        <v>1</v>
      </c>
      <c r="C56" s="298">
        <v>1</v>
      </c>
      <c r="D56" s="291">
        <f t="shared" si="4"/>
        <v>2</v>
      </c>
      <c r="E56" s="294" t="s">
        <v>622</v>
      </c>
      <c r="F56" s="119">
        <v>10</v>
      </c>
      <c r="G56" s="280">
        <v>5</v>
      </c>
      <c r="H56" s="324">
        <f t="shared" si="5"/>
        <v>15</v>
      </c>
    </row>
    <row r="57" spans="1:8" ht="14.95" thickBot="1" x14ac:dyDescent="0.3">
      <c r="A57" s="293" t="s">
        <v>926</v>
      </c>
      <c r="B57" s="296">
        <v>2</v>
      </c>
      <c r="C57" s="298">
        <v>0</v>
      </c>
      <c r="D57" s="291">
        <f t="shared" si="4"/>
        <v>2</v>
      </c>
      <c r="E57" s="294" t="s">
        <v>879</v>
      </c>
      <c r="F57" s="119">
        <v>10</v>
      </c>
      <c r="G57" s="280">
        <v>5</v>
      </c>
      <c r="H57" s="324">
        <f t="shared" si="5"/>
        <v>15</v>
      </c>
    </row>
    <row r="58" spans="1:8" ht="14.95" thickBot="1" x14ac:dyDescent="0.3">
      <c r="A58" s="293" t="s">
        <v>1183</v>
      </c>
      <c r="B58" s="296">
        <v>2</v>
      </c>
      <c r="C58" s="298">
        <v>0</v>
      </c>
      <c r="D58" s="291">
        <f t="shared" si="4"/>
        <v>2</v>
      </c>
      <c r="E58" s="294" t="s">
        <v>923</v>
      </c>
      <c r="F58" s="119">
        <v>4</v>
      </c>
      <c r="G58" s="280">
        <v>6</v>
      </c>
      <c r="H58" s="324">
        <f t="shared" si="5"/>
        <v>10</v>
      </c>
    </row>
    <row r="59" spans="1:8" ht="14.95" thickBot="1" x14ac:dyDescent="0.3">
      <c r="A59" s="293" t="s">
        <v>929</v>
      </c>
      <c r="B59" s="296">
        <v>2</v>
      </c>
      <c r="C59" s="298">
        <v>0</v>
      </c>
      <c r="D59" s="291">
        <f t="shared" si="4"/>
        <v>2</v>
      </c>
      <c r="E59" s="294" t="s">
        <v>928</v>
      </c>
      <c r="F59" s="119">
        <v>5</v>
      </c>
      <c r="G59" s="280">
        <v>5</v>
      </c>
      <c r="H59" s="324">
        <f t="shared" si="5"/>
        <v>10</v>
      </c>
    </row>
    <row r="60" spans="1:8" ht="14.95" thickBot="1" x14ac:dyDescent="0.3">
      <c r="A60" s="293" t="s">
        <v>1001</v>
      </c>
      <c r="B60" s="296">
        <v>1</v>
      </c>
      <c r="C60" s="298">
        <v>1</v>
      </c>
      <c r="D60" s="291">
        <f t="shared" si="4"/>
        <v>2</v>
      </c>
      <c r="E60" s="294" t="s">
        <v>927</v>
      </c>
      <c r="F60" s="119">
        <v>5</v>
      </c>
      <c r="G60" s="280">
        <v>5</v>
      </c>
      <c r="H60" s="324">
        <f t="shared" si="5"/>
        <v>10</v>
      </c>
    </row>
    <row r="61" spans="1:8" ht="14.95" thickBot="1" x14ac:dyDescent="0.3">
      <c r="A61" s="293" t="s">
        <v>886</v>
      </c>
      <c r="B61" s="296">
        <v>0</v>
      </c>
      <c r="C61" s="298">
        <v>1</v>
      </c>
      <c r="D61" s="291">
        <f t="shared" si="4"/>
        <v>1</v>
      </c>
      <c r="E61" s="294" t="s">
        <v>926</v>
      </c>
      <c r="F61" s="119">
        <v>10</v>
      </c>
      <c r="G61" s="280">
        <v>0</v>
      </c>
      <c r="H61" s="324">
        <f t="shared" si="5"/>
        <v>10</v>
      </c>
    </row>
    <row r="62" spans="1:8" ht="14.95" thickBot="1" x14ac:dyDescent="0.3">
      <c r="A62" s="293" t="s">
        <v>1231</v>
      </c>
      <c r="B62" s="296">
        <v>1</v>
      </c>
      <c r="C62" s="298">
        <v>0</v>
      </c>
      <c r="D62" s="291">
        <f t="shared" si="4"/>
        <v>1</v>
      </c>
      <c r="E62" s="294" t="s">
        <v>929</v>
      </c>
      <c r="F62" s="119">
        <v>10</v>
      </c>
      <c r="G62" s="280">
        <v>0</v>
      </c>
      <c r="H62" s="324">
        <f t="shared" si="5"/>
        <v>10</v>
      </c>
    </row>
    <row r="63" spans="1:8" ht="14.95" thickBot="1" x14ac:dyDescent="0.3">
      <c r="A63" s="293" t="s">
        <v>1197</v>
      </c>
      <c r="B63" s="296">
        <v>1</v>
      </c>
      <c r="C63" s="298">
        <v>0</v>
      </c>
      <c r="D63" s="291">
        <f t="shared" si="4"/>
        <v>1</v>
      </c>
      <c r="E63" s="294" t="s">
        <v>752</v>
      </c>
      <c r="F63" s="119">
        <v>0</v>
      </c>
      <c r="G63" s="280">
        <v>7</v>
      </c>
      <c r="H63" s="324">
        <f t="shared" si="5"/>
        <v>7</v>
      </c>
    </row>
    <row r="64" spans="1:8" ht="14.95" thickBot="1" x14ac:dyDescent="0.3">
      <c r="A64" s="293" t="s">
        <v>888</v>
      </c>
      <c r="B64" s="296">
        <v>1</v>
      </c>
      <c r="C64" s="298">
        <v>0</v>
      </c>
      <c r="D64" s="291">
        <f t="shared" si="4"/>
        <v>1</v>
      </c>
      <c r="E64" s="294" t="s">
        <v>886</v>
      </c>
      <c r="F64" s="119">
        <v>0</v>
      </c>
      <c r="G64" s="280">
        <v>5</v>
      </c>
      <c r="H64" s="324">
        <f t="shared" si="5"/>
        <v>5</v>
      </c>
    </row>
    <row r="65" spans="1:8" ht="14.95" thickBot="1" x14ac:dyDescent="0.3">
      <c r="A65" s="293" t="s">
        <v>1198</v>
      </c>
      <c r="B65" s="296">
        <v>1</v>
      </c>
      <c r="C65" s="298">
        <v>0</v>
      </c>
      <c r="D65" s="291">
        <f t="shared" si="4"/>
        <v>1</v>
      </c>
      <c r="E65" s="294" t="s">
        <v>1231</v>
      </c>
      <c r="F65" s="119">
        <v>5</v>
      </c>
      <c r="G65" s="280">
        <v>0</v>
      </c>
      <c r="H65" s="324">
        <f t="shared" si="5"/>
        <v>5</v>
      </c>
    </row>
    <row r="66" spans="1:8" ht="14.95" thickBot="1" x14ac:dyDescent="0.3">
      <c r="A66" s="293" t="s">
        <v>1216</v>
      </c>
      <c r="B66" s="296">
        <v>1</v>
      </c>
      <c r="C66" s="298">
        <v>0</v>
      </c>
      <c r="D66" s="291">
        <f t="shared" si="4"/>
        <v>1</v>
      </c>
      <c r="E66" s="294" t="s">
        <v>1197</v>
      </c>
      <c r="F66" s="119">
        <v>5</v>
      </c>
      <c r="G66" s="280">
        <v>0</v>
      </c>
      <c r="H66" s="324">
        <f t="shared" si="5"/>
        <v>5</v>
      </c>
    </row>
    <row r="67" spans="1:8" ht="14.95" thickBot="1" x14ac:dyDescent="0.3">
      <c r="A67" s="293" t="s">
        <v>1215</v>
      </c>
      <c r="B67" s="296">
        <v>1</v>
      </c>
      <c r="C67" s="298">
        <v>0</v>
      </c>
      <c r="D67" s="291">
        <f t="shared" si="4"/>
        <v>1</v>
      </c>
      <c r="E67" s="294" t="s">
        <v>888</v>
      </c>
      <c r="F67" s="119">
        <v>5</v>
      </c>
      <c r="G67" s="280">
        <v>0</v>
      </c>
      <c r="H67" s="324">
        <f t="shared" si="5"/>
        <v>5</v>
      </c>
    </row>
    <row r="68" spans="1:8" ht="14.95" thickBot="1" x14ac:dyDescent="0.3">
      <c r="A68" s="293" t="s">
        <v>1440</v>
      </c>
      <c r="B68" s="296">
        <v>0</v>
      </c>
      <c r="C68" s="298">
        <v>1</v>
      </c>
      <c r="D68" s="291">
        <f t="shared" si="4"/>
        <v>1</v>
      </c>
      <c r="E68" s="294" t="s">
        <v>1198</v>
      </c>
      <c r="F68" s="119">
        <v>5</v>
      </c>
      <c r="G68" s="280">
        <v>0</v>
      </c>
      <c r="H68" s="324">
        <f t="shared" si="5"/>
        <v>5</v>
      </c>
    </row>
    <row r="69" spans="1:8" ht="14.95" thickBot="1" x14ac:dyDescent="0.3">
      <c r="A69" s="293" t="s">
        <v>881</v>
      </c>
      <c r="B69" s="296">
        <v>0</v>
      </c>
      <c r="C69" s="298">
        <v>0</v>
      </c>
      <c r="D69" s="291">
        <f t="shared" si="4"/>
        <v>0</v>
      </c>
      <c r="E69" s="294" t="s">
        <v>1216</v>
      </c>
      <c r="F69" s="119">
        <v>5</v>
      </c>
      <c r="G69" s="280">
        <v>0</v>
      </c>
      <c r="H69" s="324">
        <f t="shared" si="5"/>
        <v>5</v>
      </c>
    </row>
    <row r="70" spans="1:8" ht="14.95" thickBot="1" x14ac:dyDescent="0.3">
      <c r="A70" s="293" t="s">
        <v>621</v>
      </c>
      <c r="B70" s="296">
        <v>0</v>
      </c>
      <c r="C70" s="298">
        <v>0</v>
      </c>
      <c r="D70" s="291">
        <f t="shared" si="4"/>
        <v>0</v>
      </c>
      <c r="E70" s="294" t="s">
        <v>1215</v>
      </c>
      <c r="F70" s="119">
        <v>5</v>
      </c>
      <c r="G70" s="280">
        <v>0</v>
      </c>
      <c r="H70" s="324">
        <f t="shared" si="5"/>
        <v>5</v>
      </c>
    </row>
    <row r="71" spans="1:8" ht="14.95" thickBot="1" x14ac:dyDescent="0.3">
      <c r="A71" s="293" t="s">
        <v>923</v>
      </c>
      <c r="B71" s="296">
        <v>0</v>
      </c>
      <c r="C71" s="298">
        <v>0</v>
      </c>
      <c r="D71" s="291">
        <f t="shared" si="4"/>
        <v>0</v>
      </c>
      <c r="E71" s="294" t="s">
        <v>1440</v>
      </c>
      <c r="F71" s="119">
        <v>0</v>
      </c>
      <c r="G71" s="280">
        <v>5</v>
      </c>
      <c r="H71" s="324">
        <f t="shared" si="5"/>
        <v>5</v>
      </c>
    </row>
    <row r="72" spans="1:8" ht="14.95" thickBot="1" x14ac:dyDescent="0.3">
      <c r="A72" s="293" t="s">
        <v>887</v>
      </c>
      <c r="B72" s="296">
        <v>0</v>
      </c>
      <c r="C72" s="298">
        <v>0</v>
      </c>
      <c r="D72" s="291">
        <f t="shared" si="4"/>
        <v>0</v>
      </c>
      <c r="E72" s="294" t="s">
        <v>881</v>
      </c>
      <c r="F72" s="119">
        <v>0</v>
      </c>
      <c r="G72" s="280">
        <v>0</v>
      </c>
      <c r="H72" s="324">
        <f t="shared" si="5"/>
        <v>0</v>
      </c>
    </row>
    <row r="73" spans="1:8" ht="14.95" thickBot="1" x14ac:dyDescent="0.3">
      <c r="A73" s="293" t="s">
        <v>613</v>
      </c>
      <c r="B73" s="296">
        <v>0</v>
      </c>
      <c r="C73" s="298">
        <v>0</v>
      </c>
      <c r="D73" s="291">
        <f t="shared" si="4"/>
        <v>0</v>
      </c>
      <c r="E73" s="294" t="s">
        <v>621</v>
      </c>
      <c r="F73" s="119">
        <v>0</v>
      </c>
      <c r="G73" s="280">
        <v>0</v>
      </c>
      <c r="H73" s="324">
        <f t="shared" si="5"/>
        <v>0</v>
      </c>
    </row>
    <row r="74" spans="1:8" ht="14.95" thickBot="1" x14ac:dyDescent="0.3">
      <c r="A74" s="293" t="s">
        <v>546</v>
      </c>
      <c r="B74" s="296">
        <v>0</v>
      </c>
      <c r="C74" s="298">
        <v>0</v>
      </c>
      <c r="D74" s="291">
        <f t="shared" si="4"/>
        <v>0</v>
      </c>
      <c r="E74" s="294" t="s">
        <v>887</v>
      </c>
      <c r="F74" s="119">
        <v>0</v>
      </c>
      <c r="G74" s="280">
        <v>0</v>
      </c>
      <c r="H74" s="324">
        <f t="shared" si="5"/>
        <v>0</v>
      </c>
    </row>
    <row r="75" spans="1:8" ht="14.95" thickBot="1" x14ac:dyDescent="0.3">
      <c r="A75" s="293" t="s">
        <v>1000</v>
      </c>
      <c r="B75" s="296">
        <v>0</v>
      </c>
      <c r="C75" s="298">
        <v>0</v>
      </c>
      <c r="D75" s="291">
        <f t="shared" si="4"/>
        <v>0</v>
      </c>
      <c r="E75" s="294" t="s">
        <v>613</v>
      </c>
      <c r="F75" s="119">
        <v>0</v>
      </c>
      <c r="G75" s="280">
        <v>0</v>
      </c>
      <c r="H75" s="324">
        <f t="shared" si="5"/>
        <v>0</v>
      </c>
    </row>
    <row r="76" spans="1:8" ht="14.95" thickBot="1" x14ac:dyDescent="0.3">
      <c r="A76" s="293" t="s">
        <v>889</v>
      </c>
      <c r="B76" s="296">
        <v>0</v>
      </c>
      <c r="C76" s="298">
        <v>0</v>
      </c>
      <c r="D76" s="291">
        <f t="shared" si="4"/>
        <v>0</v>
      </c>
      <c r="E76" s="294" t="s">
        <v>546</v>
      </c>
      <c r="F76" s="119">
        <v>0</v>
      </c>
      <c r="G76" s="280">
        <v>0</v>
      </c>
      <c r="H76" s="324">
        <f t="shared" si="5"/>
        <v>0</v>
      </c>
    </row>
    <row r="77" spans="1:8" ht="14.95" thickBot="1" x14ac:dyDescent="0.3">
      <c r="A77" s="293" t="s">
        <v>883</v>
      </c>
      <c r="B77" s="296">
        <v>0</v>
      </c>
      <c r="C77" s="298">
        <v>0</v>
      </c>
      <c r="D77" s="291">
        <f t="shared" si="4"/>
        <v>0</v>
      </c>
      <c r="E77" s="294" t="s">
        <v>1000</v>
      </c>
      <c r="F77" s="119">
        <v>0</v>
      </c>
      <c r="G77" s="280">
        <v>0</v>
      </c>
      <c r="H77" s="324">
        <f t="shared" si="5"/>
        <v>0</v>
      </c>
    </row>
    <row r="78" spans="1:8" ht="14.95" thickBot="1" x14ac:dyDescent="0.3">
      <c r="A78" s="293" t="s">
        <v>1028</v>
      </c>
      <c r="B78" s="296">
        <v>0</v>
      </c>
      <c r="C78" s="298">
        <v>0</v>
      </c>
      <c r="D78" s="291">
        <f t="shared" si="4"/>
        <v>0</v>
      </c>
      <c r="E78" s="294" t="s">
        <v>889</v>
      </c>
      <c r="F78" s="119">
        <v>0</v>
      </c>
      <c r="G78" s="280">
        <v>0</v>
      </c>
      <c r="H78" s="324">
        <f t="shared" si="5"/>
        <v>0</v>
      </c>
    </row>
    <row r="79" spans="1:8" ht="14.95" thickBot="1" x14ac:dyDescent="0.3">
      <c r="A79" s="293" t="s">
        <v>884</v>
      </c>
      <c r="B79" s="296">
        <v>0</v>
      </c>
      <c r="C79" s="298">
        <v>0</v>
      </c>
      <c r="D79" s="291">
        <f t="shared" si="4"/>
        <v>0</v>
      </c>
      <c r="E79" s="294" t="s">
        <v>883</v>
      </c>
      <c r="F79" s="119">
        <v>0</v>
      </c>
      <c r="G79" s="280">
        <v>0</v>
      </c>
      <c r="H79" s="324">
        <f t="shared" si="5"/>
        <v>0</v>
      </c>
    </row>
    <row r="80" spans="1:8" ht="14.95" thickBot="1" x14ac:dyDescent="0.3">
      <c r="A80" s="293" t="s">
        <v>614</v>
      </c>
      <c r="B80" s="296">
        <v>0</v>
      </c>
      <c r="C80" s="298">
        <v>0</v>
      </c>
      <c r="D80" s="291">
        <f t="shared" si="4"/>
        <v>0</v>
      </c>
      <c r="E80" s="294" t="s">
        <v>1028</v>
      </c>
      <c r="F80" s="119">
        <v>0</v>
      </c>
      <c r="G80" s="280">
        <v>0</v>
      </c>
      <c r="H80" s="324">
        <f t="shared" si="5"/>
        <v>0</v>
      </c>
    </row>
    <row r="81" spans="1:8" ht="14.95" thickBot="1" x14ac:dyDescent="0.3">
      <c r="A81" s="293" t="s">
        <v>623</v>
      </c>
      <c r="B81" s="296">
        <v>0</v>
      </c>
      <c r="C81" s="298">
        <v>0</v>
      </c>
      <c r="D81" s="291">
        <f t="shared" si="4"/>
        <v>0</v>
      </c>
      <c r="E81" s="294" t="s">
        <v>884</v>
      </c>
      <c r="F81" s="119">
        <v>0</v>
      </c>
      <c r="G81" s="280">
        <v>0</v>
      </c>
      <c r="H81" s="324">
        <f t="shared" si="5"/>
        <v>0</v>
      </c>
    </row>
    <row r="82" spans="1:8" ht="14.95" thickBot="1" x14ac:dyDescent="0.3">
      <c r="A82" s="293" t="s">
        <v>624</v>
      </c>
      <c r="B82" s="296">
        <v>0</v>
      </c>
      <c r="C82" s="298">
        <v>0</v>
      </c>
      <c r="D82" s="291">
        <f t="shared" si="4"/>
        <v>0</v>
      </c>
      <c r="E82" s="294" t="s">
        <v>614</v>
      </c>
      <c r="F82" s="119">
        <v>0</v>
      </c>
      <c r="G82" s="280">
        <v>0</v>
      </c>
      <c r="H82" s="324">
        <f t="shared" si="5"/>
        <v>0</v>
      </c>
    </row>
    <row r="83" spans="1:8" ht="14.95" thickBot="1" x14ac:dyDescent="0.3">
      <c r="A83" s="293" t="s">
        <v>596</v>
      </c>
      <c r="B83" s="296">
        <v>0</v>
      </c>
      <c r="C83" s="298">
        <v>0</v>
      </c>
      <c r="D83" s="291">
        <f t="shared" si="4"/>
        <v>0</v>
      </c>
      <c r="E83" s="294" t="s">
        <v>623</v>
      </c>
      <c r="F83" s="119">
        <v>0</v>
      </c>
      <c r="G83" s="280">
        <v>0</v>
      </c>
      <c r="H83" s="324">
        <f t="shared" si="5"/>
        <v>0</v>
      </c>
    </row>
    <row r="84" spans="1:8" ht="14.95" thickBot="1" x14ac:dyDescent="0.3">
      <c r="A84" s="293" t="s">
        <v>597</v>
      </c>
      <c r="B84" s="296">
        <v>0</v>
      </c>
      <c r="C84" s="298">
        <v>0</v>
      </c>
      <c r="D84" s="291">
        <f t="shared" si="4"/>
        <v>0</v>
      </c>
      <c r="E84" s="294" t="s">
        <v>624</v>
      </c>
      <c r="F84" s="119">
        <v>0</v>
      </c>
      <c r="G84" s="280">
        <v>0</v>
      </c>
      <c r="H84" s="324">
        <f t="shared" si="5"/>
        <v>0</v>
      </c>
    </row>
    <row r="85" spans="1:8" ht="14.95" thickBot="1" x14ac:dyDescent="0.3">
      <c r="A85" s="293" t="s">
        <v>880</v>
      </c>
      <c r="B85" s="296">
        <v>0</v>
      </c>
      <c r="C85" s="298">
        <v>0</v>
      </c>
      <c r="D85" s="291">
        <f t="shared" si="4"/>
        <v>0</v>
      </c>
      <c r="E85" s="294" t="s">
        <v>596</v>
      </c>
      <c r="F85" s="119">
        <v>0</v>
      </c>
      <c r="G85" s="280">
        <v>0</v>
      </c>
      <c r="H85" s="324">
        <f t="shared" si="5"/>
        <v>0</v>
      </c>
    </row>
    <row r="86" spans="1:8" ht="14.95" thickBot="1" x14ac:dyDescent="0.3">
      <c r="A86" s="293" t="s">
        <v>612</v>
      </c>
      <c r="B86" s="296">
        <v>0</v>
      </c>
      <c r="C86" s="298">
        <v>0</v>
      </c>
      <c r="D86" s="291">
        <f t="shared" si="4"/>
        <v>0</v>
      </c>
      <c r="E86" s="294" t="s">
        <v>597</v>
      </c>
      <c r="F86" s="119">
        <v>0</v>
      </c>
      <c r="G86" s="280">
        <v>0</v>
      </c>
      <c r="H86" s="324">
        <f t="shared" si="5"/>
        <v>0</v>
      </c>
    </row>
    <row r="87" spans="1:8" ht="14.95" thickBot="1" x14ac:dyDescent="0.3">
      <c r="A87" s="293" t="s">
        <v>607</v>
      </c>
      <c r="B87" s="296">
        <v>0</v>
      </c>
      <c r="C87" s="298">
        <v>0</v>
      </c>
      <c r="D87" s="291">
        <f t="shared" si="4"/>
        <v>0</v>
      </c>
      <c r="E87" s="294" t="s">
        <v>880</v>
      </c>
      <c r="F87" s="119">
        <v>0</v>
      </c>
      <c r="G87" s="280">
        <v>0</v>
      </c>
      <c r="H87" s="324">
        <f t="shared" si="5"/>
        <v>0</v>
      </c>
    </row>
    <row r="88" spans="1:8" ht="14.95" thickBot="1" x14ac:dyDescent="0.3">
      <c r="A88" s="293" t="s">
        <v>931</v>
      </c>
      <c r="B88" s="296">
        <v>0</v>
      </c>
      <c r="C88" s="298">
        <v>0</v>
      </c>
      <c r="D88" s="291">
        <f t="shared" si="4"/>
        <v>0</v>
      </c>
      <c r="E88" s="294" t="s">
        <v>612</v>
      </c>
      <c r="F88" s="119">
        <v>0</v>
      </c>
      <c r="G88" s="280">
        <v>0</v>
      </c>
      <c r="H88" s="324">
        <f t="shared" si="5"/>
        <v>0</v>
      </c>
    </row>
    <row r="89" spans="1:8" ht="14.95" thickBot="1" x14ac:dyDescent="0.3">
      <c r="A89" s="293" t="s">
        <v>999</v>
      </c>
      <c r="B89" s="296">
        <v>0</v>
      </c>
      <c r="C89" s="298">
        <v>0</v>
      </c>
      <c r="D89" s="291">
        <f t="shared" si="4"/>
        <v>0</v>
      </c>
      <c r="E89" s="294" t="s">
        <v>931</v>
      </c>
      <c r="F89" s="119">
        <v>0</v>
      </c>
      <c r="G89" s="280">
        <v>0</v>
      </c>
      <c r="H89" s="324">
        <f t="shared" si="5"/>
        <v>0</v>
      </c>
    </row>
    <row r="90" spans="1:8" ht="14.95" thickBot="1" x14ac:dyDescent="0.3">
      <c r="A90" s="293" t="s">
        <v>4</v>
      </c>
      <c r="B90" s="296">
        <v>0</v>
      </c>
      <c r="C90" s="298">
        <v>0</v>
      </c>
      <c r="D90" s="291">
        <f t="shared" si="4"/>
        <v>0</v>
      </c>
      <c r="E90" s="294" t="s">
        <v>999</v>
      </c>
      <c r="F90" s="119">
        <v>0</v>
      </c>
      <c r="G90" s="280">
        <v>0</v>
      </c>
      <c r="H90" s="324">
        <f t="shared" si="5"/>
        <v>0</v>
      </c>
    </row>
    <row r="91" spans="1:8" ht="14.95" thickBot="1" x14ac:dyDescent="0.3">
      <c r="A91" s="293" t="s">
        <v>752</v>
      </c>
      <c r="B91" s="296">
        <v>0</v>
      </c>
      <c r="C91" s="298">
        <v>0</v>
      </c>
      <c r="D91" s="291">
        <f t="shared" si="4"/>
        <v>0</v>
      </c>
      <c r="E91" s="294" t="s">
        <v>4</v>
      </c>
      <c r="F91" s="119">
        <v>0</v>
      </c>
      <c r="G91" s="280">
        <v>0</v>
      </c>
      <c r="H91" s="324">
        <f t="shared" si="5"/>
        <v>0</v>
      </c>
    </row>
    <row r="92" spans="1:8" ht="14.95" thickBot="1" x14ac:dyDescent="0.3">
      <c r="A92" s="293" t="s">
        <v>606</v>
      </c>
      <c r="B92" s="296">
        <v>0</v>
      </c>
      <c r="C92" s="298">
        <v>0</v>
      </c>
      <c r="D92" s="291">
        <f t="shared" si="4"/>
        <v>0</v>
      </c>
      <c r="E92" s="294" t="s">
        <v>606</v>
      </c>
      <c r="F92" s="119">
        <v>0</v>
      </c>
      <c r="G92" s="280">
        <v>0</v>
      </c>
      <c r="H92" s="324">
        <f t="shared" si="5"/>
        <v>0</v>
      </c>
    </row>
    <row r="93" spans="1:8" ht="14.95" thickBot="1" x14ac:dyDescent="0.3">
      <c r="A93" s="293" t="s">
        <v>882</v>
      </c>
      <c r="B93" s="296">
        <v>0</v>
      </c>
      <c r="C93" s="298">
        <v>0</v>
      </c>
      <c r="D93" s="291">
        <f t="shared" si="4"/>
        <v>0</v>
      </c>
      <c r="E93" s="294" t="s">
        <v>882</v>
      </c>
      <c r="F93" s="119">
        <v>0</v>
      </c>
      <c r="G93" s="280">
        <v>0</v>
      </c>
      <c r="H93" s="324">
        <f t="shared" si="5"/>
        <v>0</v>
      </c>
    </row>
    <row r="94" spans="1:8" ht="14.95" thickBot="1" x14ac:dyDescent="0.3">
      <c r="A94" s="293" t="s">
        <v>885</v>
      </c>
      <c r="B94" s="296">
        <v>0</v>
      </c>
      <c r="C94" s="298">
        <v>0</v>
      </c>
      <c r="D94" s="291">
        <f t="shared" si="4"/>
        <v>0</v>
      </c>
      <c r="E94" s="294" t="s">
        <v>885</v>
      </c>
      <c r="F94" s="119">
        <v>0</v>
      </c>
      <c r="G94" s="280">
        <v>0</v>
      </c>
      <c r="H94" s="324">
        <f t="shared" si="5"/>
        <v>0</v>
      </c>
    </row>
    <row r="95" spans="1:8" ht="14.95" thickBot="1" x14ac:dyDescent="0.3">
      <c r="A95" s="293" t="s">
        <v>3</v>
      </c>
      <c r="B95" s="296">
        <f>SUM(B51:B94)</f>
        <v>24</v>
      </c>
      <c r="C95" s="298">
        <f>SUM(C51:C94)</f>
        <v>14</v>
      </c>
      <c r="D95" s="291">
        <f>SUM(D51:D94)</f>
        <v>38</v>
      </c>
      <c r="E95" s="294" t="s">
        <v>3</v>
      </c>
      <c r="F95" s="119">
        <f>SUM(F51:F94)</f>
        <v>168</v>
      </c>
      <c r="G95" s="280">
        <f>SUM(G51:G94)</f>
        <v>106</v>
      </c>
      <c r="H95" s="324">
        <f>SUM(H51:H94)</f>
        <v>274</v>
      </c>
    </row>
    <row r="96" spans="1:8" ht="16.3" x14ac:dyDescent="0.3">
      <c r="A96" s="487" t="s">
        <v>28</v>
      </c>
    </row>
  </sheetData>
  <sortState xmlns:xlrd2="http://schemas.microsoft.com/office/spreadsheetml/2017/richdata2" ref="E51:H94">
    <sortCondition descending="1" ref="H51:H94"/>
  </sortState>
  <mergeCells count="15">
    <mergeCell ref="T1:V2"/>
    <mergeCell ref="P21:R22"/>
    <mergeCell ref="Q1:S2"/>
    <mergeCell ref="M21:O22"/>
    <mergeCell ref="I34:I36"/>
    <mergeCell ref="J34:L36"/>
    <mergeCell ref="I15:I16"/>
    <mergeCell ref="J15:L16"/>
    <mergeCell ref="I21:I22"/>
    <mergeCell ref="J21:L22"/>
    <mergeCell ref="A1:H1"/>
    <mergeCell ref="I1:I2"/>
    <mergeCell ref="J1:L2"/>
    <mergeCell ref="M1:O2"/>
    <mergeCell ref="P1:P2"/>
  </mergeCell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W90"/>
  <sheetViews>
    <sheetView workbookViewId="0">
      <selection activeCell="AG26" sqref="AG26"/>
    </sheetView>
  </sheetViews>
  <sheetFormatPr defaultRowHeight="14.3" x14ac:dyDescent="0.25"/>
  <cols>
    <col min="1" max="1" width="17.875" bestFit="1" customWidth="1"/>
    <col min="2" max="4" width="4.5" customWidth="1"/>
    <col min="5" max="5" width="17.875" bestFit="1" customWidth="1"/>
    <col min="6" max="8" width="4.5" customWidth="1"/>
    <col min="9" max="9" width="15.5" customWidth="1"/>
    <col min="10" max="27" width="5.5" customWidth="1"/>
    <col min="28" max="49" width="5.625" customWidth="1"/>
  </cols>
  <sheetData>
    <row r="1" spans="1:43" ht="14.95" customHeight="1" thickBot="1" x14ac:dyDescent="0.3">
      <c r="A1" s="717" t="s">
        <v>1163</v>
      </c>
      <c r="B1" s="718"/>
      <c r="C1" s="718"/>
      <c r="D1" s="718"/>
      <c r="E1" s="718"/>
      <c r="F1" s="718"/>
      <c r="G1" s="718"/>
      <c r="H1" s="719"/>
      <c r="I1" s="720" t="s">
        <v>112</v>
      </c>
      <c r="J1" s="583">
        <v>2025</v>
      </c>
      <c r="K1" s="584"/>
      <c r="L1" s="585"/>
      <c r="M1" s="583" t="s">
        <v>32</v>
      </c>
      <c r="N1" s="584"/>
      <c r="O1" s="585"/>
      <c r="P1" s="579" t="s">
        <v>121</v>
      </c>
      <c r="Q1" s="568">
        <v>2024</v>
      </c>
      <c r="R1" s="569"/>
      <c r="S1" s="570"/>
      <c r="T1" s="568">
        <v>2023</v>
      </c>
      <c r="U1" s="569"/>
      <c r="V1" s="570"/>
      <c r="W1" s="614"/>
      <c r="X1" s="614"/>
      <c r="Y1" s="614"/>
      <c r="Z1" s="568">
        <v>2022</v>
      </c>
      <c r="AA1" s="569"/>
      <c r="AB1" s="570"/>
      <c r="AC1" s="568">
        <v>2021</v>
      </c>
      <c r="AD1" s="569"/>
      <c r="AE1" s="570"/>
      <c r="AF1" s="568">
        <v>2020</v>
      </c>
      <c r="AG1" s="569"/>
      <c r="AH1" s="570"/>
      <c r="AI1" s="568">
        <v>2019</v>
      </c>
      <c r="AJ1" s="569"/>
      <c r="AK1" s="570"/>
      <c r="AL1" s="557">
        <v>2018</v>
      </c>
      <c r="AM1" s="563"/>
      <c r="AN1" s="564"/>
      <c r="AO1" s="557">
        <v>2017</v>
      </c>
      <c r="AP1" s="563"/>
      <c r="AQ1" s="564"/>
    </row>
    <row r="2" spans="1:43" ht="14.95" customHeight="1" thickBot="1" x14ac:dyDescent="0.3">
      <c r="A2" s="207" t="s">
        <v>0</v>
      </c>
      <c r="B2" s="300" t="s">
        <v>134</v>
      </c>
      <c r="C2" s="208" t="s">
        <v>31</v>
      </c>
      <c r="D2" s="209" t="s">
        <v>1</v>
      </c>
      <c r="E2" s="210" t="s">
        <v>2</v>
      </c>
      <c r="F2" s="302" t="s">
        <v>134</v>
      </c>
      <c r="G2" s="211" t="s">
        <v>31</v>
      </c>
      <c r="H2" s="212" t="s">
        <v>1</v>
      </c>
      <c r="I2" s="721"/>
      <c r="J2" s="586"/>
      <c r="K2" s="587"/>
      <c r="L2" s="588"/>
      <c r="M2" s="586"/>
      <c r="N2" s="587"/>
      <c r="O2" s="588"/>
      <c r="P2" s="580"/>
      <c r="Q2" s="571"/>
      <c r="R2" s="572"/>
      <c r="S2" s="573"/>
      <c r="T2" s="571"/>
      <c r="U2" s="572"/>
      <c r="V2" s="573"/>
      <c r="W2" s="614"/>
      <c r="X2" s="614"/>
      <c r="Y2" s="614"/>
      <c r="Z2" s="571"/>
      <c r="AA2" s="572"/>
      <c r="AB2" s="573"/>
      <c r="AC2" s="571"/>
      <c r="AD2" s="572"/>
      <c r="AE2" s="573"/>
      <c r="AF2" s="571"/>
      <c r="AG2" s="572"/>
      <c r="AH2" s="573"/>
      <c r="AI2" s="571"/>
      <c r="AJ2" s="572"/>
      <c r="AK2" s="573"/>
      <c r="AL2" s="565"/>
      <c r="AM2" s="566"/>
      <c r="AN2" s="567"/>
      <c r="AO2" s="565"/>
      <c r="AP2" s="566"/>
      <c r="AQ2" s="567"/>
    </row>
    <row r="3" spans="1:43" ht="14.95" customHeight="1" thickBot="1" x14ac:dyDescent="0.3">
      <c r="A3" s="59" t="s">
        <v>462</v>
      </c>
      <c r="B3" s="301">
        <v>0</v>
      </c>
      <c r="C3" s="155">
        <v>0</v>
      </c>
      <c r="D3" s="60">
        <f t="shared" ref="D3:D44" si="0">SUM(B3:C3)</f>
        <v>0</v>
      </c>
      <c r="E3" s="63" t="s">
        <v>462</v>
      </c>
      <c r="F3" s="303">
        <v>0</v>
      </c>
      <c r="G3" s="156">
        <v>0</v>
      </c>
      <c r="H3" s="61">
        <f t="shared" ref="H3:H44" si="1">SUM(F3:G3)</f>
        <v>0</v>
      </c>
      <c r="I3" s="4"/>
      <c r="J3" s="53" t="s">
        <v>152</v>
      </c>
      <c r="K3" s="53" t="s">
        <v>12</v>
      </c>
      <c r="L3" s="53" t="s">
        <v>13</v>
      </c>
      <c r="M3" s="181" t="s">
        <v>152</v>
      </c>
      <c r="N3" s="53" t="s">
        <v>12</v>
      </c>
      <c r="O3" s="53" t="s">
        <v>13</v>
      </c>
      <c r="P3" s="1"/>
      <c r="Q3" s="128" t="s">
        <v>152</v>
      </c>
      <c r="R3" s="128" t="s">
        <v>12</v>
      </c>
      <c r="S3" s="128" t="s">
        <v>13</v>
      </c>
      <c r="T3" s="128" t="s">
        <v>152</v>
      </c>
      <c r="U3" s="128" t="s">
        <v>12</v>
      </c>
      <c r="V3" s="128" t="s">
        <v>13</v>
      </c>
      <c r="W3" s="41"/>
      <c r="X3" s="41"/>
      <c r="Y3" s="41"/>
      <c r="Z3" s="228" t="s">
        <v>152</v>
      </c>
      <c r="AA3" s="128" t="s">
        <v>12</v>
      </c>
      <c r="AB3" s="128" t="s">
        <v>13</v>
      </c>
      <c r="AC3" s="228" t="s">
        <v>152</v>
      </c>
      <c r="AD3" s="128" t="s">
        <v>12</v>
      </c>
      <c r="AE3" s="128" t="s">
        <v>13</v>
      </c>
      <c r="AF3" s="228" t="s">
        <v>152</v>
      </c>
      <c r="AG3" s="128" t="s">
        <v>12</v>
      </c>
      <c r="AH3" s="128" t="s">
        <v>13</v>
      </c>
      <c r="AI3" s="228" t="s">
        <v>152</v>
      </c>
      <c r="AJ3" s="128" t="s">
        <v>12</v>
      </c>
      <c r="AK3" s="128" t="s">
        <v>13</v>
      </c>
      <c r="AL3" s="228" t="s">
        <v>152</v>
      </c>
      <c r="AM3" s="128" t="s">
        <v>12</v>
      </c>
      <c r="AN3" s="128" t="s">
        <v>13</v>
      </c>
      <c r="AO3" s="128" t="s">
        <v>152</v>
      </c>
      <c r="AP3" s="128" t="s">
        <v>12</v>
      </c>
      <c r="AQ3" s="128" t="s">
        <v>13</v>
      </c>
    </row>
    <row r="4" spans="1:43" ht="14.95" customHeight="1" thickBot="1" x14ac:dyDescent="0.3">
      <c r="A4" s="59" t="s">
        <v>757</v>
      </c>
      <c r="B4" s="301">
        <v>1</v>
      </c>
      <c r="C4" s="155">
        <v>0</v>
      </c>
      <c r="D4" s="60">
        <f t="shared" si="0"/>
        <v>1</v>
      </c>
      <c r="E4" s="63" t="s">
        <v>757</v>
      </c>
      <c r="F4" s="303">
        <v>5</v>
      </c>
      <c r="G4" s="156">
        <v>0</v>
      </c>
      <c r="H4" s="61">
        <f t="shared" si="1"/>
        <v>5</v>
      </c>
      <c r="I4" s="59" t="s">
        <v>75</v>
      </c>
      <c r="J4" s="60" t="s">
        <v>17</v>
      </c>
      <c r="K4" s="60" t="s">
        <v>17</v>
      </c>
      <c r="L4" s="62" t="s">
        <v>17</v>
      </c>
      <c r="M4" s="60" t="s">
        <v>17</v>
      </c>
      <c r="N4" s="60" t="s">
        <v>17</v>
      </c>
      <c r="O4" s="62" t="s">
        <v>17</v>
      </c>
      <c r="P4" s="60">
        <v>-1</v>
      </c>
      <c r="Q4" s="128" t="s">
        <v>17</v>
      </c>
      <c r="R4" s="128" t="s">
        <v>17</v>
      </c>
      <c r="S4" s="231" t="s">
        <v>17</v>
      </c>
      <c r="T4" s="128" t="s">
        <v>17</v>
      </c>
      <c r="U4" s="128" t="s">
        <v>17</v>
      </c>
      <c r="V4" s="231" t="s">
        <v>17</v>
      </c>
      <c r="W4" s="41"/>
      <c r="X4" s="41"/>
      <c r="Y4" s="43"/>
      <c r="Z4" s="228">
        <v>2</v>
      </c>
      <c r="AA4" s="128">
        <v>3</v>
      </c>
      <c r="AB4" s="231">
        <v>66.666666666666657</v>
      </c>
      <c r="AC4" s="228">
        <v>12</v>
      </c>
      <c r="AD4" s="128">
        <v>16</v>
      </c>
      <c r="AE4" s="231">
        <f>SUM(AC4/AD4)*100</f>
        <v>75</v>
      </c>
      <c r="AF4" s="228">
        <v>12</v>
      </c>
      <c r="AG4" s="128">
        <v>16</v>
      </c>
      <c r="AH4" s="231">
        <f>SUM(AF4/AG4)*100</f>
        <v>75</v>
      </c>
      <c r="AI4" s="228">
        <v>21</v>
      </c>
      <c r="AJ4" s="128">
        <v>25</v>
      </c>
      <c r="AK4" s="231">
        <f>SUM(AI4/AJ4)*100</f>
        <v>84</v>
      </c>
      <c r="AL4" s="228">
        <v>15</v>
      </c>
      <c r="AM4" s="128">
        <v>20</v>
      </c>
      <c r="AN4" s="231">
        <f>SUM(AL4/AM4)*100</f>
        <v>75</v>
      </c>
      <c r="AO4" s="128">
        <v>31</v>
      </c>
      <c r="AP4" s="128">
        <v>37</v>
      </c>
      <c r="AQ4" s="231">
        <f>SUM(AO4/AP4)*100</f>
        <v>83.78378378378379</v>
      </c>
    </row>
    <row r="5" spans="1:43" ht="14.95" customHeight="1" thickBot="1" x14ac:dyDescent="0.3">
      <c r="A5" s="59" t="s">
        <v>463</v>
      </c>
      <c r="B5" s="301">
        <v>0</v>
      </c>
      <c r="C5" s="155">
        <v>0</v>
      </c>
      <c r="D5" s="60">
        <f t="shared" si="0"/>
        <v>0</v>
      </c>
      <c r="E5" s="63" t="s">
        <v>463</v>
      </c>
      <c r="F5" s="303">
        <v>0</v>
      </c>
      <c r="G5" s="156">
        <v>5</v>
      </c>
      <c r="H5" s="61">
        <f t="shared" si="1"/>
        <v>5</v>
      </c>
      <c r="I5" s="59" t="s">
        <v>463</v>
      </c>
      <c r="J5" s="60">
        <v>2</v>
      </c>
      <c r="K5" s="60">
        <v>2</v>
      </c>
      <c r="L5" s="62">
        <f>SUM(J5/K5)*100</f>
        <v>100</v>
      </c>
      <c r="M5" s="60" t="s">
        <v>17</v>
      </c>
      <c r="N5" s="60" t="s">
        <v>17</v>
      </c>
      <c r="O5" s="62" t="s">
        <v>17</v>
      </c>
      <c r="P5" s="60">
        <v>4</v>
      </c>
      <c r="Q5" s="128">
        <v>2</v>
      </c>
      <c r="R5" s="128">
        <v>4</v>
      </c>
      <c r="S5" s="231">
        <v>50</v>
      </c>
      <c r="T5" s="128" t="s">
        <v>17</v>
      </c>
      <c r="U5" s="128" t="s">
        <v>17</v>
      </c>
      <c r="V5" s="231" t="s">
        <v>17</v>
      </c>
      <c r="W5" s="41"/>
      <c r="X5" s="41"/>
      <c r="Y5" s="43"/>
      <c r="Z5" s="228">
        <v>7</v>
      </c>
      <c r="AA5" s="128">
        <v>8</v>
      </c>
      <c r="AB5" s="231">
        <v>87.5</v>
      </c>
      <c r="AC5" s="228">
        <v>4</v>
      </c>
      <c r="AD5" s="128">
        <v>4</v>
      </c>
      <c r="AE5" s="231">
        <f>SUM(AC5/AD5)*100</f>
        <v>100</v>
      </c>
      <c r="AF5" s="228" t="s">
        <v>17</v>
      </c>
      <c r="AG5" s="128" t="s">
        <v>17</v>
      </c>
      <c r="AH5" s="231" t="s">
        <v>17</v>
      </c>
      <c r="AI5" s="228" t="s">
        <v>17</v>
      </c>
      <c r="AJ5" s="128" t="s">
        <v>17</v>
      </c>
      <c r="AK5" s="231" t="s">
        <v>17</v>
      </c>
      <c r="AL5" s="128" t="s">
        <v>17</v>
      </c>
      <c r="AM5" s="128" t="s">
        <v>17</v>
      </c>
      <c r="AN5" s="231" t="s">
        <v>17</v>
      </c>
      <c r="AO5" s="228" t="s">
        <v>17</v>
      </c>
      <c r="AP5" s="128" t="s">
        <v>17</v>
      </c>
      <c r="AQ5" s="231" t="s">
        <v>17</v>
      </c>
    </row>
    <row r="6" spans="1:43" ht="14.95" customHeight="1" thickBot="1" x14ac:dyDescent="0.3">
      <c r="A6" s="59" t="s">
        <v>468</v>
      </c>
      <c r="B6" s="301">
        <v>0</v>
      </c>
      <c r="C6" s="155">
        <v>1</v>
      </c>
      <c r="D6" s="60">
        <f t="shared" si="0"/>
        <v>1</v>
      </c>
      <c r="E6" s="63" t="s">
        <v>468</v>
      </c>
      <c r="F6" s="303">
        <v>0</v>
      </c>
      <c r="G6" s="156">
        <v>5</v>
      </c>
      <c r="H6" s="61">
        <f t="shared" si="1"/>
        <v>5</v>
      </c>
      <c r="I6" s="59" t="s">
        <v>468</v>
      </c>
      <c r="J6" s="60" t="s">
        <v>17</v>
      </c>
      <c r="K6" s="60" t="s">
        <v>17</v>
      </c>
      <c r="L6" s="62" t="s">
        <v>17</v>
      </c>
      <c r="M6" s="60" t="s">
        <v>17</v>
      </c>
      <c r="N6" s="60" t="s">
        <v>17</v>
      </c>
      <c r="O6" s="62" t="s">
        <v>17</v>
      </c>
      <c r="P6" s="60">
        <v>1</v>
      </c>
      <c r="Q6" s="128" t="s">
        <v>17</v>
      </c>
      <c r="R6" s="128" t="s">
        <v>17</v>
      </c>
      <c r="S6" s="231" t="s">
        <v>17</v>
      </c>
      <c r="T6" s="128" t="s">
        <v>17</v>
      </c>
      <c r="U6" s="128" t="s">
        <v>17</v>
      </c>
      <c r="V6" s="231" t="s">
        <v>17</v>
      </c>
      <c r="W6" s="41"/>
      <c r="X6" s="41"/>
      <c r="Y6" s="43"/>
      <c r="Z6" s="228">
        <v>1</v>
      </c>
      <c r="AA6" s="128">
        <v>1</v>
      </c>
      <c r="AB6" s="231">
        <v>100</v>
      </c>
      <c r="AC6" s="228" t="s">
        <v>17</v>
      </c>
      <c r="AD6" s="128" t="s">
        <v>17</v>
      </c>
      <c r="AE6" s="231" t="s">
        <v>17</v>
      </c>
      <c r="AF6" s="128" t="s">
        <v>17</v>
      </c>
      <c r="AG6" s="128" t="s">
        <v>17</v>
      </c>
      <c r="AH6" s="231" t="s">
        <v>17</v>
      </c>
      <c r="AI6" s="128" t="s">
        <v>17</v>
      </c>
      <c r="AJ6" s="128" t="s">
        <v>17</v>
      </c>
      <c r="AK6" s="231" t="s">
        <v>17</v>
      </c>
      <c r="AL6" s="128" t="s">
        <v>17</v>
      </c>
      <c r="AM6" s="128" t="s">
        <v>17</v>
      </c>
      <c r="AN6" s="231" t="s">
        <v>17</v>
      </c>
      <c r="AO6" s="128" t="s">
        <v>17</v>
      </c>
      <c r="AP6" s="128" t="s">
        <v>17</v>
      </c>
      <c r="AQ6" s="231" t="s">
        <v>17</v>
      </c>
    </row>
    <row r="7" spans="1:43" ht="14.95" customHeight="1" thickBot="1" x14ac:dyDescent="0.3">
      <c r="A7" s="59" t="s">
        <v>591</v>
      </c>
      <c r="B7" s="301">
        <v>0</v>
      </c>
      <c r="C7" s="155">
        <v>1</v>
      </c>
      <c r="D7" s="60">
        <f t="shared" si="0"/>
        <v>1</v>
      </c>
      <c r="E7" s="63" t="s">
        <v>591</v>
      </c>
      <c r="F7" s="303">
        <v>0</v>
      </c>
      <c r="G7" s="156">
        <v>5</v>
      </c>
      <c r="H7" s="61">
        <f t="shared" si="1"/>
        <v>5</v>
      </c>
      <c r="I7" s="59" t="s">
        <v>307</v>
      </c>
      <c r="J7" s="60">
        <v>0</v>
      </c>
      <c r="K7" s="60">
        <v>1</v>
      </c>
      <c r="L7" s="62">
        <f>SUM(J7/K7)*100</f>
        <v>0</v>
      </c>
      <c r="M7" s="60" t="s">
        <v>17</v>
      </c>
      <c r="N7" s="60" t="s">
        <v>17</v>
      </c>
      <c r="O7" s="62" t="s">
        <v>17</v>
      </c>
      <c r="P7" s="60">
        <v>-1</v>
      </c>
      <c r="Q7" s="128" t="s">
        <v>17</v>
      </c>
      <c r="R7" s="128" t="s">
        <v>17</v>
      </c>
      <c r="S7" s="231" t="s">
        <v>17</v>
      </c>
      <c r="T7" s="128" t="s">
        <v>17</v>
      </c>
      <c r="U7" s="128" t="s">
        <v>17</v>
      </c>
      <c r="V7" s="231" t="s">
        <v>17</v>
      </c>
      <c r="W7" s="41"/>
      <c r="X7" s="41"/>
      <c r="Y7" s="43"/>
      <c r="Z7" s="232" t="s">
        <v>17</v>
      </c>
      <c r="AA7" s="128" t="s">
        <v>17</v>
      </c>
      <c r="AB7" s="231" t="s">
        <v>17</v>
      </c>
      <c r="AC7" s="128" t="s">
        <v>17</v>
      </c>
      <c r="AD7" s="128" t="s">
        <v>17</v>
      </c>
      <c r="AE7" s="231" t="s">
        <v>17</v>
      </c>
      <c r="AF7" s="128" t="s">
        <v>17</v>
      </c>
      <c r="AG7" s="128" t="s">
        <v>17</v>
      </c>
      <c r="AH7" s="231" t="s">
        <v>17</v>
      </c>
      <c r="AI7" s="128" t="s">
        <v>17</v>
      </c>
      <c r="AJ7" s="128" t="s">
        <v>17</v>
      </c>
      <c r="AK7" s="231" t="s">
        <v>17</v>
      </c>
      <c r="AL7" s="128" t="s">
        <v>17</v>
      </c>
      <c r="AM7" s="128" t="s">
        <v>17</v>
      </c>
      <c r="AN7" s="231" t="s">
        <v>17</v>
      </c>
      <c r="AO7" s="128" t="s">
        <v>17</v>
      </c>
      <c r="AP7" s="128" t="s">
        <v>17</v>
      </c>
      <c r="AQ7" s="231" t="s">
        <v>17</v>
      </c>
    </row>
    <row r="8" spans="1:43" ht="14.95" customHeight="1" thickBot="1" x14ac:dyDescent="0.3">
      <c r="A8" s="59" t="s">
        <v>74</v>
      </c>
      <c r="B8" s="301">
        <v>0</v>
      </c>
      <c r="C8" s="155">
        <v>0</v>
      </c>
      <c r="D8" s="60">
        <f t="shared" si="0"/>
        <v>0</v>
      </c>
      <c r="E8" s="63" t="s">
        <v>74</v>
      </c>
      <c r="F8" s="303">
        <v>0</v>
      </c>
      <c r="G8" s="156">
        <v>0</v>
      </c>
      <c r="H8" s="61">
        <f t="shared" si="1"/>
        <v>0</v>
      </c>
      <c r="I8" s="59" t="s">
        <v>760</v>
      </c>
      <c r="J8" s="60">
        <v>26</v>
      </c>
      <c r="K8" s="60">
        <v>34</v>
      </c>
      <c r="L8" s="62">
        <f>SUM(J8/K8)*100</f>
        <v>76.470588235294116</v>
      </c>
      <c r="M8" s="60">
        <v>3</v>
      </c>
      <c r="N8" s="60">
        <v>3</v>
      </c>
      <c r="O8" s="62">
        <f>SUM(M8/N8)*100</f>
        <v>100</v>
      </c>
      <c r="P8" s="60">
        <v>5</v>
      </c>
      <c r="Q8" s="128">
        <v>21</v>
      </c>
      <c r="R8" s="128">
        <v>28</v>
      </c>
      <c r="S8" s="231">
        <v>75</v>
      </c>
      <c r="T8" s="128">
        <v>4</v>
      </c>
      <c r="U8" s="128">
        <v>5</v>
      </c>
      <c r="V8" s="231">
        <f>SUM(T8/U8)*100</f>
        <v>80</v>
      </c>
      <c r="W8" s="41"/>
      <c r="X8" s="41"/>
      <c r="Y8" s="43"/>
      <c r="Z8" s="228" t="s">
        <v>17</v>
      </c>
      <c r="AA8" s="128" t="s">
        <v>17</v>
      </c>
      <c r="AB8" s="231" t="s">
        <v>17</v>
      </c>
      <c r="AC8" s="228" t="s">
        <v>17</v>
      </c>
      <c r="AD8" s="128" t="s">
        <v>17</v>
      </c>
      <c r="AE8" s="231" t="s">
        <v>17</v>
      </c>
      <c r="AF8" s="128" t="s">
        <v>17</v>
      </c>
      <c r="AG8" s="128" t="s">
        <v>17</v>
      </c>
      <c r="AH8" s="231" t="s">
        <v>17</v>
      </c>
      <c r="AI8" s="128" t="s">
        <v>17</v>
      </c>
      <c r="AJ8" s="128" t="s">
        <v>17</v>
      </c>
      <c r="AK8" s="231" t="s">
        <v>17</v>
      </c>
      <c r="AL8" s="128" t="s">
        <v>17</v>
      </c>
      <c r="AM8" s="128" t="s">
        <v>17</v>
      </c>
      <c r="AN8" s="231" t="s">
        <v>17</v>
      </c>
      <c r="AO8" s="128" t="s">
        <v>17</v>
      </c>
      <c r="AP8" s="128" t="s">
        <v>17</v>
      </c>
      <c r="AQ8" s="231" t="s">
        <v>17</v>
      </c>
    </row>
    <row r="9" spans="1:43" ht="14.95" customHeight="1" thickBot="1" x14ac:dyDescent="0.3">
      <c r="A9" s="59" t="s">
        <v>310</v>
      </c>
      <c r="B9" s="301">
        <v>1</v>
      </c>
      <c r="C9" s="155">
        <v>1</v>
      </c>
      <c r="D9" s="60">
        <f t="shared" si="0"/>
        <v>2</v>
      </c>
      <c r="E9" s="63" t="s">
        <v>310</v>
      </c>
      <c r="F9" s="303">
        <v>5</v>
      </c>
      <c r="G9" s="156">
        <v>5</v>
      </c>
      <c r="H9" s="61">
        <f t="shared" si="1"/>
        <v>10</v>
      </c>
      <c r="I9" s="59" t="s">
        <v>258</v>
      </c>
      <c r="J9" s="60" t="s">
        <v>17</v>
      </c>
      <c r="K9" s="60" t="s">
        <v>17</v>
      </c>
      <c r="L9" s="62" t="s">
        <v>17</v>
      </c>
      <c r="M9" s="60" t="s">
        <v>17</v>
      </c>
      <c r="N9" s="60" t="s">
        <v>17</v>
      </c>
      <c r="O9" s="62" t="s">
        <v>17</v>
      </c>
      <c r="P9" s="60">
        <v>2</v>
      </c>
      <c r="Q9" s="128">
        <v>5</v>
      </c>
      <c r="R9" s="128">
        <v>7</v>
      </c>
      <c r="S9" s="231">
        <v>71.428571428571431</v>
      </c>
      <c r="T9" s="128">
        <v>16</v>
      </c>
      <c r="U9" s="128">
        <v>20</v>
      </c>
      <c r="V9" s="231">
        <f>SUM(T9/U9)*100</f>
        <v>80</v>
      </c>
      <c r="W9" s="41"/>
      <c r="X9" s="41"/>
      <c r="Y9" s="43"/>
      <c r="Z9" s="228">
        <v>17</v>
      </c>
      <c r="AA9" s="128">
        <v>20</v>
      </c>
      <c r="AB9" s="231">
        <v>85</v>
      </c>
      <c r="AC9" s="228">
        <v>21</v>
      </c>
      <c r="AD9" s="128">
        <v>25</v>
      </c>
      <c r="AE9" s="231">
        <f>SUM(AC9/AD9)*100</f>
        <v>84</v>
      </c>
      <c r="AF9" s="228">
        <v>1</v>
      </c>
      <c r="AG9" s="128">
        <v>1</v>
      </c>
      <c r="AH9" s="231">
        <v>100</v>
      </c>
      <c r="AI9" s="228">
        <v>2</v>
      </c>
      <c r="AJ9" s="128">
        <v>2</v>
      </c>
      <c r="AK9" s="231">
        <f>SUM(AI9/AJ9)*100</f>
        <v>100</v>
      </c>
      <c r="AL9" s="228">
        <v>1</v>
      </c>
      <c r="AM9" s="128">
        <v>4</v>
      </c>
      <c r="AN9" s="231">
        <f>SUM(AL9/AM9)*100</f>
        <v>25</v>
      </c>
      <c r="AO9" s="128" t="s">
        <v>17</v>
      </c>
      <c r="AP9" s="128" t="s">
        <v>17</v>
      </c>
      <c r="AQ9" s="128" t="s">
        <v>17</v>
      </c>
    </row>
    <row r="10" spans="1:43" ht="14.95" customHeight="1" thickBot="1" x14ac:dyDescent="0.3">
      <c r="A10" s="59" t="s">
        <v>307</v>
      </c>
      <c r="B10" s="301">
        <v>0</v>
      </c>
      <c r="C10" s="155">
        <v>1</v>
      </c>
      <c r="D10" s="60">
        <f t="shared" si="0"/>
        <v>1</v>
      </c>
      <c r="E10" s="63" t="s">
        <v>307</v>
      </c>
      <c r="F10" s="303">
        <v>0</v>
      </c>
      <c r="G10" s="156">
        <v>5</v>
      </c>
      <c r="H10" s="61">
        <f t="shared" si="1"/>
        <v>5</v>
      </c>
      <c r="I10" s="59" t="s">
        <v>259</v>
      </c>
      <c r="J10" s="60" t="s">
        <v>17</v>
      </c>
      <c r="K10" s="60" t="s">
        <v>17</v>
      </c>
      <c r="L10" s="62" t="s">
        <v>17</v>
      </c>
      <c r="M10" s="60" t="s">
        <v>17</v>
      </c>
      <c r="N10" s="60" t="s">
        <v>17</v>
      </c>
      <c r="O10" s="62" t="s">
        <v>17</v>
      </c>
      <c r="P10" s="60">
        <v>-1</v>
      </c>
      <c r="Q10" s="128">
        <v>1</v>
      </c>
      <c r="R10" s="128">
        <v>3</v>
      </c>
      <c r="S10" s="231">
        <v>33.333333333333329</v>
      </c>
      <c r="T10" s="128" t="s">
        <v>17</v>
      </c>
      <c r="U10" s="128" t="s">
        <v>17</v>
      </c>
      <c r="V10" s="231" t="s">
        <v>17</v>
      </c>
      <c r="W10" s="41"/>
      <c r="X10" s="41"/>
      <c r="Y10" s="43"/>
      <c r="Z10" s="228">
        <v>4</v>
      </c>
      <c r="AA10" s="128">
        <v>4</v>
      </c>
      <c r="AB10" s="231">
        <v>100</v>
      </c>
      <c r="AC10" s="228">
        <v>5</v>
      </c>
      <c r="AD10" s="128">
        <v>5</v>
      </c>
      <c r="AE10" s="231">
        <f>SUM(AC10/AD10)*100</f>
        <v>100</v>
      </c>
      <c r="AF10" s="228" t="s">
        <v>17</v>
      </c>
      <c r="AG10" s="128" t="s">
        <v>17</v>
      </c>
      <c r="AH10" s="231" t="s">
        <v>17</v>
      </c>
      <c r="AI10" s="228">
        <v>6</v>
      </c>
      <c r="AJ10" s="128">
        <v>9</v>
      </c>
      <c r="AK10" s="231">
        <f>SUM(AI10/AJ10)*100</f>
        <v>66.666666666666657</v>
      </c>
      <c r="AL10" s="228">
        <v>5</v>
      </c>
      <c r="AM10" s="128">
        <v>6</v>
      </c>
      <c r="AN10" s="231">
        <f>SUM(AL10/AM10)*100</f>
        <v>83.333333333333343</v>
      </c>
      <c r="AO10" s="128" t="s">
        <v>17</v>
      </c>
      <c r="AP10" s="128" t="s">
        <v>17</v>
      </c>
      <c r="AQ10" s="128" t="s">
        <v>17</v>
      </c>
    </row>
    <row r="11" spans="1:43" ht="14.95" customHeight="1" thickBot="1" x14ac:dyDescent="0.3">
      <c r="A11" s="59" t="s">
        <v>760</v>
      </c>
      <c r="B11" s="301">
        <v>1</v>
      </c>
      <c r="C11" s="155">
        <v>0</v>
      </c>
      <c r="D11" s="60">
        <f t="shared" si="0"/>
        <v>1</v>
      </c>
      <c r="E11" s="63" t="s">
        <v>760</v>
      </c>
      <c r="F11" s="303">
        <v>39</v>
      </c>
      <c r="G11" s="156">
        <v>34</v>
      </c>
      <c r="H11" s="61">
        <f t="shared" si="1"/>
        <v>73</v>
      </c>
      <c r="I11" s="59" t="s">
        <v>590</v>
      </c>
      <c r="J11" s="60" t="s">
        <v>17</v>
      </c>
      <c r="K11" s="60" t="s">
        <v>17</v>
      </c>
      <c r="L11" s="62" t="s">
        <v>17</v>
      </c>
      <c r="M11" s="60" t="s">
        <v>17</v>
      </c>
      <c r="N11" s="60" t="s">
        <v>17</v>
      </c>
      <c r="O11" s="62" t="s">
        <v>17</v>
      </c>
      <c r="P11" s="60">
        <v>3</v>
      </c>
      <c r="Q11" s="128" t="s">
        <v>17</v>
      </c>
      <c r="R11" s="128" t="s">
        <v>17</v>
      </c>
      <c r="S11" s="231" t="s">
        <v>17</v>
      </c>
      <c r="T11" s="128">
        <v>6</v>
      </c>
      <c r="U11" s="128">
        <v>12</v>
      </c>
      <c r="V11" s="231">
        <f>SUM(T11/U11)*100</f>
        <v>50</v>
      </c>
      <c r="W11" s="41"/>
      <c r="X11" s="41"/>
      <c r="Y11" s="43"/>
      <c r="Z11" s="228" t="s">
        <v>17</v>
      </c>
      <c r="AA11" s="128" t="s">
        <v>17</v>
      </c>
      <c r="AB11" s="231" t="s">
        <v>17</v>
      </c>
      <c r="AC11" s="228" t="s">
        <v>17</v>
      </c>
      <c r="AD11" s="128" t="s">
        <v>17</v>
      </c>
      <c r="AE11" s="231" t="s">
        <v>17</v>
      </c>
      <c r="AF11" s="228" t="s">
        <v>17</v>
      </c>
      <c r="AG11" s="128" t="s">
        <v>17</v>
      </c>
      <c r="AH11" s="231" t="s">
        <v>17</v>
      </c>
      <c r="AI11" s="228" t="s">
        <v>17</v>
      </c>
      <c r="AJ11" s="128" t="s">
        <v>17</v>
      </c>
      <c r="AK11" s="231" t="s">
        <v>17</v>
      </c>
      <c r="AL11" s="228">
        <v>1</v>
      </c>
      <c r="AM11" s="128">
        <v>2</v>
      </c>
      <c r="AN11" s="231">
        <f>SUM(AL11/AM11)*100</f>
        <v>50</v>
      </c>
      <c r="AO11" s="128" t="s">
        <v>17</v>
      </c>
      <c r="AP11" s="128" t="s">
        <v>17</v>
      </c>
      <c r="AQ11" s="231" t="s">
        <v>17</v>
      </c>
    </row>
    <row r="12" spans="1:43" ht="14.95" customHeight="1" thickBot="1" x14ac:dyDescent="0.3">
      <c r="A12" s="59" t="s">
        <v>755</v>
      </c>
      <c r="B12" s="301">
        <v>0</v>
      </c>
      <c r="C12" s="155">
        <v>1</v>
      </c>
      <c r="D12" s="60">
        <f t="shared" si="0"/>
        <v>1</v>
      </c>
      <c r="E12" s="63" t="s">
        <v>755</v>
      </c>
      <c r="F12" s="303">
        <v>0</v>
      </c>
      <c r="G12" s="156">
        <v>5</v>
      </c>
      <c r="H12" s="61">
        <f t="shared" si="1"/>
        <v>5</v>
      </c>
      <c r="I12" s="59" t="s">
        <v>762</v>
      </c>
      <c r="J12" s="60" t="s">
        <v>17</v>
      </c>
      <c r="K12" s="60" t="s">
        <v>17</v>
      </c>
      <c r="L12" s="62" t="s">
        <v>17</v>
      </c>
      <c r="M12" s="60" t="s">
        <v>17</v>
      </c>
      <c r="N12" s="60" t="s">
        <v>17</v>
      </c>
      <c r="O12" s="62" t="s">
        <v>17</v>
      </c>
      <c r="P12" s="60">
        <v>-1</v>
      </c>
      <c r="Q12" s="128" t="s">
        <v>17</v>
      </c>
      <c r="R12" s="128" t="s">
        <v>17</v>
      </c>
      <c r="S12" s="231" t="s">
        <v>17</v>
      </c>
      <c r="T12" s="128">
        <v>0</v>
      </c>
      <c r="U12" s="128">
        <v>1</v>
      </c>
      <c r="V12" s="231">
        <f>SUM(T12/U12)*100</f>
        <v>0</v>
      </c>
      <c r="W12" s="41"/>
      <c r="X12" s="41"/>
      <c r="Y12" s="43"/>
      <c r="Z12" s="228" t="s">
        <v>17</v>
      </c>
      <c r="AA12" s="128" t="s">
        <v>17</v>
      </c>
      <c r="AB12" s="231" t="s">
        <v>17</v>
      </c>
      <c r="AC12" s="228" t="s">
        <v>17</v>
      </c>
      <c r="AD12" s="128" t="s">
        <v>17</v>
      </c>
      <c r="AE12" s="231" t="s">
        <v>17</v>
      </c>
      <c r="AF12" s="128" t="s">
        <v>17</v>
      </c>
      <c r="AG12" s="128" t="s">
        <v>17</v>
      </c>
      <c r="AH12" s="231" t="s">
        <v>17</v>
      </c>
      <c r="AI12" s="128" t="s">
        <v>17</v>
      </c>
      <c r="AJ12" s="128" t="s">
        <v>17</v>
      </c>
      <c r="AK12" s="231" t="s">
        <v>17</v>
      </c>
      <c r="AL12" s="128" t="s">
        <v>17</v>
      </c>
      <c r="AM12" s="128" t="s">
        <v>17</v>
      </c>
      <c r="AN12" s="231" t="s">
        <v>17</v>
      </c>
      <c r="AO12" s="128" t="s">
        <v>17</v>
      </c>
      <c r="AP12" s="128" t="s">
        <v>17</v>
      </c>
      <c r="AQ12" s="231" t="s">
        <v>17</v>
      </c>
    </row>
    <row r="13" spans="1:43" ht="14.95" customHeight="1" thickBot="1" x14ac:dyDescent="0.3">
      <c r="A13" s="59" t="s">
        <v>594</v>
      </c>
      <c r="B13" s="301">
        <v>0</v>
      </c>
      <c r="C13" s="155">
        <v>0</v>
      </c>
      <c r="D13" s="60">
        <f t="shared" si="0"/>
        <v>0</v>
      </c>
      <c r="E13" s="63" t="s">
        <v>594</v>
      </c>
      <c r="F13" s="303">
        <v>0</v>
      </c>
      <c r="G13" s="156">
        <v>0</v>
      </c>
      <c r="H13" s="61">
        <f t="shared" si="1"/>
        <v>0</v>
      </c>
      <c r="I13" s="59" t="s">
        <v>524</v>
      </c>
      <c r="J13" s="60" t="s">
        <v>17</v>
      </c>
      <c r="K13" s="60" t="s">
        <v>17</v>
      </c>
      <c r="L13" s="62" t="s">
        <v>17</v>
      </c>
      <c r="M13" s="60" t="s">
        <v>17</v>
      </c>
      <c r="N13" s="60" t="s">
        <v>17</v>
      </c>
      <c r="O13" s="62" t="s">
        <v>17</v>
      </c>
      <c r="P13" s="60">
        <v>-1</v>
      </c>
      <c r="Q13" s="128" t="s">
        <v>17</v>
      </c>
      <c r="R13" s="128" t="s">
        <v>17</v>
      </c>
      <c r="S13" s="231" t="s">
        <v>17</v>
      </c>
      <c r="T13" s="128">
        <v>1</v>
      </c>
      <c r="U13" s="128">
        <v>2</v>
      </c>
      <c r="V13" s="231">
        <f>SUM(T13/U13)*100</f>
        <v>50</v>
      </c>
      <c r="W13" s="41"/>
      <c r="X13" s="41"/>
      <c r="Y13" s="43"/>
      <c r="Z13" s="228">
        <v>2</v>
      </c>
      <c r="AA13" s="128">
        <v>2</v>
      </c>
      <c r="AB13" s="231">
        <v>100</v>
      </c>
      <c r="AC13" s="228" t="s">
        <v>17</v>
      </c>
      <c r="AD13" s="128" t="s">
        <v>17</v>
      </c>
      <c r="AE13" s="231" t="s">
        <v>17</v>
      </c>
      <c r="AF13" s="128" t="s">
        <v>17</v>
      </c>
      <c r="AG13" s="128" t="s">
        <v>17</v>
      </c>
      <c r="AH13" s="231" t="s">
        <v>17</v>
      </c>
      <c r="AI13" s="128" t="s">
        <v>17</v>
      </c>
      <c r="AJ13" s="128" t="s">
        <v>17</v>
      </c>
      <c r="AK13" s="231" t="s">
        <v>17</v>
      </c>
      <c r="AL13" s="128" t="s">
        <v>17</v>
      </c>
      <c r="AM13" s="128" t="s">
        <v>17</v>
      </c>
      <c r="AN13" s="231" t="s">
        <v>17</v>
      </c>
      <c r="AO13" s="128" t="s">
        <v>17</v>
      </c>
      <c r="AP13" s="128" t="s">
        <v>17</v>
      </c>
      <c r="AQ13" s="231" t="s">
        <v>17</v>
      </c>
    </row>
    <row r="14" spans="1:43" ht="14.95" customHeight="1" thickBot="1" x14ac:dyDescent="0.3">
      <c r="A14" s="59" t="s">
        <v>761</v>
      </c>
      <c r="B14" s="301">
        <v>0</v>
      </c>
      <c r="C14" s="155">
        <v>0</v>
      </c>
      <c r="D14" s="60">
        <f t="shared" si="0"/>
        <v>0</v>
      </c>
      <c r="E14" s="63" t="s">
        <v>761</v>
      </c>
      <c r="F14" s="303">
        <v>0</v>
      </c>
      <c r="G14" s="156">
        <v>0</v>
      </c>
      <c r="H14" s="61">
        <f t="shared" si="1"/>
        <v>0</v>
      </c>
      <c r="I14" s="59" t="s">
        <v>1272</v>
      </c>
      <c r="J14" s="60">
        <v>1</v>
      </c>
      <c r="K14" s="60">
        <v>1</v>
      </c>
      <c r="L14" s="62">
        <f>SUM(J14/K14)*100</f>
        <v>100</v>
      </c>
      <c r="M14" s="60" t="s">
        <v>17</v>
      </c>
      <c r="N14" s="60" t="s">
        <v>17</v>
      </c>
      <c r="O14" s="62" t="s">
        <v>17</v>
      </c>
      <c r="P14" s="60">
        <v>1</v>
      </c>
      <c r="Q14" s="128" t="s">
        <v>17</v>
      </c>
      <c r="R14" s="128" t="s">
        <v>17</v>
      </c>
      <c r="S14" s="231" t="s">
        <v>17</v>
      </c>
      <c r="T14" s="128" t="s">
        <v>17</v>
      </c>
      <c r="U14" s="128" t="s">
        <v>17</v>
      </c>
      <c r="V14" s="231" t="s">
        <v>17</v>
      </c>
      <c r="W14" s="41"/>
      <c r="X14" s="41"/>
      <c r="Y14" s="43"/>
      <c r="Z14" s="228" t="s">
        <v>17</v>
      </c>
      <c r="AA14" s="128" t="s">
        <v>17</v>
      </c>
      <c r="AB14" s="231" t="s">
        <v>17</v>
      </c>
      <c r="AC14" s="228" t="s">
        <v>17</v>
      </c>
      <c r="AD14" s="128" t="s">
        <v>17</v>
      </c>
      <c r="AE14" s="231" t="s">
        <v>17</v>
      </c>
      <c r="AF14" s="228" t="s">
        <v>17</v>
      </c>
      <c r="AG14" s="128" t="s">
        <v>17</v>
      </c>
      <c r="AH14" s="231" t="s">
        <v>17</v>
      </c>
      <c r="AI14" s="228" t="s">
        <v>17</v>
      </c>
      <c r="AJ14" s="128" t="s">
        <v>17</v>
      </c>
      <c r="AK14" s="231" t="s">
        <v>17</v>
      </c>
      <c r="AL14" s="228" t="s">
        <v>17</v>
      </c>
      <c r="AM14" s="128" t="s">
        <v>17</v>
      </c>
      <c r="AN14" s="231" t="s">
        <v>17</v>
      </c>
      <c r="AO14" s="128" t="s">
        <v>17</v>
      </c>
      <c r="AP14" s="128" t="s">
        <v>17</v>
      </c>
      <c r="AQ14" s="231" t="s">
        <v>17</v>
      </c>
    </row>
    <row r="15" spans="1:43" ht="14.95" customHeight="1" thickBot="1" x14ac:dyDescent="0.3">
      <c r="A15" s="59" t="s">
        <v>592</v>
      </c>
      <c r="B15" s="301">
        <v>0</v>
      </c>
      <c r="C15" s="155">
        <v>0</v>
      </c>
      <c r="D15" s="60">
        <f t="shared" si="0"/>
        <v>0</v>
      </c>
      <c r="E15" s="63" t="s">
        <v>592</v>
      </c>
      <c r="F15" s="303">
        <v>0</v>
      </c>
      <c r="G15" s="156">
        <v>0</v>
      </c>
      <c r="H15" s="61">
        <f t="shared" si="1"/>
        <v>0</v>
      </c>
      <c r="I15" s="59" t="s">
        <v>303</v>
      </c>
      <c r="J15" s="60" t="s">
        <v>17</v>
      </c>
      <c r="K15" s="60" t="s">
        <v>17</v>
      </c>
      <c r="L15" s="62" t="s">
        <v>17</v>
      </c>
      <c r="M15" s="60" t="s">
        <v>17</v>
      </c>
      <c r="N15" s="60" t="s">
        <v>17</v>
      </c>
      <c r="O15" s="62" t="s">
        <v>17</v>
      </c>
      <c r="P15" s="60">
        <v>6</v>
      </c>
      <c r="Q15" s="128" t="s">
        <v>17</v>
      </c>
      <c r="R15" s="128" t="s">
        <v>17</v>
      </c>
      <c r="S15" s="231" t="s">
        <v>17</v>
      </c>
      <c r="T15" s="128">
        <v>2</v>
      </c>
      <c r="U15" s="128">
        <v>2</v>
      </c>
      <c r="V15" s="231">
        <f>SUM(T15/U15)*100</f>
        <v>100</v>
      </c>
      <c r="W15" s="41"/>
      <c r="X15" s="41"/>
      <c r="Y15" s="43"/>
      <c r="Z15" s="228">
        <v>8</v>
      </c>
      <c r="AA15" s="128">
        <v>9</v>
      </c>
      <c r="AB15" s="231">
        <v>88.888888888888886</v>
      </c>
      <c r="AC15" s="228" t="s">
        <v>17</v>
      </c>
      <c r="AD15" s="128" t="s">
        <v>17</v>
      </c>
      <c r="AE15" s="231" t="s">
        <v>17</v>
      </c>
      <c r="AF15" s="128" t="s">
        <v>17</v>
      </c>
      <c r="AG15" s="128" t="s">
        <v>17</v>
      </c>
      <c r="AH15" s="231" t="s">
        <v>17</v>
      </c>
      <c r="AI15" s="128" t="s">
        <v>17</v>
      </c>
      <c r="AJ15" s="128" t="s">
        <v>17</v>
      </c>
      <c r="AK15" s="231" t="s">
        <v>17</v>
      </c>
      <c r="AL15" s="128" t="s">
        <v>17</v>
      </c>
      <c r="AM15" s="128" t="s">
        <v>17</v>
      </c>
      <c r="AN15" s="231" t="s">
        <v>17</v>
      </c>
      <c r="AO15" s="128" t="s">
        <v>17</v>
      </c>
      <c r="AP15" s="128" t="s">
        <v>17</v>
      </c>
      <c r="AQ15" s="231" t="s">
        <v>17</v>
      </c>
    </row>
    <row r="16" spans="1:43" ht="14.95" customHeight="1" thickBot="1" x14ac:dyDescent="0.3">
      <c r="A16" s="59" t="s">
        <v>593</v>
      </c>
      <c r="B16" s="301">
        <v>2</v>
      </c>
      <c r="C16" s="155">
        <v>0</v>
      </c>
      <c r="D16" s="60">
        <f t="shared" si="0"/>
        <v>2</v>
      </c>
      <c r="E16" s="63" t="s">
        <v>593</v>
      </c>
      <c r="F16" s="303">
        <v>10</v>
      </c>
      <c r="G16" s="156">
        <v>0</v>
      </c>
      <c r="H16" s="61">
        <f t="shared" si="1"/>
        <v>10</v>
      </c>
      <c r="I16" s="59" t="s">
        <v>489</v>
      </c>
      <c r="J16" s="60">
        <v>6</v>
      </c>
      <c r="K16" s="60">
        <v>8</v>
      </c>
      <c r="L16" s="62">
        <f>SUM(J16/K16)*100</f>
        <v>75</v>
      </c>
      <c r="M16" s="60" t="s">
        <v>17</v>
      </c>
      <c r="N16" s="60" t="s">
        <v>17</v>
      </c>
      <c r="O16" s="62" t="s">
        <v>17</v>
      </c>
      <c r="P16" s="60">
        <v>-1</v>
      </c>
      <c r="Q16" s="128">
        <v>5</v>
      </c>
      <c r="R16" s="128">
        <v>9</v>
      </c>
      <c r="S16" s="231">
        <v>55.555555555555557</v>
      </c>
      <c r="T16" s="128">
        <v>1</v>
      </c>
      <c r="U16" s="128">
        <v>2</v>
      </c>
      <c r="V16" s="231">
        <f>SUM(T16/U16)*100</f>
        <v>50</v>
      </c>
      <c r="W16" s="41"/>
      <c r="X16" s="41"/>
      <c r="Y16" s="43"/>
      <c r="Z16" s="228">
        <v>7</v>
      </c>
      <c r="AA16" s="128">
        <v>7</v>
      </c>
      <c r="AB16" s="231">
        <v>100</v>
      </c>
      <c r="AC16" s="228" t="s">
        <v>17</v>
      </c>
      <c r="AD16" s="128" t="s">
        <v>17</v>
      </c>
      <c r="AE16" s="231" t="s">
        <v>17</v>
      </c>
      <c r="AF16" s="128" t="s">
        <v>17</v>
      </c>
      <c r="AG16" s="128" t="s">
        <v>17</v>
      </c>
      <c r="AH16" s="231" t="s">
        <v>17</v>
      </c>
      <c r="AI16" s="128" t="s">
        <v>17</v>
      </c>
      <c r="AJ16" s="128" t="s">
        <v>17</v>
      </c>
      <c r="AK16" s="231" t="s">
        <v>17</v>
      </c>
      <c r="AL16" s="128" t="s">
        <v>17</v>
      </c>
      <c r="AM16" s="128" t="s">
        <v>17</v>
      </c>
      <c r="AN16" s="231" t="s">
        <v>17</v>
      </c>
      <c r="AO16" s="128" t="s">
        <v>17</v>
      </c>
      <c r="AP16" s="128" t="s">
        <v>17</v>
      </c>
      <c r="AQ16" s="231" t="s">
        <v>17</v>
      </c>
    </row>
    <row r="17" spans="1:49" ht="14.95" customHeight="1" thickBot="1" x14ac:dyDescent="0.3">
      <c r="A17" s="59" t="s">
        <v>1178</v>
      </c>
      <c r="B17" s="301">
        <v>1</v>
      </c>
      <c r="C17" s="155">
        <v>0</v>
      </c>
      <c r="D17" s="60">
        <f t="shared" si="0"/>
        <v>1</v>
      </c>
      <c r="E17" s="63" t="s">
        <v>1178</v>
      </c>
      <c r="F17" s="303">
        <v>5</v>
      </c>
      <c r="G17" s="156">
        <v>0</v>
      </c>
      <c r="H17" s="61">
        <f t="shared" si="1"/>
        <v>5</v>
      </c>
      <c r="I17" s="59" t="s">
        <v>448</v>
      </c>
      <c r="J17" s="60">
        <v>0</v>
      </c>
      <c r="K17" s="60">
        <v>1</v>
      </c>
      <c r="L17" s="62">
        <f>SUM(J17/K17)*100</f>
        <v>0</v>
      </c>
      <c r="M17" s="60">
        <v>0</v>
      </c>
      <c r="N17" s="60">
        <v>1</v>
      </c>
      <c r="O17" s="62">
        <f>SUM(M17/N17)*100</f>
        <v>0</v>
      </c>
      <c r="P17" s="60">
        <v>-1</v>
      </c>
      <c r="Q17" s="128" t="s">
        <v>17</v>
      </c>
      <c r="R17" s="128" t="s">
        <v>17</v>
      </c>
      <c r="S17" s="231" t="s">
        <v>17</v>
      </c>
      <c r="T17" s="128" t="s">
        <v>17</v>
      </c>
      <c r="U17" s="128" t="s">
        <v>17</v>
      </c>
      <c r="V17" s="231" t="s">
        <v>17</v>
      </c>
      <c r="W17" s="41"/>
      <c r="X17" s="41"/>
      <c r="Y17" s="43"/>
      <c r="Z17" s="128" t="s">
        <v>17</v>
      </c>
      <c r="AA17" s="128" t="s">
        <v>17</v>
      </c>
      <c r="AB17" s="231" t="s">
        <v>17</v>
      </c>
      <c r="AC17" s="228" t="s">
        <v>17</v>
      </c>
      <c r="AD17" s="128" t="s">
        <v>17</v>
      </c>
      <c r="AE17" s="231" t="s">
        <v>17</v>
      </c>
      <c r="AF17" s="128" t="s">
        <v>17</v>
      </c>
      <c r="AG17" s="128" t="s">
        <v>17</v>
      </c>
      <c r="AH17" s="231" t="s">
        <v>17</v>
      </c>
      <c r="AI17" s="128" t="s">
        <v>17</v>
      </c>
      <c r="AJ17" s="128" t="s">
        <v>17</v>
      </c>
      <c r="AK17" s="231" t="s">
        <v>17</v>
      </c>
      <c r="AL17" s="128" t="s">
        <v>17</v>
      </c>
      <c r="AM17" s="128" t="s">
        <v>17</v>
      </c>
      <c r="AN17" s="231" t="s">
        <v>17</v>
      </c>
      <c r="AO17" s="128" t="s">
        <v>17</v>
      </c>
      <c r="AP17" s="128" t="s">
        <v>17</v>
      </c>
      <c r="AQ17" s="231" t="s">
        <v>17</v>
      </c>
    </row>
    <row r="18" spans="1:49" ht="14.95" customHeight="1" thickBot="1" x14ac:dyDescent="0.3">
      <c r="A18" s="59" t="s">
        <v>1148</v>
      </c>
      <c r="B18" s="301">
        <v>0</v>
      </c>
      <c r="C18" s="155">
        <v>0</v>
      </c>
      <c r="D18" s="60">
        <f t="shared" si="0"/>
        <v>0</v>
      </c>
      <c r="E18" s="63" t="s">
        <v>1148</v>
      </c>
      <c r="F18" s="303">
        <v>0</v>
      </c>
      <c r="G18" s="156">
        <v>0</v>
      </c>
      <c r="H18" s="61">
        <f t="shared" si="1"/>
        <v>0</v>
      </c>
      <c r="I18" s="137"/>
      <c r="J18" s="138"/>
      <c r="K18" s="38"/>
      <c r="L18" s="139"/>
      <c r="M18" s="38"/>
      <c r="N18" s="38"/>
      <c r="O18" s="24"/>
      <c r="P18" s="140"/>
    </row>
    <row r="19" spans="1:49" ht="14.95" customHeight="1" thickBot="1" x14ac:dyDescent="0.3">
      <c r="A19" s="59" t="s">
        <v>1191</v>
      </c>
      <c r="B19" s="301">
        <v>1</v>
      </c>
      <c r="C19" s="155">
        <v>0</v>
      </c>
      <c r="D19" s="60">
        <f t="shared" si="0"/>
        <v>1</v>
      </c>
      <c r="E19" s="63" t="s">
        <v>1191</v>
      </c>
      <c r="F19" s="303">
        <v>5</v>
      </c>
      <c r="G19" s="156">
        <v>0</v>
      </c>
      <c r="H19" s="61">
        <f t="shared" si="1"/>
        <v>5</v>
      </c>
      <c r="I19" s="577" t="s">
        <v>33</v>
      </c>
      <c r="J19" s="568">
        <v>2023</v>
      </c>
      <c r="K19" s="569"/>
      <c r="L19" s="570"/>
      <c r="M19" s="557">
        <v>2019</v>
      </c>
      <c r="N19" s="563"/>
      <c r="O19" s="564"/>
      <c r="P19" s="557">
        <v>2015</v>
      </c>
      <c r="Q19" s="563"/>
      <c r="R19" s="564"/>
    </row>
    <row r="20" spans="1:49" ht="14.95" customHeight="1" thickBot="1" x14ac:dyDescent="0.3">
      <c r="A20" s="59" t="s">
        <v>1232</v>
      </c>
      <c r="B20" s="301">
        <v>1</v>
      </c>
      <c r="C20" s="155">
        <v>1</v>
      </c>
      <c r="D20" s="60">
        <f t="shared" si="0"/>
        <v>2</v>
      </c>
      <c r="E20" s="63" t="s">
        <v>1232</v>
      </c>
      <c r="F20" s="303">
        <v>5</v>
      </c>
      <c r="G20" s="156">
        <v>5</v>
      </c>
      <c r="H20" s="61">
        <f t="shared" si="1"/>
        <v>10</v>
      </c>
      <c r="I20" s="578"/>
      <c r="J20" s="571"/>
      <c r="K20" s="572"/>
      <c r="L20" s="573"/>
      <c r="M20" s="565"/>
      <c r="N20" s="566"/>
      <c r="O20" s="567"/>
      <c r="P20" s="565"/>
      <c r="Q20" s="566"/>
      <c r="R20" s="567"/>
    </row>
    <row r="21" spans="1:49" ht="14.95" customHeight="1" thickBot="1" x14ac:dyDescent="0.3">
      <c r="A21" s="59" t="s">
        <v>1247</v>
      </c>
      <c r="B21" s="301">
        <v>0</v>
      </c>
      <c r="C21" s="155">
        <v>1</v>
      </c>
      <c r="D21" s="60">
        <f t="shared" si="0"/>
        <v>1</v>
      </c>
      <c r="E21" s="63" t="s">
        <v>1247</v>
      </c>
      <c r="F21" s="303">
        <v>0</v>
      </c>
      <c r="G21" s="156">
        <v>5</v>
      </c>
      <c r="H21" s="61">
        <f t="shared" si="1"/>
        <v>5</v>
      </c>
      <c r="I21" s="4"/>
      <c r="J21" s="128" t="s">
        <v>152</v>
      </c>
      <c r="K21" s="128" t="s">
        <v>12</v>
      </c>
      <c r="L21" s="128" t="s">
        <v>13</v>
      </c>
      <c r="M21" s="119" t="s">
        <v>152</v>
      </c>
      <c r="N21" s="119" t="s">
        <v>12</v>
      </c>
      <c r="O21" s="119" t="s">
        <v>13</v>
      </c>
      <c r="P21" s="119" t="s">
        <v>152</v>
      </c>
      <c r="Q21" s="119" t="s">
        <v>12</v>
      </c>
      <c r="R21" s="119" t="s">
        <v>13</v>
      </c>
    </row>
    <row r="22" spans="1:49" ht="14.95" customHeight="1" thickBot="1" x14ac:dyDescent="0.3">
      <c r="A22" s="59" t="s">
        <v>1177</v>
      </c>
      <c r="B22" s="301">
        <v>1</v>
      </c>
      <c r="C22" s="155">
        <v>0</v>
      </c>
      <c r="D22" s="60">
        <f t="shared" si="0"/>
        <v>1</v>
      </c>
      <c r="E22" s="63" t="s">
        <v>1177</v>
      </c>
      <c r="F22" s="303">
        <v>5</v>
      </c>
      <c r="G22" s="156">
        <v>0</v>
      </c>
      <c r="H22" s="61">
        <f t="shared" si="1"/>
        <v>5</v>
      </c>
      <c r="I22" s="59" t="s">
        <v>463</v>
      </c>
      <c r="J22" s="128" t="s">
        <v>17</v>
      </c>
      <c r="K22" s="128" t="s">
        <v>17</v>
      </c>
      <c r="L22" s="231" t="s">
        <v>17</v>
      </c>
      <c r="M22" s="128" t="s">
        <v>17</v>
      </c>
      <c r="N22" s="128" t="s">
        <v>17</v>
      </c>
      <c r="O22" s="231" t="s">
        <v>17</v>
      </c>
      <c r="P22" s="128" t="s">
        <v>17</v>
      </c>
      <c r="Q22" s="128" t="s">
        <v>17</v>
      </c>
      <c r="R22" s="231" t="s">
        <v>17</v>
      </c>
    </row>
    <row r="23" spans="1:49" ht="14.95" customHeight="1" thickBot="1" x14ac:dyDescent="0.3">
      <c r="A23" s="59" t="s">
        <v>762</v>
      </c>
      <c r="B23" s="301">
        <v>0</v>
      </c>
      <c r="C23" s="155">
        <v>2</v>
      </c>
      <c r="D23" s="60">
        <f t="shared" si="0"/>
        <v>2</v>
      </c>
      <c r="E23" s="63" t="s">
        <v>762</v>
      </c>
      <c r="F23" s="303">
        <v>0</v>
      </c>
      <c r="G23" s="156">
        <v>10</v>
      </c>
      <c r="H23" s="61">
        <f t="shared" si="1"/>
        <v>10</v>
      </c>
      <c r="I23" s="96" t="s">
        <v>108</v>
      </c>
      <c r="J23" s="128" t="s">
        <v>17</v>
      </c>
      <c r="K23" s="128" t="s">
        <v>17</v>
      </c>
      <c r="L23" s="231" t="s">
        <v>17</v>
      </c>
      <c r="M23" s="128" t="s">
        <v>17</v>
      </c>
      <c r="N23" s="128" t="s">
        <v>17</v>
      </c>
      <c r="O23" s="231" t="s">
        <v>17</v>
      </c>
      <c r="P23" s="128">
        <v>1</v>
      </c>
      <c r="Q23" s="128">
        <v>1</v>
      </c>
      <c r="R23" s="231">
        <f>SUM(P23/Q23)*100</f>
        <v>100</v>
      </c>
    </row>
    <row r="24" spans="1:49" ht="14.95" customHeight="1" thickBot="1" x14ac:dyDescent="0.3">
      <c r="A24" s="59" t="s">
        <v>1272</v>
      </c>
      <c r="B24" s="301">
        <v>0</v>
      </c>
      <c r="C24" s="155">
        <v>0</v>
      </c>
      <c r="D24" s="60">
        <f t="shared" si="0"/>
        <v>0</v>
      </c>
      <c r="E24" s="63" t="s">
        <v>1272</v>
      </c>
      <c r="F24" s="303">
        <v>0</v>
      </c>
      <c r="G24" s="156">
        <v>3</v>
      </c>
      <c r="H24" s="61">
        <f t="shared" si="1"/>
        <v>3</v>
      </c>
      <c r="I24" s="59" t="s">
        <v>760</v>
      </c>
      <c r="J24" s="128">
        <v>4</v>
      </c>
      <c r="K24" s="128">
        <v>5</v>
      </c>
      <c r="L24" s="231">
        <f>SUM(J24/K24)*100</f>
        <v>80</v>
      </c>
      <c r="M24" s="128" t="s">
        <v>17</v>
      </c>
      <c r="N24" s="128" t="s">
        <v>17</v>
      </c>
      <c r="O24" s="231" t="s">
        <v>17</v>
      </c>
      <c r="P24" s="128" t="s">
        <v>17</v>
      </c>
      <c r="Q24" s="128" t="s">
        <v>17</v>
      </c>
      <c r="R24" s="231" t="s">
        <v>17</v>
      </c>
    </row>
    <row r="25" spans="1:49" ht="14.95" customHeight="1" thickBot="1" x14ac:dyDescent="0.3">
      <c r="A25" s="59" t="s">
        <v>934</v>
      </c>
      <c r="B25" s="301">
        <v>1</v>
      </c>
      <c r="C25" s="155">
        <v>0</v>
      </c>
      <c r="D25" s="60">
        <f t="shared" si="0"/>
        <v>1</v>
      </c>
      <c r="E25" s="63" t="s">
        <v>934</v>
      </c>
      <c r="F25" s="303">
        <v>5</v>
      </c>
      <c r="G25" s="156">
        <v>0</v>
      </c>
      <c r="H25" s="61">
        <f t="shared" si="1"/>
        <v>5</v>
      </c>
      <c r="I25" s="59" t="s">
        <v>590</v>
      </c>
      <c r="J25" s="128" t="s">
        <v>17</v>
      </c>
      <c r="K25" s="128" t="s">
        <v>17</v>
      </c>
      <c r="L25" s="231" t="s">
        <v>17</v>
      </c>
      <c r="M25" s="128" t="s">
        <v>17</v>
      </c>
      <c r="N25" s="128" t="s">
        <v>17</v>
      </c>
      <c r="O25" s="231" t="s">
        <v>17</v>
      </c>
      <c r="P25" s="128" t="s">
        <v>17</v>
      </c>
      <c r="Q25" s="128" t="s">
        <v>17</v>
      </c>
      <c r="R25" s="231" t="s">
        <v>17</v>
      </c>
    </row>
    <row r="26" spans="1:49" ht="14.95" customHeight="1" thickBot="1" x14ac:dyDescent="0.3">
      <c r="A26" s="59" t="s">
        <v>524</v>
      </c>
      <c r="B26" s="301">
        <v>0</v>
      </c>
      <c r="C26" s="155">
        <v>0</v>
      </c>
      <c r="D26" s="60">
        <f t="shared" si="0"/>
        <v>0</v>
      </c>
      <c r="E26" s="63" t="s">
        <v>524</v>
      </c>
      <c r="F26" s="303">
        <v>0</v>
      </c>
      <c r="G26" s="156">
        <v>0</v>
      </c>
      <c r="H26" s="61">
        <f t="shared" si="1"/>
        <v>0</v>
      </c>
      <c r="I26" s="59" t="s">
        <v>762</v>
      </c>
      <c r="J26" s="128">
        <v>0</v>
      </c>
      <c r="K26" s="128">
        <v>1</v>
      </c>
      <c r="L26" s="231">
        <f>SUM(J26/K26)*100</f>
        <v>0</v>
      </c>
      <c r="M26" s="128" t="s">
        <v>17</v>
      </c>
      <c r="N26" s="128" t="s">
        <v>17</v>
      </c>
      <c r="O26" s="231" t="s">
        <v>17</v>
      </c>
      <c r="P26" s="128" t="s">
        <v>17</v>
      </c>
      <c r="Q26" s="128" t="s">
        <v>17</v>
      </c>
      <c r="R26" s="231" t="s">
        <v>17</v>
      </c>
    </row>
    <row r="27" spans="1:49" ht="14.95" customHeight="1" thickBot="1" x14ac:dyDescent="0.3">
      <c r="A27" s="59" t="s">
        <v>1147</v>
      </c>
      <c r="B27" s="301">
        <v>0</v>
      </c>
      <c r="C27" s="155">
        <v>0</v>
      </c>
      <c r="D27" s="60">
        <f t="shared" si="0"/>
        <v>0</v>
      </c>
      <c r="E27" s="63" t="s">
        <v>1147</v>
      </c>
      <c r="F27" s="303">
        <v>0</v>
      </c>
      <c r="G27" s="156">
        <v>0</v>
      </c>
      <c r="H27" s="61">
        <f t="shared" si="1"/>
        <v>0</v>
      </c>
      <c r="I27" s="59" t="s">
        <v>353</v>
      </c>
      <c r="J27" s="128" t="s">
        <v>17</v>
      </c>
      <c r="K27" s="128" t="s">
        <v>17</v>
      </c>
      <c r="L27" s="231" t="s">
        <v>17</v>
      </c>
      <c r="M27" s="128" t="s">
        <v>17</v>
      </c>
      <c r="N27" s="128" t="s">
        <v>17</v>
      </c>
      <c r="O27" s="231" t="s">
        <v>17</v>
      </c>
      <c r="P27" s="128" t="s">
        <v>17</v>
      </c>
      <c r="Q27" s="128" t="s">
        <v>17</v>
      </c>
      <c r="R27" s="231" t="s">
        <v>17</v>
      </c>
    </row>
    <row r="28" spans="1:49" ht="14.95" customHeight="1" thickBot="1" x14ac:dyDescent="0.3">
      <c r="A28" s="59" t="s">
        <v>993</v>
      </c>
      <c r="B28" s="301">
        <v>0</v>
      </c>
      <c r="C28" s="155">
        <v>0</v>
      </c>
      <c r="D28" s="60">
        <f t="shared" si="0"/>
        <v>0</v>
      </c>
      <c r="E28" s="63" t="s">
        <v>993</v>
      </c>
      <c r="F28" s="303">
        <v>0</v>
      </c>
      <c r="G28" s="156">
        <v>0</v>
      </c>
      <c r="H28" s="61">
        <f t="shared" si="1"/>
        <v>0</v>
      </c>
      <c r="I28" s="59" t="s">
        <v>620</v>
      </c>
      <c r="J28" s="128" t="s">
        <v>17</v>
      </c>
      <c r="K28" s="128" t="s">
        <v>17</v>
      </c>
      <c r="L28" s="231" t="s">
        <v>17</v>
      </c>
      <c r="M28" s="128" t="s">
        <v>17</v>
      </c>
      <c r="N28" s="128" t="s">
        <v>17</v>
      </c>
      <c r="O28" s="231" t="s">
        <v>17</v>
      </c>
      <c r="P28" s="128" t="s">
        <v>17</v>
      </c>
      <c r="Q28" s="128" t="s">
        <v>17</v>
      </c>
      <c r="R28" s="231" t="s">
        <v>17</v>
      </c>
    </row>
    <row r="29" spans="1:49" ht="14.95" customHeight="1" thickBot="1" x14ac:dyDescent="0.3">
      <c r="A29" s="59" t="s">
        <v>4</v>
      </c>
      <c r="B29" s="301">
        <v>1</v>
      </c>
      <c r="C29" s="155">
        <v>1</v>
      </c>
      <c r="D29" s="60">
        <f t="shared" si="0"/>
        <v>2</v>
      </c>
      <c r="E29" s="63" t="s">
        <v>4</v>
      </c>
      <c r="F29" s="303">
        <v>7</v>
      </c>
      <c r="G29" s="156">
        <v>7</v>
      </c>
      <c r="H29" s="61">
        <f t="shared" si="1"/>
        <v>14</v>
      </c>
      <c r="I29" s="59" t="s">
        <v>489</v>
      </c>
      <c r="J29" s="128">
        <v>1</v>
      </c>
      <c r="K29" s="128">
        <v>2</v>
      </c>
      <c r="L29" s="231">
        <f>SUM(J29/K29)*100</f>
        <v>50</v>
      </c>
      <c r="M29" s="128" t="s">
        <v>17</v>
      </c>
      <c r="N29" s="128" t="s">
        <v>17</v>
      </c>
      <c r="O29" s="231" t="s">
        <v>17</v>
      </c>
      <c r="P29" s="128" t="s">
        <v>17</v>
      </c>
      <c r="Q29" s="128" t="s">
        <v>17</v>
      </c>
      <c r="R29" s="231" t="s">
        <v>17</v>
      </c>
    </row>
    <row r="30" spans="1:49" ht="14.95" customHeight="1" thickBot="1" x14ac:dyDescent="0.3">
      <c r="A30" s="59" t="s">
        <v>259</v>
      </c>
      <c r="B30" s="301">
        <v>0</v>
      </c>
      <c r="C30" s="155">
        <v>0</v>
      </c>
      <c r="D30" s="60">
        <f t="shared" si="0"/>
        <v>0</v>
      </c>
      <c r="E30" s="63" t="s">
        <v>259</v>
      </c>
      <c r="F30" s="303">
        <v>0</v>
      </c>
      <c r="G30" s="156">
        <v>0</v>
      </c>
      <c r="H30" s="61">
        <f t="shared" si="1"/>
        <v>0</v>
      </c>
      <c r="I30" s="59" t="s">
        <v>75</v>
      </c>
      <c r="J30" s="128" t="s">
        <v>17</v>
      </c>
      <c r="K30" s="128" t="s">
        <v>17</v>
      </c>
      <c r="L30" s="231" t="s">
        <v>17</v>
      </c>
      <c r="M30" s="128" t="s">
        <v>17</v>
      </c>
      <c r="N30" s="128" t="s">
        <v>17</v>
      </c>
      <c r="O30" s="231" t="s">
        <v>17</v>
      </c>
      <c r="P30" s="128">
        <v>9</v>
      </c>
      <c r="Q30" s="128">
        <v>14</v>
      </c>
      <c r="R30" s="231">
        <f>SUM(P30/Q30)*100</f>
        <v>64.285714285714292</v>
      </c>
    </row>
    <row r="31" spans="1:49" ht="14.95" customHeight="1" thickBot="1" x14ac:dyDescent="0.3">
      <c r="A31" s="59" t="s">
        <v>303</v>
      </c>
      <c r="B31" s="301">
        <v>0</v>
      </c>
      <c r="C31" s="155">
        <v>0</v>
      </c>
      <c r="D31" s="60">
        <f t="shared" si="0"/>
        <v>0</v>
      </c>
      <c r="E31" s="63" t="s">
        <v>303</v>
      </c>
      <c r="F31" s="303">
        <v>0</v>
      </c>
      <c r="G31" s="156">
        <v>0</v>
      </c>
      <c r="H31" s="61">
        <f t="shared" si="1"/>
        <v>0</v>
      </c>
      <c r="AR31" s="557">
        <v>2015</v>
      </c>
      <c r="AS31" s="563"/>
      <c r="AT31" s="564"/>
      <c r="AU31" s="557">
        <v>2014</v>
      </c>
      <c r="AV31" s="563"/>
      <c r="AW31" s="564"/>
    </row>
    <row r="32" spans="1:49" ht="14.95" customHeight="1" thickBot="1" x14ac:dyDescent="0.3">
      <c r="A32" s="59" t="s">
        <v>590</v>
      </c>
      <c r="B32" s="301">
        <v>0</v>
      </c>
      <c r="C32" s="155">
        <v>0</v>
      </c>
      <c r="D32" s="60">
        <f t="shared" si="0"/>
        <v>0</v>
      </c>
      <c r="E32" s="63" t="s">
        <v>590</v>
      </c>
      <c r="F32" s="303">
        <v>0</v>
      </c>
      <c r="G32" s="156">
        <v>0</v>
      </c>
      <c r="H32" s="61">
        <f t="shared" si="1"/>
        <v>0</v>
      </c>
      <c r="I32" s="680" t="s">
        <v>133</v>
      </c>
      <c r="J32" s="596">
        <v>2025</v>
      </c>
      <c r="K32" s="597"/>
      <c r="L32" s="598"/>
      <c r="M32" s="568">
        <v>2024</v>
      </c>
      <c r="N32" s="602"/>
      <c r="O32" s="603"/>
      <c r="P32" s="568">
        <v>2023</v>
      </c>
      <c r="Q32" s="602"/>
      <c r="R32" s="603"/>
      <c r="S32" s="568">
        <v>2022</v>
      </c>
      <c r="T32" s="602"/>
      <c r="U32" s="603"/>
      <c r="V32" s="229"/>
      <c r="W32" s="270"/>
      <c r="X32" s="270"/>
      <c r="Y32" s="121"/>
      <c r="Z32" s="568">
        <v>2021</v>
      </c>
      <c r="AA32" s="602"/>
      <c r="AB32" s="603"/>
      <c r="AC32" s="568">
        <v>2020</v>
      </c>
      <c r="AD32" s="602"/>
      <c r="AE32" s="603"/>
      <c r="AF32" s="568">
        <v>2019</v>
      </c>
      <c r="AG32" s="602"/>
      <c r="AH32" s="603"/>
      <c r="AI32" s="568">
        <v>2018</v>
      </c>
      <c r="AJ32" s="602"/>
      <c r="AK32" s="603"/>
      <c r="AL32" s="568">
        <v>2017</v>
      </c>
      <c r="AM32" s="609"/>
      <c r="AN32" s="610"/>
      <c r="AO32" s="568">
        <v>2016</v>
      </c>
      <c r="AP32" s="609"/>
      <c r="AQ32" s="610"/>
      <c r="AR32" s="565"/>
      <c r="AS32" s="566"/>
      <c r="AT32" s="567"/>
      <c r="AU32" s="565"/>
      <c r="AV32" s="566"/>
      <c r="AW32" s="567"/>
    </row>
    <row r="33" spans="1:49" ht="14.95" customHeight="1" thickBot="1" x14ac:dyDescent="0.3">
      <c r="A33" s="59" t="s">
        <v>758</v>
      </c>
      <c r="B33" s="301">
        <v>0</v>
      </c>
      <c r="C33" s="155">
        <v>0</v>
      </c>
      <c r="D33" s="60">
        <f t="shared" si="0"/>
        <v>0</v>
      </c>
      <c r="E33" s="63" t="s">
        <v>758</v>
      </c>
      <c r="F33" s="303">
        <v>0</v>
      </c>
      <c r="G33" s="156">
        <v>0</v>
      </c>
      <c r="H33" s="61">
        <f t="shared" si="1"/>
        <v>0</v>
      </c>
      <c r="I33" s="681"/>
      <c r="J33" s="599"/>
      <c r="K33" s="600"/>
      <c r="L33" s="601"/>
      <c r="M33" s="604"/>
      <c r="N33" s="605"/>
      <c r="O33" s="606"/>
      <c r="P33" s="604"/>
      <c r="Q33" s="605"/>
      <c r="R33" s="606"/>
      <c r="S33" s="604"/>
      <c r="T33" s="605"/>
      <c r="U33" s="606"/>
      <c r="V33" s="285"/>
      <c r="W33" s="270"/>
      <c r="X33" s="270"/>
      <c r="Y33" s="121"/>
      <c r="Z33" s="604"/>
      <c r="AA33" s="605"/>
      <c r="AB33" s="606"/>
      <c r="AC33" s="604"/>
      <c r="AD33" s="605"/>
      <c r="AE33" s="606"/>
      <c r="AF33" s="604"/>
      <c r="AG33" s="605"/>
      <c r="AH33" s="606"/>
      <c r="AI33" s="604"/>
      <c r="AJ33" s="605"/>
      <c r="AK33" s="606"/>
      <c r="AL33" s="611"/>
      <c r="AM33" s="612"/>
      <c r="AN33" s="613"/>
      <c r="AO33" s="611"/>
      <c r="AP33" s="612"/>
      <c r="AQ33" s="613"/>
      <c r="AR33" s="119" t="s">
        <v>152</v>
      </c>
      <c r="AS33" s="119" t="s">
        <v>12</v>
      </c>
      <c r="AT33" s="119" t="s">
        <v>13</v>
      </c>
      <c r="AU33" s="119" t="s">
        <v>152</v>
      </c>
      <c r="AV33" s="119" t="s">
        <v>12</v>
      </c>
      <c r="AW33" s="119" t="s">
        <v>13</v>
      </c>
    </row>
    <row r="34" spans="1:49" ht="14.95" customHeight="1" thickBot="1" x14ac:dyDescent="0.3">
      <c r="A34" s="59" t="s">
        <v>489</v>
      </c>
      <c r="B34" s="301">
        <v>0</v>
      </c>
      <c r="C34" s="155">
        <v>0</v>
      </c>
      <c r="D34" s="60">
        <f t="shared" si="0"/>
        <v>0</v>
      </c>
      <c r="E34" s="63" t="s">
        <v>489</v>
      </c>
      <c r="F34" s="303">
        <v>15</v>
      </c>
      <c r="G34" s="156">
        <v>0</v>
      </c>
      <c r="H34" s="61">
        <f t="shared" si="1"/>
        <v>15</v>
      </c>
      <c r="I34" s="4"/>
      <c r="J34" s="188" t="s">
        <v>152</v>
      </c>
      <c r="K34" s="188" t="s">
        <v>12</v>
      </c>
      <c r="L34" s="188" t="s">
        <v>13</v>
      </c>
      <c r="M34" s="158" t="s">
        <v>152</v>
      </c>
      <c r="N34" s="158" t="s">
        <v>12</v>
      </c>
      <c r="O34" s="158" t="s">
        <v>13</v>
      </c>
      <c r="P34" s="158" t="s">
        <v>152</v>
      </c>
      <c r="Q34" s="158" t="s">
        <v>12</v>
      </c>
      <c r="R34" s="158" t="s">
        <v>13</v>
      </c>
      <c r="S34" s="158" t="s">
        <v>152</v>
      </c>
      <c r="T34" s="158" t="s">
        <v>12</v>
      </c>
      <c r="U34" s="158" t="s">
        <v>13</v>
      </c>
      <c r="V34" s="180"/>
      <c r="W34" s="121"/>
      <c r="X34" s="121"/>
      <c r="Y34" s="121"/>
      <c r="Z34" s="234" t="s">
        <v>152</v>
      </c>
      <c r="AA34" s="158" t="s">
        <v>12</v>
      </c>
      <c r="AB34" s="158" t="s">
        <v>13</v>
      </c>
      <c r="AC34" s="158" t="s">
        <v>152</v>
      </c>
      <c r="AD34" s="158" t="s">
        <v>12</v>
      </c>
      <c r="AE34" s="158" t="s">
        <v>13</v>
      </c>
      <c r="AF34" s="234" t="s">
        <v>152</v>
      </c>
      <c r="AG34" s="158" t="s">
        <v>12</v>
      </c>
      <c r="AH34" s="158" t="s">
        <v>13</v>
      </c>
      <c r="AI34" s="234" t="s">
        <v>152</v>
      </c>
      <c r="AJ34" s="158" t="s">
        <v>12</v>
      </c>
      <c r="AK34" s="158" t="s">
        <v>13</v>
      </c>
      <c r="AL34" s="234" t="s">
        <v>152</v>
      </c>
      <c r="AM34" s="158" t="s">
        <v>12</v>
      </c>
      <c r="AN34" s="158" t="s">
        <v>13</v>
      </c>
      <c r="AO34" s="171" t="s">
        <v>152</v>
      </c>
      <c r="AP34" s="119" t="s">
        <v>12</v>
      </c>
      <c r="AQ34" s="119" t="s">
        <v>13</v>
      </c>
      <c r="AR34" s="128" t="s">
        <v>17</v>
      </c>
      <c r="AS34" s="128" t="s">
        <v>17</v>
      </c>
      <c r="AT34" s="128" t="s">
        <v>17</v>
      </c>
      <c r="AU34" s="128" t="s">
        <v>17</v>
      </c>
      <c r="AV34" s="128" t="s">
        <v>17</v>
      </c>
      <c r="AW34" s="128" t="s">
        <v>17</v>
      </c>
    </row>
    <row r="35" spans="1:49" ht="14.95" customHeight="1" thickBot="1" x14ac:dyDescent="0.3">
      <c r="A35" s="59" t="s">
        <v>416</v>
      </c>
      <c r="B35" s="301">
        <v>0</v>
      </c>
      <c r="C35" s="155">
        <v>0</v>
      </c>
      <c r="D35" s="60">
        <f t="shared" si="0"/>
        <v>0</v>
      </c>
      <c r="E35" s="63" t="s">
        <v>416</v>
      </c>
      <c r="F35" s="303">
        <v>0</v>
      </c>
      <c r="G35" s="156">
        <v>0</v>
      </c>
      <c r="H35" s="61">
        <f t="shared" si="1"/>
        <v>0</v>
      </c>
      <c r="I35" s="59" t="s">
        <v>463</v>
      </c>
      <c r="J35" s="60" t="s">
        <v>17</v>
      </c>
      <c r="K35" s="60" t="s">
        <v>17</v>
      </c>
      <c r="L35" s="62" t="s">
        <v>17</v>
      </c>
      <c r="M35" s="128">
        <v>2</v>
      </c>
      <c r="N35" s="128">
        <v>4</v>
      </c>
      <c r="O35" s="231">
        <f>SUM(M35/N35)*100</f>
        <v>50</v>
      </c>
      <c r="P35" s="128" t="s">
        <v>17</v>
      </c>
      <c r="Q35" s="128" t="s">
        <v>17</v>
      </c>
      <c r="R35" s="231" t="s">
        <v>17</v>
      </c>
      <c r="S35" s="128">
        <v>4</v>
      </c>
      <c r="T35" s="128">
        <v>5</v>
      </c>
      <c r="U35" s="231">
        <v>80</v>
      </c>
      <c r="V35" s="180"/>
      <c r="W35" s="121"/>
      <c r="X35" s="121"/>
      <c r="Y35" s="121"/>
      <c r="Z35" s="228" t="s">
        <v>17</v>
      </c>
      <c r="AA35" s="128" t="s">
        <v>17</v>
      </c>
      <c r="AB35" s="231" t="s">
        <v>17</v>
      </c>
      <c r="AC35" s="128" t="s">
        <v>17</v>
      </c>
      <c r="AD35" s="128" t="s">
        <v>17</v>
      </c>
      <c r="AE35" s="128" t="s">
        <v>17</v>
      </c>
      <c r="AF35" s="228" t="s">
        <v>17</v>
      </c>
      <c r="AG35" s="128" t="s">
        <v>17</v>
      </c>
      <c r="AH35" s="128" t="s">
        <v>17</v>
      </c>
      <c r="AI35" s="228" t="s">
        <v>17</v>
      </c>
      <c r="AJ35" s="128" t="s">
        <v>17</v>
      </c>
      <c r="AK35" s="128" t="s">
        <v>17</v>
      </c>
      <c r="AL35" s="228" t="s">
        <v>17</v>
      </c>
      <c r="AM35" s="128" t="s">
        <v>17</v>
      </c>
      <c r="AN35" s="128" t="s">
        <v>17</v>
      </c>
      <c r="AO35" s="228" t="s">
        <v>17</v>
      </c>
      <c r="AP35" s="128" t="s">
        <v>17</v>
      </c>
      <c r="AQ35" s="128" t="s">
        <v>17</v>
      </c>
      <c r="AR35" s="128" t="s">
        <v>17</v>
      </c>
      <c r="AS35" s="128" t="s">
        <v>17</v>
      </c>
      <c r="AT35" s="231" t="s">
        <v>17</v>
      </c>
      <c r="AU35" s="128" t="s">
        <v>17</v>
      </c>
      <c r="AV35" s="128" t="s">
        <v>17</v>
      </c>
      <c r="AW35" s="231" t="s">
        <v>17</v>
      </c>
    </row>
    <row r="36" spans="1:49" ht="14.95" customHeight="1" thickBot="1" x14ac:dyDescent="0.3">
      <c r="A36" s="59" t="s">
        <v>756</v>
      </c>
      <c r="B36" s="301">
        <v>0</v>
      </c>
      <c r="C36" s="155">
        <v>0</v>
      </c>
      <c r="D36" s="60">
        <f t="shared" si="0"/>
        <v>0</v>
      </c>
      <c r="E36" s="63" t="s">
        <v>756</v>
      </c>
      <c r="F36" s="303">
        <v>0</v>
      </c>
      <c r="G36" s="156">
        <v>0</v>
      </c>
      <c r="H36" s="61">
        <f t="shared" si="1"/>
        <v>0</v>
      </c>
      <c r="I36" s="59" t="s">
        <v>760</v>
      </c>
      <c r="J36" s="60">
        <v>13</v>
      </c>
      <c r="K36" s="60">
        <v>18</v>
      </c>
      <c r="L36" s="62">
        <f>SUM(J36/K36)*100</f>
        <v>72.222222222222214</v>
      </c>
      <c r="M36" s="128">
        <v>5</v>
      </c>
      <c r="N36" s="128">
        <v>5</v>
      </c>
      <c r="O36" s="231">
        <f>SUM(M36/N36)*100</f>
        <v>100</v>
      </c>
      <c r="P36" s="128" t="s">
        <v>17</v>
      </c>
      <c r="Q36" s="128" t="s">
        <v>17</v>
      </c>
      <c r="R36" s="231" t="s">
        <v>17</v>
      </c>
      <c r="S36" s="128" t="s">
        <v>17</v>
      </c>
      <c r="T36" s="128" t="s">
        <v>17</v>
      </c>
      <c r="U36" s="231" t="s">
        <v>17</v>
      </c>
      <c r="V36" s="180"/>
      <c r="W36" s="121"/>
      <c r="X36" s="121"/>
      <c r="Y36" s="121"/>
      <c r="Z36" s="228" t="s">
        <v>17</v>
      </c>
      <c r="AA36" s="128" t="s">
        <v>17</v>
      </c>
      <c r="AB36" s="231" t="s">
        <v>17</v>
      </c>
      <c r="AC36" s="128" t="s">
        <v>17</v>
      </c>
      <c r="AD36" s="128" t="s">
        <v>17</v>
      </c>
      <c r="AE36" s="231" t="s">
        <v>17</v>
      </c>
      <c r="AF36" s="128" t="s">
        <v>17</v>
      </c>
      <c r="AG36" s="128" t="s">
        <v>17</v>
      </c>
      <c r="AH36" s="231" t="s">
        <v>17</v>
      </c>
      <c r="AI36" s="128" t="s">
        <v>17</v>
      </c>
      <c r="AJ36" s="128" t="s">
        <v>17</v>
      </c>
      <c r="AK36" s="231" t="s">
        <v>17</v>
      </c>
      <c r="AL36" s="128" t="s">
        <v>17</v>
      </c>
      <c r="AM36" s="128" t="s">
        <v>17</v>
      </c>
      <c r="AN36" s="231" t="s">
        <v>17</v>
      </c>
      <c r="AO36" s="128" t="s">
        <v>17</v>
      </c>
      <c r="AP36" s="128" t="s">
        <v>17</v>
      </c>
      <c r="AQ36" s="231" t="s">
        <v>17</v>
      </c>
      <c r="AR36" s="128" t="s">
        <v>17</v>
      </c>
      <c r="AS36" s="128" t="s">
        <v>17</v>
      </c>
      <c r="AT36" s="128" t="s">
        <v>17</v>
      </c>
      <c r="AU36" s="128" t="s">
        <v>17</v>
      </c>
      <c r="AV36" s="128" t="s">
        <v>17</v>
      </c>
      <c r="AW36" s="128" t="s">
        <v>17</v>
      </c>
    </row>
    <row r="37" spans="1:49" ht="14.95" customHeight="1" thickBot="1" x14ac:dyDescent="0.3">
      <c r="A37" s="59" t="s">
        <v>676</v>
      </c>
      <c r="B37" s="301">
        <v>0</v>
      </c>
      <c r="C37" s="155">
        <v>0</v>
      </c>
      <c r="D37" s="60">
        <f t="shared" si="0"/>
        <v>0</v>
      </c>
      <c r="E37" s="63" t="s">
        <v>676</v>
      </c>
      <c r="F37" s="303">
        <v>0</v>
      </c>
      <c r="G37" s="156">
        <v>0</v>
      </c>
      <c r="H37" s="61">
        <f t="shared" si="1"/>
        <v>0</v>
      </c>
      <c r="I37" s="59" t="s">
        <v>258</v>
      </c>
      <c r="J37" s="60" t="s">
        <v>17</v>
      </c>
      <c r="K37" s="60" t="s">
        <v>17</v>
      </c>
      <c r="L37" s="62" t="s">
        <v>17</v>
      </c>
      <c r="M37" s="128">
        <v>5</v>
      </c>
      <c r="N37" s="128">
        <v>7</v>
      </c>
      <c r="O37" s="231">
        <f>SUM(M37/N37)*100</f>
        <v>71.428571428571431</v>
      </c>
      <c r="P37" s="128">
        <v>14</v>
      </c>
      <c r="Q37" s="128">
        <v>17</v>
      </c>
      <c r="R37" s="231">
        <f>SUM(P37/Q37)*100</f>
        <v>82.35294117647058</v>
      </c>
      <c r="S37" s="128">
        <v>17</v>
      </c>
      <c r="T37" s="128">
        <v>20</v>
      </c>
      <c r="U37" s="231">
        <v>85</v>
      </c>
      <c r="V37" s="180"/>
      <c r="W37" s="121"/>
      <c r="X37" s="121"/>
      <c r="Y37" s="121"/>
      <c r="Z37" s="228">
        <v>10</v>
      </c>
      <c r="AA37" s="128">
        <v>10</v>
      </c>
      <c r="AB37" s="231">
        <f>SUM(Z37/AA37)*100</f>
        <v>100</v>
      </c>
      <c r="AC37" s="128">
        <v>1</v>
      </c>
      <c r="AD37" s="128">
        <v>1</v>
      </c>
      <c r="AE37" s="231">
        <v>100</v>
      </c>
      <c r="AF37" s="228">
        <v>2</v>
      </c>
      <c r="AG37" s="128">
        <v>2</v>
      </c>
      <c r="AH37" s="231">
        <f>SUM(AF37/AG37)*100</f>
        <v>100</v>
      </c>
      <c r="AI37" s="228">
        <v>1</v>
      </c>
      <c r="AJ37" s="128">
        <v>4</v>
      </c>
      <c r="AK37" s="231">
        <f>SUM(AI37/AJ37)*100</f>
        <v>25</v>
      </c>
      <c r="AL37" s="228" t="s">
        <v>17</v>
      </c>
      <c r="AM37" s="128" t="s">
        <v>17</v>
      </c>
      <c r="AN37" s="128" t="s">
        <v>17</v>
      </c>
      <c r="AO37" s="228" t="s">
        <v>17</v>
      </c>
      <c r="AP37" s="128" t="s">
        <v>17</v>
      </c>
      <c r="AQ37" s="128" t="s">
        <v>17</v>
      </c>
      <c r="AR37" s="128" t="s">
        <v>17</v>
      </c>
      <c r="AS37" s="128" t="s">
        <v>17</v>
      </c>
      <c r="AT37" s="128" t="s">
        <v>17</v>
      </c>
      <c r="AU37" s="128" t="s">
        <v>17</v>
      </c>
      <c r="AV37" s="128" t="s">
        <v>17</v>
      </c>
      <c r="AW37" s="128" t="s">
        <v>17</v>
      </c>
    </row>
    <row r="38" spans="1:49" ht="14.95" customHeight="1" thickBot="1" x14ac:dyDescent="0.3">
      <c r="A38" s="59" t="s">
        <v>483</v>
      </c>
      <c r="B38" s="301">
        <v>1</v>
      </c>
      <c r="C38" s="155">
        <v>0</v>
      </c>
      <c r="D38" s="60">
        <f t="shared" si="0"/>
        <v>1</v>
      </c>
      <c r="E38" s="63" t="s">
        <v>483</v>
      </c>
      <c r="F38" s="303">
        <v>5</v>
      </c>
      <c r="G38" s="156">
        <v>0</v>
      </c>
      <c r="H38" s="61">
        <f t="shared" si="1"/>
        <v>5</v>
      </c>
      <c r="I38" s="59" t="s">
        <v>353</v>
      </c>
      <c r="J38" s="60" t="s">
        <v>17</v>
      </c>
      <c r="K38" s="60" t="s">
        <v>17</v>
      </c>
      <c r="L38" s="62" t="s">
        <v>17</v>
      </c>
      <c r="M38" s="128" t="s">
        <v>17</v>
      </c>
      <c r="N38" s="128" t="s">
        <v>17</v>
      </c>
      <c r="O38" s="231" t="s">
        <v>17</v>
      </c>
      <c r="P38" s="128" t="s">
        <v>17</v>
      </c>
      <c r="Q38" s="128" t="s">
        <v>17</v>
      </c>
      <c r="R38" s="231" t="s">
        <v>17</v>
      </c>
      <c r="S38" s="128" t="s">
        <v>17</v>
      </c>
      <c r="T38" s="128" t="s">
        <v>17</v>
      </c>
      <c r="U38" s="231" t="s">
        <v>17</v>
      </c>
      <c r="V38" s="180"/>
      <c r="W38" s="121"/>
      <c r="X38" s="121"/>
      <c r="Y38" s="121"/>
      <c r="Z38" s="228" t="s">
        <v>17</v>
      </c>
      <c r="AA38" s="128" t="s">
        <v>17</v>
      </c>
      <c r="AB38" s="231" t="s">
        <v>17</v>
      </c>
      <c r="AC38" s="128">
        <v>1</v>
      </c>
      <c r="AD38" s="128">
        <v>1</v>
      </c>
      <c r="AE38" s="231">
        <f>SUM(AC38/AD38)*100</f>
        <v>100</v>
      </c>
      <c r="AF38" s="228" t="s">
        <v>17</v>
      </c>
      <c r="AG38" s="128" t="s">
        <v>17</v>
      </c>
      <c r="AH38" s="128" t="s">
        <v>17</v>
      </c>
      <c r="AI38" s="228" t="s">
        <v>17</v>
      </c>
      <c r="AJ38" s="128" t="s">
        <v>17</v>
      </c>
      <c r="AK38" s="128" t="s">
        <v>17</v>
      </c>
      <c r="AL38" s="228" t="s">
        <v>17</v>
      </c>
      <c r="AM38" s="128" t="s">
        <v>17</v>
      </c>
      <c r="AN38" s="128" t="s">
        <v>17</v>
      </c>
      <c r="AO38" s="228" t="s">
        <v>17</v>
      </c>
      <c r="AP38" s="128" t="s">
        <v>17</v>
      </c>
      <c r="AQ38" s="128" t="s">
        <v>17</v>
      </c>
      <c r="AR38" s="128" t="s">
        <v>17</v>
      </c>
      <c r="AS38" s="128" t="s">
        <v>17</v>
      </c>
      <c r="AT38" s="128" t="s">
        <v>17</v>
      </c>
      <c r="AU38" s="128" t="s">
        <v>17</v>
      </c>
      <c r="AV38" s="128" t="s">
        <v>17</v>
      </c>
      <c r="AW38" s="128" t="s">
        <v>17</v>
      </c>
    </row>
    <row r="39" spans="1:49" ht="14.95" customHeight="1" thickBot="1" x14ac:dyDescent="0.3">
      <c r="A39" s="59" t="s">
        <v>759</v>
      </c>
      <c r="B39" s="301">
        <v>0</v>
      </c>
      <c r="C39" s="155">
        <v>0</v>
      </c>
      <c r="D39" s="60">
        <f t="shared" si="0"/>
        <v>0</v>
      </c>
      <c r="E39" s="63" t="s">
        <v>759</v>
      </c>
      <c r="F39" s="303">
        <v>0</v>
      </c>
      <c r="G39" s="156">
        <v>0</v>
      </c>
      <c r="H39" s="61">
        <f t="shared" si="1"/>
        <v>0</v>
      </c>
      <c r="I39" s="59" t="s">
        <v>259</v>
      </c>
      <c r="J39" s="60" t="s">
        <v>17</v>
      </c>
      <c r="K39" s="60" t="s">
        <v>17</v>
      </c>
      <c r="L39" s="62" t="s">
        <v>17</v>
      </c>
      <c r="M39" s="128">
        <v>0</v>
      </c>
      <c r="N39" s="128">
        <v>1</v>
      </c>
      <c r="O39" s="231">
        <f>SUM(M39/N39)*100</f>
        <v>0</v>
      </c>
      <c r="P39" s="128" t="s">
        <v>17</v>
      </c>
      <c r="Q39" s="128" t="s">
        <v>17</v>
      </c>
      <c r="R39" s="231" t="s">
        <v>17</v>
      </c>
      <c r="S39" s="128">
        <v>4</v>
      </c>
      <c r="T39" s="128">
        <v>4</v>
      </c>
      <c r="U39" s="231">
        <v>100</v>
      </c>
      <c r="V39" s="180"/>
      <c r="W39" s="121"/>
      <c r="X39" s="121"/>
      <c r="Y39" s="121"/>
      <c r="Z39" s="228">
        <v>1</v>
      </c>
      <c r="AA39" s="128">
        <v>1</v>
      </c>
      <c r="AB39" s="231">
        <f>SUM(Z39/AA39)*100</f>
        <v>100</v>
      </c>
      <c r="AC39" s="128" t="s">
        <v>17</v>
      </c>
      <c r="AD39" s="128" t="s">
        <v>17</v>
      </c>
      <c r="AE39" s="128" t="s">
        <v>17</v>
      </c>
      <c r="AF39" s="228">
        <v>6</v>
      </c>
      <c r="AG39" s="128">
        <v>9</v>
      </c>
      <c r="AH39" s="231">
        <f>SUM(AF39/AG39)*100</f>
        <v>66.666666666666657</v>
      </c>
      <c r="AI39" s="228">
        <v>2</v>
      </c>
      <c r="AJ39" s="128">
        <v>2</v>
      </c>
      <c r="AK39" s="231">
        <f>SUM(AI39/AJ39)*100</f>
        <v>100</v>
      </c>
      <c r="AL39" s="228" t="s">
        <v>17</v>
      </c>
      <c r="AM39" s="128" t="s">
        <v>17</v>
      </c>
      <c r="AN39" s="128" t="s">
        <v>17</v>
      </c>
      <c r="AO39" s="228" t="s">
        <v>17</v>
      </c>
      <c r="AP39" s="128" t="s">
        <v>17</v>
      </c>
      <c r="AQ39" s="128" t="s">
        <v>17</v>
      </c>
      <c r="AR39" s="128" t="s">
        <v>17</v>
      </c>
      <c r="AS39" s="128" t="s">
        <v>17</v>
      </c>
      <c r="AT39" s="231" t="s">
        <v>17</v>
      </c>
      <c r="AU39" s="128" t="s">
        <v>17</v>
      </c>
      <c r="AV39" s="128" t="s">
        <v>17</v>
      </c>
      <c r="AW39" s="231" t="s">
        <v>17</v>
      </c>
    </row>
    <row r="40" spans="1:49" ht="14.95" thickBot="1" x14ac:dyDescent="0.3">
      <c r="A40" s="59" t="s">
        <v>675</v>
      </c>
      <c r="B40" s="301">
        <v>0</v>
      </c>
      <c r="C40" s="155">
        <v>0</v>
      </c>
      <c r="D40" s="60">
        <f t="shared" si="0"/>
        <v>0</v>
      </c>
      <c r="E40" s="63" t="s">
        <v>675</v>
      </c>
      <c r="F40" s="303">
        <v>0</v>
      </c>
      <c r="G40" s="156">
        <v>0</v>
      </c>
      <c r="H40" s="61">
        <f t="shared" si="1"/>
        <v>0</v>
      </c>
      <c r="I40" s="59" t="s">
        <v>303</v>
      </c>
      <c r="J40" s="60" t="s">
        <v>17</v>
      </c>
      <c r="K40" s="60" t="s">
        <v>17</v>
      </c>
      <c r="L40" s="62" t="s">
        <v>17</v>
      </c>
      <c r="M40" s="128" t="s">
        <v>17</v>
      </c>
      <c r="N40" s="128" t="s">
        <v>17</v>
      </c>
      <c r="O40" s="231" t="s">
        <v>17</v>
      </c>
      <c r="P40" s="128">
        <v>2</v>
      </c>
      <c r="Q40" s="128">
        <v>2</v>
      </c>
      <c r="R40" s="231">
        <f>SUM(P40/Q40)*100</f>
        <v>100</v>
      </c>
      <c r="S40" s="128" t="s">
        <v>17</v>
      </c>
      <c r="T40" s="128" t="s">
        <v>17</v>
      </c>
      <c r="U40" s="231" t="s">
        <v>17</v>
      </c>
      <c r="V40" s="180"/>
      <c r="W40" s="121"/>
      <c r="X40" s="121"/>
      <c r="Y40" s="121"/>
      <c r="Z40" s="228" t="s">
        <v>17</v>
      </c>
      <c r="AA40" s="128" t="s">
        <v>17</v>
      </c>
      <c r="AB40" s="231" t="s">
        <v>17</v>
      </c>
      <c r="AC40" s="128" t="s">
        <v>17</v>
      </c>
      <c r="AD40" s="128" t="s">
        <v>17</v>
      </c>
      <c r="AE40" s="231" t="s">
        <v>17</v>
      </c>
      <c r="AF40" s="128" t="s">
        <v>17</v>
      </c>
      <c r="AG40" s="128" t="s">
        <v>17</v>
      </c>
      <c r="AH40" s="231" t="s">
        <v>17</v>
      </c>
      <c r="AI40" s="128" t="s">
        <v>17</v>
      </c>
      <c r="AJ40" s="128" t="s">
        <v>17</v>
      </c>
      <c r="AK40" s="231" t="s">
        <v>17</v>
      </c>
      <c r="AL40" s="128" t="s">
        <v>17</v>
      </c>
      <c r="AM40" s="128" t="s">
        <v>17</v>
      </c>
      <c r="AN40" s="231" t="s">
        <v>17</v>
      </c>
      <c r="AO40" s="128" t="s">
        <v>17</v>
      </c>
      <c r="AP40" s="128" t="s">
        <v>17</v>
      </c>
      <c r="AQ40" s="231" t="s">
        <v>17</v>
      </c>
      <c r="AR40" s="228" t="s">
        <v>17</v>
      </c>
      <c r="AS40" s="128" t="s">
        <v>17</v>
      </c>
      <c r="AT40" s="128" t="s">
        <v>17</v>
      </c>
      <c r="AU40" s="228" t="s">
        <v>17</v>
      </c>
      <c r="AV40" s="128" t="s">
        <v>17</v>
      </c>
      <c r="AW40" s="128" t="s">
        <v>17</v>
      </c>
    </row>
    <row r="41" spans="1:49" ht="14.95" thickBot="1" x14ac:dyDescent="0.3">
      <c r="A41" s="59" t="s">
        <v>933</v>
      </c>
      <c r="B41" s="301">
        <v>0</v>
      </c>
      <c r="C41" s="155">
        <v>0</v>
      </c>
      <c r="D41" s="60">
        <f t="shared" si="0"/>
        <v>0</v>
      </c>
      <c r="E41" s="63" t="s">
        <v>933</v>
      </c>
      <c r="F41" s="303">
        <v>0</v>
      </c>
      <c r="G41" s="156">
        <v>0</v>
      </c>
      <c r="H41" s="61">
        <f t="shared" si="1"/>
        <v>0</v>
      </c>
      <c r="I41" s="59" t="s">
        <v>590</v>
      </c>
      <c r="J41" s="60" t="s">
        <v>17</v>
      </c>
      <c r="K41" s="60" t="s">
        <v>17</v>
      </c>
      <c r="L41" s="62" t="s">
        <v>17</v>
      </c>
      <c r="M41" s="128" t="s">
        <v>17</v>
      </c>
      <c r="N41" s="128" t="s">
        <v>17</v>
      </c>
      <c r="O41" s="231" t="s">
        <v>17</v>
      </c>
      <c r="P41" s="128">
        <v>6</v>
      </c>
      <c r="Q41" s="128">
        <v>12</v>
      </c>
      <c r="R41" s="231">
        <f>SUM(P41/Q41)*100</f>
        <v>50</v>
      </c>
      <c r="S41" s="128" t="s">
        <v>17</v>
      </c>
      <c r="T41" s="128" t="s">
        <v>17</v>
      </c>
      <c r="U41" s="231" t="s">
        <v>17</v>
      </c>
      <c r="V41" s="180"/>
      <c r="W41" s="121"/>
      <c r="X41" s="121"/>
      <c r="Y41" s="121"/>
      <c r="Z41" s="228" t="s">
        <v>17</v>
      </c>
      <c r="AA41" s="128" t="s">
        <v>17</v>
      </c>
      <c r="AB41" s="231" t="s">
        <v>17</v>
      </c>
      <c r="AC41" s="128" t="s">
        <v>17</v>
      </c>
      <c r="AD41" s="128" t="s">
        <v>17</v>
      </c>
      <c r="AE41" s="128" t="s">
        <v>17</v>
      </c>
      <c r="AF41" s="228" t="s">
        <v>17</v>
      </c>
      <c r="AG41" s="128" t="s">
        <v>17</v>
      </c>
      <c r="AH41" s="128" t="s">
        <v>17</v>
      </c>
      <c r="AI41" s="228" t="s">
        <v>17</v>
      </c>
      <c r="AJ41" s="128" t="s">
        <v>17</v>
      </c>
      <c r="AK41" s="128" t="s">
        <v>17</v>
      </c>
      <c r="AL41" s="228" t="s">
        <v>17</v>
      </c>
      <c r="AM41" s="128" t="s">
        <v>17</v>
      </c>
      <c r="AN41" s="128" t="s">
        <v>17</v>
      </c>
      <c r="AO41" s="228" t="s">
        <v>17</v>
      </c>
      <c r="AP41" s="128" t="s">
        <v>17</v>
      </c>
      <c r="AQ41" s="128" t="s">
        <v>17</v>
      </c>
      <c r="AR41" s="128" t="s">
        <v>17</v>
      </c>
      <c r="AS41" s="128" t="s">
        <v>17</v>
      </c>
      <c r="AT41" s="231" t="s">
        <v>17</v>
      </c>
      <c r="AU41" s="128" t="s">
        <v>17</v>
      </c>
      <c r="AV41" s="128" t="s">
        <v>17</v>
      </c>
      <c r="AW41" s="231" t="s">
        <v>17</v>
      </c>
    </row>
    <row r="42" spans="1:49" ht="14.95" thickBot="1" x14ac:dyDescent="0.3">
      <c r="A42" s="59" t="s">
        <v>611</v>
      </c>
      <c r="B42" s="301">
        <v>0</v>
      </c>
      <c r="C42" s="155">
        <v>0</v>
      </c>
      <c r="D42" s="60">
        <f t="shared" si="0"/>
        <v>0</v>
      </c>
      <c r="E42" s="63" t="s">
        <v>611</v>
      </c>
      <c r="F42" s="303">
        <v>0</v>
      </c>
      <c r="G42" s="156">
        <v>0</v>
      </c>
      <c r="H42" s="61">
        <f t="shared" si="1"/>
        <v>0</v>
      </c>
      <c r="I42" s="59" t="s">
        <v>489</v>
      </c>
      <c r="J42" s="60">
        <v>6</v>
      </c>
      <c r="K42" s="60">
        <v>8</v>
      </c>
      <c r="L42" s="62">
        <f>SUM(J42/K42)*100</f>
        <v>75</v>
      </c>
      <c r="M42" s="128" t="s">
        <v>17</v>
      </c>
      <c r="N42" s="128" t="s">
        <v>17</v>
      </c>
      <c r="O42" s="231" t="s">
        <v>17</v>
      </c>
      <c r="P42" s="128" t="s">
        <v>17</v>
      </c>
      <c r="Q42" s="128" t="s">
        <v>17</v>
      </c>
      <c r="R42" s="231" t="s">
        <v>17</v>
      </c>
      <c r="S42" s="128" t="s">
        <v>17</v>
      </c>
      <c r="T42" s="128" t="s">
        <v>17</v>
      </c>
      <c r="U42" s="231" t="s">
        <v>17</v>
      </c>
      <c r="V42" s="180"/>
      <c r="W42" s="121"/>
      <c r="X42" s="121"/>
      <c r="Y42" s="121"/>
      <c r="Z42" s="232" t="s">
        <v>17</v>
      </c>
      <c r="AA42" s="128" t="s">
        <v>17</v>
      </c>
      <c r="AB42" s="231" t="s">
        <v>17</v>
      </c>
      <c r="AC42" s="128" t="s">
        <v>17</v>
      </c>
      <c r="AD42" s="128" t="s">
        <v>17</v>
      </c>
      <c r="AE42" s="231" t="s">
        <v>17</v>
      </c>
      <c r="AF42" s="128" t="s">
        <v>17</v>
      </c>
      <c r="AG42" s="128" t="s">
        <v>17</v>
      </c>
      <c r="AH42" s="231" t="s">
        <v>17</v>
      </c>
      <c r="AI42" s="128" t="s">
        <v>17</v>
      </c>
      <c r="AJ42" s="128" t="s">
        <v>17</v>
      </c>
      <c r="AK42" s="231" t="s">
        <v>17</v>
      </c>
      <c r="AL42" s="128" t="s">
        <v>17</v>
      </c>
      <c r="AM42" s="128" t="s">
        <v>17</v>
      </c>
      <c r="AN42" s="231" t="s">
        <v>17</v>
      </c>
      <c r="AO42" s="128" t="s">
        <v>17</v>
      </c>
      <c r="AP42" s="128" t="s">
        <v>17</v>
      </c>
      <c r="AQ42" s="231" t="s">
        <v>17</v>
      </c>
    </row>
    <row r="43" spans="1:49" ht="14.95" thickBot="1" x14ac:dyDescent="0.3">
      <c r="A43" s="59" t="s">
        <v>448</v>
      </c>
      <c r="B43" s="301">
        <v>0</v>
      </c>
      <c r="C43" s="155">
        <v>0</v>
      </c>
      <c r="D43" s="60">
        <f t="shared" si="0"/>
        <v>0</v>
      </c>
      <c r="E43" s="63" t="s">
        <v>448</v>
      </c>
      <c r="F43" s="303">
        <v>0</v>
      </c>
      <c r="G43" s="156">
        <v>0</v>
      </c>
      <c r="H43" s="61">
        <f t="shared" si="1"/>
        <v>0</v>
      </c>
      <c r="I43" s="46"/>
      <c r="J43" s="36"/>
      <c r="K43" s="36"/>
      <c r="L43" s="37"/>
    </row>
    <row r="44" spans="1:49" ht="14.95" thickBot="1" x14ac:dyDescent="0.3">
      <c r="A44" s="59" t="s">
        <v>3</v>
      </c>
      <c r="B44" s="301">
        <f>SUM(B3:B43)</f>
        <v>12</v>
      </c>
      <c r="C44" s="155">
        <f>SUM(C3:C43)</f>
        <v>10</v>
      </c>
      <c r="D44" s="60">
        <f t="shared" si="0"/>
        <v>22</v>
      </c>
      <c r="E44" s="63" t="s">
        <v>3</v>
      </c>
      <c r="F44" s="303">
        <f>SUM(F3:F43)</f>
        <v>111</v>
      </c>
      <c r="G44" s="156">
        <f>SUM(G3:G43)</f>
        <v>94</v>
      </c>
      <c r="H44" s="61">
        <f t="shared" si="1"/>
        <v>205</v>
      </c>
      <c r="I44" s="46"/>
      <c r="J44" s="36"/>
      <c r="K44" s="36"/>
      <c r="L44" s="37"/>
    </row>
    <row r="45" spans="1:49" x14ac:dyDescent="0.25">
      <c r="E45" s="21"/>
      <c r="F45" s="20"/>
      <c r="G45" s="35"/>
      <c r="H45" s="19"/>
      <c r="I45" s="9"/>
      <c r="J45" s="9"/>
      <c r="K45" s="9"/>
      <c r="L45" s="9"/>
    </row>
    <row r="46" spans="1:49" ht="14.3" customHeight="1" thickBot="1" x14ac:dyDescent="0.3">
      <c r="A46" s="30" t="s">
        <v>15</v>
      </c>
      <c r="E46" s="16"/>
      <c r="F46" s="17"/>
      <c r="G46" s="35"/>
      <c r="H46" s="18"/>
      <c r="I46" s="716"/>
      <c r="J46" s="616"/>
      <c r="K46" s="616"/>
      <c r="L46" s="616"/>
    </row>
    <row r="47" spans="1:49" ht="14.3" customHeight="1" thickBot="1" x14ac:dyDescent="0.3">
      <c r="A47" s="207" t="s">
        <v>0</v>
      </c>
      <c r="B47" s="300" t="s">
        <v>134</v>
      </c>
      <c r="C47" s="208" t="s">
        <v>31</v>
      </c>
      <c r="D47" s="209" t="s">
        <v>1</v>
      </c>
      <c r="E47" s="210" t="s">
        <v>2</v>
      </c>
      <c r="F47" s="302" t="s">
        <v>134</v>
      </c>
      <c r="G47" s="211" t="s">
        <v>31</v>
      </c>
      <c r="H47" s="212" t="s">
        <v>1</v>
      </c>
      <c r="I47" s="716"/>
      <c r="J47" s="616"/>
      <c r="K47" s="616"/>
      <c r="L47" s="616"/>
    </row>
    <row r="48" spans="1:49" ht="14.95" thickBot="1" x14ac:dyDescent="0.3">
      <c r="A48" s="59" t="s">
        <v>310</v>
      </c>
      <c r="B48" s="301">
        <v>1</v>
      </c>
      <c r="C48" s="155">
        <v>1</v>
      </c>
      <c r="D48" s="60">
        <f t="shared" ref="D48:D88" si="2">SUM(B48:C48)</f>
        <v>2</v>
      </c>
      <c r="E48" s="63" t="s">
        <v>760</v>
      </c>
      <c r="F48" s="303">
        <v>39</v>
      </c>
      <c r="G48" s="156">
        <v>34</v>
      </c>
      <c r="H48" s="61">
        <f t="shared" ref="H48:H88" si="3">SUM(F48:G48)</f>
        <v>73</v>
      </c>
      <c r="I48" s="716"/>
      <c r="J48" s="616"/>
      <c r="K48" s="616"/>
      <c r="L48" s="616"/>
    </row>
    <row r="49" spans="1:8" ht="14.95" thickBot="1" x14ac:dyDescent="0.3">
      <c r="A49" s="59" t="s">
        <v>593</v>
      </c>
      <c r="B49" s="301">
        <v>2</v>
      </c>
      <c r="C49" s="155">
        <v>0</v>
      </c>
      <c r="D49" s="60">
        <f t="shared" si="2"/>
        <v>2</v>
      </c>
      <c r="E49" s="63" t="s">
        <v>489</v>
      </c>
      <c r="F49" s="303">
        <v>15</v>
      </c>
      <c r="G49" s="156">
        <v>0</v>
      </c>
      <c r="H49" s="61">
        <f t="shared" si="3"/>
        <v>15</v>
      </c>
    </row>
    <row r="50" spans="1:8" ht="14.95" thickBot="1" x14ac:dyDescent="0.3">
      <c r="A50" s="59" t="s">
        <v>1232</v>
      </c>
      <c r="B50" s="301">
        <v>1</v>
      </c>
      <c r="C50" s="155">
        <v>1</v>
      </c>
      <c r="D50" s="60">
        <f t="shared" si="2"/>
        <v>2</v>
      </c>
      <c r="E50" s="63" t="s">
        <v>4</v>
      </c>
      <c r="F50" s="303">
        <v>7</v>
      </c>
      <c r="G50" s="156">
        <v>7</v>
      </c>
      <c r="H50" s="61">
        <f t="shared" si="3"/>
        <v>14</v>
      </c>
    </row>
    <row r="51" spans="1:8" ht="14.95" thickBot="1" x14ac:dyDescent="0.3">
      <c r="A51" s="59" t="s">
        <v>762</v>
      </c>
      <c r="B51" s="301">
        <v>0</v>
      </c>
      <c r="C51" s="155">
        <v>2</v>
      </c>
      <c r="D51" s="60">
        <f t="shared" si="2"/>
        <v>2</v>
      </c>
      <c r="E51" s="63" t="s">
        <v>310</v>
      </c>
      <c r="F51" s="303">
        <v>5</v>
      </c>
      <c r="G51" s="156">
        <v>5</v>
      </c>
      <c r="H51" s="61">
        <f t="shared" si="3"/>
        <v>10</v>
      </c>
    </row>
    <row r="52" spans="1:8" ht="14.95" thickBot="1" x14ac:dyDescent="0.3">
      <c r="A52" s="59" t="s">
        <v>4</v>
      </c>
      <c r="B52" s="301">
        <v>1</v>
      </c>
      <c r="C52" s="155">
        <v>1</v>
      </c>
      <c r="D52" s="60">
        <f t="shared" si="2"/>
        <v>2</v>
      </c>
      <c r="E52" s="63" t="s">
        <v>593</v>
      </c>
      <c r="F52" s="303">
        <v>10</v>
      </c>
      <c r="G52" s="156">
        <v>0</v>
      </c>
      <c r="H52" s="61">
        <f t="shared" si="3"/>
        <v>10</v>
      </c>
    </row>
    <row r="53" spans="1:8" ht="14.95" thickBot="1" x14ac:dyDescent="0.3">
      <c r="A53" s="59" t="s">
        <v>757</v>
      </c>
      <c r="B53" s="301">
        <v>1</v>
      </c>
      <c r="C53" s="155">
        <v>0</v>
      </c>
      <c r="D53" s="60">
        <f t="shared" si="2"/>
        <v>1</v>
      </c>
      <c r="E53" s="63" t="s">
        <v>1232</v>
      </c>
      <c r="F53" s="303">
        <v>5</v>
      </c>
      <c r="G53" s="156">
        <v>5</v>
      </c>
      <c r="H53" s="61">
        <f t="shared" si="3"/>
        <v>10</v>
      </c>
    </row>
    <row r="54" spans="1:8" ht="14.95" thickBot="1" x14ac:dyDescent="0.3">
      <c r="A54" s="59" t="s">
        <v>468</v>
      </c>
      <c r="B54" s="301">
        <v>0</v>
      </c>
      <c r="C54" s="155">
        <v>1</v>
      </c>
      <c r="D54" s="60">
        <f t="shared" si="2"/>
        <v>1</v>
      </c>
      <c r="E54" s="63" t="s">
        <v>762</v>
      </c>
      <c r="F54" s="303">
        <v>0</v>
      </c>
      <c r="G54" s="156">
        <v>10</v>
      </c>
      <c r="H54" s="61">
        <f t="shared" si="3"/>
        <v>10</v>
      </c>
    </row>
    <row r="55" spans="1:8" ht="14.95" thickBot="1" x14ac:dyDescent="0.3">
      <c r="A55" s="59" t="s">
        <v>591</v>
      </c>
      <c r="B55" s="301">
        <v>0</v>
      </c>
      <c r="C55" s="155">
        <v>1</v>
      </c>
      <c r="D55" s="60">
        <f t="shared" si="2"/>
        <v>1</v>
      </c>
      <c r="E55" s="63" t="s">
        <v>757</v>
      </c>
      <c r="F55" s="303">
        <v>5</v>
      </c>
      <c r="G55" s="156">
        <v>0</v>
      </c>
      <c r="H55" s="61">
        <f t="shared" si="3"/>
        <v>5</v>
      </c>
    </row>
    <row r="56" spans="1:8" ht="14.95" thickBot="1" x14ac:dyDescent="0.3">
      <c r="A56" s="59" t="s">
        <v>307</v>
      </c>
      <c r="B56" s="301">
        <v>0</v>
      </c>
      <c r="C56" s="155">
        <v>1</v>
      </c>
      <c r="D56" s="60">
        <f t="shared" si="2"/>
        <v>1</v>
      </c>
      <c r="E56" s="63" t="s">
        <v>463</v>
      </c>
      <c r="F56" s="303">
        <v>0</v>
      </c>
      <c r="G56" s="156">
        <v>5</v>
      </c>
      <c r="H56" s="61">
        <f t="shared" si="3"/>
        <v>5</v>
      </c>
    </row>
    <row r="57" spans="1:8" ht="14.95" thickBot="1" x14ac:dyDescent="0.3">
      <c r="A57" s="59" t="s">
        <v>760</v>
      </c>
      <c r="B57" s="301">
        <v>1</v>
      </c>
      <c r="C57" s="155">
        <v>0</v>
      </c>
      <c r="D57" s="60">
        <f t="shared" si="2"/>
        <v>1</v>
      </c>
      <c r="E57" s="63" t="s">
        <v>468</v>
      </c>
      <c r="F57" s="303">
        <v>0</v>
      </c>
      <c r="G57" s="156">
        <v>5</v>
      </c>
      <c r="H57" s="61">
        <f t="shared" si="3"/>
        <v>5</v>
      </c>
    </row>
    <row r="58" spans="1:8" ht="14.95" thickBot="1" x14ac:dyDescent="0.3">
      <c r="A58" s="59" t="s">
        <v>755</v>
      </c>
      <c r="B58" s="301">
        <v>0</v>
      </c>
      <c r="C58" s="155">
        <v>1</v>
      </c>
      <c r="D58" s="60">
        <f t="shared" si="2"/>
        <v>1</v>
      </c>
      <c r="E58" s="63" t="s">
        <v>591</v>
      </c>
      <c r="F58" s="303">
        <v>0</v>
      </c>
      <c r="G58" s="156">
        <v>5</v>
      </c>
      <c r="H58" s="61">
        <f t="shared" si="3"/>
        <v>5</v>
      </c>
    </row>
    <row r="59" spans="1:8" ht="14.95" thickBot="1" x14ac:dyDescent="0.3">
      <c r="A59" s="59" t="s">
        <v>1178</v>
      </c>
      <c r="B59" s="301">
        <v>1</v>
      </c>
      <c r="C59" s="155">
        <v>0</v>
      </c>
      <c r="D59" s="60">
        <f t="shared" si="2"/>
        <v>1</v>
      </c>
      <c r="E59" s="63" t="s">
        <v>307</v>
      </c>
      <c r="F59" s="303">
        <v>0</v>
      </c>
      <c r="G59" s="156">
        <v>5</v>
      </c>
      <c r="H59" s="61">
        <f t="shared" si="3"/>
        <v>5</v>
      </c>
    </row>
    <row r="60" spans="1:8" ht="14.95" thickBot="1" x14ac:dyDescent="0.3">
      <c r="A60" s="59" t="s">
        <v>1191</v>
      </c>
      <c r="B60" s="301">
        <v>1</v>
      </c>
      <c r="C60" s="155">
        <v>0</v>
      </c>
      <c r="D60" s="60">
        <f t="shared" si="2"/>
        <v>1</v>
      </c>
      <c r="E60" s="63" t="s">
        <v>755</v>
      </c>
      <c r="F60" s="303">
        <v>0</v>
      </c>
      <c r="G60" s="156">
        <v>5</v>
      </c>
      <c r="H60" s="61">
        <f t="shared" si="3"/>
        <v>5</v>
      </c>
    </row>
    <row r="61" spans="1:8" ht="14.95" thickBot="1" x14ac:dyDescent="0.3">
      <c r="A61" s="59" t="s">
        <v>1247</v>
      </c>
      <c r="B61" s="301">
        <v>0</v>
      </c>
      <c r="C61" s="155">
        <v>1</v>
      </c>
      <c r="D61" s="60">
        <f t="shared" si="2"/>
        <v>1</v>
      </c>
      <c r="E61" s="63" t="s">
        <v>1178</v>
      </c>
      <c r="F61" s="303">
        <v>5</v>
      </c>
      <c r="G61" s="156">
        <v>0</v>
      </c>
      <c r="H61" s="61">
        <f t="shared" si="3"/>
        <v>5</v>
      </c>
    </row>
    <row r="62" spans="1:8" ht="14.95" thickBot="1" x14ac:dyDescent="0.3">
      <c r="A62" s="59" t="s">
        <v>1177</v>
      </c>
      <c r="B62" s="301">
        <v>1</v>
      </c>
      <c r="C62" s="155">
        <v>0</v>
      </c>
      <c r="D62" s="60">
        <f t="shared" si="2"/>
        <v>1</v>
      </c>
      <c r="E62" s="63" t="s">
        <v>1191</v>
      </c>
      <c r="F62" s="303">
        <v>5</v>
      </c>
      <c r="G62" s="156">
        <v>0</v>
      </c>
      <c r="H62" s="61">
        <f t="shared" si="3"/>
        <v>5</v>
      </c>
    </row>
    <row r="63" spans="1:8" ht="14.95" thickBot="1" x14ac:dyDescent="0.3">
      <c r="A63" s="59" t="s">
        <v>934</v>
      </c>
      <c r="B63" s="301">
        <v>1</v>
      </c>
      <c r="C63" s="155">
        <v>0</v>
      </c>
      <c r="D63" s="60">
        <f t="shared" si="2"/>
        <v>1</v>
      </c>
      <c r="E63" s="63" t="s">
        <v>1247</v>
      </c>
      <c r="F63" s="303">
        <v>0</v>
      </c>
      <c r="G63" s="156">
        <v>5</v>
      </c>
      <c r="H63" s="61">
        <f t="shared" si="3"/>
        <v>5</v>
      </c>
    </row>
    <row r="64" spans="1:8" ht="14.95" thickBot="1" x14ac:dyDescent="0.3">
      <c r="A64" s="59" t="s">
        <v>483</v>
      </c>
      <c r="B64" s="301">
        <v>1</v>
      </c>
      <c r="C64" s="155">
        <v>0</v>
      </c>
      <c r="D64" s="60">
        <f t="shared" si="2"/>
        <v>1</v>
      </c>
      <c r="E64" s="63" t="s">
        <v>1177</v>
      </c>
      <c r="F64" s="303">
        <v>5</v>
      </c>
      <c r="G64" s="156">
        <v>0</v>
      </c>
      <c r="H64" s="61">
        <f t="shared" si="3"/>
        <v>5</v>
      </c>
    </row>
    <row r="65" spans="1:8" ht="14.95" thickBot="1" x14ac:dyDescent="0.3">
      <c r="A65" s="59" t="s">
        <v>462</v>
      </c>
      <c r="B65" s="301">
        <v>0</v>
      </c>
      <c r="C65" s="155">
        <v>0</v>
      </c>
      <c r="D65" s="60">
        <f t="shared" si="2"/>
        <v>0</v>
      </c>
      <c r="E65" s="63" t="s">
        <v>934</v>
      </c>
      <c r="F65" s="303">
        <v>5</v>
      </c>
      <c r="G65" s="156">
        <v>0</v>
      </c>
      <c r="H65" s="61">
        <f t="shared" si="3"/>
        <v>5</v>
      </c>
    </row>
    <row r="66" spans="1:8" ht="14.95" thickBot="1" x14ac:dyDescent="0.3">
      <c r="A66" s="59" t="s">
        <v>463</v>
      </c>
      <c r="B66" s="301">
        <v>0</v>
      </c>
      <c r="C66" s="155">
        <v>0</v>
      </c>
      <c r="D66" s="60">
        <f t="shared" si="2"/>
        <v>0</v>
      </c>
      <c r="E66" s="63" t="s">
        <v>483</v>
      </c>
      <c r="F66" s="303">
        <v>5</v>
      </c>
      <c r="G66" s="156">
        <v>0</v>
      </c>
      <c r="H66" s="61">
        <f t="shared" si="3"/>
        <v>5</v>
      </c>
    </row>
    <row r="67" spans="1:8" ht="14.95" thickBot="1" x14ac:dyDescent="0.3">
      <c r="A67" s="59" t="s">
        <v>74</v>
      </c>
      <c r="B67" s="301">
        <v>0</v>
      </c>
      <c r="C67" s="155">
        <v>0</v>
      </c>
      <c r="D67" s="60">
        <f t="shared" si="2"/>
        <v>0</v>
      </c>
      <c r="E67" s="63" t="s">
        <v>1272</v>
      </c>
      <c r="F67" s="303">
        <v>0</v>
      </c>
      <c r="G67" s="156">
        <v>3</v>
      </c>
      <c r="H67" s="61">
        <f t="shared" si="3"/>
        <v>3</v>
      </c>
    </row>
    <row r="68" spans="1:8" ht="14.95" thickBot="1" x14ac:dyDescent="0.3">
      <c r="A68" s="59" t="s">
        <v>594</v>
      </c>
      <c r="B68" s="301">
        <v>0</v>
      </c>
      <c r="C68" s="155">
        <v>0</v>
      </c>
      <c r="D68" s="60">
        <f t="shared" si="2"/>
        <v>0</v>
      </c>
      <c r="E68" s="63" t="s">
        <v>462</v>
      </c>
      <c r="F68" s="303">
        <v>0</v>
      </c>
      <c r="G68" s="156">
        <v>0</v>
      </c>
      <c r="H68" s="61">
        <f t="shared" si="3"/>
        <v>0</v>
      </c>
    </row>
    <row r="69" spans="1:8" ht="14.95" thickBot="1" x14ac:dyDescent="0.3">
      <c r="A69" s="59" t="s">
        <v>761</v>
      </c>
      <c r="B69" s="301">
        <v>0</v>
      </c>
      <c r="C69" s="155">
        <v>0</v>
      </c>
      <c r="D69" s="60">
        <f t="shared" si="2"/>
        <v>0</v>
      </c>
      <c r="E69" s="63" t="s">
        <v>74</v>
      </c>
      <c r="F69" s="303">
        <v>0</v>
      </c>
      <c r="G69" s="156">
        <v>0</v>
      </c>
      <c r="H69" s="61">
        <f t="shared" si="3"/>
        <v>0</v>
      </c>
    </row>
    <row r="70" spans="1:8" ht="14.95" thickBot="1" x14ac:dyDescent="0.3">
      <c r="A70" s="59" t="s">
        <v>592</v>
      </c>
      <c r="B70" s="301">
        <v>0</v>
      </c>
      <c r="C70" s="155">
        <v>0</v>
      </c>
      <c r="D70" s="60">
        <f t="shared" si="2"/>
        <v>0</v>
      </c>
      <c r="E70" s="63" t="s">
        <v>594</v>
      </c>
      <c r="F70" s="303">
        <v>0</v>
      </c>
      <c r="G70" s="156">
        <v>0</v>
      </c>
      <c r="H70" s="61">
        <f t="shared" si="3"/>
        <v>0</v>
      </c>
    </row>
    <row r="71" spans="1:8" ht="14.95" thickBot="1" x14ac:dyDescent="0.3">
      <c r="A71" s="59" t="s">
        <v>1148</v>
      </c>
      <c r="B71" s="301">
        <v>0</v>
      </c>
      <c r="C71" s="155">
        <v>0</v>
      </c>
      <c r="D71" s="60">
        <f t="shared" si="2"/>
        <v>0</v>
      </c>
      <c r="E71" s="63" t="s">
        <v>761</v>
      </c>
      <c r="F71" s="303">
        <v>0</v>
      </c>
      <c r="G71" s="156">
        <v>0</v>
      </c>
      <c r="H71" s="61">
        <f t="shared" si="3"/>
        <v>0</v>
      </c>
    </row>
    <row r="72" spans="1:8" ht="14.95" thickBot="1" x14ac:dyDescent="0.3">
      <c r="A72" s="59" t="s">
        <v>1272</v>
      </c>
      <c r="B72" s="301">
        <v>0</v>
      </c>
      <c r="C72" s="155">
        <v>0</v>
      </c>
      <c r="D72" s="60">
        <f t="shared" si="2"/>
        <v>0</v>
      </c>
      <c r="E72" s="63" t="s">
        <v>592</v>
      </c>
      <c r="F72" s="303">
        <v>0</v>
      </c>
      <c r="G72" s="156">
        <v>0</v>
      </c>
      <c r="H72" s="61">
        <f t="shared" si="3"/>
        <v>0</v>
      </c>
    </row>
    <row r="73" spans="1:8" ht="14.95" thickBot="1" x14ac:dyDescent="0.3">
      <c r="A73" s="59" t="s">
        <v>524</v>
      </c>
      <c r="B73" s="301">
        <v>0</v>
      </c>
      <c r="C73" s="155">
        <v>0</v>
      </c>
      <c r="D73" s="60">
        <f t="shared" si="2"/>
        <v>0</v>
      </c>
      <c r="E73" s="63" t="s">
        <v>1148</v>
      </c>
      <c r="F73" s="303">
        <v>0</v>
      </c>
      <c r="G73" s="156">
        <v>0</v>
      </c>
      <c r="H73" s="61">
        <f t="shared" si="3"/>
        <v>0</v>
      </c>
    </row>
    <row r="74" spans="1:8" ht="14.95" thickBot="1" x14ac:dyDescent="0.3">
      <c r="A74" s="59" t="s">
        <v>1147</v>
      </c>
      <c r="B74" s="301">
        <v>0</v>
      </c>
      <c r="C74" s="155">
        <v>0</v>
      </c>
      <c r="D74" s="60">
        <f t="shared" si="2"/>
        <v>0</v>
      </c>
      <c r="E74" s="63" t="s">
        <v>524</v>
      </c>
      <c r="F74" s="303">
        <v>0</v>
      </c>
      <c r="G74" s="156">
        <v>0</v>
      </c>
      <c r="H74" s="61">
        <f t="shared" si="3"/>
        <v>0</v>
      </c>
    </row>
    <row r="75" spans="1:8" ht="14.95" thickBot="1" x14ac:dyDescent="0.3">
      <c r="A75" s="59" t="s">
        <v>993</v>
      </c>
      <c r="B75" s="301">
        <v>0</v>
      </c>
      <c r="C75" s="155">
        <v>0</v>
      </c>
      <c r="D75" s="60">
        <f t="shared" si="2"/>
        <v>0</v>
      </c>
      <c r="E75" s="63" t="s">
        <v>1147</v>
      </c>
      <c r="F75" s="303">
        <v>0</v>
      </c>
      <c r="G75" s="156">
        <v>0</v>
      </c>
      <c r="H75" s="61">
        <f t="shared" si="3"/>
        <v>0</v>
      </c>
    </row>
    <row r="76" spans="1:8" ht="14.95" thickBot="1" x14ac:dyDescent="0.3">
      <c r="A76" s="59" t="s">
        <v>259</v>
      </c>
      <c r="B76" s="301">
        <v>0</v>
      </c>
      <c r="C76" s="155">
        <v>0</v>
      </c>
      <c r="D76" s="60">
        <f t="shared" si="2"/>
        <v>0</v>
      </c>
      <c r="E76" s="63" t="s">
        <v>993</v>
      </c>
      <c r="F76" s="303">
        <v>0</v>
      </c>
      <c r="G76" s="156">
        <v>0</v>
      </c>
      <c r="H76" s="61">
        <f t="shared" si="3"/>
        <v>0</v>
      </c>
    </row>
    <row r="77" spans="1:8" ht="14.95" thickBot="1" x14ac:dyDescent="0.3">
      <c r="A77" s="59" t="s">
        <v>303</v>
      </c>
      <c r="B77" s="301">
        <v>0</v>
      </c>
      <c r="C77" s="155">
        <v>0</v>
      </c>
      <c r="D77" s="60">
        <f t="shared" si="2"/>
        <v>0</v>
      </c>
      <c r="E77" s="63" t="s">
        <v>259</v>
      </c>
      <c r="F77" s="303">
        <v>0</v>
      </c>
      <c r="G77" s="156">
        <v>0</v>
      </c>
      <c r="H77" s="61">
        <f t="shared" si="3"/>
        <v>0</v>
      </c>
    </row>
    <row r="78" spans="1:8" ht="14.95" thickBot="1" x14ac:dyDescent="0.3">
      <c r="A78" s="59" t="s">
        <v>590</v>
      </c>
      <c r="B78" s="301">
        <v>0</v>
      </c>
      <c r="C78" s="155">
        <v>0</v>
      </c>
      <c r="D78" s="60">
        <f t="shared" si="2"/>
        <v>0</v>
      </c>
      <c r="E78" s="63" t="s">
        <v>303</v>
      </c>
      <c r="F78" s="303">
        <v>0</v>
      </c>
      <c r="G78" s="156">
        <v>0</v>
      </c>
      <c r="H78" s="61">
        <f t="shared" si="3"/>
        <v>0</v>
      </c>
    </row>
    <row r="79" spans="1:8" ht="14.95" thickBot="1" x14ac:dyDescent="0.3">
      <c r="A79" s="59" t="s">
        <v>758</v>
      </c>
      <c r="B79" s="301">
        <v>0</v>
      </c>
      <c r="C79" s="155">
        <v>0</v>
      </c>
      <c r="D79" s="60">
        <f t="shared" si="2"/>
        <v>0</v>
      </c>
      <c r="E79" s="63" t="s">
        <v>590</v>
      </c>
      <c r="F79" s="303">
        <v>0</v>
      </c>
      <c r="G79" s="156">
        <v>0</v>
      </c>
      <c r="H79" s="61">
        <f t="shared" si="3"/>
        <v>0</v>
      </c>
    </row>
    <row r="80" spans="1:8" ht="14.95" thickBot="1" x14ac:dyDescent="0.3">
      <c r="A80" s="59" t="s">
        <v>489</v>
      </c>
      <c r="B80" s="301">
        <v>0</v>
      </c>
      <c r="C80" s="155">
        <v>0</v>
      </c>
      <c r="D80" s="60">
        <f t="shared" si="2"/>
        <v>0</v>
      </c>
      <c r="E80" s="63" t="s">
        <v>758</v>
      </c>
      <c r="F80" s="303">
        <v>0</v>
      </c>
      <c r="G80" s="156">
        <v>0</v>
      </c>
      <c r="H80" s="61">
        <f t="shared" si="3"/>
        <v>0</v>
      </c>
    </row>
    <row r="81" spans="1:8" ht="14.95" thickBot="1" x14ac:dyDescent="0.3">
      <c r="A81" s="59" t="s">
        <v>416</v>
      </c>
      <c r="B81" s="301">
        <v>0</v>
      </c>
      <c r="C81" s="155">
        <v>0</v>
      </c>
      <c r="D81" s="60">
        <f t="shared" si="2"/>
        <v>0</v>
      </c>
      <c r="E81" s="63" t="s">
        <v>416</v>
      </c>
      <c r="F81" s="303">
        <v>0</v>
      </c>
      <c r="G81" s="156">
        <v>0</v>
      </c>
      <c r="H81" s="61">
        <f t="shared" si="3"/>
        <v>0</v>
      </c>
    </row>
    <row r="82" spans="1:8" ht="14.95" thickBot="1" x14ac:dyDescent="0.3">
      <c r="A82" s="59" t="s">
        <v>756</v>
      </c>
      <c r="B82" s="301">
        <v>0</v>
      </c>
      <c r="C82" s="155">
        <v>0</v>
      </c>
      <c r="D82" s="60">
        <f t="shared" si="2"/>
        <v>0</v>
      </c>
      <c r="E82" s="63" t="s">
        <v>756</v>
      </c>
      <c r="F82" s="303">
        <v>0</v>
      </c>
      <c r="G82" s="156">
        <v>0</v>
      </c>
      <c r="H82" s="61">
        <f t="shared" si="3"/>
        <v>0</v>
      </c>
    </row>
    <row r="83" spans="1:8" ht="14.95" thickBot="1" x14ac:dyDescent="0.3">
      <c r="A83" s="59" t="s">
        <v>676</v>
      </c>
      <c r="B83" s="301">
        <v>0</v>
      </c>
      <c r="C83" s="155">
        <v>0</v>
      </c>
      <c r="D83" s="60">
        <f t="shared" si="2"/>
        <v>0</v>
      </c>
      <c r="E83" s="63" t="s">
        <v>676</v>
      </c>
      <c r="F83" s="303">
        <v>0</v>
      </c>
      <c r="G83" s="156">
        <v>0</v>
      </c>
      <c r="H83" s="61">
        <f t="shared" si="3"/>
        <v>0</v>
      </c>
    </row>
    <row r="84" spans="1:8" ht="14.95" thickBot="1" x14ac:dyDescent="0.3">
      <c r="A84" s="59" t="s">
        <v>759</v>
      </c>
      <c r="B84" s="301">
        <v>0</v>
      </c>
      <c r="C84" s="155">
        <v>0</v>
      </c>
      <c r="D84" s="60">
        <f t="shared" si="2"/>
        <v>0</v>
      </c>
      <c r="E84" s="63" t="s">
        <v>759</v>
      </c>
      <c r="F84" s="303">
        <v>0</v>
      </c>
      <c r="G84" s="156">
        <v>0</v>
      </c>
      <c r="H84" s="61">
        <f t="shared" si="3"/>
        <v>0</v>
      </c>
    </row>
    <row r="85" spans="1:8" ht="14.95" thickBot="1" x14ac:dyDescent="0.3">
      <c r="A85" s="59" t="s">
        <v>675</v>
      </c>
      <c r="B85" s="301">
        <v>0</v>
      </c>
      <c r="C85" s="155">
        <v>0</v>
      </c>
      <c r="D85" s="60">
        <f t="shared" si="2"/>
        <v>0</v>
      </c>
      <c r="E85" s="63" t="s">
        <v>675</v>
      </c>
      <c r="F85" s="303">
        <v>0</v>
      </c>
      <c r="G85" s="156">
        <v>0</v>
      </c>
      <c r="H85" s="61">
        <f t="shared" si="3"/>
        <v>0</v>
      </c>
    </row>
    <row r="86" spans="1:8" ht="14.95" thickBot="1" x14ac:dyDescent="0.3">
      <c r="A86" s="59" t="s">
        <v>933</v>
      </c>
      <c r="B86" s="301">
        <v>0</v>
      </c>
      <c r="C86" s="155">
        <v>0</v>
      </c>
      <c r="D86" s="60">
        <f t="shared" si="2"/>
        <v>0</v>
      </c>
      <c r="E86" s="63" t="s">
        <v>933</v>
      </c>
      <c r="F86" s="303">
        <v>0</v>
      </c>
      <c r="G86" s="156">
        <v>0</v>
      </c>
      <c r="H86" s="61">
        <f t="shared" si="3"/>
        <v>0</v>
      </c>
    </row>
    <row r="87" spans="1:8" ht="14.95" thickBot="1" x14ac:dyDescent="0.3">
      <c r="A87" s="59" t="s">
        <v>611</v>
      </c>
      <c r="B87" s="301">
        <v>0</v>
      </c>
      <c r="C87" s="155">
        <v>0</v>
      </c>
      <c r="D87" s="60">
        <f t="shared" si="2"/>
        <v>0</v>
      </c>
      <c r="E87" s="63" t="s">
        <v>611</v>
      </c>
      <c r="F87" s="303">
        <v>0</v>
      </c>
      <c r="G87" s="156">
        <v>0</v>
      </c>
      <c r="H87" s="61">
        <f t="shared" si="3"/>
        <v>0</v>
      </c>
    </row>
    <row r="88" spans="1:8" ht="14.95" thickBot="1" x14ac:dyDescent="0.3">
      <c r="A88" s="59" t="s">
        <v>448</v>
      </c>
      <c r="B88" s="301">
        <v>0</v>
      </c>
      <c r="C88" s="155">
        <v>0</v>
      </c>
      <c r="D88" s="60">
        <f t="shared" si="2"/>
        <v>0</v>
      </c>
      <c r="E88" s="63" t="s">
        <v>448</v>
      </c>
      <c r="F88" s="303">
        <v>0</v>
      </c>
      <c r="G88" s="156">
        <v>0</v>
      </c>
      <c r="H88" s="61">
        <f t="shared" si="3"/>
        <v>0</v>
      </c>
    </row>
    <row r="89" spans="1:8" ht="14.95" thickBot="1" x14ac:dyDescent="0.3">
      <c r="A89" s="59" t="s">
        <v>3</v>
      </c>
      <c r="B89" s="301">
        <f>SUM(B48:B88)</f>
        <v>12</v>
      </c>
      <c r="C89" s="155">
        <f>SUM(C48:C88)</f>
        <v>10</v>
      </c>
      <c r="D89" s="60">
        <f t="shared" ref="D89" si="4">SUM(B89:C89)</f>
        <v>22</v>
      </c>
      <c r="E89" s="63" t="s">
        <v>3</v>
      </c>
      <c r="F89" s="303">
        <f>SUM(F48:F88)</f>
        <v>111</v>
      </c>
      <c r="G89" s="156">
        <f>SUM(G48:G88)</f>
        <v>94</v>
      </c>
      <c r="H89" s="61">
        <f t="shared" ref="H89" si="5">SUM(F89:G89)</f>
        <v>205</v>
      </c>
    </row>
    <row r="90" spans="1:8" ht="16.3" x14ac:dyDescent="0.3">
      <c r="A90" s="487" t="s">
        <v>28</v>
      </c>
      <c r="C90" s="487"/>
      <c r="E90" s="487"/>
      <c r="G90" s="487"/>
    </row>
  </sheetData>
  <sortState xmlns:xlrd2="http://schemas.microsoft.com/office/spreadsheetml/2017/richdata2" ref="E48:H88">
    <sortCondition descending="1" ref="H48:H88"/>
  </sortState>
  <mergeCells count="33">
    <mergeCell ref="AR31:AT32"/>
    <mergeCell ref="AU31:AW32"/>
    <mergeCell ref="M1:O2"/>
    <mergeCell ref="P1:P2"/>
    <mergeCell ref="P32:R33"/>
    <mergeCell ref="AI32:AK33"/>
    <mergeCell ref="AL32:AN33"/>
    <mergeCell ref="AO1:AQ2"/>
    <mergeCell ref="AO32:AQ33"/>
    <mergeCell ref="S32:U33"/>
    <mergeCell ref="AL1:AN2"/>
    <mergeCell ref="W1:Y2"/>
    <mergeCell ref="T1:V2"/>
    <mergeCell ref="AI1:AK2"/>
    <mergeCell ref="AF1:AH2"/>
    <mergeCell ref="AF32:AH33"/>
    <mergeCell ref="AC1:AE2"/>
    <mergeCell ref="AC32:AE33"/>
    <mergeCell ref="M32:O33"/>
    <mergeCell ref="P19:R20"/>
    <mergeCell ref="M19:O20"/>
    <mergeCell ref="Q1:S2"/>
    <mergeCell ref="Z1:AB2"/>
    <mergeCell ref="Z32:AB33"/>
    <mergeCell ref="I46:I48"/>
    <mergeCell ref="J46:L48"/>
    <mergeCell ref="A1:H1"/>
    <mergeCell ref="I19:I20"/>
    <mergeCell ref="I32:I33"/>
    <mergeCell ref="I1:I2"/>
    <mergeCell ref="J1:L2"/>
    <mergeCell ref="J32:L33"/>
    <mergeCell ref="J19:L20"/>
  </mergeCell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S92"/>
  <sheetViews>
    <sheetView workbookViewId="0">
      <selection activeCell="Y28" sqref="Y28"/>
    </sheetView>
  </sheetViews>
  <sheetFormatPr defaultRowHeight="14.3" x14ac:dyDescent="0.25"/>
  <cols>
    <col min="1" max="1" width="16.5" customWidth="1"/>
    <col min="2" max="2" width="4.5" customWidth="1"/>
    <col min="3" max="3" width="5.125" bestFit="1" customWidth="1"/>
    <col min="4" max="5" width="4.5" customWidth="1"/>
    <col min="6" max="6" width="16.5" customWidth="1"/>
    <col min="7" max="7" width="4.5" customWidth="1"/>
    <col min="8" max="8" width="5.125" bestFit="1" customWidth="1"/>
    <col min="9" max="10" width="4.5" customWidth="1"/>
    <col min="11" max="11" width="15.5" customWidth="1"/>
    <col min="12" max="29" width="5.5" customWidth="1"/>
    <col min="30" max="45" width="5.625" customWidth="1"/>
  </cols>
  <sheetData>
    <row r="1" spans="1:45" ht="14.95" customHeight="1" thickBot="1" x14ac:dyDescent="0.3">
      <c r="A1" s="722" t="s">
        <v>1164</v>
      </c>
      <c r="B1" s="723"/>
      <c r="C1" s="723"/>
      <c r="D1" s="723"/>
      <c r="E1" s="723"/>
      <c r="F1" s="723"/>
      <c r="G1" s="723"/>
      <c r="H1" s="723"/>
      <c r="I1" s="723"/>
      <c r="J1" s="724"/>
      <c r="K1" s="727" t="s">
        <v>112</v>
      </c>
      <c r="L1" s="583">
        <v>2025</v>
      </c>
      <c r="M1" s="584"/>
      <c r="N1" s="585"/>
      <c r="O1" s="583" t="s">
        <v>32</v>
      </c>
      <c r="P1" s="584"/>
      <c r="Q1" s="585"/>
      <c r="R1" s="579" t="s">
        <v>121</v>
      </c>
      <c r="S1" s="568">
        <v>2024</v>
      </c>
      <c r="T1" s="569"/>
      <c r="U1" s="570"/>
      <c r="V1" s="568">
        <v>2023</v>
      </c>
      <c r="W1" s="569"/>
      <c r="X1" s="570"/>
      <c r="Y1" s="568">
        <v>2022</v>
      </c>
      <c r="Z1" s="569"/>
      <c r="AA1" s="570"/>
      <c r="AB1" s="614"/>
      <c r="AC1" s="614"/>
      <c r="AD1" s="614"/>
      <c r="AE1" s="568">
        <v>2021</v>
      </c>
      <c r="AF1" s="569"/>
      <c r="AG1" s="570"/>
      <c r="AH1" s="568">
        <v>2020</v>
      </c>
      <c r="AI1" s="558"/>
      <c r="AJ1" s="559"/>
      <c r="AK1" s="568">
        <v>2019</v>
      </c>
      <c r="AL1" s="569"/>
      <c r="AM1" s="570"/>
      <c r="AN1" s="568">
        <v>2018</v>
      </c>
      <c r="AO1" s="569"/>
      <c r="AP1" s="570"/>
      <c r="AQ1" s="568">
        <v>2017</v>
      </c>
      <c r="AR1" s="569"/>
      <c r="AS1" s="570"/>
    </row>
    <row r="2" spans="1:45" ht="14.95" customHeight="1" thickBot="1" x14ac:dyDescent="0.3">
      <c r="A2" s="213" t="s">
        <v>0</v>
      </c>
      <c r="B2" s="313" t="s">
        <v>1361</v>
      </c>
      <c r="C2" s="513" t="s">
        <v>1285</v>
      </c>
      <c r="D2" s="214" t="s">
        <v>31</v>
      </c>
      <c r="E2" s="214" t="s">
        <v>1</v>
      </c>
      <c r="F2" s="215" t="s">
        <v>2</v>
      </c>
      <c r="G2" s="203" t="s">
        <v>1361</v>
      </c>
      <c r="H2" s="506" t="s">
        <v>1285</v>
      </c>
      <c r="I2" s="216" t="s">
        <v>31</v>
      </c>
      <c r="J2" s="216" t="s">
        <v>1</v>
      </c>
      <c r="K2" s="728"/>
      <c r="L2" s="586"/>
      <c r="M2" s="587"/>
      <c r="N2" s="588"/>
      <c r="O2" s="586"/>
      <c r="P2" s="587"/>
      <c r="Q2" s="588"/>
      <c r="R2" s="580"/>
      <c r="S2" s="571"/>
      <c r="T2" s="572"/>
      <c r="U2" s="573"/>
      <c r="V2" s="571"/>
      <c r="W2" s="572"/>
      <c r="X2" s="573"/>
      <c r="Y2" s="571"/>
      <c r="Z2" s="572"/>
      <c r="AA2" s="573"/>
      <c r="AB2" s="614"/>
      <c r="AC2" s="614"/>
      <c r="AD2" s="614"/>
      <c r="AE2" s="571"/>
      <c r="AF2" s="572"/>
      <c r="AG2" s="573"/>
      <c r="AH2" s="560"/>
      <c r="AI2" s="561"/>
      <c r="AJ2" s="562"/>
      <c r="AK2" s="571"/>
      <c r="AL2" s="572"/>
      <c r="AM2" s="573"/>
      <c r="AN2" s="571"/>
      <c r="AO2" s="572"/>
      <c r="AP2" s="573"/>
      <c r="AQ2" s="571"/>
      <c r="AR2" s="572"/>
      <c r="AS2" s="573"/>
    </row>
    <row r="3" spans="1:45" ht="14.95" customHeight="1" thickBot="1" x14ac:dyDescent="0.3">
      <c r="A3" s="56" t="s">
        <v>1359</v>
      </c>
      <c r="B3" s="314">
        <v>1</v>
      </c>
      <c r="C3" s="514">
        <v>0</v>
      </c>
      <c r="D3" s="141">
        <v>0</v>
      </c>
      <c r="E3" s="57">
        <f t="shared" ref="E3:E45" si="0">SUM(B3:D3)</f>
        <v>1</v>
      </c>
      <c r="F3" s="66" t="s">
        <v>1359</v>
      </c>
      <c r="G3" s="326">
        <v>5</v>
      </c>
      <c r="H3" s="378">
        <v>0</v>
      </c>
      <c r="I3" s="275">
        <v>0</v>
      </c>
      <c r="J3" s="67">
        <f t="shared" ref="J3:J45" si="1">SUM(G3:I3)</f>
        <v>5</v>
      </c>
      <c r="K3" s="440"/>
      <c r="L3" s="53" t="s">
        <v>152</v>
      </c>
      <c r="M3" s="53" t="s">
        <v>12</v>
      </c>
      <c r="N3" s="53" t="s">
        <v>13</v>
      </c>
      <c r="O3" s="181" t="s">
        <v>152</v>
      </c>
      <c r="P3" s="53" t="s">
        <v>12</v>
      </c>
      <c r="Q3" s="53" t="s">
        <v>13</v>
      </c>
      <c r="R3" s="1"/>
      <c r="S3" s="128" t="s">
        <v>152</v>
      </c>
      <c r="T3" s="128" t="s">
        <v>12</v>
      </c>
      <c r="U3" s="128" t="s">
        <v>13</v>
      </c>
      <c r="V3" s="128" t="s">
        <v>152</v>
      </c>
      <c r="W3" s="128" t="s">
        <v>12</v>
      </c>
      <c r="X3" s="128" t="s">
        <v>13</v>
      </c>
      <c r="Y3" s="128" t="s">
        <v>152</v>
      </c>
      <c r="Z3" s="128" t="s">
        <v>12</v>
      </c>
      <c r="AA3" s="128" t="s">
        <v>13</v>
      </c>
      <c r="AB3" s="41"/>
      <c r="AC3" s="41"/>
      <c r="AD3" s="41"/>
      <c r="AE3" s="228" t="s">
        <v>152</v>
      </c>
      <c r="AF3" s="128" t="s">
        <v>12</v>
      </c>
      <c r="AG3" s="128" t="s">
        <v>13</v>
      </c>
      <c r="AH3" s="228" t="s">
        <v>152</v>
      </c>
      <c r="AI3" s="128" t="s">
        <v>12</v>
      </c>
      <c r="AJ3" s="128" t="s">
        <v>13</v>
      </c>
      <c r="AK3" s="228" t="s">
        <v>152</v>
      </c>
      <c r="AL3" s="128" t="s">
        <v>12</v>
      </c>
      <c r="AM3" s="128" t="s">
        <v>13</v>
      </c>
      <c r="AN3" s="228" t="s">
        <v>152</v>
      </c>
      <c r="AO3" s="128" t="s">
        <v>12</v>
      </c>
      <c r="AP3" s="128" t="s">
        <v>13</v>
      </c>
      <c r="AQ3" s="228" t="s">
        <v>152</v>
      </c>
      <c r="AR3" s="128" t="s">
        <v>12</v>
      </c>
      <c r="AS3" s="128" t="s">
        <v>13</v>
      </c>
    </row>
    <row r="4" spans="1:45" ht="14.95" customHeight="1" thickBot="1" x14ac:dyDescent="0.3">
      <c r="A4" s="56" t="s">
        <v>1426</v>
      </c>
      <c r="B4" s="314">
        <v>0</v>
      </c>
      <c r="C4" s="514">
        <v>2</v>
      </c>
      <c r="D4" s="141">
        <v>0</v>
      </c>
      <c r="E4" s="57">
        <f t="shared" ref="E4" si="2">SUM(B4:D4)</f>
        <v>2</v>
      </c>
      <c r="F4" s="66" t="s">
        <v>1426</v>
      </c>
      <c r="G4" s="326">
        <v>0</v>
      </c>
      <c r="H4" s="378">
        <v>10</v>
      </c>
      <c r="I4" s="275">
        <v>0</v>
      </c>
      <c r="J4" s="67">
        <f t="shared" ref="J4" si="3">SUM(G4:I4)</f>
        <v>10</v>
      </c>
      <c r="K4" s="249" t="s">
        <v>314</v>
      </c>
      <c r="L4" s="57">
        <v>2</v>
      </c>
      <c r="M4" s="57">
        <v>2</v>
      </c>
      <c r="N4" s="58">
        <f>SUM(L4/M4)*100</f>
        <v>100</v>
      </c>
      <c r="O4" s="57" t="s">
        <v>17</v>
      </c>
      <c r="P4" s="57" t="s">
        <v>17</v>
      </c>
      <c r="Q4" s="58" t="s">
        <v>17</v>
      </c>
      <c r="R4" s="57">
        <v>3</v>
      </c>
      <c r="S4" s="128" t="s">
        <v>17</v>
      </c>
      <c r="T4" s="128" t="s">
        <v>17</v>
      </c>
      <c r="U4" s="231" t="s">
        <v>17</v>
      </c>
      <c r="V4" s="128" t="s">
        <v>17</v>
      </c>
      <c r="W4" s="128" t="s">
        <v>17</v>
      </c>
      <c r="X4" s="231" t="s">
        <v>17</v>
      </c>
      <c r="Y4" s="128">
        <v>3</v>
      </c>
      <c r="Z4" s="128">
        <v>5</v>
      </c>
      <c r="AA4" s="231">
        <f>SUM(Y4/Z4)*100</f>
        <v>60</v>
      </c>
      <c r="AB4" s="41"/>
      <c r="AC4" s="41"/>
      <c r="AD4" s="43"/>
      <c r="AE4" s="228" t="s">
        <v>17</v>
      </c>
      <c r="AF4" s="128" t="s">
        <v>17</v>
      </c>
      <c r="AG4" s="231" t="s">
        <v>17</v>
      </c>
      <c r="AH4" s="228" t="s">
        <v>17</v>
      </c>
      <c r="AI4" s="128" t="s">
        <v>17</v>
      </c>
      <c r="AJ4" s="128" t="s">
        <v>17</v>
      </c>
      <c r="AK4" s="228">
        <v>2</v>
      </c>
      <c r="AL4" s="128">
        <v>4</v>
      </c>
      <c r="AM4" s="231">
        <f>SUM(AK4/AL4)*100</f>
        <v>50</v>
      </c>
      <c r="AN4" s="228" t="s">
        <v>17</v>
      </c>
      <c r="AO4" s="128" t="s">
        <v>17</v>
      </c>
      <c r="AP4" s="128" t="s">
        <v>17</v>
      </c>
      <c r="AQ4" s="228" t="s">
        <v>17</v>
      </c>
      <c r="AR4" s="128" t="s">
        <v>17</v>
      </c>
      <c r="AS4" s="128" t="s">
        <v>17</v>
      </c>
    </row>
    <row r="5" spans="1:45" ht="14.95" customHeight="1" thickBot="1" x14ac:dyDescent="0.3">
      <c r="A5" s="56" t="s">
        <v>737</v>
      </c>
      <c r="B5" s="314">
        <v>0</v>
      </c>
      <c r="C5" s="514">
        <v>0</v>
      </c>
      <c r="D5" s="141">
        <v>0</v>
      </c>
      <c r="E5" s="57">
        <f t="shared" si="0"/>
        <v>0</v>
      </c>
      <c r="F5" s="66" t="s">
        <v>737</v>
      </c>
      <c r="G5" s="326">
        <v>0</v>
      </c>
      <c r="H5" s="378">
        <v>0</v>
      </c>
      <c r="I5" s="275">
        <v>0</v>
      </c>
      <c r="J5" s="67">
        <f t="shared" si="1"/>
        <v>0</v>
      </c>
      <c r="K5" s="141" t="s">
        <v>505</v>
      </c>
      <c r="L5" s="57">
        <v>4</v>
      </c>
      <c r="M5" s="57">
        <v>9</v>
      </c>
      <c r="N5" s="58">
        <f>SUM(L5/M5)*100</f>
        <v>44.444444444444443</v>
      </c>
      <c r="O5" s="57" t="s">
        <v>17</v>
      </c>
      <c r="P5" s="57" t="s">
        <v>17</v>
      </c>
      <c r="Q5" s="58" t="s">
        <v>17</v>
      </c>
      <c r="R5" s="57">
        <v>-1</v>
      </c>
      <c r="S5" s="128">
        <v>10</v>
      </c>
      <c r="T5" s="128">
        <v>13</v>
      </c>
      <c r="U5" s="231">
        <f>SUM(S5/T5)*100</f>
        <v>76.923076923076934</v>
      </c>
      <c r="V5" s="128" t="s">
        <v>17</v>
      </c>
      <c r="W5" s="128" t="s">
        <v>17</v>
      </c>
      <c r="X5" s="231" t="s">
        <v>17</v>
      </c>
      <c r="Y5" s="128">
        <v>8</v>
      </c>
      <c r="Z5" s="128">
        <v>12</v>
      </c>
      <c r="AA5" s="231">
        <f>SUM(Y5/Z5)*100</f>
        <v>66.666666666666657</v>
      </c>
      <c r="AB5" s="41"/>
      <c r="AC5" s="41"/>
      <c r="AD5" s="41"/>
      <c r="AE5" s="228" t="s">
        <v>17</v>
      </c>
      <c r="AF5" s="128" t="s">
        <v>17</v>
      </c>
      <c r="AG5" s="231" t="s">
        <v>17</v>
      </c>
      <c r="AH5" s="232" t="s">
        <v>17</v>
      </c>
      <c r="AI5" s="128" t="s">
        <v>17</v>
      </c>
      <c r="AJ5" s="231" t="s">
        <v>17</v>
      </c>
      <c r="AK5" s="232" t="s">
        <v>17</v>
      </c>
      <c r="AL5" s="128" t="s">
        <v>17</v>
      </c>
      <c r="AM5" s="231" t="s">
        <v>17</v>
      </c>
      <c r="AN5" s="128" t="s">
        <v>17</v>
      </c>
      <c r="AO5" s="128" t="s">
        <v>17</v>
      </c>
      <c r="AP5" s="231" t="s">
        <v>17</v>
      </c>
      <c r="AQ5" s="128" t="s">
        <v>17</v>
      </c>
      <c r="AR5" s="128" t="s">
        <v>17</v>
      </c>
      <c r="AS5" s="231" t="s">
        <v>17</v>
      </c>
    </row>
    <row r="6" spans="1:45" ht="14.95" customHeight="1" thickBot="1" x14ac:dyDescent="0.3">
      <c r="A6" s="56" t="s">
        <v>314</v>
      </c>
      <c r="B6" s="314">
        <v>0</v>
      </c>
      <c r="C6" s="514">
        <v>0</v>
      </c>
      <c r="D6" s="141">
        <v>0</v>
      </c>
      <c r="E6" s="57">
        <f t="shared" si="0"/>
        <v>0</v>
      </c>
      <c r="F6" s="66" t="s">
        <v>314</v>
      </c>
      <c r="G6" s="326">
        <v>6</v>
      </c>
      <c r="H6" s="378">
        <v>0</v>
      </c>
      <c r="I6" s="275">
        <v>0</v>
      </c>
      <c r="J6" s="67">
        <f t="shared" si="1"/>
        <v>6</v>
      </c>
      <c r="K6" s="141" t="s">
        <v>638</v>
      </c>
      <c r="L6" s="57">
        <v>4</v>
      </c>
      <c r="M6" s="57">
        <v>7</v>
      </c>
      <c r="N6" s="58">
        <f t="shared" ref="N6" si="4">SUM(L6/M6)*100</f>
        <v>57.142857142857139</v>
      </c>
      <c r="O6" s="57" t="s">
        <v>17</v>
      </c>
      <c r="P6" s="57" t="s">
        <v>17</v>
      </c>
      <c r="Q6" s="58" t="s">
        <v>17</v>
      </c>
      <c r="R6" s="57">
        <v>-1</v>
      </c>
      <c r="S6" s="128" t="s">
        <v>17</v>
      </c>
      <c r="T6" s="128" t="s">
        <v>17</v>
      </c>
      <c r="U6" s="231" t="s">
        <v>17</v>
      </c>
      <c r="V6" s="128">
        <v>15</v>
      </c>
      <c r="W6" s="128">
        <v>22</v>
      </c>
      <c r="X6" s="231">
        <f>SUM(V6/W6)*100</f>
        <v>68.181818181818173</v>
      </c>
      <c r="Y6" s="128" t="s">
        <v>17</v>
      </c>
      <c r="Z6" s="128" t="s">
        <v>17</v>
      </c>
      <c r="AA6" s="231" t="s">
        <v>17</v>
      </c>
      <c r="AB6" s="41"/>
      <c r="AC6" s="41"/>
      <c r="AD6" s="41"/>
      <c r="AE6" s="228" t="s">
        <v>17</v>
      </c>
      <c r="AF6" s="128" t="s">
        <v>17</v>
      </c>
      <c r="AG6" s="231" t="s">
        <v>17</v>
      </c>
      <c r="AH6" s="232" t="s">
        <v>17</v>
      </c>
      <c r="AI6" s="128" t="s">
        <v>17</v>
      </c>
      <c r="AJ6" s="231" t="s">
        <v>17</v>
      </c>
      <c r="AK6" s="232" t="s">
        <v>17</v>
      </c>
      <c r="AL6" s="128" t="s">
        <v>17</v>
      </c>
      <c r="AM6" s="231" t="s">
        <v>17</v>
      </c>
      <c r="AN6" s="128" t="s">
        <v>17</v>
      </c>
      <c r="AO6" s="128" t="s">
        <v>17</v>
      </c>
      <c r="AP6" s="231" t="s">
        <v>17</v>
      </c>
      <c r="AQ6" s="128" t="s">
        <v>17</v>
      </c>
      <c r="AR6" s="128" t="s">
        <v>17</v>
      </c>
      <c r="AS6" s="231" t="s">
        <v>17</v>
      </c>
    </row>
    <row r="7" spans="1:45" ht="14.95" customHeight="1" thickBot="1" x14ac:dyDescent="0.3">
      <c r="A7" s="56" t="s">
        <v>1405</v>
      </c>
      <c r="B7" s="314">
        <v>0</v>
      </c>
      <c r="C7" s="514">
        <v>2</v>
      </c>
      <c r="D7" s="141">
        <v>0</v>
      </c>
      <c r="E7" s="57">
        <f t="shared" si="0"/>
        <v>2</v>
      </c>
      <c r="F7" s="66" t="s">
        <v>1405</v>
      </c>
      <c r="G7" s="326">
        <v>0</v>
      </c>
      <c r="H7" s="378">
        <v>10</v>
      </c>
      <c r="I7" s="275">
        <v>0</v>
      </c>
      <c r="J7" s="67">
        <f t="shared" si="1"/>
        <v>10</v>
      </c>
      <c r="K7" s="141" t="s">
        <v>262</v>
      </c>
      <c r="L7" s="57" t="s">
        <v>17</v>
      </c>
      <c r="M7" s="57" t="s">
        <v>17</v>
      </c>
      <c r="N7" s="58" t="s">
        <v>17</v>
      </c>
      <c r="O7" s="57" t="s">
        <v>17</v>
      </c>
      <c r="P7" s="57" t="s">
        <v>17</v>
      </c>
      <c r="Q7" s="58" t="s">
        <v>17</v>
      </c>
      <c r="R7" s="57">
        <v>-1</v>
      </c>
      <c r="S7" s="128">
        <v>15</v>
      </c>
      <c r="T7" s="128">
        <v>17</v>
      </c>
      <c r="U7" s="231">
        <f>SUM(S7/T7)*100</f>
        <v>88.235294117647058</v>
      </c>
      <c r="V7" s="128">
        <v>8</v>
      </c>
      <c r="W7" s="128">
        <v>9</v>
      </c>
      <c r="X7" s="231">
        <f>SUM(V7/W7)*100</f>
        <v>88.888888888888886</v>
      </c>
      <c r="Y7" s="128">
        <v>3</v>
      </c>
      <c r="Z7" s="128">
        <v>5</v>
      </c>
      <c r="AA7" s="231">
        <f>SUM(Y7/Z7)*100</f>
        <v>60</v>
      </c>
      <c r="AB7" s="41"/>
      <c r="AC7" s="41"/>
      <c r="AD7" s="41"/>
      <c r="AE7" s="228">
        <v>1</v>
      </c>
      <c r="AF7" s="128">
        <v>1</v>
      </c>
      <c r="AG7" s="231">
        <f>SUM(AE7/AF7)*100</f>
        <v>100</v>
      </c>
      <c r="AH7" s="228" t="s">
        <v>17</v>
      </c>
      <c r="AI7" s="128" t="s">
        <v>17</v>
      </c>
      <c r="AJ7" s="128" t="s">
        <v>17</v>
      </c>
      <c r="AK7" s="228" t="s">
        <v>17</v>
      </c>
      <c r="AL7" s="128" t="s">
        <v>17</v>
      </c>
      <c r="AM7" s="128" t="s">
        <v>17</v>
      </c>
      <c r="AN7" s="228">
        <v>1</v>
      </c>
      <c r="AO7" s="128">
        <v>1</v>
      </c>
      <c r="AP7" s="231">
        <f>SUM(AN7/AO7)*100</f>
        <v>100</v>
      </c>
      <c r="AQ7" s="228" t="s">
        <v>17</v>
      </c>
      <c r="AR7" s="128" t="s">
        <v>17</v>
      </c>
      <c r="AS7" s="128" t="s">
        <v>17</v>
      </c>
    </row>
    <row r="8" spans="1:45" ht="14.95" customHeight="1" thickBot="1" x14ac:dyDescent="0.3">
      <c r="A8" s="56" t="s">
        <v>734</v>
      </c>
      <c r="B8" s="314">
        <v>0</v>
      </c>
      <c r="C8" s="514">
        <v>0</v>
      </c>
      <c r="D8" s="141">
        <v>0</v>
      </c>
      <c r="E8" s="57">
        <f t="shared" si="0"/>
        <v>0</v>
      </c>
      <c r="F8" s="66" t="s">
        <v>734</v>
      </c>
      <c r="G8" s="326">
        <v>0</v>
      </c>
      <c r="H8" s="378">
        <v>0</v>
      </c>
      <c r="I8" s="275">
        <v>0</v>
      </c>
      <c r="J8" s="67">
        <f t="shared" si="1"/>
        <v>0</v>
      </c>
      <c r="K8" s="141" t="s">
        <v>947</v>
      </c>
      <c r="L8" s="57" t="s">
        <v>17</v>
      </c>
      <c r="M8" s="57" t="s">
        <v>17</v>
      </c>
      <c r="N8" s="58" t="s">
        <v>17</v>
      </c>
      <c r="O8" s="57" t="s">
        <v>17</v>
      </c>
      <c r="P8" s="57" t="s">
        <v>17</v>
      </c>
      <c r="Q8" s="58" t="s">
        <v>17</v>
      </c>
      <c r="R8" s="57">
        <v>-1</v>
      </c>
      <c r="S8" s="128">
        <v>0</v>
      </c>
      <c r="T8" s="128">
        <v>1</v>
      </c>
      <c r="U8" s="231">
        <f>SUM(S8/T8)*100</f>
        <v>0</v>
      </c>
      <c r="V8" s="128" t="s">
        <v>17</v>
      </c>
      <c r="W8" s="128" t="s">
        <v>17</v>
      </c>
      <c r="X8" s="231" t="s">
        <v>17</v>
      </c>
      <c r="Y8" s="128" t="s">
        <v>17</v>
      </c>
      <c r="Z8" s="128" t="s">
        <v>17</v>
      </c>
      <c r="AA8" s="231" t="s">
        <v>17</v>
      </c>
      <c r="AB8" s="41"/>
      <c r="AC8" s="41"/>
      <c r="AD8" s="41"/>
      <c r="AE8" s="228" t="s">
        <v>17</v>
      </c>
      <c r="AF8" s="128" t="s">
        <v>17</v>
      </c>
      <c r="AG8" s="231" t="s">
        <v>17</v>
      </c>
      <c r="AH8" s="228" t="s">
        <v>17</v>
      </c>
      <c r="AI8" s="128" t="s">
        <v>17</v>
      </c>
      <c r="AJ8" s="128" t="s">
        <v>17</v>
      </c>
      <c r="AK8" s="228" t="s">
        <v>17</v>
      </c>
      <c r="AL8" s="128" t="s">
        <v>17</v>
      </c>
      <c r="AM8" s="128" t="s">
        <v>17</v>
      </c>
      <c r="AN8" s="228" t="s">
        <v>17</v>
      </c>
      <c r="AO8" s="128" t="s">
        <v>17</v>
      </c>
      <c r="AP8" s="128" t="s">
        <v>17</v>
      </c>
      <c r="AQ8" s="228" t="s">
        <v>17</v>
      </c>
      <c r="AR8" s="128" t="s">
        <v>17</v>
      </c>
      <c r="AS8" s="128" t="s">
        <v>17</v>
      </c>
    </row>
    <row r="9" spans="1:45" ht="14.95" customHeight="1" thickBot="1" x14ac:dyDescent="0.3">
      <c r="A9" s="56" t="s">
        <v>735</v>
      </c>
      <c r="B9" s="314">
        <v>0</v>
      </c>
      <c r="C9" s="514">
        <v>0</v>
      </c>
      <c r="D9" s="141">
        <v>0</v>
      </c>
      <c r="E9" s="57">
        <f t="shared" si="0"/>
        <v>0</v>
      </c>
      <c r="F9" s="66" t="s">
        <v>735</v>
      </c>
      <c r="G9" s="326">
        <v>0</v>
      </c>
      <c r="H9" s="378">
        <v>0</v>
      </c>
      <c r="I9" s="275">
        <v>0</v>
      </c>
      <c r="J9" s="67">
        <f t="shared" si="1"/>
        <v>0</v>
      </c>
      <c r="K9" s="141" t="s">
        <v>549</v>
      </c>
      <c r="L9" s="57" t="s">
        <v>17</v>
      </c>
      <c r="M9" s="57" t="s">
        <v>17</v>
      </c>
      <c r="N9" s="58" t="s">
        <v>17</v>
      </c>
      <c r="O9" s="57" t="s">
        <v>17</v>
      </c>
      <c r="P9" s="57" t="s">
        <v>17</v>
      </c>
      <c r="Q9" s="58" t="s">
        <v>17</v>
      </c>
      <c r="R9" s="57">
        <v>1</v>
      </c>
      <c r="S9" s="128" t="s">
        <v>17</v>
      </c>
      <c r="T9" s="128" t="s">
        <v>17</v>
      </c>
      <c r="U9" s="231" t="s">
        <v>17</v>
      </c>
      <c r="V9" s="128" t="s">
        <v>17</v>
      </c>
      <c r="W9" s="128" t="s">
        <v>17</v>
      </c>
      <c r="X9" s="231" t="s">
        <v>17</v>
      </c>
      <c r="Y9" s="128">
        <v>3</v>
      </c>
      <c r="Z9" s="128">
        <v>4</v>
      </c>
      <c r="AA9" s="231">
        <f>SUM(Y9/Z9)*100</f>
        <v>75</v>
      </c>
      <c r="AB9" s="41"/>
      <c r="AC9" s="41"/>
      <c r="AD9" s="43"/>
      <c r="AE9" s="228" t="s">
        <v>17</v>
      </c>
      <c r="AF9" s="128" t="s">
        <v>17</v>
      </c>
      <c r="AG9" s="231" t="s">
        <v>17</v>
      </c>
      <c r="AH9" s="228" t="s">
        <v>17</v>
      </c>
      <c r="AI9" s="128" t="s">
        <v>17</v>
      </c>
      <c r="AJ9" s="128" t="s">
        <v>17</v>
      </c>
      <c r="AK9" s="228">
        <v>4</v>
      </c>
      <c r="AL9" s="128">
        <v>10</v>
      </c>
      <c r="AM9" s="231">
        <f>SUM(AK9/AL9)*100</f>
        <v>40</v>
      </c>
      <c r="AN9" s="245">
        <v>8</v>
      </c>
      <c r="AO9" s="163">
        <v>13</v>
      </c>
      <c r="AP9" s="231">
        <f>SUM(AN9/AO9)*100</f>
        <v>61.53846153846154</v>
      </c>
      <c r="AQ9" s="245">
        <v>13</v>
      </c>
      <c r="AR9" s="163">
        <v>17</v>
      </c>
      <c r="AS9" s="231">
        <f>SUM(AQ9/AR9)*100</f>
        <v>76.470588235294116</v>
      </c>
    </row>
    <row r="10" spans="1:45" ht="14.95" customHeight="1" thickBot="1" x14ac:dyDescent="0.3">
      <c r="A10" s="56" t="s">
        <v>671</v>
      </c>
      <c r="B10" s="314">
        <v>0</v>
      </c>
      <c r="C10" s="514">
        <v>0</v>
      </c>
      <c r="D10" s="141">
        <v>0</v>
      </c>
      <c r="E10" s="57">
        <f t="shared" si="0"/>
        <v>0</v>
      </c>
      <c r="F10" s="66" t="s">
        <v>671</v>
      </c>
      <c r="G10" s="326">
        <v>0</v>
      </c>
      <c r="H10" s="378">
        <v>0</v>
      </c>
      <c r="I10" s="275">
        <v>0</v>
      </c>
      <c r="J10" s="67">
        <f t="shared" si="1"/>
        <v>0</v>
      </c>
      <c r="K10" s="141" t="s">
        <v>313</v>
      </c>
      <c r="L10" s="57" t="s">
        <v>17</v>
      </c>
      <c r="M10" s="57" t="s">
        <v>17</v>
      </c>
      <c r="N10" s="58" t="s">
        <v>17</v>
      </c>
      <c r="O10" s="57" t="s">
        <v>17</v>
      </c>
      <c r="P10" s="57" t="s">
        <v>17</v>
      </c>
      <c r="Q10" s="58" t="s">
        <v>17</v>
      </c>
      <c r="R10" s="57">
        <v>1</v>
      </c>
      <c r="S10" s="128" t="s">
        <v>17</v>
      </c>
      <c r="T10" s="128" t="s">
        <v>17</v>
      </c>
      <c r="U10" s="231" t="s">
        <v>17</v>
      </c>
      <c r="V10" s="128" t="s">
        <v>17</v>
      </c>
      <c r="W10" s="128" t="s">
        <v>17</v>
      </c>
      <c r="X10" s="231" t="s">
        <v>17</v>
      </c>
      <c r="Y10" s="128" t="s">
        <v>17</v>
      </c>
      <c r="Z10" s="128" t="s">
        <v>17</v>
      </c>
      <c r="AA10" s="231" t="s">
        <v>17</v>
      </c>
      <c r="AB10" s="41"/>
      <c r="AC10" s="41"/>
      <c r="AD10" s="43"/>
      <c r="AE10" s="228" t="s">
        <v>17</v>
      </c>
      <c r="AF10" s="128" t="s">
        <v>17</v>
      </c>
      <c r="AG10" s="231" t="s">
        <v>17</v>
      </c>
      <c r="AH10" s="228" t="s">
        <v>17</v>
      </c>
      <c r="AI10" s="128" t="s">
        <v>17</v>
      </c>
      <c r="AJ10" s="128" t="s">
        <v>17</v>
      </c>
      <c r="AK10" s="228">
        <v>4</v>
      </c>
      <c r="AL10" s="128">
        <v>6</v>
      </c>
      <c r="AM10" s="231">
        <f>SUM(AK10/AL10)*100</f>
        <v>66.666666666666657</v>
      </c>
      <c r="AN10" s="228" t="s">
        <v>17</v>
      </c>
      <c r="AO10" s="128" t="s">
        <v>17</v>
      </c>
      <c r="AP10" s="128" t="s">
        <v>17</v>
      </c>
      <c r="AQ10" s="228" t="s">
        <v>17</v>
      </c>
      <c r="AR10" s="128" t="s">
        <v>17</v>
      </c>
      <c r="AS10" s="128" t="s">
        <v>17</v>
      </c>
    </row>
    <row r="11" spans="1:45" ht="14.95" customHeight="1" thickBot="1" x14ac:dyDescent="0.3">
      <c r="A11" s="56" t="s">
        <v>736</v>
      </c>
      <c r="B11" s="314">
        <v>0</v>
      </c>
      <c r="C11" s="514">
        <v>0</v>
      </c>
      <c r="D11" s="141">
        <v>0</v>
      </c>
      <c r="E11" s="57">
        <f t="shared" si="0"/>
        <v>0</v>
      </c>
      <c r="F11" s="66" t="s">
        <v>736</v>
      </c>
      <c r="G11" s="326">
        <v>0</v>
      </c>
      <c r="H11" s="378">
        <v>0</v>
      </c>
      <c r="I11" s="275">
        <v>0</v>
      </c>
      <c r="J11" s="67">
        <f t="shared" si="1"/>
        <v>0</v>
      </c>
      <c r="K11" s="141" t="s">
        <v>733</v>
      </c>
      <c r="L11" s="57" t="s">
        <v>17</v>
      </c>
      <c r="M11" s="57" t="s">
        <v>17</v>
      </c>
      <c r="N11" s="58" t="s">
        <v>17</v>
      </c>
      <c r="O11" s="57" t="s">
        <v>17</v>
      </c>
      <c r="P11" s="57" t="s">
        <v>17</v>
      </c>
      <c r="Q11" s="58" t="s">
        <v>17</v>
      </c>
      <c r="R11" s="57">
        <v>3</v>
      </c>
      <c r="S11" s="128" t="s">
        <v>17</v>
      </c>
      <c r="T11" s="128" t="s">
        <v>17</v>
      </c>
      <c r="U11" s="231" t="s">
        <v>17</v>
      </c>
      <c r="V11" s="128">
        <v>7</v>
      </c>
      <c r="W11" s="128">
        <v>8</v>
      </c>
      <c r="X11" s="231">
        <f>SUM(V11/W11)*100</f>
        <v>87.5</v>
      </c>
      <c r="Y11" s="128" t="s">
        <v>17</v>
      </c>
      <c r="Z11" s="128" t="s">
        <v>17</v>
      </c>
      <c r="AA11" s="231" t="s">
        <v>17</v>
      </c>
      <c r="AB11" s="41"/>
      <c r="AC11" s="41"/>
      <c r="AD11" s="43"/>
      <c r="AE11" s="228" t="s">
        <v>17</v>
      </c>
      <c r="AF11" s="128" t="s">
        <v>17</v>
      </c>
      <c r="AG11" s="231" t="s">
        <v>17</v>
      </c>
      <c r="AH11" s="228" t="s">
        <v>17</v>
      </c>
      <c r="AI11" s="128" t="s">
        <v>17</v>
      </c>
      <c r="AJ11" s="128" t="s">
        <v>17</v>
      </c>
      <c r="AK11" s="228" t="s">
        <v>17</v>
      </c>
      <c r="AL11" s="128" t="s">
        <v>17</v>
      </c>
      <c r="AM11" s="128" t="s">
        <v>17</v>
      </c>
      <c r="AN11" s="228" t="s">
        <v>17</v>
      </c>
      <c r="AO11" s="128" t="s">
        <v>17</v>
      </c>
      <c r="AP11" s="128" t="s">
        <v>17</v>
      </c>
      <c r="AQ11" s="228" t="s">
        <v>17</v>
      </c>
      <c r="AR11" s="128" t="s">
        <v>17</v>
      </c>
      <c r="AS11" s="128" t="s">
        <v>17</v>
      </c>
    </row>
    <row r="12" spans="1:45" ht="14.95" customHeight="1" thickBot="1" x14ac:dyDescent="0.3">
      <c r="A12" s="56" t="s">
        <v>505</v>
      </c>
      <c r="B12" s="314">
        <v>0</v>
      </c>
      <c r="C12" s="514">
        <v>0</v>
      </c>
      <c r="D12" s="141">
        <v>0</v>
      </c>
      <c r="E12" s="57">
        <f t="shared" si="0"/>
        <v>0</v>
      </c>
      <c r="F12" s="66" t="s">
        <v>505</v>
      </c>
      <c r="G12" s="326">
        <v>11</v>
      </c>
      <c r="H12" s="378">
        <v>0</v>
      </c>
      <c r="I12" s="275">
        <v>0</v>
      </c>
      <c r="J12" s="67">
        <f t="shared" si="1"/>
        <v>11</v>
      </c>
      <c r="K12" s="141" t="s">
        <v>1381</v>
      </c>
      <c r="L12" s="57">
        <v>1</v>
      </c>
      <c r="M12" s="57">
        <v>3</v>
      </c>
      <c r="N12" s="58">
        <f t="shared" ref="N12" si="5">SUM(L12/M12)*100</f>
        <v>33.333333333333329</v>
      </c>
      <c r="O12" s="57" t="s">
        <v>17</v>
      </c>
      <c r="P12" s="57" t="s">
        <v>17</v>
      </c>
      <c r="Q12" s="58" t="s">
        <v>17</v>
      </c>
      <c r="R12" s="57">
        <v>-1</v>
      </c>
      <c r="S12" s="128" t="s">
        <v>17</v>
      </c>
      <c r="T12" s="128" t="s">
        <v>17</v>
      </c>
      <c r="U12" s="231" t="s">
        <v>17</v>
      </c>
      <c r="V12" s="128" t="s">
        <v>17</v>
      </c>
      <c r="W12" s="128" t="s">
        <v>17</v>
      </c>
      <c r="X12" s="231" t="s">
        <v>17</v>
      </c>
      <c r="Y12" s="128" t="s">
        <v>17</v>
      </c>
      <c r="Z12" s="128" t="s">
        <v>17</v>
      </c>
      <c r="AA12" s="231" t="s">
        <v>17</v>
      </c>
      <c r="AB12" s="41"/>
      <c r="AC12" s="41"/>
      <c r="AD12" s="43"/>
      <c r="AE12" s="228" t="s">
        <v>17</v>
      </c>
      <c r="AF12" s="128" t="s">
        <v>17</v>
      </c>
      <c r="AG12" s="231" t="s">
        <v>17</v>
      </c>
      <c r="AH12" s="228" t="s">
        <v>17</v>
      </c>
      <c r="AI12" s="128" t="s">
        <v>17</v>
      </c>
      <c r="AJ12" s="231" t="s">
        <v>17</v>
      </c>
      <c r="AK12" s="228" t="s">
        <v>17</v>
      </c>
      <c r="AL12" s="128" t="s">
        <v>17</v>
      </c>
      <c r="AM12" s="231" t="s">
        <v>17</v>
      </c>
      <c r="AN12" s="228" t="s">
        <v>17</v>
      </c>
      <c r="AO12" s="128" t="s">
        <v>17</v>
      </c>
      <c r="AP12" s="128" t="s">
        <v>17</v>
      </c>
      <c r="AQ12" s="228" t="s">
        <v>17</v>
      </c>
      <c r="AR12" s="128" t="s">
        <v>17</v>
      </c>
      <c r="AS12" s="128" t="s">
        <v>17</v>
      </c>
    </row>
    <row r="13" spans="1:45" ht="14.95" customHeight="1" thickBot="1" x14ac:dyDescent="0.3">
      <c r="A13" s="56" t="s">
        <v>1076</v>
      </c>
      <c r="B13" s="314">
        <v>0</v>
      </c>
      <c r="C13" s="514">
        <v>0</v>
      </c>
      <c r="D13" s="141">
        <v>0</v>
      </c>
      <c r="E13" s="57">
        <f t="shared" si="0"/>
        <v>0</v>
      </c>
      <c r="F13" s="66" t="s">
        <v>1076</v>
      </c>
      <c r="G13" s="326">
        <v>0</v>
      </c>
      <c r="H13" s="378">
        <v>0</v>
      </c>
      <c r="I13" s="275">
        <v>0</v>
      </c>
      <c r="J13" s="67">
        <f t="shared" si="1"/>
        <v>0</v>
      </c>
      <c r="K13" s="141" t="s">
        <v>583</v>
      </c>
      <c r="L13" s="57" t="s">
        <v>17</v>
      </c>
      <c r="M13" s="57" t="s">
        <v>17</v>
      </c>
      <c r="N13" s="58" t="s">
        <v>17</v>
      </c>
      <c r="O13" s="57" t="s">
        <v>17</v>
      </c>
      <c r="P13" s="57" t="s">
        <v>17</v>
      </c>
      <c r="Q13" s="58" t="s">
        <v>17</v>
      </c>
      <c r="R13" s="57">
        <v>-1</v>
      </c>
      <c r="S13" s="128" t="s">
        <v>17</v>
      </c>
      <c r="T13" s="128" t="s">
        <v>17</v>
      </c>
      <c r="U13" s="231" t="s">
        <v>17</v>
      </c>
      <c r="V13" s="128" t="s">
        <v>17</v>
      </c>
      <c r="W13" s="128" t="s">
        <v>17</v>
      </c>
      <c r="X13" s="231" t="s">
        <v>17</v>
      </c>
      <c r="Y13" s="128">
        <v>3</v>
      </c>
      <c r="Z13" s="128">
        <v>4</v>
      </c>
      <c r="AA13" s="231">
        <f>SUM(Y13/Z13)*100</f>
        <v>75</v>
      </c>
      <c r="AB13" s="41"/>
      <c r="AC13" s="41"/>
      <c r="AD13" s="41"/>
      <c r="AE13" s="228" t="s">
        <v>17</v>
      </c>
      <c r="AF13" s="128" t="s">
        <v>17</v>
      </c>
      <c r="AG13" s="231" t="s">
        <v>17</v>
      </c>
      <c r="AH13" s="232" t="s">
        <v>17</v>
      </c>
      <c r="AI13" s="128" t="s">
        <v>17</v>
      </c>
      <c r="AJ13" s="231" t="s">
        <v>17</v>
      </c>
      <c r="AK13" s="232" t="s">
        <v>17</v>
      </c>
      <c r="AL13" s="128" t="s">
        <v>17</v>
      </c>
      <c r="AM13" s="231" t="s">
        <v>17</v>
      </c>
      <c r="AN13" s="128" t="s">
        <v>17</v>
      </c>
      <c r="AO13" s="128" t="s">
        <v>17</v>
      </c>
      <c r="AP13" s="231" t="s">
        <v>17</v>
      </c>
      <c r="AQ13" s="128" t="s">
        <v>17</v>
      </c>
      <c r="AR13" s="128" t="s">
        <v>17</v>
      </c>
      <c r="AS13" s="231" t="s">
        <v>17</v>
      </c>
    </row>
    <row r="14" spans="1:45" ht="14.95" customHeight="1" thickBot="1" x14ac:dyDescent="0.3">
      <c r="A14" s="56" t="s">
        <v>1089</v>
      </c>
      <c r="B14" s="314">
        <v>0</v>
      </c>
      <c r="C14" s="514">
        <v>0</v>
      </c>
      <c r="D14" s="141">
        <v>0</v>
      </c>
      <c r="E14" s="57">
        <f t="shared" si="0"/>
        <v>0</v>
      </c>
      <c r="F14" s="66" t="s">
        <v>1089</v>
      </c>
      <c r="G14" s="326">
        <v>0</v>
      </c>
      <c r="H14" s="378">
        <v>0</v>
      </c>
      <c r="I14" s="275">
        <v>0</v>
      </c>
      <c r="J14" s="67">
        <f t="shared" si="1"/>
        <v>0</v>
      </c>
      <c r="K14" s="141" t="s">
        <v>1290</v>
      </c>
      <c r="L14" s="57">
        <v>13</v>
      </c>
      <c r="M14" s="57">
        <v>19</v>
      </c>
      <c r="N14" s="58">
        <f>SUM(L14/M14)*100</f>
        <v>68.421052631578945</v>
      </c>
      <c r="O14" s="57">
        <v>3</v>
      </c>
      <c r="P14" s="57">
        <v>5</v>
      </c>
      <c r="Q14" s="58">
        <f t="shared" ref="Q14" si="6">SUM(O14/P14)*100</f>
        <v>60</v>
      </c>
      <c r="R14" s="57">
        <v>1</v>
      </c>
      <c r="S14" s="128" t="s">
        <v>17</v>
      </c>
      <c r="T14" s="128" t="s">
        <v>17</v>
      </c>
      <c r="U14" s="231" t="s">
        <v>17</v>
      </c>
      <c r="V14" s="128" t="s">
        <v>17</v>
      </c>
      <c r="W14" s="128" t="s">
        <v>17</v>
      </c>
      <c r="X14" s="231" t="s">
        <v>17</v>
      </c>
      <c r="Y14" s="128" t="s">
        <v>17</v>
      </c>
      <c r="Z14" s="128" t="s">
        <v>17</v>
      </c>
      <c r="AA14" s="231" t="s">
        <v>17</v>
      </c>
      <c r="AB14" s="41"/>
      <c r="AC14" s="41"/>
      <c r="AD14" s="41"/>
      <c r="AE14" s="228" t="s">
        <v>17</v>
      </c>
      <c r="AF14" s="128" t="s">
        <v>17</v>
      </c>
      <c r="AG14" s="231" t="s">
        <v>17</v>
      </c>
      <c r="AH14" s="232" t="s">
        <v>17</v>
      </c>
      <c r="AI14" s="128" t="s">
        <v>17</v>
      </c>
      <c r="AJ14" s="231" t="s">
        <v>17</v>
      </c>
      <c r="AK14" s="232" t="s">
        <v>17</v>
      </c>
      <c r="AL14" s="128" t="s">
        <v>17</v>
      </c>
      <c r="AM14" s="231" t="s">
        <v>17</v>
      </c>
      <c r="AN14" s="128" t="s">
        <v>17</v>
      </c>
      <c r="AO14" s="128" t="s">
        <v>17</v>
      </c>
      <c r="AP14" s="231" t="s">
        <v>17</v>
      </c>
      <c r="AQ14" s="128" t="s">
        <v>17</v>
      </c>
      <c r="AR14" s="128" t="s">
        <v>17</v>
      </c>
      <c r="AS14" s="231" t="s">
        <v>17</v>
      </c>
    </row>
    <row r="15" spans="1:45" ht="14.95" customHeight="1" thickBot="1" x14ac:dyDescent="0.3">
      <c r="A15" s="56" t="s">
        <v>732</v>
      </c>
      <c r="B15" s="314">
        <v>0</v>
      </c>
      <c r="C15" s="514">
        <v>0</v>
      </c>
      <c r="D15" s="141">
        <v>0</v>
      </c>
      <c r="E15" s="57">
        <f t="shared" si="0"/>
        <v>0</v>
      </c>
      <c r="F15" s="66" t="s">
        <v>732</v>
      </c>
      <c r="G15" s="326">
        <v>0</v>
      </c>
      <c r="H15" s="378">
        <v>0</v>
      </c>
      <c r="I15" s="275">
        <v>0</v>
      </c>
      <c r="J15" s="67">
        <f t="shared" si="1"/>
        <v>0</v>
      </c>
      <c r="K15" s="162"/>
      <c r="L15" s="121"/>
      <c r="M15" s="121"/>
      <c r="N15" s="121"/>
      <c r="O15" s="121"/>
      <c r="P15" s="121"/>
      <c r="Q15" s="121"/>
      <c r="R15" s="121"/>
    </row>
    <row r="16" spans="1:45" ht="14.95" customHeight="1" thickBot="1" x14ac:dyDescent="0.3">
      <c r="A16" s="56" t="s">
        <v>1360</v>
      </c>
      <c r="B16" s="314">
        <v>1</v>
      </c>
      <c r="C16" s="514">
        <v>0</v>
      </c>
      <c r="D16" s="141">
        <v>0</v>
      </c>
      <c r="E16" s="57">
        <f t="shared" si="0"/>
        <v>1</v>
      </c>
      <c r="F16" s="66" t="s">
        <v>1360</v>
      </c>
      <c r="G16" s="326">
        <v>5</v>
      </c>
      <c r="H16" s="378">
        <v>0</v>
      </c>
      <c r="I16" s="275">
        <v>0</v>
      </c>
      <c r="J16" s="67">
        <f t="shared" si="1"/>
        <v>5</v>
      </c>
      <c r="K16" s="725" t="s">
        <v>33</v>
      </c>
      <c r="L16" s="568">
        <v>2023</v>
      </c>
      <c r="M16" s="569"/>
      <c r="N16" s="570"/>
      <c r="O16" s="568">
        <v>2019</v>
      </c>
      <c r="P16" s="569"/>
      <c r="Q16" s="570"/>
      <c r="R16" s="557">
        <v>2015</v>
      </c>
      <c r="S16" s="563"/>
      <c r="T16" s="564"/>
    </row>
    <row r="17" spans="1:42" ht="14.95" customHeight="1" thickBot="1" x14ac:dyDescent="0.3">
      <c r="A17" s="56" t="s">
        <v>871</v>
      </c>
      <c r="B17" s="314">
        <v>0</v>
      </c>
      <c r="C17" s="514">
        <v>0</v>
      </c>
      <c r="D17" s="141">
        <v>0</v>
      </c>
      <c r="E17" s="57">
        <f t="shared" si="0"/>
        <v>0</v>
      </c>
      <c r="F17" s="66" t="s">
        <v>871</v>
      </c>
      <c r="G17" s="326">
        <v>0</v>
      </c>
      <c r="H17" s="378">
        <v>0</v>
      </c>
      <c r="I17" s="275">
        <v>0</v>
      </c>
      <c r="J17" s="67">
        <f t="shared" si="1"/>
        <v>0</v>
      </c>
      <c r="K17" s="726"/>
      <c r="L17" s="571"/>
      <c r="M17" s="572"/>
      <c r="N17" s="573"/>
      <c r="O17" s="571"/>
      <c r="P17" s="572"/>
      <c r="Q17" s="573"/>
      <c r="R17" s="565"/>
      <c r="S17" s="566"/>
      <c r="T17" s="567"/>
    </row>
    <row r="18" spans="1:42" ht="14.95" customHeight="1" thickBot="1" x14ac:dyDescent="0.3">
      <c r="A18" s="56" t="s">
        <v>872</v>
      </c>
      <c r="B18" s="314">
        <v>0</v>
      </c>
      <c r="C18" s="514">
        <v>0</v>
      </c>
      <c r="D18" s="141">
        <v>0</v>
      </c>
      <c r="E18" s="57">
        <f t="shared" si="0"/>
        <v>0</v>
      </c>
      <c r="F18" s="66" t="s">
        <v>872</v>
      </c>
      <c r="G18" s="326">
        <v>0</v>
      </c>
      <c r="H18" s="378">
        <v>0</v>
      </c>
      <c r="I18" s="275">
        <v>0</v>
      </c>
      <c r="J18" s="67">
        <f t="shared" si="1"/>
        <v>0</v>
      </c>
      <c r="K18" s="441"/>
      <c r="L18" s="128" t="s">
        <v>152</v>
      </c>
      <c r="M18" s="128" t="s">
        <v>12</v>
      </c>
      <c r="N18" s="128" t="s">
        <v>13</v>
      </c>
      <c r="O18" s="128" t="s">
        <v>152</v>
      </c>
      <c r="P18" s="128" t="s">
        <v>12</v>
      </c>
      <c r="Q18" s="128" t="s">
        <v>13</v>
      </c>
      <c r="R18" s="119" t="s">
        <v>152</v>
      </c>
      <c r="S18" s="119" t="s">
        <v>12</v>
      </c>
      <c r="T18" s="119" t="s">
        <v>13</v>
      </c>
    </row>
    <row r="19" spans="1:42" ht="14.95" customHeight="1" thickBot="1" x14ac:dyDescent="0.3">
      <c r="A19" s="56" t="s">
        <v>638</v>
      </c>
      <c r="B19" s="314">
        <v>0</v>
      </c>
      <c r="C19" s="514">
        <v>0</v>
      </c>
      <c r="D19" s="141">
        <v>0</v>
      </c>
      <c r="E19" s="57">
        <f t="shared" si="0"/>
        <v>0</v>
      </c>
      <c r="F19" s="66" t="s">
        <v>638</v>
      </c>
      <c r="G19" s="326">
        <v>2</v>
      </c>
      <c r="H19" s="378">
        <v>7</v>
      </c>
      <c r="I19" s="275">
        <v>0</v>
      </c>
      <c r="J19" s="67">
        <f t="shared" si="1"/>
        <v>9</v>
      </c>
      <c r="K19" s="141" t="s">
        <v>314</v>
      </c>
      <c r="L19" s="128" t="s">
        <v>17</v>
      </c>
      <c r="M19" s="128" t="s">
        <v>17</v>
      </c>
      <c r="N19" s="231" t="s">
        <v>17</v>
      </c>
      <c r="O19" s="128">
        <v>0</v>
      </c>
      <c r="P19" s="128">
        <v>1</v>
      </c>
      <c r="Q19" s="231">
        <f>SUM(O19/P19)*100</f>
        <v>0</v>
      </c>
      <c r="R19" s="228" t="s">
        <v>17</v>
      </c>
      <c r="S19" s="128" t="s">
        <v>17</v>
      </c>
      <c r="T19" s="128" t="s">
        <v>17</v>
      </c>
    </row>
    <row r="20" spans="1:42" ht="14.95" customHeight="1" thickBot="1" x14ac:dyDescent="0.3">
      <c r="A20" s="56" t="s">
        <v>1064</v>
      </c>
      <c r="B20" s="314">
        <v>0</v>
      </c>
      <c r="C20" s="514">
        <v>0</v>
      </c>
      <c r="D20" s="141">
        <v>0</v>
      </c>
      <c r="E20" s="57">
        <f t="shared" si="0"/>
        <v>0</v>
      </c>
      <c r="F20" s="66" t="s">
        <v>1064</v>
      </c>
      <c r="G20" s="326">
        <v>0</v>
      </c>
      <c r="H20" s="378">
        <v>0</v>
      </c>
      <c r="I20" s="275">
        <v>0</v>
      </c>
      <c r="J20" s="67">
        <f t="shared" si="1"/>
        <v>0</v>
      </c>
      <c r="K20" s="141" t="s">
        <v>76</v>
      </c>
      <c r="L20" s="128" t="s">
        <v>17</v>
      </c>
      <c r="M20" s="128" t="s">
        <v>17</v>
      </c>
      <c r="N20" s="231" t="s">
        <v>17</v>
      </c>
      <c r="O20" s="128" t="s">
        <v>17</v>
      </c>
      <c r="P20" s="128" t="s">
        <v>17</v>
      </c>
      <c r="Q20" s="128" t="s">
        <v>17</v>
      </c>
      <c r="R20" s="119">
        <v>1</v>
      </c>
      <c r="S20" s="119">
        <v>1</v>
      </c>
      <c r="T20" s="250">
        <f>SUM(R20/S20)*100</f>
        <v>100</v>
      </c>
    </row>
    <row r="21" spans="1:42" ht="14.95" customHeight="1" thickBot="1" x14ac:dyDescent="0.3">
      <c r="A21" s="56" t="s">
        <v>262</v>
      </c>
      <c r="B21" s="314">
        <v>0</v>
      </c>
      <c r="C21" s="514">
        <v>0</v>
      </c>
      <c r="D21" s="141">
        <v>0</v>
      </c>
      <c r="E21" s="57">
        <f t="shared" si="0"/>
        <v>0</v>
      </c>
      <c r="F21" s="66" t="s">
        <v>262</v>
      </c>
      <c r="G21" s="326">
        <v>0</v>
      </c>
      <c r="H21" s="378">
        <v>0</v>
      </c>
      <c r="I21" s="275">
        <v>0</v>
      </c>
      <c r="J21" s="67">
        <f t="shared" si="1"/>
        <v>0</v>
      </c>
      <c r="K21" s="141" t="s">
        <v>874</v>
      </c>
      <c r="L21" s="128">
        <v>9</v>
      </c>
      <c r="M21" s="128">
        <v>14</v>
      </c>
      <c r="N21" s="231">
        <f>SUM(L21/M21)*100</f>
        <v>64.285714285714292</v>
      </c>
      <c r="O21" s="128" t="s">
        <v>17</v>
      </c>
      <c r="P21" s="128" t="s">
        <v>17</v>
      </c>
      <c r="Q21" s="128" t="s">
        <v>17</v>
      </c>
      <c r="R21" s="128" t="s">
        <v>17</v>
      </c>
      <c r="S21" s="128" t="s">
        <v>17</v>
      </c>
      <c r="T21" s="128" t="s">
        <v>17</v>
      </c>
    </row>
    <row r="22" spans="1:42" ht="14.95" customHeight="1" thickBot="1" x14ac:dyDescent="0.3">
      <c r="A22" s="56" t="s">
        <v>738</v>
      </c>
      <c r="B22" s="314">
        <v>0</v>
      </c>
      <c r="C22" s="514">
        <v>0</v>
      </c>
      <c r="D22" s="141">
        <v>0</v>
      </c>
      <c r="E22" s="57">
        <f t="shared" si="0"/>
        <v>0</v>
      </c>
      <c r="F22" s="66" t="s">
        <v>738</v>
      </c>
      <c r="G22" s="326">
        <v>0</v>
      </c>
      <c r="H22" s="378">
        <v>0</v>
      </c>
      <c r="I22" s="275">
        <v>0</v>
      </c>
      <c r="J22" s="67">
        <f t="shared" si="1"/>
        <v>0</v>
      </c>
      <c r="K22" s="141" t="s">
        <v>262</v>
      </c>
      <c r="L22" s="128">
        <v>2</v>
      </c>
      <c r="M22" s="128">
        <v>3</v>
      </c>
      <c r="N22" s="231">
        <f>SUM(L22/M22)*100</f>
        <v>66.666666666666657</v>
      </c>
      <c r="O22" s="128" t="s">
        <v>17</v>
      </c>
      <c r="P22" s="128" t="s">
        <v>17</v>
      </c>
      <c r="Q22" s="128" t="s">
        <v>17</v>
      </c>
      <c r="R22" s="128" t="s">
        <v>17</v>
      </c>
      <c r="S22" s="128" t="s">
        <v>17</v>
      </c>
      <c r="T22" s="128" t="s">
        <v>17</v>
      </c>
    </row>
    <row r="23" spans="1:42" ht="14.95" customHeight="1" thickBot="1" x14ac:dyDescent="0.3">
      <c r="A23" s="56" t="s">
        <v>670</v>
      </c>
      <c r="B23" s="314">
        <v>0</v>
      </c>
      <c r="C23" s="514">
        <v>0</v>
      </c>
      <c r="D23" s="141">
        <v>0</v>
      </c>
      <c r="E23" s="57">
        <f t="shared" si="0"/>
        <v>0</v>
      </c>
      <c r="F23" s="66" t="s">
        <v>670</v>
      </c>
      <c r="G23" s="326">
        <v>0</v>
      </c>
      <c r="H23" s="378">
        <v>0</v>
      </c>
      <c r="I23" s="275">
        <v>0</v>
      </c>
      <c r="J23" s="67">
        <f t="shared" si="1"/>
        <v>0</v>
      </c>
      <c r="K23" s="141" t="s">
        <v>37</v>
      </c>
      <c r="L23" s="128" t="s">
        <v>17</v>
      </c>
      <c r="M23" s="128" t="s">
        <v>17</v>
      </c>
      <c r="N23" s="231" t="s">
        <v>17</v>
      </c>
      <c r="O23" s="128">
        <v>2</v>
      </c>
      <c r="P23" s="128">
        <v>6</v>
      </c>
      <c r="Q23" s="231">
        <f>SUM(O23/P23)*100</f>
        <v>33.333333333333329</v>
      </c>
      <c r="R23" s="119">
        <v>8</v>
      </c>
      <c r="S23" s="119">
        <v>14</v>
      </c>
      <c r="T23" s="250">
        <f>SUM(R23/S23)*100</f>
        <v>57.142857142857139</v>
      </c>
    </row>
    <row r="24" spans="1:42" ht="14.95" customHeight="1" thickBot="1" x14ac:dyDescent="0.3">
      <c r="A24" s="56" t="s">
        <v>515</v>
      </c>
      <c r="B24" s="314">
        <v>0</v>
      </c>
      <c r="C24" s="514">
        <v>2</v>
      </c>
      <c r="D24" s="141">
        <v>0</v>
      </c>
      <c r="E24" s="57">
        <f t="shared" si="0"/>
        <v>2</v>
      </c>
      <c r="F24" s="66" t="s">
        <v>515</v>
      </c>
      <c r="G24" s="326">
        <v>0</v>
      </c>
      <c r="H24" s="378">
        <v>10</v>
      </c>
      <c r="I24" s="275">
        <v>0</v>
      </c>
      <c r="J24" s="67">
        <f t="shared" si="1"/>
        <v>10</v>
      </c>
      <c r="K24" s="141" t="s">
        <v>733</v>
      </c>
      <c r="L24" s="128">
        <v>4</v>
      </c>
      <c r="M24" s="128">
        <v>5</v>
      </c>
      <c r="N24" s="231">
        <f>SUM(L24/M24)*100</f>
        <v>80</v>
      </c>
      <c r="O24" s="128" t="s">
        <v>17</v>
      </c>
      <c r="P24" s="128" t="s">
        <v>17</v>
      </c>
      <c r="Q24" s="128" t="s">
        <v>17</v>
      </c>
      <c r="R24" s="128" t="s">
        <v>17</v>
      </c>
      <c r="S24" s="128" t="s">
        <v>17</v>
      </c>
      <c r="T24" s="128" t="s">
        <v>17</v>
      </c>
    </row>
    <row r="25" spans="1:42" ht="14.95" customHeight="1" thickBot="1" x14ac:dyDescent="0.3">
      <c r="A25" s="56" t="s">
        <v>1380</v>
      </c>
      <c r="B25" s="314">
        <v>0</v>
      </c>
      <c r="C25" s="514">
        <v>1</v>
      </c>
      <c r="D25" s="141">
        <v>0</v>
      </c>
      <c r="E25" s="57">
        <f t="shared" si="0"/>
        <v>1</v>
      </c>
      <c r="F25" s="66" t="s">
        <v>1380</v>
      </c>
      <c r="G25" s="326">
        <v>0</v>
      </c>
      <c r="H25" s="378">
        <v>5</v>
      </c>
      <c r="I25" s="275">
        <v>0</v>
      </c>
      <c r="J25" s="67">
        <f t="shared" si="1"/>
        <v>5</v>
      </c>
      <c r="K25" s="141" t="s">
        <v>38</v>
      </c>
      <c r="L25" s="128" t="s">
        <v>17</v>
      </c>
      <c r="M25" s="128" t="s">
        <v>17</v>
      </c>
      <c r="N25" s="231" t="s">
        <v>17</v>
      </c>
      <c r="O25" s="128" t="s">
        <v>17</v>
      </c>
      <c r="P25" s="128" t="s">
        <v>17</v>
      </c>
      <c r="Q25" s="128" t="s">
        <v>17</v>
      </c>
      <c r="R25" s="119">
        <v>3</v>
      </c>
      <c r="S25" s="119">
        <v>6</v>
      </c>
      <c r="T25" s="250">
        <f>SUM(R25/S25)*100</f>
        <v>50</v>
      </c>
    </row>
    <row r="26" spans="1:42" ht="14.95" customHeight="1" thickBot="1" x14ac:dyDescent="0.3">
      <c r="A26" s="56" t="s">
        <v>514</v>
      </c>
      <c r="B26" s="314">
        <v>0</v>
      </c>
      <c r="C26" s="514">
        <v>0</v>
      </c>
      <c r="D26" s="141">
        <v>0</v>
      </c>
      <c r="E26" s="57">
        <f t="shared" si="0"/>
        <v>0</v>
      </c>
      <c r="F26" s="66" t="s">
        <v>514</v>
      </c>
      <c r="G26" s="326">
        <v>0</v>
      </c>
      <c r="H26" s="378">
        <v>0</v>
      </c>
      <c r="I26" s="275">
        <v>0</v>
      </c>
      <c r="J26" s="67">
        <f t="shared" si="1"/>
        <v>0</v>
      </c>
      <c r="K26" s="141" t="s">
        <v>323</v>
      </c>
      <c r="L26" s="128" t="s">
        <v>17</v>
      </c>
      <c r="M26" s="128" t="s">
        <v>17</v>
      </c>
      <c r="N26" s="231" t="s">
        <v>17</v>
      </c>
      <c r="O26" s="128">
        <v>5</v>
      </c>
      <c r="P26" s="128">
        <v>7</v>
      </c>
      <c r="Q26" s="231">
        <f>SUM(O26/P26)*100</f>
        <v>71.428571428571431</v>
      </c>
      <c r="R26" s="228" t="s">
        <v>17</v>
      </c>
      <c r="S26" s="128" t="s">
        <v>17</v>
      </c>
      <c r="T26" s="128" t="s">
        <v>17</v>
      </c>
      <c r="AA26" s="82"/>
    </row>
    <row r="27" spans="1:42" ht="14.95" customHeight="1" thickBot="1" x14ac:dyDescent="0.3">
      <c r="A27" s="56" t="s">
        <v>947</v>
      </c>
      <c r="B27" s="314">
        <v>1</v>
      </c>
      <c r="C27" s="514">
        <v>0</v>
      </c>
      <c r="D27" s="141">
        <v>0</v>
      </c>
      <c r="E27" s="57">
        <f t="shared" si="0"/>
        <v>1</v>
      </c>
      <c r="F27" s="66" t="s">
        <v>947</v>
      </c>
      <c r="G27" s="326">
        <v>5</v>
      </c>
      <c r="H27" s="378">
        <v>0</v>
      </c>
      <c r="I27" s="275">
        <v>0</v>
      </c>
      <c r="J27" s="67">
        <f t="shared" si="1"/>
        <v>5</v>
      </c>
      <c r="K27" s="82"/>
      <c r="L27" s="82"/>
      <c r="M27" s="82"/>
      <c r="N27" s="82"/>
      <c r="O27" s="82"/>
      <c r="P27" s="82"/>
      <c r="Q27" s="82"/>
      <c r="R27" s="82"/>
      <c r="X27" s="82"/>
      <c r="Y27" s="125"/>
      <c r="Z27" s="125"/>
    </row>
    <row r="28" spans="1:42" ht="14.95" customHeight="1" thickBot="1" x14ac:dyDescent="0.3">
      <c r="A28" s="56" t="s">
        <v>1379</v>
      </c>
      <c r="B28" s="314">
        <v>0</v>
      </c>
      <c r="C28" s="514">
        <v>2</v>
      </c>
      <c r="D28" s="141">
        <v>0</v>
      </c>
      <c r="E28" s="57">
        <f t="shared" si="0"/>
        <v>2</v>
      </c>
      <c r="F28" s="66" t="s">
        <v>1379</v>
      </c>
      <c r="G28" s="326">
        <v>0</v>
      </c>
      <c r="H28" s="378">
        <v>10</v>
      </c>
      <c r="I28" s="275">
        <v>0</v>
      </c>
      <c r="J28" s="67">
        <f t="shared" si="1"/>
        <v>10</v>
      </c>
      <c r="K28" s="729" t="s">
        <v>88</v>
      </c>
      <c r="L28" s="583">
        <v>2025</v>
      </c>
      <c r="M28" s="584"/>
      <c r="N28" s="585"/>
      <c r="O28" s="568">
        <v>2024</v>
      </c>
      <c r="P28" s="569"/>
      <c r="Q28" s="570"/>
      <c r="R28" s="568">
        <v>2022</v>
      </c>
      <c r="S28" s="569"/>
      <c r="T28" s="570"/>
      <c r="U28" s="229"/>
      <c r="V28" s="125"/>
      <c r="W28" s="125"/>
      <c r="X28" s="125"/>
      <c r="Y28" s="125"/>
      <c r="Z28" s="125"/>
      <c r="AA28" s="125"/>
      <c r="AB28" s="125"/>
      <c r="AC28" s="125"/>
      <c r="AD28" s="125"/>
      <c r="AE28" s="568">
        <v>2017</v>
      </c>
      <c r="AF28" s="569"/>
      <c r="AG28" s="570"/>
      <c r="AH28" s="568">
        <v>2015</v>
      </c>
      <c r="AI28" s="569"/>
      <c r="AJ28" s="570"/>
      <c r="AK28" s="568">
        <v>2019</v>
      </c>
      <c r="AL28" s="569"/>
      <c r="AM28" s="570"/>
      <c r="AN28" s="568">
        <v>2014</v>
      </c>
      <c r="AO28" s="569"/>
      <c r="AP28" s="570"/>
    </row>
    <row r="29" spans="1:42" ht="14.95" customHeight="1" thickBot="1" x14ac:dyDescent="0.3">
      <c r="A29" s="56" t="s">
        <v>1344</v>
      </c>
      <c r="B29" s="314">
        <v>1</v>
      </c>
      <c r="C29" s="514">
        <v>2</v>
      </c>
      <c r="D29" s="141">
        <v>0</v>
      </c>
      <c r="E29" s="57">
        <f t="shared" si="0"/>
        <v>3</v>
      </c>
      <c r="F29" s="66" t="s">
        <v>1344</v>
      </c>
      <c r="G29" s="326">
        <v>5</v>
      </c>
      <c r="H29" s="378">
        <v>10</v>
      </c>
      <c r="I29" s="275">
        <v>0</v>
      </c>
      <c r="J29" s="67">
        <f t="shared" si="1"/>
        <v>15</v>
      </c>
      <c r="K29" s="730"/>
      <c r="L29" s="586"/>
      <c r="M29" s="587"/>
      <c r="N29" s="588"/>
      <c r="O29" s="571"/>
      <c r="P29" s="572"/>
      <c r="Q29" s="573"/>
      <c r="R29" s="571"/>
      <c r="S29" s="572"/>
      <c r="T29" s="573"/>
      <c r="U29" s="229"/>
      <c r="V29" s="125"/>
      <c r="W29" s="125"/>
      <c r="X29" s="121"/>
      <c r="Y29" s="121"/>
      <c r="Z29" s="121"/>
      <c r="AA29" s="121"/>
      <c r="AB29" s="121"/>
      <c r="AC29" s="121"/>
      <c r="AD29" s="121"/>
      <c r="AE29" s="571"/>
      <c r="AF29" s="572"/>
      <c r="AG29" s="573"/>
      <c r="AH29" s="571"/>
      <c r="AI29" s="572"/>
      <c r="AJ29" s="573"/>
      <c r="AK29" s="571"/>
      <c r="AL29" s="572"/>
      <c r="AM29" s="573"/>
      <c r="AN29" s="571"/>
      <c r="AO29" s="572"/>
      <c r="AP29" s="573"/>
    </row>
    <row r="30" spans="1:42" ht="14.95" customHeight="1" thickBot="1" x14ac:dyDescent="0.3">
      <c r="A30" s="56" t="s">
        <v>1406</v>
      </c>
      <c r="B30" s="314">
        <v>0</v>
      </c>
      <c r="C30" s="514">
        <v>1</v>
      </c>
      <c r="D30" s="141">
        <v>0</v>
      </c>
      <c r="E30" s="57">
        <f t="shared" ref="E30" si="7">SUM(B30:D30)</f>
        <v>1</v>
      </c>
      <c r="F30" s="66" t="s">
        <v>1406</v>
      </c>
      <c r="G30" s="326">
        <v>0</v>
      </c>
      <c r="H30" s="378">
        <v>5</v>
      </c>
      <c r="I30" s="275">
        <v>0</v>
      </c>
      <c r="J30" s="67">
        <f t="shared" ref="J30" si="8">SUM(G30:I30)</f>
        <v>5</v>
      </c>
      <c r="K30" s="425"/>
      <c r="L30" s="53" t="s">
        <v>152</v>
      </c>
      <c r="M30" s="53" t="s">
        <v>12</v>
      </c>
      <c r="N30" s="53" t="s">
        <v>13</v>
      </c>
      <c r="O30" s="128" t="s">
        <v>152</v>
      </c>
      <c r="P30" s="128" t="s">
        <v>12</v>
      </c>
      <c r="Q30" s="128" t="s">
        <v>13</v>
      </c>
      <c r="R30" s="128" t="s">
        <v>152</v>
      </c>
      <c r="S30" s="128" t="s">
        <v>12</v>
      </c>
      <c r="T30" s="128" t="s">
        <v>13</v>
      </c>
      <c r="U30" s="180"/>
      <c r="V30" s="121"/>
      <c r="W30" s="121"/>
      <c r="X30" s="121"/>
      <c r="Y30" s="121"/>
      <c r="Z30" s="121"/>
      <c r="AA30" s="121"/>
      <c r="AB30" s="121"/>
      <c r="AC30" s="121"/>
      <c r="AD30" s="121"/>
      <c r="AE30" s="228" t="s">
        <v>152</v>
      </c>
      <c r="AF30" s="128" t="s">
        <v>12</v>
      </c>
      <c r="AG30" s="128" t="s">
        <v>13</v>
      </c>
      <c r="AH30" s="228" t="s">
        <v>152</v>
      </c>
      <c r="AI30" s="128" t="s">
        <v>12</v>
      </c>
      <c r="AJ30" s="128" t="s">
        <v>13</v>
      </c>
      <c r="AK30" s="228" t="s">
        <v>152</v>
      </c>
      <c r="AL30" s="128" t="s">
        <v>12</v>
      </c>
      <c r="AM30" s="128" t="s">
        <v>13</v>
      </c>
      <c r="AN30" s="228" t="s">
        <v>152</v>
      </c>
      <c r="AO30" s="128" t="s">
        <v>12</v>
      </c>
      <c r="AP30" s="128" t="s">
        <v>13</v>
      </c>
    </row>
    <row r="31" spans="1:42" ht="14.95" customHeight="1" thickBot="1" x14ac:dyDescent="0.3">
      <c r="A31" s="56" t="s">
        <v>1289</v>
      </c>
      <c r="B31" s="314">
        <v>0</v>
      </c>
      <c r="C31" s="514">
        <v>0</v>
      </c>
      <c r="D31" s="141">
        <v>1</v>
      </c>
      <c r="E31" s="57">
        <f t="shared" si="0"/>
        <v>1</v>
      </c>
      <c r="F31" s="66" t="s">
        <v>1289</v>
      </c>
      <c r="G31" s="326">
        <v>0</v>
      </c>
      <c r="H31" s="378">
        <v>0</v>
      </c>
      <c r="I31" s="275">
        <v>5</v>
      </c>
      <c r="J31" s="67">
        <f t="shared" si="1"/>
        <v>5</v>
      </c>
      <c r="K31" s="249" t="s">
        <v>314</v>
      </c>
      <c r="L31" s="57">
        <v>2</v>
      </c>
      <c r="M31" s="57">
        <v>2</v>
      </c>
      <c r="N31" s="58">
        <f>SUM(L31/M31)*100</f>
        <v>100</v>
      </c>
      <c r="O31" s="128" t="s">
        <v>17</v>
      </c>
      <c r="P31" s="128" t="s">
        <v>17</v>
      </c>
      <c r="Q31" s="128" t="s">
        <v>17</v>
      </c>
      <c r="R31" s="128">
        <v>3</v>
      </c>
      <c r="S31" s="128">
        <v>5</v>
      </c>
      <c r="T31" s="128">
        <f>SUM(R31/S31)*100</f>
        <v>60</v>
      </c>
      <c r="U31" s="180"/>
      <c r="V31" s="121"/>
      <c r="W31" s="121"/>
      <c r="X31" s="121"/>
      <c r="Y31" s="121"/>
      <c r="Z31" s="121"/>
      <c r="AA31" s="121"/>
      <c r="AB31" s="121"/>
      <c r="AC31" s="121"/>
      <c r="AD31" s="121"/>
      <c r="AE31" s="228" t="s">
        <v>17</v>
      </c>
      <c r="AF31" s="128" t="s">
        <v>17</v>
      </c>
      <c r="AG31" s="128" t="s">
        <v>17</v>
      </c>
      <c r="AH31" s="228" t="s">
        <v>17</v>
      </c>
      <c r="AI31" s="128" t="s">
        <v>17</v>
      </c>
      <c r="AJ31" s="128" t="s">
        <v>17</v>
      </c>
      <c r="AK31" s="228">
        <v>2</v>
      </c>
      <c r="AL31" s="128">
        <v>3</v>
      </c>
      <c r="AM31" s="231">
        <f>SUM(AK31/AL31)*100</f>
        <v>66.666666666666657</v>
      </c>
      <c r="AN31" s="228" t="s">
        <v>17</v>
      </c>
      <c r="AO31" s="128" t="s">
        <v>17</v>
      </c>
      <c r="AP31" s="128" t="s">
        <v>17</v>
      </c>
    </row>
    <row r="32" spans="1:42" ht="14.95" customHeight="1" thickBot="1" x14ac:dyDescent="0.3">
      <c r="A32" s="56" t="s">
        <v>994</v>
      </c>
      <c r="B32" s="314">
        <v>0</v>
      </c>
      <c r="C32" s="514">
        <v>0</v>
      </c>
      <c r="D32" s="141">
        <v>0</v>
      </c>
      <c r="E32" s="57">
        <f t="shared" si="0"/>
        <v>0</v>
      </c>
      <c r="F32" s="66" t="s">
        <v>994</v>
      </c>
      <c r="G32" s="326">
        <v>0</v>
      </c>
      <c r="H32" s="378">
        <v>0</v>
      </c>
      <c r="I32" s="275">
        <v>0</v>
      </c>
      <c r="J32" s="67">
        <f t="shared" si="1"/>
        <v>0</v>
      </c>
      <c r="K32" s="141" t="s">
        <v>505</v>
      </c>
      <c r="L32" s="57">
        <v>4</v>
      </c>
      <c r="M32" s="57">
        <v>9</v>
      </c>
      <c r="N32" s="58">
        <f t="shared" ref="N32:N33" si="9">SUM(L32/M32)*100</f>
        <v>44.444444444444443</v>
      </c>
      <c r="O32" s="128">
        <v>10</v>
      </c>
      <c r="P32" s="128">
        <v>13</v>
      </c>
      <c r="Q32" s="231">
        <v>76.923076923076934</v>
      </c>
      <c r="R32" s="128">
        <v>8</v>
      </c>
      <c r="S32" s="128">
        <v>11</v>
      </c>
      <c r="T32" s="231">
        <f>SUM(R32/S32)*100</f>
        <v>72.727272727272734</v>
      </c>
      <c r="U32" s="180"/>
      <c r="V32" s="121"/>
      <c r="W32" s="121"/>
      <c r="X32" s="121"/>
      <c r="Y32" s="121"/>
      <c r="Z32" s="121"/>
      <c r="AA32" s="121"/>
      <c r="AB32" s="121"/>
      <c r="AC32" s="121"/>
      <c r="AD32" s="121"/>
      <c r="AE32" s="228" t="s">
        <v>17</v>
      </c>
      <c r="AF32" s="128" t="s">
        <v>17</v>
      </c>
      <c r="AG32" s="128" t="s">
        <v>17</v>
      </c>
      <c r="AH32" s="232" t="s">
        <v>17</v>
      </c>
      <c r="AI32" s="128" t="s">
        <v>17</v>
      </c>
      <c r="AJ32" s="128" t="s">
        <v>17</v>
      </c>
      <c r="AK32" s="228" t="s">
        <v>17</v>
      </c>
      <c r="AL32" s="128" t="s">
        <v>17</v>
      </c>
      <c r="AM32" s="128" t="s">
        <v>17</v>
      </c>
      <c r="AN32" s="128" t="s">
        <v>17</v>
      </c>
      <c r="AO32" s="128" t="s">
        <v>17</v>
      </c>
      <c r="AP32" s="128" t="s">
        <v>17</v>
      </c>
    </row>
    <row r="33" spans="1:42" ht="14.95" customHeight="1" thickBot="1" x14ac:dyDescent="0.3">
      <c r="A33" s="56" t="s">
        <v>549</v>
      </c>
      <c r="B33" s="314">
        <v>0</v>
      </c>
      <c r="C33" s="514">
        <v>0</v>
      </c>
      <c r="D33" s="141">
        <v>1</v>
      </c>
      <c r="E33" s="57">
        <f t="shared" si="0"/>
        <v>1</v>
      </c>
      <c r="F33" s="66" t="s">
        <v>549</v>
      </c>
      <c r="G33" s="326">
        <v>0</v>
      </c>
      <c r="H33" s="378">
        <v>0</v>
      </c>
      <c r="I33" s="275">
        <v>5</v>
      </c>
      <c r="J33" s="67">
        <f t="shared" si="1"/>
        <v>5</v>
      </c>
      <c r="K33" s="141" t="s">
        <v>638</v>
      </c>
      <c r="L33" s="57">
        <v>1</v>
      </c>
      <c r="M33" s="57">
        <v>1</v>
      </c>
      <c r="N33" s="58">
        <f t="shared" si="9"/>
        <v>100</v>
      </c>
      <c r="O33" s="128" t="s">
        <v>17</v>
      </c>
      <c r="P33" s="128" t="s">
        <v>17</v>
      </c>
      <c r="Q33" s="128" t="s">
        <v>17</v>
      </c>
      <c r="R33" s="128" t="s">
        <v>17</v>
      </c>
      <c r="S33" s="128" t="s">
        <v>17</v>
      </c>
      <c r="T33" s="128" t="s">
        <v>17</v>
      </c>
      <c r="U33" s="180"/>
      <c r="V33" s="121"/>
      <c r="W33" s="121"/>
      <c r="X33" s="121"/>
      <c r="Y33" s="121"/>
      <c r="Z33" s="121"/>
      <c r="AA33" s="121"/>
      <c r="AB33" s="121"/>
      <c r="AC33" s="121"/>
      <c r="AD33" s="121"/>
      <c r="AE33" s="228" t="s">
        <v>17</v>
      </c>
      <c r="AF33" s="128" t="s">
        <v>17</v>
      </c>
      <c r="AG33" s="128" t="s">
        <v>17</v>
      </c>
      <c r="AH33" s="232" t="s">
        <v>17</v>
      </c>
      <c r="AI33" s="128" t="s">
        <v>17</v>
      </c>
      <c r="AJ33" s="128" t="s">
        <v>17</v>
      </c>
      <c r="AK33" s="128" t="s">
        <v>17</v>
      </c>
      <c r="AL33" s="128" t="s">
        <v>17</v>
      </c>
      <c r="AM33" s="128" t="s">
        <v>17</v>
      </c>
      <c r="AN33" s="128" t="s">
        <v>17</v>
      </c>
      <c r="AO33" s="128" t="s">
        <v>17</v>
      </c>
      <c r="AP33" s="128" t="s">
        <v>17</v>
      </c>
    </row>
    <row r="34" spans="1:42" ht="14.95" customHeight="1" thickBot="1" x14ac:dyDescent="0.3">
      <c r="A34" s="56" t="s">
        <v>396</v>
      </c>
      <c r="B34" s="314">
        <v>0</v>
      </c>
      <c r="C34" s="514">
        <v>3</v>
      </c>
      <c r="D34" s="141">
        <v>0</v>
      </c>
      <c r="E34" s="57">
        <f t="shared" si="0"/>
        <v>3</v>
      </c>
      <c r="F34" s="66" t="s">
        <v>396</v>
      </c>
      <c r="G34" s="326">
        <v>0</v>
      </c>
      <c r="H34" s="378">
        <v>15</v>
      </c>
      <c r="I34" s="275">
        <v>0</v>
      </c>
      <c r="J34" s="67">
        <f t="shared" si="1"/>
        <v>15</v>
      </c>
      <c r="K34" s="141" t="s">
        <v>262</v>
      </c>
      <c r="L34" s="57" t="s">
        <v>17</v>
      </c>
      <c r="M34" s="57" t="s">
        <v>17</v>
      </c>
      <c r="N34" s="58" t="s">
        <v>17</v>
      </c>
      <c r="O34" s="128">
        <v>8</v>
      </c>
      <c r="P34" s="128">
        <v>10</v>
      </c>
      <c r="Q34" s="128">
        <v>80</v>
      </c>
      <c r="R34" s="128">
        <v>1</v>
      </c>
      <c r="S34" s="128">
        <v>1</v>
      </c>
      <c r="T34" s="128">
        <f>SUM(R34/S34)*100</f>
        <v>100</v>
      </c>
      <c r="U34" s="180"/>
      <c r="V34" s="121"/>
      <c r="W34" s="121"/>
      <c r="X34" s="121"/>
      <c r="Y34" s="121"/>
      <c r="Z34" s="121"/>
      <c r="AA34" s="121"/>
      <c r="AB34" s="121"/>
      <c r="AC34" s="121"/>
      <c r="AD34" s="121"/>
      <c r="AE34" s="228" t="s">
        <v>17</v>
      </c>
      <c r="AF34" s="128" t="s">
        <v>17</v>
      </c>
      <c r="AG34" s="128" t="s">
        <v>17</v>
      </c>
      <c r="AH34" s="232" t="s">
        <v>17</v>
      </c>
      <c r="AI34" s="128" t="s">
        <v>17</v>
      </c>
      <c r="AJ34" s="128" t="s">
        <v>17</v>
      </c>
      <c r="AK34" s="128" t="s">
        <v>17</v>
      </c>
      <c r="AL34" s="128" t="s">
        <v>17</v>
      </c>
      <c r="AM34" s="128" t="s">
        <v>17</v>
      </c>
      <c r="AN34" s="128" t="s">
        <v>17</v>
      </c>
      <c r="AO34" s="128" t="s">
        <v>17</v>
      </c>
      <c r="AP34" s="128" t="s">
        <v>17</v>
      </c>
    </row>
    <row r="35" spans="1:42" ht="14.95" customHeight="1" thickBot="1" x14ac:dyDescent="0.3">
      <c r="A35" s="56" t="s">
        <v>4</v>
      </c>
      <c r="B35" s="314">
        <v>0</v>
      </c>
      <c r="C35" s="514">
        <v>0</v>
      </c>
      <c r="D35" s="141">
        <v>0</v>
      </c>
      <c r="E35" s="57">
        <f t="shared" si="0"/>
        <v>0</v>
      </c>
      <c r="F35" s="66" t="s">
        <v>4</v>
      </c>
      <c r="G35" s="326">
        <v>0</v>
      </c>
      <c r="H35" s="378">
        <v>0</v>
      </c>
      <c r="I35" s="275">
        <v>0</v>
      </c>
      <c r="J35" s="67">
        <f t="shared" si="1"/>
        <v>0</v>
      </c>
      <c r="K35" s="141" t="s">
        <v>313</v>
      </c>
      <c r="L35" s="57" t="s">
        <v>17</v>
      </c>
      <c r="M35" s="57" t="s">
        <v>17</v>
      </c>
      <c r="N35" s="58" t="s">
        <v>17</v>
      </c>
      <c r="O35" s="128" t="s">
        <v>17</v>
      </c>
      <c r="P35" s="128" t="s">
        <v>17</v>
      </c>
      <c r="Q35" s="128" t="s">
        <v>17</v>
      </c>
      <c r="R35" s="128" t="s">
        <v>17</v>
      </c>
      <c r="S35" s="128" t="s">
        <v>17</v>
      </c>
      <c r="T35" s="128" t="s">
        <v>17</v>
      </c>
      <c r="U35" s="180"/>
      <c r="V35" s="121"/>
      <c r="W35" s="121"/>
      <c r="X35" s="121"/>
      <c r="Y35" s="121"/>
      <c r="Z35" s="121"/>
      <c r="AA35" s="121"/>
      <c r="AB35" s="121"/>
      <c r="AC35" s="121"/>
      <c r="AD35" s="121"/>
      <c r="AE35" s="228" t="s">
        <v>17</v>
      </c>
      <c r="AF35" s="128" t="s">
        <v>17</v>
      </c>
      <c r="AG35" s="128" t="s">
        <v>17</v>
      </c>
      <c r="AH35" s="228" t="s">
        <v>17</v>
      </c>
      <c r="AI35" s="128" t="s">
        <v>17</v>
      </c>
      <c r="AJ35" s="128" t="s">
        <v>17</v>
      </c>
      <c r="AK35" s="228">
        <v>4</v>
      </c>
      <c r="AL35" s="128">
        <v>6</v>
      </c>
      <c r="AM35" s="231">
        <f>SUM(AK35/AL35)*100</f>
        <v>66.666666666666657</v>
      </c>
      <c r="AN35" s="228" t="s">
        <v>17</v>
      </c>
      <c r="AO35" s="128" t="s">
        <v>17</v>
      </c>
      <c r="AP35" s="128" t="s">
        <v>17</v>
      </c>
    </row>
    <row r="36" spans="1:42" ht="14.95" customHeight="1" thickBot="1" x14ac:dyDescent="0.3">
      <c r="A36" s="56" t="s">
        <v>1404</v>
      </c>
      <c r="B36" s="314">
        <v>0</v>
      </c>
      <c r="C36" s="514">
        <v>1</v>
      </c>
      <c r="D36" s="141">
        <v>0</v>
      </c>
      <c r="E36" s="57">
        <f t="shared" si="0"/>
        <v>1</v>
      </c>
      <c r="F36" s="66" t="s">
        <v>1404</v>
      </c>
      <c r="G36" s="326">
        <v>0</v>
      </c>
      <c r="H36" s="378">
        <v>5</v>
      </c>
      <c r="I36" s="275">
        <v>0</v>
      </c>
      <c r="J36" s="67">
        <f t="shared" si="1"/>
        <v>5</v>
      </c>
      <c r="K36" s="141" t="s">
        <v>323</v>
      </c>
      <c r="L36" s="57" t="s">
        <v>17</v>
      </c>
      <c r="M36" s="57" t="s">
        <v>17</v>
      </c>
      <c r="N36" s="58" t="s">
        <v>17</v>
      </c>
      <c r="O36" s="128" t="s">
        <v>17</v>
      </c>
      <c r="P36" s="128" t="s">
        <v>17</v>
      </c>
      <c r="Q36" s="128" t="s">
        <v>17</v>
      </c>
      <c r="R36" s="128" t="s">
        <v>17</v>
      </c>
      <c r="S36" s="128" t="s">
        <v>17</v>
      </c>
      <c r="T36" s="128" t="s">
        <v>17</v>
      </c>
      <c r="U36" s="180"/>
      <c r="V36" s="121"/>
      <c r="W36" s="121"/>
      <c r="X36" s="121"/>
      <c r="Y36" s="121"/>
      <c r="Z36" s="121"/>
      <c r="AA36" s="121"/>
      <c r="AB36" s="121"/>
      <c r="AC36" s="121"/>
      <c r="AD36" s="121"/>
      <c r="AE36" s="228" t="s">
        <v>17</v>
      </c>
      <c r="AF36" s="128" t="s">
        <v>17</v>
      </c>
      <c r="AG36" s="128" t="s">
        <v>17</v>
      </c>
      <c r="AH36" s="228" t="s">
        <v>17</v>
      </c>
      <c r="AI36" s="128" t="s">
        <v>17</v>
      </c>
      <c r="AJ36" s="128" t="s">
        <v>17</v>
      </c>
      <c r="AK36" s="228">
        <v>1</v>
      </c>
      <c r="AL36" s="128">
        <v>1</v>
      </c>
      <c r="AM36" s="231">
        <f>SUM(AK36/AL36)*100</f>
        <v>100</v>
      </c>
      <c r="AN36" s="228" t="s">
        <v>17</v>
      </c>
      <c r="AO36" s="128" t="s">
        <v>17</v>
      </c>
      <c r="AP36" s="128" t="s">
        <v>17</v>
      </c>
    </row>
    <row r="37" spans="1:42" ht="14.95" customHeight="1" thickBot="1" x14ac:dyDescent="0.3">
      <c r="A37" s="56" t="s">
        <v>18</v>
      </c>
      <c r="B37" s="314">
        <v>0</v>
      </c>
      <c r="C37" s="514">
        <v>0</v>
      </c>
      <c r="D37" s="141">
        <v>0</v>
      </c>
      <c r="E37" s="57">
        <f t="shared" si="0"/>
        <v>0</v>
      </c>
      <c r="F37" s="66" t="s">
        <v>18</v>
      </c>
      <c r="G37" s="326">
        <v>0</v>
      </c>
      <c r="H37" s="378">
        <v>0</v>
      </c>
      <c r="I37" s="275">
        <v>0</v>
      </c>
      <c r="J37" s="67">
        <f t="shared" si="1"/>
        <v>0</v>
      </c>
      <c r="K37" s="82"/>
      <c r="L37" s="82"/>
      <c r="M37" s="82"/>
      <c r="N37" s="82"/>
      <c r="O37" s="82"/>
      <c r="P37" s="82"/>
      <c r="Q37" s="82"/>
      <c r="R37" s="82"/>
    </row>
    <row r="38" spans="1:42" ht="14.95" customHeight="1" thickBot="1" x14ac:dyDescent="0.3">
      <c r="A38" s="56" t="s">
        <v>1378</v>
      </c>
      <c r="B38" s="314">
        <v>0</v>
      </c>
      <c r="C38" s="514">
        <v>1</v>
      </c>
      <c r="D38" s="141">
        <v>0</v>
      </c>
      <c r="E38" s="57">
        <f t="shared" si="0"/>
        <v>1</v>
      </c>
      <c r="F38" s="66" t="s">
        <v>733</v>
      </c>
      <c r="G38" s="326">
        <v>0</v>
      </c>
      <c r="H38" s="378">
        <v>5</v>
      </c>
      <c r="I38" s="275">
        <v>0</v>
      </c>
      <c r="J38" s="67">
        <f t="shared" si="1"/>
        <v>5</v>
      </c>
      <c r="K38" s="632" t="s">
        <v>1348</v>
      </c>
      <c r="L38" s="583" t="s">
        <v>1326</v>
      </c>
      <c r="M38" s="584"/>
      <c r="N38" s="585"/>
      <c r="O38" s="568" t="s">
        <v>414</v>
      </c>
      <c r="P38" s="609"/>
      <c r="Q38" s="610"/>
      <c r="R38" s="568" t="s">
        <v>188</v>
      </c>
      <c r="S38" s="609"/>
      <c r="T38" s="610"/>
    </row>
    <row r="39" spans="1:42" ht="14.95" customHeight="1" thickBot="1" x14ac:dyDescent="0.3">
      <c r="A39" s="56" t="s">
        <v>1381</v>
      </c>
      <c r="B39" s="314">
        <v>0</v>
      </c>
      <c r="C39" s="514">
        <v>0</v>
      </c>
      <c r="D39" s="141">
        <v>0</v>
      </c>
      <c r="E39" s="57">
        <f t="shared" si="0"/>
        <v>0</v>
      </c>
      <c r="F39" s="66" t="s">
        <v>1381</v>
      </c>
      <c r="G39" s="326">
        <v>0</v>
      </c>
      <c r="H39" s="378">
        <v>2</v>
      </c>
      <c r="I39" s="275">
        <v>0</v>
      </c>
      <c r="J39" s="67">
        <f t="shared" si="1"/>
        <v>2</v>
      </c>
      <c r="K39" s="633"/>
      <c r="L39" s="586"/>
      <c r="M39" s="587"/>
      <c r="N39" s="588"/>
      <c r="O39" s="611"/>
      <c r="P39" s="612"/>
      <c r="Q39" s="613"/>
      <c r="R39" s="611"/>
      <c r="S39" s="612"/>
      <c r="T39" s="613"/>
    </row>
    <row r="40" spans="1:42" ht="14.95" customHeight="1" thickBot="1" x14ac:dyDescent="0.3">
      <c r="A40" s="56" t="s">
        <v>413</v>
      </c>
      <c r="B40" s="314">
        <v>0</v>
      </c>
      <c r="C40" s="514">
        <v>1</v>
      </c>
      <c r="D40" s="141">
        <v>0</v>
      </c>
      <c r="E40" s="57">
        <f t="shared" si="0"/>
        <v>1</v>
      </c>
      <c r="F40" s="66" t="s">
        <v>413</v>
      </c>
      <c r="G40" s="326">
        <v>0</v>
      </c>
      <c r="H40" s="378">
        <v>5</v>
      </c>
      <c r="I40" s="275">
        <v>0</v>
      </c>
      <c r="J40" s="67">
        <f t="shared" si="1"/>
        <v>5</v>
      </c>
      <c r="K40" s="441"/>
      <c r="L40" s="1" t="s">
        <v>152</v>
      </c>
      <c r="M40" s="1" t="s">
        <v>12</v>
      </c>
      <c r="N40" s="1" t="s">
        <v>13</v>
      </c>
      <c r="O40" s="128" t="s">
        <v>152</v>
      </c>
      <c r="P40" s="128" t="s">
        <v>12</v>
      </c>
      <c r="Q40" s="128" t="s">
        <v>13</v>
      </c>
      <c r="R40" s="119" t="s">
        <v>152</v>
      </c>
      <c r="S40" s="119" t="s">
        <v>12</v>
      </c>
      <c r="T40" s="119" t="s">
        <v>13</v>
      </c>
    </row>
    <row r="41" spans="1:42" ht="14.95" customHeight="1" thickBot="1" x14ac:dyDescent="0.3">
      <c r="A41" s="56" t="s">
        <v>739</v>
      </c>
      <c r="B41" s="314">
        <v>0</v>
      </c>
      <c r="C41" s="514">
        <v>0</v>
      </c>
      <c r="D41" s="141">
        <v>0</v>
      </c>
      <c r="E41" s="57">
        <f t="shared" si="0"/>
        <v>0</v>
      </c>
      <c r="F41" s="66" t="s">
        <v>739</v>
      </c>
      <c r="G41" s="326">
        <v>0</v>
      </c>
      <c r="H41" s="378">
        <v>0</v>
      </c>
      <c r="I41" s="275">
        <v>0</v>
      </c>
      <c r="J41" s="67">
        <f t="shared" si="1"/>
        <v>0</v>
      </c>
      <c r="K41" s="141" t="s">
        <v>76</v>
      </c>
      <c r="L41" s="57" t="s">
        <v>17</v>
      </c>
      <c r="M41" s="57" t="s">
        <v>17</v>
      </c>
      <c r="N41" s="58" t="s">
        <v>17</v>
      </c>
      <c r="O41" s="128" t="s">
        <v>17</v>
      </c>
      <c r="P41" s="128" t="s">
        <v>17</v>
      </c>
      <c r="Q41" s="231" t="s">
        <v>17</v>
      </c>
      <c r="R41" s="128">
        <v>2</v>
      </c>
      <c r="S41" s="128">
        <v>4</v>
      </c>
      <c r="T41" s="231">
        <f>SUM(R41/S41)*100</f>
        <v>50</v>
      </c>
    </row>
    <row r="42" spans="1:42" ht="14.95" thickBot="1" x14ac:dyDescent="0.3">
      <c r="A42" s="56" t="s">
        <v>583</v>
      </c>
      <c r="B42" s="314">
        <v>0</v>
      </c>
      <c r="C42" s="514">
        <v>0</v>
      </c>
      <c r="D42" s="141">
        <v>0</v>
      </c>
      <c r="E42" s="57">
        <f t="shared" si="0"/>
        <v>0</v>
      </c>
      <c r="F42" s="66" t="s">
        <v>583</v>
      </c>
      <c r="G42" s="326">
        <v>0</v>
      </c>
      <c r="H42" s="378">
        <v>0</v>
      </c>
      <c r="I42" s="275">
        <v>0</v>
      </c>
      <c r="J42" s="67">
        <f t="shared" si="1"/>
        <v>0</v>
      </c>
      <c r="K42" s="141" t="s">
        <v>638</v>
      </c>
      <c r="L42" s="57">
        <v>3</v>
      </c>
      <c r="M42" s="57">
        <v>6</v>
      </c>
      <c r="N42" s="58">
        <f>SUM(L42/M42)*100</f>
        <v>50</v>
      </c>
      <c r="O42" s="128" t="s">
        <v>17</v>
      </c>
      <c r="P42" s="128" t="s">
        <v>17</v>
      </c>
      <c r="Q42" s="231" t="s">
        <v>17</v>
      </c>
      <c r="R42" s="128" t="s">
        <v>17</v>
      </c>
      <c r="S42" s="128" t="s">
        <v>17</v>
      </c>
      <c r="T42" s="231" t="s">
        <v>17</v>
      </c>
    </row>
    <row r="43" spans="1:42" ht="14.95" thickBot="1" x14ac:dyDescent="0.3">
      <c r="A43" s="56" t="s">
        <v>1343</v>
      </c>
      <c r="B43" s="314">
        <v>1</v>
      </c>
      <c r="C43" s="514">
        <v>0</v>
      </c>
      <c r="D43" s="141">
        <v>0</v>
      </c>
      <c r="E43" s="57">
        <f t="shared" si="0"/>
        <v>1</v>
      </c>
      <c r="F43" s="66" t="s">
        <v>1343</v>
      </c>
      <c r="G43" s="326">
        <v>5</v>
      </c>
      <c r="H43" s="378">
        <v>0</v>
      </c>
      <c r="I43" s="275">
        <v>0</v>
      </c>
      <c r="J43" s="67">
        <f t="shared" si="1"/>
        <v>5</v>
      </c>
      <c r="K43" s="141" t="s">
        <v>262</v>
      </c>
      <c r="L43" s="57" t="s">
        <v>17</v>
      </c>
      <c r="M43" s="57" t="s">
        <v>17</v>
      </c>
      <c r="N43" s="58" t="s">
        <v>17</v>
      </c>
      <c r="O43" s="128">
        <v>1</v>
      </c>
      <c r="P43" s="128">
        <v>1</v>
      </c>
      <c r="Q43" s="231">
        <f>SUM(O43/P43)*100</f>
        <v>100</v>
      </c>
      <c r="R43" s="128" t="s">
        <v>17</v>
      </c>
      <c r="S43" s="128" t="s">
        <v>17</v>
      </c>
      <c r="T43" s="128" t="s">
        <v>17</v>
      </c>
    </row>
    <row r="44" spans="1:42" ht="14.95" thickBot="1" x14ac:dyDescent="0.3">
      <c r="A44" s="56" t="s">
        <v>1290</v>
      </c>
      <c r="B44" s="314">
        <v>0</v>
      </c>
      <c r="C44" s="514">
        <v>1</v>
      </c>
      <c r="D44" s="141">
        <v>0</v>
      </c>
      <c r="E44" s="57">
        <f t="shared" si="0"/>
        <v>1</v>
      </c>
      <c r="F44" s="66" t="s">
        <v>1290</v>
      </c>
      <c r="G44" s="326">
        <v>0</v>
      </c>
      <c r="H44" s="378">
        <v>32</v>
      </c>
      <c r="I44" s="275">
        <v>2</v>
      </c>
      <c r="J44" s="67">
        <f t="shared" si="1"/>
        <v>34</v>
      </c>
      <c r="K44" s="141" t="s">
        <v>1381</v>
      </c>
      <c r="L44" s="57">
        <v>1</v>
      </c>
      <c r="M44" s="57">
        <v>3</v>
      </c>
      <c r="N44" s="58">
        <f t="shared" ref="N44" si="10">SUM(L44/M44)*100</f>
        <v>33.333333333333329</v>
      </c>
      <c r="O44" s="128" t="s">
        <v>17</v>
      </c>
      <c r="P44" s="128" t="s">
        <v>17</v>
      </c>
      <c r="Q44" s="231" t="s">
        <v>17</v>
      </c>
      <c r="R44" s="128" t="s">
        <v>17</v>
      </c>
      <c r="S44" s="128" t="s">
        <v>17</v>
      </c>
      <c r="T44" s="231" t="s">
        <v>17</v>
      </c>
    </row>
    <row r="45" spans="1:42" ht="14.95" thickBot="1" x14ac:dyDescent="0.3">
      <c r="A45" s="56" t="s">
        <v>3</v>
      </c>
      <c r="B45" s="314">
        <f>SUM(B3:B44)</f>
        <v>5</v>
      </c>
      <c r="C45" s="514">
        <f>SUM(C3:C44)</f>
        <v>19</v>
      </c>
      <c r="D45" s="141">
        <f>SUM(D3:D44)</f>
        <v>2</v>
      </c>
      <c r="E45" s="57">
        <f t="shared" si="0"/>
        <v>26</v>
      </c>
      <c r="F45" s="66" t="s">
        <v>3</v>
      </c>
      <c r="G45" s="326">
        <f>SUM(G3:G44)</f>
        <v>44</v>
      </c>
      <c r="H45" s="378">
        <f>SUM(H3:H44)</f>
        <v>131</v>
      </c>
      <c r="I45" s="275">
        <f>SUM(I3:I44)</f>
        <v>12</v>
      </c>
      <c r="J45" s="251">
        <f t="shared" si="1"/>
        <v>187</v>
      </c>
      <c r="K45" s="141" t="s">
        <v>323</v>
      </c>
      <c r="L45" s="57" t="s">
        <v>17</v>
      </c>
      <c r="M45" s="57" t="s">
        <v>17</v>
      </c>
      <c r="N45" s="58" t="s">
        <v>17</v>
      </c>
      <c r="O45" s="128">
        <v>13</v>
      </c>
      <c r="P45" s="128">
        <v>14</v>
      </c>
      <c r="Q45" s="231">
        <f>SUM(O45/P45)*100</f>
        <v>92.857142857142861</v>
      </c>
      <c r="R45" s="128" t="s">
        <v>17</v>
      </c>
      <c r="S45" s="128" t="s">
        <v>17</v>
      </c>
      <c r="T45" s="128" t="s">
        <v>17</v>
      </c>
    </row>
    <row r="46" spans="1:42" ht="14.95" thickBot="1" x14ac:dyDescent="0.3">
      <c r="F46" s="11"/>
      <c r="K46" s="141" t="s">
        <v>29</v>
      </c>
      <c r="L46" s="57" t="s">
        <v>17</v>
      </c>
      <c r="M46" s="57" t="s">
        <v>17</v>
      </c>
      <c r="N46" s="58" t="s">
        <v>17</v>
      </c>
      <c r="O46" s="128" t="s">
        <v>17</v>
      </c>
      <c r="P46" s="128" t="s">
        <v>17</v>
      </c>
      <c r="Q46" s="231" t="s">
        <v>17</v>
      </c>
      <c r="R46" s="128">
        <v>11</v>
      </c>
      <c r="S46" s="128">
        <v>11</v>
      </c>
      <c r="T46" s="231">
        <f>SUM(R46/S46)*100</f>
        <v>100</v>
      </c>
    </row>
    <row r="47" spans="1:42" ht="14.95" thickBot="1" x14ac:dyDescent="0.3">
      <c r="A47" t="s">
        <v>15</v>
      </c>
      <c r="F47" s="9"/>
      <c r="G47" s="9"/>
      <c r="H47" s="9"/>
      <c r="I47" s="9"/>
      <c r="J47" s="9"/>
      <c r="K47" s="141" t="s">
        <v>1290</v>
      </c>
      <c r="L47" s="57">
        <v>12</v>
      </c>
      <c r="M47" s="57">
        <v>17</v>
      </c>
      <c r="N47" s="58">
        <f t="shared" ref="N47" si="11">SUM(L47/M47)*100</f>
        <v>70.588235294117652</v>
      </c>
      <c r="O47" s="128" t="s">
        <v>17</v>
      </c>
      <c r="P47" s="128" t="s">
        <v>17</v>
      </c>
      <c r="Q47" s="231" t="s">
        <v>17</v>
      </c>
      <c r="R47" s="128" t="s">
        <v>17</v>
      </c>
      <c r="S47" s="128" t="s">
        <v>17</v>
      </c>
      <c r="T47" s="231" t="s">
        <v>17</v>
      </c>
    </row>
    <row r="48" spans="1:42" ht="14.95" thickBot="1" x14ac:dyDescent="0.3">
      <c r="A48" s="213" t="s">
        <v>0</v>
      </c>
      <c r="B48" s="313" t="s">
        <v>1361</v>
      </c>
      <c r="C48" s="513" t="s">
        <v>1285</v>
      </c>
      <c r="D48" s="214" t="s">
        <v>31</v>
      </c>
      <c r="E48" s="214" t="s">
        <v>1</v>
      </c>
      <c r="F48" s="215" t="s">
        <v>2</v>
      </c>
      <c r="G48" s="203" t="s">
        <v>1361</v>
      </c>
      <c r="H48" s="506" t="s">
        <v>1285</v>
      </c>
      <c r="I48" s="216" t="s">
        <v>31</v>
      </c>
      <c r="J48" s="216" t="s">
        <v>1</v>
      </c>
    </row>
    <row r="49" spans="1:10" ht="14.95" thickBot="1" x14ac:dyDescent="0.3">
      <c r="A49" s="56" t="s">
        <v>1344</v>
      </c>
      <c r="B49" s="314">
        <v>1</v>
      </c>
      <c r="C49" s="514">
        <v>2</v>
      </c>
      <c r="D49" s="141">
        <v>0</v>
      </c>
      <c r="E49" s="57">
        <f t="shared" ref="E49:E90" si="12">SUM(B49:D49)</f>
        <v>3</v>
      </c>
      <c r="F49" s="66" t="s">
        <v>1290</v>
      </c>
      <c r="G49" s="326">
        <v>0</v>
      </c>
      <c r="H49" s="378">
        <v>32</v>
      </c>
      <c r="I49" s="275">
        <v>2</v>
      </c>
      <c r="J49" s="67">
        <f t="shared" ref="J49:J90" si="13">SUM(G49:I49)</f>
        <v>34</v>
      </c>
    </row>
    <row r="50" spans="1:10" ht="14.95" thickBot="1" x14ac:dyDescent="0.3">
      <c r="A50" s="56" t="s">
        <v>396</v>
      </c>
      <c r="B50" s="314">
        <v>0</v>
      </c>
      <c r="C50" s="514">
        <v>3</v>
      </c>
      <c r="D50" s="141">
        <v>0</v>
      </c>
      <c r="E50" s="57">
        <f t="shared" si="12"/>
        <v>3</v>
      </c>
      <c r="F50" s="66" t="s">
        <v>1344</v>
      </c>
      <c r="G50" s="326">
        <v>5</v>
      </c>
      <c r="H50" s="378">
        <v>10</v>
      </c>
      <c r="I50" s="275">
        <v>0</v>
      </c>
      <c r="J50" s="67">
        <f t="shared" si="13"/>
        <v>15</v>
      </c>
    </row>
    <row r="51" spans="1:10" ht="14.95" thickBot="1" x14ac:dyDescent="0.3">
      <c r="A51" s="56" t="s">
        <v>1426</v>
      </c>
      <c r="B51" s="314">
        <v>0</v>
      </c>
      <c r="C51" s="514">
        <v>2</v>
      </c>
      <c r="D51" s="141">
        <v>0</v>
      </c>
      <c r="E51" s="57">
        <f t="shared" si="12"/>
        <v>2</v>
      </c>
      <c r="F51" s="66" t="s">
        <v>396</v>
      </c>
      <c r="G51" s="326">
        <v>0</v>
      </c>
      <c r="H51" s="378">
        <v>15</v>
      </c>
      <c r="I51" s="275">
        <v>0</v>
      </c>
      <c r="J51" s="67">
        <f t="shared" si="13"/>
        <v>15</v>
      </c>
    </row>
    <row r="52" spans="1:10" ht="14.95" thickBot="1" x14ac:dyDescent="0.3">
      <c r="A52" s="56" t="s">
        <v>1405</v>
      </c>
      <c r="B52" s="314">
        <v>0</v>
      </c>
      <c r="C52" s="514">
        <v>2</v>
      </c>
      <c r="D52" s="141">
        <v>0</v>
      </c>
      <c r="E52" s="57">
        <f t="shared" si="12"/>
        <v>2</v>
      </c>
      <c r="F52" s="66" t="s">
        <v>505</v>
      </c>
      <c r="G52" s="326">
        <v>11</v>
      </c>
      <c r="H52" s="378">
        <v>0</v>
      </c>
      <c r="I52" s="275">
        <v>0</v>
      </c>
      <c r="J52" s="67">
        <f t="shared" si="13"/>
        <v>11</v>
      </c>
    </row>
    <row r="53" spans="1:10" ht="14.95" thickBot="1" x14ac:dyDescent="0.3">
      <c r="A53" s="56" t="s">
        <v>515</v>
      </c>
      <c r="B53" s="314">
        <v>0</v>
      </c>
      <c r="C53" s="514">
        <v>2</v>
      </c>
      <c r="D53" s="141">
        <v>0</v>
      </c>
      <c r="E53" s="57">
        <f t="shared" si="12"/>
        <v>2</v>
      </c>
      <c r="F53" s="66" t="s">
        <v>1426</v>
      </c>
      <c r="G53" s="326">
        <v>0</v>
      </c>
      <c r="H53" s="378">
        <v>10</v>
      </c>
      <c r="I53" s="275">
        <v>0</v>
      </c>
      <c r="J53" s="67">
        <f t="shared" si="13"/>
        <v>10</v>
      </c>
    </row>
    <row r="54" spans="1:10" ht="14.95" thickBot="1" x14ac:dyDescent="0.3">
      <c r="A54" s="56" t="s">
        <v>1379</v>
      </c>
      <c r="B54" s="314">
        <v>0</v>
      </c>
      <c r="C54" s="514">
        <v>2</v>
      </c>
      <c r="D54" s="141">
        <v>0</v>
      </c>
      <c r="E54" s="57">
        <f t="shared" si="12"/>
        <v>2</v>
      </c>
      <c r="F54" s="66" t="s">
        <v>1405</v>
      </c>
      <c r="G54" s="326">
        <v>0</v>
      </c>
      <c r="H54" s="378">
        <v>10</v>
      </c>
      <c r="I54" s="275">
        <v>0</v>
      </c>
      <c r="J54" s="67">
        <f t="shared" si="13"/>
        <v>10</v>
      </c>
    </row>
    <row r="55" spans="1:10" ht="14.95" thickBot="1" x14ac:dyDescent="0.3">
      <c r="A55" s="56" t="s">
        <v>1359</v>
      </c>
      <c r="B55" s="314">
        <v>1</v>
      </c>
      <c r="C55" s="514">
        <v>0</v>
      </c>
      <c r="D55" s="141">
        <v>0</v>
      </c>
      <c r="E55" s="57">
        <f t="shared" si="12"/>
        <v>1</v>
      </c>
      <c r="F55" s="66" t="s">
        <v>515</v>
      </c>
      <c r="G55" s="326">
        <v>0</v>
      </c>
      <c r="H55" s="378">
        <v>10</v>
      </c>
      <c r="I55" s="275">
        <v>0</v>
      </c>
      <c r="J55" s="67">
        <f t="shared" si="13"/>
        <v>10</v>
      </c>
    </row>
    <row r="56" spans="1:10" ht="14.95" thickBot="1" x14ac:dyDescent="0.3">
      <c r="A56" s="56" t="s">
        <v>1360</v>
      </c>
      <c r="B56" s="314">
        <v>1</v>
      </c>
      <c r="C56" s="514">
        <v>0</v>
      </c>
      <c r="D56" s="141">
        <v>0</v>
      </c>
      <c r="E56" s="57">
        <f t="shared" si="12"/>
        <v>1</v>
      </c>
      <c r="F56" s="66" t="s">
        <v>1379</v>
      </c>
      <c r="G56" s="326">
        <v>0</v>
      </c>
      <c r="H56" s="378">
        <v>10</v>
      </c>
      <c r="I56" s="275">
        <v>0</v>
      </c>
      <c r="J56" s="67">
        <f t="shared" si="13"/>
        <v>10</v>
      </c>
    </row>
    <row r="57" spans="1:10" ht="14.95" thickBot="1" x14ac:dyDescent="0.3">
      <c r="A57" s="56" t="s">
        <v>1380</v>
      </c>
      <c r="B57" s="314">
        <v>0</v>
      </c>
      <c r="C57" s="514">
        <v>1</v>
      </c>
      <c r="D57" s="141">
        <v>0</v>
      </c>
      <c r="E57" s="57">
        <f t="shared" si="12"/>
        <v>1</v>
      </c>
      <c r="F57" s="66" t="s">
        <v>638</v>
      </c>
      <c r="G57" s="326">
        <v>2</v>
      </c>
      <c r="H57" s="378">
        <v>7</v>
      </c>
      <c r="I57" s="275">
        <v>0</v>
      </c>
      <c r="J57" s="67">
        <f t="shared" si="13"/>
        <v>9</v>
      </c>
    </row>
    <row r="58" spans="1:10" ht="14.95" thickBot="1" x14ac:dyDescent="0.3">
      <c r="A58" s="56" t="s">
        <v>947</v>
      </c>
      <c r="B58" s="314">
        <v>1</v>
      </c>
      <c r="C58" s="514">
        <v>0</v>
      </c>
      <c r="D58" s="141">
        <v>0</v>
      </c>
      <c r="E58" s="57">
        <f t="shared" si="12"/>
        <v>1</v>
      </c>
      <c r="F58" s="66" t="s">
        <v>314</v>
      </c>
      <c r="G58" s="326">
        <v>6</v>
      </c>
      <c r="H58" s="378">
        <v>0</v>
      </c>
      <c r="I58" s="275">
        <v>0</v>
      </c>
      <c r="J58" s="67">
        <f t="shared" si="13"/>
        <v>6</v>
      </c>
    </row>
    <row r="59" spans="1:10" ht="14.95" thickBot="1" x14ac:dyDescent="0.3">
      <c r="A59" s="56" t="s">
        <v>1406</v>
      </c>
      <c r="B59" s="314">
        <v>0</v>
      </c>
      <c r="C59" s="514">
        <v>1</v>
      </c>
      <c r="D59" s="141">
        <v>0</v>
      </c>
      <c r="E59" s="57">
        <f t="shared" si="12"/>
        <v>1</v>
      </c>
      <c r="F59" s="66" t="s">
        <v>1359</v>
      </c>
      <c r="G59" s="326">
        <v>5</v>
      </c>
      <c r="H59" s="378">
        <v>0</v>
      </c>
      <c r="I59" s="275">
        <v>0</v>
      </c>
      <c r="J59" s="67">
        <f t="shared" si="13"/>
        <v>5</v>
      </c>
    </row>
    <row r="60" spans="1:10" ht="14.95" thickBot="1" x14ac:dyDescent="0.3">
      <c r="A60" s="56" t="s">
        <v>1289</v>
      </c>
      <c r="B60" s="314">
        <v>0</v>
      </c>
      <c r="C60" s="514">
        <v>0</v>
      </c>
      <c r="D60" s="141">
        <v>1</v>
      </c>
      <c r="E60" s="57">
        <f t="shared" si="12"/>
        <v>1</v>
      </c>
      <c r="F60" s="66" t="s">
        <v>1360</v>
      </c>
      <c r="G60" s="326">
        <v>5</v>
      </c>
      <c r="H60" s="378">
        <v>0</v>
      </c>
      <c r="I60" s="275">
        <v>0</v>
      </c>
      <c r="J60" s="67">
        <f t="shared" si="13"/>
        <v>5</v>
      </c>
    </row>
    <row r="61" spans="1:10" ht="14.95" thickBot="1" x14ac:dyDescent="0.3">
      <c r="A61" s="56" t="s">
        <v>549</v>
      </c>
      <c r="B61" s="314">
        <v>0</v>
      </c>
      <c r="C61" s="514">
        <v>0</v>
      </c>
      <c r="D61" s="141">
        <v>1</v>
      </c>
      <c r="E61" s="57">
        <f t="shared" si="12"/>
        <v>1</v>
      </c>
      <c r="F61" s="66" t="s">
        <v>1380</v>
      </c>
      <c r="G61" s="326">
        <v>0</v>
      </c>
      <c r="H61" s="378">
        <v>5</v>
      </c>
      <c r="I61" s="275">
        <v>0</v>
      </c>
      <c r="J61" s="67">
        <f t="shared" si="13"/>
        <v>5</v>
      </c>
    </row>
    <row r="62" spans="1:10" ht="14.95" thickBot="1" x14ac:dyDescent="0.3">
      <c r="A62" s="56" t="s">
        <v>1404</v>
      </c>
      <c r="B62" s="314">
        <v>0</v>
      </c>
      <c r="C62" s="514">
        <v>1</v>
      </c>
      <c r="D62" s="141">
        <v>0</v>
      </c>
      <c r="E62" s="57">
        <f t="shared" si="12"/>
        <v>1</v>
      </c>
      <c r="F62" s="66" t="s">
        <v>947</v>
      </c>
      <c r="G62" s="326">
        <v>5</v>
      </c>
      <c r="H62" s="378">
        <v>0</v>
      </c>
      <c r="I62" s="275">
        <v>0</v>
      </c>
      <c r="J62" s="67">
        <f t="shared" si="13"/>
        <v>5</v>
      </c>
    </row>
    <row r="63" spans="1:10" ht="14.95" thickBot="1" x14ac:dyDescent="0.3">
      <c r="A63" s="56" t="s">
        <v>1378</v>
      </c>
      <c r="B63" s="314">
        <v>0</v>
      </c>
      <c r="C63" s="514">
        <v>1</v>
      </c>
      <c r="D63" s="141">
        <v>0</v>
      </c>
      <c r="E63" s="57">
        <f t="shared" si="12"/>
        <v>1</v>
      </c>
      <c r="F63" s="66" t="s">
        <v>1406</v>
      </c>
      <c r="G63" s="326">
        <v>0</v>
      </c>
      <c r="H63" s="378">
        <v>5</v>
      </c>
      <c r="I63" s="275">
        <v>0</v>
      </c>
      <c r="J63" s="67">
        <f t="shared" si="13"/>
        <v>5</v>
      </c>
    </row>
    <row r="64" spans="1:10" ht="14.95" thickBot="1" x14ac:dyDescent="0.3">
      <c r="A64" s="56" t="s">
        <v>413</v>
      </c>
      <c r="B64" s="314">
        <v>0</v>
      </c>
      <c r="C64" s="514">
        <v>1</v>
      </c>
      <c r="D64" s="141">
        <v>0</v>
      </c>
      <c r="E64" s="57">
        <f t="shared" si="12"/>
        <v>1</v>
      </c>
      <c r="F64" s="66" t="s">
        <v>1289</v>
      </c>
      <c r="G64" s="326">
        <v>0</v>
      </c>
      <c r="H64" s="378">
        <v>0</v>
      </c>
      <c r="I64" s="275">
        <v>5</v>
      </c>
      <c r="J64" s="67">
        <f t="shared" si="13"/>
        <v>5</v>
      </c>
    </row>
    <row r="65" spans="1:10" ht="14.95" thickBot="1" x14ac:dyDescent="0.3">
      <c r="A65" s="56" t="s">
        <v>1343</v>
      </c>
      <c r="B65" s="314">
        <v>1</v>
      </c>
      <c r="C65" s="514">
        <v>0</v>
      </c>
      <c r="D65" s="141">
        <v>0</v>
      </c>
      <c r="E65" s="57">
        <f t="shared" si="12"/>
        <v>1</v>
      </c>
      <c r="F65" s="66" t="s">
        <v>549</v>
      </c>
      <c r="G65" s="326">
        <v>0</v>
      </c>
      <c r="H65" s="378">
        <v>0</v>
      </c>
      <c r="I65" s="275">
        <v>5</v>
      </c>
      <c r="J65" s="67">
        <f t="shared" si="13"/>
        <v>5</v>
      </c>
    </row>
    <row r="66" spans="1:10" ht="14.95" thickBot="1" x14ac:dyDescent="0.3">
      <c r="A66" s="56" t="s">
        <v>1290</v>
      </c>
      <c r="B66" s="314">
        <v>0</v>
      </c>
      <c r="C66" s="514">
        <v>1</v>
      </c>
      <c r="D66" s="141">
        <v>0</v>
      </c>
      <c r="E66" s="57">
        <f t="shared" si="12"/>
        <v>1</v>
      </c>
      <c r="F66" s="66" t="s">
        <v>1404</v>
      </c>
      <c r="G66" s="326">
        <v>0</v>
      </c>
      <c r="H66" s="378">
        <v>5</v>
      </c>
      <c r="I66" s="275">
        <v>0</v>
      </c>
      <c r="J66" s="67">
        <f t="shared" si="13"/>
        <v>5</v>
      </c>
    </row>
    <row r="67" spans="1:10" ht="14.95" thickBot="1" x14ac:dyDescent="0.3">
      <c r="A67" s="56" t="s">
        <v>737</v>
      </c>
      <c r="B67" s="314">
        <v>0</v>
      </c>
      <c r="C67" s="514">
        <v>0</v>
      </c>
      <c r="D67" s="141">
        <v>0</v>
      </c>
      <c r="E67" s="57">
        <f t="shared" si="12"/>
        <v>0</v>
      </c>
      <c r="F67" s="66" t="s">
        <v>733</v>
      </c>
      <c r="G67" s="326">
        <v>0</v>
      </c>
      <c r="H67" s="378">
        <v>5</v>
      </c>
      <c r="I67" s="275">
        <v>0</v>
      </c>
      <c r="J67" s="67">
        <f t="shared" si="13"/>
        <v>5</v>
      </c>
    </row>
    <row r="68" spans="1:10" ht="14.95" thickBot="1" x14ac:dyDescent="0.3">
      <c r="A68" s="56" t="s">
        <v>314</v>
      </c>
      <c r="B68" s="314">
        <v>0</v>
      </c>
      <c r="C68" s="514">
        <v>0</v>
      </c>
      <c r="D68" s="141">
        <v>0</v>
      </c>
      <c r="E68" s="57">
        <f t="shared" si="12"/>
        <v>0</v>
      </c>
      <c r="F68" s="66" t="s">
        <v>413</v>
      </c>
      <c r="G68" s="326">
        <v>0</v>
      </c>
      <c r="H68" s="378">
        <v>5</v>
      </c>
      <c r="I68" s="275">
        <v>0</v>
      </c>
      <c r="J68" s="67">
        <f t="shared" si="13"/>
        <v>5</v>
      </c>
    </row>
    <row r="69" spans="1:10" ht="14.95" thickBot="1" x14ac:dyDescent="0.3">
      <c r="A69" s="56" t="s">
        <v>734</v>
      </c>
      <c r="B69" s="314">
        <v>0</v>
      </c>
      <c r="C69" s="514">
        <v>0</v>
      </c>
      <c r="D69" s="141">
        <v>0</v>
      </c>
      <c r="E69" s="57">
        <f t="shared" si="12"/>
        <v>0</v>
      </c>
      <c r="F69" s="66" t="s">
        <v>1343</v>
      </c>
      <c r="G69" s="326">
        <v>5</v>
      </c>
      <c r="H69" s="378">
        <v>0</v>
      </c>
      <c r="I69" s="275">
        <v>0</v>
      </c>
      <c r="J69" s="67">
        <f t="shared" si="13"/>
        <v>5</v>
      </c>
    </row>
    <row r="70" spans="1:10" ht="14.95" thickBot="1" x14ac:dyDescent="0.3">
      <c r="A70" s="56" t="s">
        <v>735</v>
      </c>
      <c r="B70" s="314">
        <v>0</v>
      </c>
      <c r="C70" s="514">
        <v>0</v>
      </c>
      <c r="D70" s="141">
        <v>0</v>
      </c>
      <c r="E70" s="57">
        <f t="shared" si="12"/>
        <v>0</v>
      </c>
      <c r="F70" s="66" t="s">
        <v>1381</v>
      </c>
      <c r="G70" s="326">
        <v>0</v>
      </c>
      <c r="H70" s="378">
        <v>2</v>
      </c>
      <c r="I70" s="275">
        <v>0</v>
      </c>
      <c r="J70" s="67">
        <f t="shared" si="13"/>
        <v>2</v>
      </c>
    </row>
    <row r="71" spans="1:10" ht="14.95" thickBot="1" x14ac:dyDescent="0.3">
      <c r="A71" s="56" t="s">
        <v>671</v>
      </c>
      <c r="B71" s="314">
        <v>0</v>
      </c>
      <c r="C71" s="514">
        <v>0</v>
      </c>
      <c r="D71" s="141">
        <v>0</v>
      </c>
      <c r="E71" s="57">
        <f t="shared" si="12"/>
        <v>0</v>
      </c>
      <c r="F71" s="66" t="s">
        <v>737</v>
      </c>
      <c r="G71" s="326">
        <v>0</v>
      </c>
      <c r="H71" s="378">
        <v>0</v>
      </c>
      <c r="I71" s="275">
        <v>0</v>
      </c>
      <c r="J71" s="67">
        <f t="shared" si="13"/>
        <v>0</v>
      </c>
    </row>
    <row r="72" spans="1:10" ht="14.95" thickBot="1" x14ac:dyDescent="0.3">
      <c r="A72" s="56" t="s">
        <v>736</v>
      </c>
      <c r="B72" s="314">
        <v>0</v>
      </c>
      <c r="C72" s="514">
        <v>0</v>
      </c>
      <c r="D72" s="141">
        <v>0</v>
      </c>
      <c r="E72" s="57">
        <f t="shared" si="12"/>
        <v>0</v>
      </c>
      <c r="F72" s="66" t="s">
        <v>734</v>
      </c>
      <c r="G72" s="326">
        <v>0</v>
      </c>
      <c r="H72" s="378">
        <v>0</v>
      </c>
      <c r="I72" s="275">
        <v>0</v>
      </c>
      <c r="J72" s="67">
        <f t="shared" si="13"/>
        <v>0</v>
      </c>
    </row>
    <row r="73" spans="1:10" ht="14.95" thickBot="1" x14ac:dyDescent="0.3">
      <c r="A73" s="56" t="s">
        <v>505</v>
      </c>
      <c r="B73" s="314">
        <v>0</v>
      </c>
      <c r="C73" s="514">
        <v>0</v>
      </c>
      <c r="D73" s="141">
        <v>0</v>
      </c>
      <c r="E73" s="57">
        <f t="shared" si="12"/>
        <v>0</v>
      </c>
      <c r="F73" s="66" t="s">
        <v>735</v>
      </c>
      <c r="G73" s="326">
        <v>0</v>
      </c>
      <c r="H73" s="378">
        <v>0</v>
      </c>
      <c r="I73" s="275">
        <v>0</v>
      </c>
      <c r="J73" s="67">
        <f t="shared" si="13"/>
        <v>0</v>
      </c>
    </row>
    <row r="74" spans="1:10" ht="14.95" thickBot="1" x14ac:dyDescent="0.3">
      <c r="A74" s="56" t="s">
        <v>1076</v>
      </c>
      <c r="B74" s="314">
        <v>0</v>
      </c>
      <c r="C74" s="514">
        <v>0</v>
      </c>
      <c r="D74" s="141">
        <v>0</v>
      </c>
      <c r="E74" s="57">
        <f t="shared" si="12"/>
        <v>0</v>
      </c>
      <c r="F74" s="66" t="s">
        <v>671</v>
      </c>
      <c r="G74" s="326">
        <v>0</v>
      </c>
      <c r="H74" s="378">
        <v>0</v>
      </c>
      <c r="I74" s="275">
        <v>0</v>
      </c>
      <c r="J74" s="67">
        <f t="shared" si="13"/>
        <v>0</v>
      </c>
    </row>
    <row r="75" spans="1:10" ht="14.95" thickBot="1" x14ac:dyDescent="0.3">
      <c r="A75" s="56" t="s">
        <v>1089</v>
      </c>
      <c r="B75" s="314">
        <v>0</v>
      </c>
      <c r="C75" s="514">
        <v>0</v>
      </c>
      <c r="D75" s="141">
        <v>0</v>
      </c>
      <c r="E75" s="57">
        <f t="shared" si="12"/>
        <v>0</v>
      </c>
      <c r="F75" s="66" t="s">
        <v>736</v>
      </c>
      <c r="G75" s="326">
        <v>0</v>
      </c>
      <c r="H75" s="378">
        <v>0</v>
      </c>
      <c r="I75" s="275">
        <v>0</v>
      </c>
      <c r="J75" s="67">
        <f t="shared" si="13"/>
        <v>0</v>
      </c>
    </row>
    <row r="76" spans="1:10" ht="14.95" thickBot="1" x14ac:dyDescent="0.3">
      <c r="A76" s="56" t="s">
        <v>732</v>
      </c>
      <c r="B76" s="314">
        <v>0</v>
      </c>
      <c r="C76" s="514">
        <v>0</v>
      </c>
      <c r="D76" s="141">
        <v>0</v>
      </c>
      <c r="E76" s="57">
        <f t="shared" si="12"/>
        <v>0</v>
      </c>
      <c r="F76" s="66" t="s">
        <v>1076</v>
      </c>
      <c r="G76" s="326">
        <v>0</v>
      </c>
      <c r="H76" s="378">
        <v>0</v>
      </c>
      <c r="I76" s="275">
        <v>0</v>
      </c>
      <c r="J76" s="67">
        <f t="shared" si="13"/>
        <v>0</v>
      </c>
    </row>
    <row r="77" spans="1:10" ht="14.95" thickBot="1" x14ac:dyDescent="0.3">
      <c r="A77" s="56" t="s">
        <v>871</v>
      </c>
      <c r="B77" s="314">
        <v>0</v>
      </c>
      <c r="C77" s="514">
        <v>0</v>
      </c>
      <c r="D77" s="141">
        <v>0</v>
      </c>
      <c r="E77" s="57">
        <f t="shared" si="12"/>
        <v>0</v>
      </c>
      <c r="F77" s="66" t="s">
        <v>1089</v>
      </c>
      <c r="G77" s="326">
        <v>0</v>
      </c>
      <c r="H77" s="378">
        <v>0</v>
      </c>
      <c r="I77" s="275">
        <v>0</v>
      </c>
      <c r="J77" s="67">
        <f t="shared" si="13"/>
        <v>0</v>
      </c>
    </row>
    <row r="78" spans="1:10" ht="14.95" thickBot="1" x14ac:dyDescent="0.3">
      <c r="A78" s="56" t="s">
        <v>872</v>
      </c>
      <c r="B78" s="314">
        <v>0</v>
      </c>
      <c r="C78" s="514">
        <v>0</v>
      </c>
      <c r="D78" s="141">
        <v>0</v>
      </c>
      <c r="E78" s="57">
        <f t="shared" si="12"/>
        <v>0</v>
      </c>
      <c r="F78" s="66" t="s">
        <v>732</v>
      </c>
      <c r="G78" s="326">
        <v>0</v>
      </c>
      <c r="H78" s="378">
        <v>0</v>
      </c>
      <c r="I78" s="275">
        <v>0</v>
      </c>
      <c r="J78" s="67">
        <f t="shared" si="13"/>
        <v>0</v>
      </c>
    </row>
    <row r="79" spans="1:10" ht="14.95" thickBot="1" x14ac:dyDescent="0.3">
      <c r="A79" s="56" t="s">
        <v>638</v>
      </c>
      <c r="B79" s="314">
        <v>0</v>
      </c>
      <c r="C79" s="514">
        <v>0</v>
      </c>
      <c r="D79" s="141">
        <v>0</v>
      </c>
      <c r="E79" s="57">
        <f t="shared" si="12"/>
        <v>0</v>
      </c>
      <c r="F79" s="66" t="s">
        <v>871</v>
      </c>
      <c r="G79" s="326">
        <v>0</v>
      </c>
      <c r="H79" s="378">
        <v>0</v>
      </c>
      <c r="I79" s="275">
        <v>0</v>
      </c>
      <c r="J79" s="67">
        <f t="shared" si="13"/>
        <v>0</v>
      </c>
    </row>
    <row r="80" spans="1:10" ht="14.95" thickBot="1" x14ac:dyDescent="0.3">
      <c r="A80" s="56" t="s">
        <v>1064</v>
      </c>
      <c r="B80" s="314">
        <v>0</v>
      </c>
      <c r="C80" s="514">
        <v>0</v>
      </c>
      <c r="D80" s="141">
        <v>0</v>
      </c>
      <c r="E80" s="57">
        <f t="shared" si="12"/>
        <v>0</v>
      </c>
      <c r="F80" s="66" t="s">
        <v>872</v>
      </c>
      <c r="G80" s="326">
        <v>0</v>
      </c>
      <c r="H80" s="378">
        <v>0</v>
      </c>
      <c r="I80" s="275">
        <v>0</v>
      </c>
      <c r="J80" s="67">
        <f t="shared" si="13"/>
        <v>0</v>
      </c>
    </row>
    <row r="81" spans="1:10" ht="14.95" thickBot="1" x14ac:dyDescent="0.3">
      <c r="A81" s="56" t="s">
        <v>262</v>
      </c>
      <c r="B81" s="314">
        <v>0</v>
      </c>
      <c r="C81" s="514">
        <v>0</v>
      </c>
      <c r="D81" s="141">
        <v>0</v>
      </c>
      <c r="E81" s="57">
        <f t="shared" si="12"/>
        <v>0</v>
      </c>
      <c r="F81" s="66" t="s">
        <v>1064</v>
      </c>
      <c r="G81" s="326">
        <v>0</v>
      </c>
      <c r="H81" s="378">
        <v>0</v>
      </c>
      <c r="I81" s="275">
        <v>0</v>
      </c>
      <c r="J81" s="67">
        <f t="shared" si="13"/>
        <v>0</v>
      </c>
    </row>
    <row r="82" spans="1:10" ht="14.95" thickBot="1" x14ac:dyDescent="0.3">
      <c r="A82" s="56" t="s">
        <v>738</v>
      </c>
      <c r="B82" s="314">
        <v>0</v>
      </c>
      <c r="C82" s="514">
        <v>0</v>
      </c>
      <c r="D82" s="141">
        <v>0</v>
      </c>
      <c r="E82" s="57">
        <f t="shared" si="12"/>
        <v>0</v>
      </c>
      <c r="F82" s="66" t="s">
        <v>262</v>
      </c>
      <c r="G82" s="326">
        <v>0</v>
      </c>
      <c r="H82" s="378">
        <v>0</v>
      </c>
      <c r="I82" s="275">
        <v>0</v>
      </c>
      <c r="J82" s="67">
        <f t="shared" si="13"/>
        <v>0</v>
      </c>
    </row>
    <row r="83" spans="1:10" ht="14.95" thickBot="1" x14ac:dyDescent="0.3">
      <c r="A83" s="56" t="s">
        <v>670</v>
      </c>
      <c r="B83" s="314">
        <v>0</v>
      </c>
      <c r="C83" s="514">
        <v>0</v>
      </c>
      <c r="D83" s="141">
        <v>0</v>
      </c>
      <c r="E83" s="57">
        <f t="shared" si="12"/>
        <v>0</v>
      </c>
      <c r="F83" s="66" t="s">
        <v>738</v>
      </c>
      <c r="G83" s="326">
        <v>0</v>
      </c>
      <c r="H83" s="378">
        <v>0</v>
      </c>
      <c r="I83" s="275">
        <v>0</v>
      </c>
      <c r="J83" s="67">
        <f t="shared" si="13"/>
        <v>0</v>
      </c>
    </row>
    <row r="84" spans="1:10" ht="14.95" thickBot="1" x14ac:dyDescent="0.3">
      <c r="A84" s="56" t="s">
        <v>514</v>
      </c>
      <c r="B84" s="314">
        <v>0</v>
      </c>
      <c r="C84" s="514">
        <v>0</v>
      </c>
      <c r="D84" s="141">
        <v>0</v>
      </c>
      <c r="E84" s="57">
        <f t="shared" si="12"/>
        <v>0</v>
      </c>
      <c r="F84" s="66" t="s">
        <v>670</v>
      </c>
      <c r="G84" s="326">
        <v>0</v>
      </c>
      <c r="H84" s="378">
        <v>0</v>
      </c>
      <c r="I84" s="275">
        <v>0</v>
      </c>
      <c r="J84" s="67">
        <f t="shared" si="13"/>
        <v>0</v>
      </c>
    </row>
    <row r="85" spans="1:10" ht="14.95" thickBot="1" x14ac:dyDescent="0.3">
      <c r="A85" s="56" t="s">
        <v>994</v>
      </c>
      <c r="B85" s="314">
        <v>0</v>
      </c>
      <c r="C85" s="514">
        <v>0</v>
      </c>
      <c r="D85" s="141">
        <v>0</v>
      </c>
      <c r="E85" s="57">
        <f t="shared" si="12"/>
        <v>0</v>
      </c>
      <c r="F85" s="66" t="s">
        <v>514</v>
      </c>
      <c r="G85" s="326">
        <v>0</v>
      </c>
      <c r="H85" s="378">
        <v>0</v>
      </c>
      <c r="I85" s="275">
        <v>0</v>
      </c>
      <c r="J85" s="67">
        <f t="shared" si="13"/>
        <v>0</v>
      </c>
    </row>
    <row r="86" spans="1:10" ht="14.95" thickBot="1" x14ac:dyDescent="0.3">
      <c r="A86" s="56" t="s">
        <v>4</v>
      </c>
      <c r="B86" s="314">
        <v>0</v>
      </c>
      <c r="C86" s="514">
        <v>0</v>
      </c>
      <c r="D86" s="141">
        <v>0</v>
      </c>
      <c r="E86" s="57">
        <f t="shared" si="12"/>
        <v>0</v>
      </c>
      <c r="F86" s="66" t="s">
        <v>994</v>
      </c>
      <c r="G86" s="326">
        <v>0</v>
      </c>
      <c r="H86" s="378">
        <v>0</v>
      </c>
      <c r="I86" s="275">
        <v>0</v>
      </c>
      <c r="J86" s="67">
        <f t="shared" si="13"/>
        <v>0</v>
      </c>
    </row>
    <row r="87" spans="1:10" ht="14.95" thickBot="1" x14ac:dyDescent="0.3">
      <c r="A87" s="56" t="s">
        <v>18</v>
      </c>
      <c r="B87" s="314">
        <v>0</v>
      </c>
      <c r="C87" s="514">
        <v>0</v>
      </c>
      <c r="D87" s="141">
        <v>0</v>
      </c>
      <c r="E87" s="57">
        <f t="shared" si="12"/>
        <v>0</v>
      </c>
      <c r="F87" s="66" t="s">
        <v>4</v>
      </c>
      <c r="G87" s="326">
        <v>0</v>
      </c>
      <c r="H87" s="378">
        <v>0</v>
      </c>
      <c r="I87" s="275">
        <v>0</v>
      </c>
      <c r="J87" s="67">
        <f t="shared" si="13"/>
        <v>0</v>
      </c>
    </row>
    <row r="88" spans="1:10" ht="14.95" thickBot="1" x14ac:dyDescent="0.3">
      <c r="A88" s="56" t="s">
        <v>1381</v>
      </c>
      <c r="B88" s="314">
        <v>0</v>
      </c>
      <c r="C88" s="514">
        <v>0</v>
      </c>
      <c r="D88" s="141">
        <v>0</v>
      </c>
      <c r="E88" s="57">
        <f t="shared" si="12"/>
        <v>0</v>
      </c>
      <c r="F88" s="66" t="s">
        <v>18</v>
      </c>
      <c r="G88" s="326">
        <v>0</v>
      </c>
      <c r="H88" s="378">
        <v>0</v>
      </c>
      <c r="I88" s="275">
        <v>0</v>
      </c>
      <c r="J88" s="67">
        <f t="shared" si="13"/>
        <v>0</v>
      </c>
    </row>
    <row r="89" spans="1:10" ht="14.95" thickBot="1" x14ac:dyDescent="0.3">
      <c r="A89" s="56" t="s">
        <v>739</v>
      </c>
      <c r="B89" s="314">
        <v>0</v>
      </c>
      <c r="C89" s="514">
        <v>0</v>
      </c>
      <c r="D89" s="141">
        <v>0</v>
      </c>
      <c r="E89" s="57">
        <f t="shared" si="12"/>
        <v>0</v>
      </c>
      <c r="F89" s="66" t="s">
        <v>739</v>
      </c>
      <c r="G89" s="326">
        <v>0</v>
      </c>
      <c r="H89" s="378">
        <v>0</v>
      </c>
      <c r="I89" s="275">
        <v>0</v>
      </c>
      <c r="J89" s="67">
        <f t="shared" si="13"/>
        <v>0</v>
      </c>
    </row>
    <row r="90" spans="1:10" ht="14.95" thickBot="1" x14ac:dyDescent="0.3">
      <c r="A90" s="56" t="s">
        <v>583</v>
      </c>
      <c r="B90" s="314">
        <v>0</v>
      </c>
      <c r="C90" s="514">
        <v>0</v>
      </c>
      <c r="D90" s="141">
        <v>0</v>
      </c>
      <c r="E90" s="57">
        <f t="shared" si="12"/>
        <v>0</v>
      </c>
      <c r="F90" s="66" t="s">
        <v>583</v>
      </c>
      <c r="G90" s="326">
        <v>0</v>
      </c>
      <c r="H90" s="378">
        <v>0</v>
      </c>
      <c r="I90" s="275">
        <v>0</v>
      </c>
      <c r="J90" s="67">
        <f t="shared" si="13"/>
        <v>0</v>
      </c>
    </row>
    <row r="91" spans="1:10" ht="14.95" thickBot="1" x14ac:dyDescent="0.3">
      <c r="A91" s="56" t="s">
        <v>3</v>
      </c>
      <c r="B91" s="314">
        <f>SUM(B49:B90)</f>
        <v>5</v>
      </c>
      <c r="C91" s="514">
        <f>SUM(C49:C90)</f>
        <v>19</v>
      </c>
      <c r="D91" s="141">
        <f>SUM(D49:D90)</f>
        <v>2</v>
      </c>
      <c r="E91" s="57">
        <f t="shared" ref="E91" si="14">SUM(B91:D91)</f>
        <v>26</v>
      </c>
      <c r="F91" s="66" t="s">
        <v>3</v>
      </c>
      <c r="G91" s="326">
        <f>SUM(G49:G90)</f>
        <v>44</v>
      </c>
      <c r="H91" s="378">
        <f>SUM(H49:H90)</f>
        <v>131</v>
      </c>
      <c r="I91" s="275">
        <f>SUM(I49:I90)</f>
        <v>12</v>
      </c>
      <c r="J91" s="251">
        <f t="shared" ref="J91" si="15">SUM(G91:I91)</f>
        <v>187</v>
      </c>
    </row>
    <row r="92" spans="1:10" ht="16.3" x14ac:dyDescent="0.3">
      <c r="A92" s="487" t="s">
        <v>28</v>
      </c>
    </row>
  </sheetData>
  <sortState xmlns:xlrd2="http://schemas.microsoft.com/office/spreadsheetml/2017/richdata2" ref="F49:J90">
    <sortCondition descending="1" ref="J49:J90"/>
  </sortState>
  <mergeCells count="30">
    <mergeCell ref="AQ1:AS2"/>
    <mergeCell ref="AN28:AP29"/>
    <mergeCell ref="O1:Q2"/>
    <mergeCell ref="R1:R2"/>
    <mergeCell ref="AN1:AP2"/>
    <mergeCell ref="R28:T29"/>
    <mergeCell ref="AK1:AM2"/>
    <mergeCell ref="O28:Q29"/>
    <mergeCell ref="R16:T17"/>
    <mergeCell ref="AB1:AD2"/>
    <mergeCell ref="Y1:AA2"/>
    <mergeCell ref="AK28:AM29"/>
    <mergeCell ref="AH1:AJ2"/>
    <mergeCell ref="V1:X2"/>
    <mergeCell ref="AH28:AJ29"/>
    <mergeCell ref="S1:U2"/>
    <mergeCell ref="AE1:AG2"/>
    <mergeCell ref="AE28:AG29"/>
    <mergeCell ref="R38:T39"/>
    <mergeCell ref="K38:K39"/>
    <mergeCell ref="L38:N39"/>
    <mergeCell ref="K28:K29"/>
    <mergeCell ref="L28:N29"/>
    <mergeCell ref="O38:Q39"/>
    <mergeCell ref="A1:J1"/>
    <mergeCell ref="K16:K17"/>
    <mergeCell ref="O16:Q17"/>
    <mergeCell ref="K1:K2"/>
    <mergeCell ref="L1:N2"/>
    <mergeCell ref="L16:N17"/>
  </mergeCells>
  <pageMargins left="0.7" right="0.7" top="0.75" bottom="0.75" header="0.3" footer="0.3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AY108"/>
  <sheetViews>
    <sheetView workbookViewId="0">
      <selection activeCell="W26" sqref="W26"/>
    </sheetView>
  </sheetViews>
  <sheetFormatPr defaultRowHeight="14.3" x14ac:dyDescent="0.25"/>
  <cols>
    <col min="1" max="1" width="16.5" customWidth="1"/>
    <col min="2" max="4" width="4.5" customWidth="1"/>
    <col min="5" max="5" width="16.5" customWidth="1"/>
    <col min="6" max="8" width="4.5" customWidth="1"/>
    <col min="9" max="9" width="15.5" customWidth="1"/>
    <col min="10" max="24" width="5.5" customWidth="1"/>
    <col min="25" max="48" width="5.625" customWidth="1"/>
  </cols>
  <sheetData>
    <row r="1" spans="1:51" ht="14.95" customHeight="1" thickBot="1" x14ac:dyDescent="0.3">
      <c r="A1" s="673" t="s">
        <v>1460</v>
      </c>
      <c r="B1" s="674"/>
      <c r="C1" s="674"/>
      <c r="D1" s="674"/>
      <c r="E1" s="674"/>
      <c r="F1" s="674"/>
      <c r="G1" s="674"/>
      <c r="H1" s="675"/>
      <c r="I1" s="676" t="s">
        <v>112</v>
      </c>
      <c r="J1" s="583">
        <v>2026</v>
      </c>
      <c r="K1" s="584"/>
      <c r="L1" s="585"/>
      <c r="M1" s="583" t="s">
        <v>32</v>
      </c>
      <c r="N1" s="584"/>
      <c r="O1" s="585"/>
      <c r="P1" s="583" t="s">
        <v>121</v>
      </c>
      <c r="Q1" s="568">
        <v>2025</v>
      </c>
      <c r="R1" s="569"/>
      <c r="S1" s="570"/>
      <c r="T1" s="568">
        <v>2024</v>
      </c>
      <c r="U1" s="569"/>
      <c r="V1" s="570"/>
      <c r="W1" s="229"/>
      <c r="X1" s="125"/>
      <c r="Y1" s="568">
        <v>2023</v>
      </c>
      <c r="Z1" s="569"/>
      <c r="AA1" s="570"/>
      <c r="AB1" s="568">
        <v>2022</v>
      </c>
      <c r="AC1" s="569"/>
      <c r="AD1" s="570"/>
      <c r="AE1" s="568">
        <v>2021</v>
      </c>
      <c r="AF1" s="569"/>
      <c r="AG1" s="570"/>
      <c r="AH1" s="568">
        <v>2020</v>
      </c>
      <c r="AI1" s="569"/>
      <c r="AJ1" s="570"/>
      <c r="AK1" s="568">
        <v>2019</v>
      </c>
      <c r="AL1" s="569"/>
      <c r="AM1" s="570"/>
      <c r="AN1" s="568">
        <v>2018</v>
      </c>
      <c r="AO1" s="569"/>
      <c r="AP1" s="570"/>
      <c r="AQ1" s="557">
        <v>2017</v>
      </c>
      <c r="AR1" s="563"/>
      <c r="AS1" s="564"/>
      <c r="AT1" s="557">
        <v>2016</v>
      </c>
      <c r="AU1" s="563"/>
      <c r="AV1" s="564"/>
    </row>
    <row r="2" spans="1:51" ht="14.95" customHeight="1" thickBot="1" x14ac:dyDescent="0.3">
      <c r="A2" s="217" t="s">
        <v>0</v>
      </c>
      <c r="B2" s="194" t="s">
        <v>36</v>
      </c>
      <c r="C2" s="539" t="s">
        <v>1447</v>
      </c>
      <c r="D2" s="195" t="s">
        <v>1</v>
      </c>
      <c r="E2" s="215" t="s">
        <v>2</v>
      </c>
      <c r="F2" s="218" t="s">
        <v>36</v>
      </c>
      <c r="G2" s="506" t="s">
        <v>1447</v>
      </c>
      <c r="H2" s="216" t="s">
        <v>1</v>
      </c>
      <c r="I2" s="677"/>
      <c r="J2" s="586"/>
      <c r="K2" s="587"/>
      <c r="L2" s="588"/>
      <c r="M2" s="586"/>
      <c r="N2" s="587"/>
      <c r="O2" s="588"/>
      <c r="P2" s="586"/>
      <c r="Q2" s="571"/>
      <c r="R2" s="572"/>
      <c r="S2" s="573"/>
      <c r="T2" s="571"/>
      <c r="U2" s="572"/>
      <c r="V2" s="573"/>
      <c r="W2" s="229"/>
      <c r="X2" s="125"/>
      <c r="Y2" s="571"/>
      <c r="Z2" s="572"/>
      <c r="AA2" s="573"/>
      <c r="AB2" s="571"/>
      <c r="AC2" s="572"/>
      <c r="AD2" s="573"/>
      <c r="AE2" s="571"/>
      <c r="AF2" s="572"/>
      <c r="AG2" s="573"/>
      <c r="AH2" s="571"/>
      <c r="AI2" s="572"/>
      <c r="AJ2" s="573"/>
      <c r="AK2" s="571"/>
      <c r="AL2" s="572"/>
      <c r="AM2" s="573"/>
      <c r="AN2" s="571"/>
      <c r="AO2" s="572"/>
      <c r="AP2" s="573"/>
      <c r="AQ2" s="565"/>
      <c r="AR2" s="566"/>
      <c r="AS2" s="567"/>
      <c r="AT2" s="565"/>
      <c r="AU2" s="566"/>
      <c r="AV2" s="567"/>
    </row>
    <row r="3" spans="1:51" ht="14.95" customHeight="1" thickBot="1" x14ac:dyDescent="0.3">
      <c r="A3" s="64" t="s">
        <v>452</v>
      </c>
      <c r="B3" s="149">
        <v>0</v>
      </c>
      <c r="C3" s="540">
        <v>0</v>
      </c>
      <c r="D3" s="65">
        <f t="shared" ref="D3:D53" si="0">SUM(B3:C3)</f>
        <v>0</v>
      </c>
      <c r="E3" s="66" t="s">
        <v>452</v>
      </c>
      <c r="F3" s="150">
        <v>0</v>
      </c>
      <c r="G3" s="547">
        <v>0</v>
      </c>
      <c r="H3" s="67">
        <f t="shared" ref="H3:H53" si="1">SUM(F3:G3)</f>
        <v>0</v>
      </c>
      <c r="I3" s="4"/>
      <c r="J3" s="1" t="s">
        <v>152</v>
      </c>
      <c r="K3" s="1" t="s">
        <v>12</v>
      </c>
      <c r="L3" s="1" t="s">
        <v>13</v>
      </c>
      <c r="M3" s="183" t="s">
        <v>152</v>
      </c>
      <c r="N3" s="1" t="s">
        <v>12</v>
      </c>
      <c r="O3" s="1" t="s">
        <v>13</v>
      </c>
      <c r="P3" s="1"/>
      <c r="Q3" s="128" t="s">
        <v>152</v>
      </c>
      <c r="R3" s="128" t="s">
        <v>12</v>
      </c>
      <c r="S3" s="128" t="s">
        <v>13</v>
      </c>
      <c r="T3" s="128" t="s">
        <v>152</v>
      </c>
      <c r="U3" s="128" t="s">
        <v>12</v>
      </c>
      <c r="V3" s="128" t="s">
        <v>13</v>
      </c>
      <c r="W3" s="180"/>
      <c r="X3" s="121"/>
      <c r="Y3" s="228" t="s">
        <v>152</v>
      </c>
      <c r="Z3" s="128" t="s">
        <v>12</v>
      </c>
      <c r="AA3" s="128" t="s">
        <v>13</v>
      </c>
      <c r="AB3" s="228" t="s">
        <v>152</v>
      </c>
      <c r="AC3" s="128" t="s">
        <v>12</v>
      </c>
      <c r="AD3" s="128" t="s">
        <v>13</v>
      </c>
      <c r="AE3" s="228" t="s">
        <v>152</v>
      </c>
      <c r="AF3" s="128" t="s">
        <v>12</v>
      </c>
      <c r="AG3" s="128" t="s">
        <v>13</v>
      </c>
      <c r="AH3" s="228" t="s">
        <v>152</v>
      </c>
      <c r="AI3" s="128" t="s">
        <v>12</v>
      </c>
      <c r="AJ3" s="128" t="s">
        <v>13</v>
      </c>
      <c r="AK3" s="228" t="s">
        <v>152</v>
      </c>
      <c r="AL3" s="128" t="s">
        <v>12</v>
      </c>
      <c r="AM3" s="128" t="s">
        <v>13</v>
      </c>
      <c r="AN3" s="228" t="s">
        <v>152</v>
      </c>
      <c r="AO3" s="128" t="s">
        <v>12</v>
      </c>
      <c r="AP3" s="128" t="s">
        <v>13</v>
      </c>
      <c r="AQ3" s="171" t="s">
        <v>152</v>
      </c>
      <c r="AR3" s="119" t="s">
        <v>12</v>
      </c>
      <c r="AS3" s="119" t="s">
        <v>13</v>
      </c>
      <c r="AT3" s="171" t="s">
        <v>152</v>
      </c>
      <c r="AU3" s="119" t="s">
        <v>12</v>
      </c>
      <c r="AV3" s="119" t="s">
        <v>13</v>
      </c>
    </row>
    <row r="4" spans="1:51" ht="14.95" customHeight="1" thickBot="1" x14ac:dyDescent="0.3">
      <c r="A4" s="64" t="s">
        <v>639</v>
      </c>
      <c r="B4" s="149">
        <v>0</v>
      </c>
      <c r="C4" s="540">
        <v>0</v>
      </c>
      <c r="D4" s="65">
        <f t="shared" si="0"/>
        <v>0</v>
      </c>
      <c r="E4" s="66" t="s">
        <v>639</v>
      </c>
      <c r="F4" s="150">
        <v>0</v>
      </c>
      <c r="G4" s="547">
        <v>0</v>
      </c>
      <c r="H4" s="67">
        <f t="shared" si="1"/>
        <v>0</v>
      </c>
      <c r="I4" s="64" t="s">
        <v>1255</v>
      </c>
      <c r="J4" s="65" t="s">
        <v>17</v>
      </c>
      <c r="K4" s="65" t="s">
        <v>17</v>
      </c>
      <c r="L4" s="68" t="s">
        <v>17</v>
      </c>
      <c r="M4" s="65" t="s">
        <v>17</v>
      </c>
      <c r="N4" s="65" t="s">
        <v>17</v>
      </c>
      <c r="O4" s="68" t="s">
        <v>17</v>
      </c>
      <c r="P4" s="65">
        <v>7</v>
      </c>
      <c r="Q4" s="128">
        <v>8</v>
      </c>
      <c r="R4" s="128">
        <v>11</v>
      </c>
      <c r="S4" s="231">
        <v>72.727272727272734</v>
      </c>
      <c r="T4" s="128" t="s">
        <v>17</v>
      </c>
      <c r="U4" s="128" t="s">
        <v>17</v>
      </c>
      <c r="V4" s="231" t="s">
        <v>17</v>
      </c>
      <c r="W4" s="180"/>
      <c r="X4" s="121"/>
      <c r="Y4" s="228" t="s">
        <v>17</v>
      </c>
      <c r="Z4" s="128" t="s">
        <v>17</v>
      </c>
      <c r="AA4" s="231" t="s">
        <v>17</v>
      </c>
      <c r="AB4" s="232" t="s">
        <v>17</v>
      </c>
      <c r="AC4" s="128" t="s">
        <v>17</v>
      </c>
      <c r="AD4" s="231" t="s">
        <v>17</v>
      </c>
      <c r="AE4" s="232" t="s">
        <v>17</v>
      </c>
      <c r="AF4" s="128" t="s">
        <v>17</v>
      </c>
      <c r="AG4" s="231" t="s">
        <v>17</v>
      </c>
      <c r="AH4" s="128" t="s">
        <v>17</v>
      </c>
      <c r="AI4" s="128" t="s">
        <v>17</v>
      </c>
      <c r="AJ4" s="231" t="s">
        <v>17</v>
      </c>
      <c r="AK4" s="128" t="s">
        <v>17</v>
      </c>
      <c r="AL4" s="128" t="s">
        <v>17</v>
      </c>
      <c r="AM4" s="231" t="s">
        <v>17</v>
      </c>
      <c r="AN4" s="128" t="s">
        <v>17</v>
      </c>
      <c r="AO4" s="128" t="s">
        <v>17</v>
      </c>
      <c r="AP4" s="231" t="s">
        <v>17</v>
      </c>
      <c r="AQ4" s="128" t="s">
        <v>17</v>
      </c>
      <c r="AR4" s="128" t="s">
        <v>17</v>
      </c>
      <c r="AS4" s="231" t="s">
        <v>17</v>
      </c>
      <c r="AT4" s="128" t="s">
        <v>17</v>
      </c>
      <c r="AU4" s="128" t="s">
        <v>17</v>
      </c>
      <c r="AV4" s="231" t="s">
        <v>17</v>
      </c>
    </row>
    <row r="5" spans="1:51" ht="14.95" customHeight="1" thickBot="1" x14ac:dyDescent="0.3">
      <c r="A5" s="64" t="s">
        <v>742</v>
      </c>
      <c r="B5" s="149">
        <v>0</v>
      </c>
      <c r="C5" s="540">
        <v>0</v>
      </c>
      <c r="D5" s="65">
        <f t="shared" si="0"/>
        <v>0</v>
      </c>
      <c r="E5" s="66" t="s">
        <v>742</v>
      </c>
      <c r="F5" s="150">
        <v>0</v>
      </c>
      <c r="G5" s="547">
        <v>0</v>
      </c>
      <c r="H5" s="67">
        <f t="shared" si="1"/>
        <v>0</v>
      </c>
      <c r="I5" s="64" t="s">
        <v>247</v>
      </c>
      <c r="J5" s="65" t="s">
        <v>17</v>
      </c>
      <c r="K5" s="65" t="s">
        <v>17</v>
      </c>
      <c r="L5" s="68" t="s">
        <v>17</v>
      </c>
      <c r="M5" s="65" t="s">
        <v>17</v>
      </c>
      <c r="N5" s="65" t="s">
        <v>17</v>
      </c>
      <c r="O5" s="68" t="s">
        <v>17</v>
      </c>
      <c r="P5" s="65">
        <v>-1</v>
      </c>
      <c r="Q5" s="128">
        <v>5</v>
      </c>
      <c r="R5" s="128">
        <v>7</v>
      </c>
      <c r="S5" s="231">
        <v>71.428571428571431</v>
      </c>
      <c r="T5" s="128">
        <v>22</v>
      </c>
      <c r="U5" s="128">
        <v>27</v>
      </c>
      <c r="V5" s="231">
        <f>SUM(T5/U5)*100</f>
        <v>81.481481481481481</v>
      </c>
      <c r="W5" s="180"/>
      <c r="X5" s="121"/>
      <c r="Y5" s="228" t="s">
        <v>17</v>
      </c>
      <c r="Z5" s="128" t="s">
        <v>17</v>
      </c>
      <c r="AA5" s="231" t="s">
        <v>17</v>
      </c>
      <c r="AB5" s="228">
        <v>2</v>
      </c>
      <c r="AC5" s="128">
        <v>2</v>
      </c>
      <c r="AD5" s="231">
        <v>100</v>
      </c>
      <c r="AE5" s="228">
        <v>1</v>
      </c>
      <c r="AF5" s="128">
        <v>1</v>
      </c>
      <c r="AG5" s="231">
        <v>100</v>
      </c>
      <c r="AH5" s="228">
        <v>17</v>
      </c>
      <c r="AI5" s="128">
        <v>27</v>
      </c>
      <c r="AJ5" s="231">
        <v>62.962962962962962</v>
      </c>
      <c r="AK5" s="228">
        <v>5</v>
      </c>
      <c r="AL5" s="128">
        <v>9</v>
      </c>
      <c r="AM5" s="231">
        <f>SUM(AK5/AL5)*100</f>
        <v>55.555555555555557</v>
      </c>
      <c r="AN5" s="228">
        <v>2</v>
      </c>
      <c r="AO5" s="128">
        <v>2</v>
      </c>
      <c r="AP5" s="231">
        <f>SUM(AN5/AO5)*100</f>
        <v>100</v>
      </c>
      <c r="AQ5" s="228" t="s">
        <v>17</v>
      </c>
      <c r="AR5" s="128" t="s">
        <v>17</v>
      </c>
      <c r="AS5" s="128" t="s">
        <v>17</v>
      </c>
      <c r="AT5" s="228" t="s">
        <v>17</v>
      </c>
      <c r="AU5" s="128" t="s">
        <v>17</v>
      </c>
      <c r="AV5" s="128" t="s">
        <v>17</v>
      </c>
    </row>
    <row r="6" spans="1:51" ht="14.95" customHeight="1" thickBot="1" x14ac:dyDescent="0.3">
      <c r="A6" s="64" t="s">
        <v>1255</v>
      </c>
      <c r="B6" s="149">
        <v>0</v>
      </c>
      <c r="C6" s="540">
        <v>0</v>
      </c>
      <c r="D6" s="65">
        <f t="shared" si="0"/>
        <v>0</v>
      </c>
      <c r="E6" s="66" t="s">
        <v>1255</v>
      </c>
      <c r="F6" s="150">
        <v>0</v>
      </c>
      <c r="G6" s="547">
        <v>0</v>
      </c>
      <c r="H6" s="67">
        <f t="shared" ref="H6" si="2">SUM(F6:G6)</f>
        <v>0</v>
      </c>
      <c r="I6" s="64" t="s">
        <v>493</v>
      </c>
      <c r="J6" s="65" t="s">
        <v>17</v>
      </c>
      <c r="K6" s="65" t="s">
        <v>17</v>
      </c>
      <c r="L6" s="68" t="s">
        <v>17</v>
      </c>
      <c r="M6" s="65" t="s">
        <v>17</v>
      </c>
      <c r="N6" s="65" t="s">
        <v>17</v>
      </c>
      <c r="O6" s="68" t="s">
        <v>17</v>
      </c>
      <c r="P6" s="65">
        <v>-1</v>
      </c>
      <c r="Q6" s="128" t="s">
        <v>17</v>
      </c>
      <c r="R6" s="128" t="s">
        <v>17</v>
      </c>
      <c r="S6" s="231" t="s">
        <v>17</v>
      </c>
      <c r="T6" s="128">
        <v>9</v>
      </c>
      <c r="U6" s="128">
        <v>11</v>
      </c>
      <c r="V6" s="231">
        <f>SUM(T6/U6)*100</f>
        <v>81.818181818181827</v>
      </c>
      <c r="W6" s="180"/>
      <c r="X6" s="121"/>
      <c r="Y6" s="228">
        <v>17</v>
      </c>
      <c r="Z6" s="128">
        <v>19</v>
      </c>
      <c r="AA6" s="231">
        <f>SUM(Y6/Z6)*100</f>
        <v>89.473684210526315</v>
      </c>
      <c r="AB6" s="228" t="s">
        <v>17</v>
      </c>
      <c r="AC6" s="128" t="s">
        <v>17</v>
      </c>
      <c r="AD6" s="231" t="s">
        <v>17</v>
      </c>
      <c r="AE6" s="228" t="s">
        <v>17</v>
      </c>
      <c r="AF6" s="128" t="s">
        <v>17</v>
      </c>
      <c r="AG6" s="231" t="s">
        <v>17</v>
      </c>
      <c r="AH6" s="128" t="s">
        <v>17</v>
      </c>
      <c r="AI6" s="128" t="s">
        <v>17</v>
      </c>
      <c r="AJ6" s="231" t="s">
        <v>17</v>
      </c>
      <c r="AK6" s="128" t="s">
        <v>17</v>
      </c>
      <c r="AL6" s="128" t="s">
        <v>17</v>
      </c>
      <c r="AM6" s="231" t="s">
        <v>17</v>
      </c>
      <c r="AN6" s="128" t="s">
        <v>17</v>
      </c>
      <c r="AO6" s="128" t="s">
        <v>17</v>
      </c>
      <c r="AP6" s="231" t="s">
        <v>17</v>
      </c>
      <c r="AQ6" s="128" t="s">
        <v>17</v>
      </c>
      <c r="AR6" s="128" t="s">
        <v>17</v>
      </c>
      <c r="AS6" s="231" t="s">
        <v>17</v>
      </c>
      <c r="AT6" s="128" t="s">
        <v>17</v>
      </c>
      <c r="AU6" s="128" t="s">
        <v>17</v>
      </c>
      <c r="AV6" s="231" t="s">
        <v>17</v>
      </c>
    </row>
    <row r="7" spans="1:51" ht="14.95" customHeight="1" thickBot="1" x14ac:dyDescent="0.3">
      <c r="A7" s="64" t="s">
        <v>743</v>
      </c>
      <c r="B7" s="149">
        <v>0</v>
      </c>
      <c r="C7" s="540">
        <v>0</v>
      </c>
      <c r="D7" s="65">
        <f t="shared" si="0"/>
        <v>0</v>
      </c>
      <c r="E7" s="66" t="s">
        <v>743</v>
      </c>
      <c r="F7" s="150">
        <v>0</v>
      </c>
      <c r="G7" s="547">
        <v>0</v>
      </c>
      <c r="H7" s="67">
        <f t="shared" si="1"/>
        <v>0</v>
      </c>
      <c r="I7" s="64" t="s">
        <v>475</v>
      </c>
      <c r="J7" s="65" t="s">
        <v>17</v>
      </c>
      <c r="K7" s="65" t="s">
        <v>17</v>
      </c>
      <c r="L7" s="68" t="s">
        <v>17</v>
      </c>
      <c r="M7" s="65" t="s">
        <v>17</v>
      </c>
      <c r="N7" s="65" t="s">
        <v>17</v>
      </c>
      <c r="O7" s="68" t="s">
        <v>17</v>
      </c>
      <c r="P7" s="65">
        <v>9</v>
      </c>
      <c r="Q7" s="128">
        <v>10</v>
      </c>
      <c r="R7" s="128">
        <v>11</v>
      </c>
      <c r="S7" s="231">
        <v>90.909090909090907</v>
      </c>
      <c r="T7" s="128" t="s">
        <v>17</v>
      </c>
      <c r="U7" s="128" t="s">
        <v>17</v>
      </c>
      <c r="V7" s="231" t="s">
        <v>17</v>
      </c>
      <c r="W7" s="180"/>
      <c r="X7" s="121"/>
      <c r="Y7" s="228">
        <v>1</v>
      </c>
      <c r="Z7" s="128">
        <v>1</v>
      </c>
      <c r="AA7" s="231">
        <f>SUM(Y7/Z7)*100</f>
        <v>100</v>
      </c>
      <c r="AB7" s="228" t="s">
        <v>17</v>
      </c>
      <c r="AC7" s="128" t="s">
        <v>17</v>
      </c>
      <c r="AD7" s="231" t="s">
        <v>17</v>
      </c>
      <c r="AE7" s="228" t="s">
        <v>17</v>
      </c>
      <c r="AF7" s="128" t="s">
        <v>17</v>
      </c>
      <c r="AG7" s="231" t="s">
        <v>17</v>
      </c>
      <c r="AH7" s="228" t="s">
        <v>17</v>
      </c>
      <c r="AI7" s="128" t="s">
        <v>17</v>
      </c>
      <c r="AJ7" s="231" t="s">
        <v>17</v>
      </c>
      <c r="AK7" s="228">
        <v>1</v>
      </c>
      <c r="AL7" s="128">
        <v>1</v>
      </c>
      <c r="AM7" s="231">
        <f>SUM(AK7/AL7)*100</f>
        <v>100</v>
      </c>
      <c r="AN7" s="228" t="s">
        <v>17</v>
      </c>
      <c r="AO7" s="128" t="s">
        <v>17</v>
      </c>
      <c r="AP7" s="128" t="s">
        <v>17</v>
      </c>
      <c r="AQ7" s="228" t="s">
        <v>17</v>
      </c>
      <c r="AR7" s="128" t="s">
        <v>17</v>
      </c>
      <c r="AS7" s="128" t="s">
        <v>17</v>
      </c>
      <c r="AT7" s="228" t="s">
        <v>17</v>
      </c>
      <c r="AU7" s="128" t="s">
        <v>17</v>
      </c>
      <c r="AV7" s="128" t="s">
        <v>17</v>
      </c>
    </row>
    <row r="8" spans="1:51" ht="14.95" customHeight="1" thickBot="1" x14ac:dyDescent="0.3">
      <c r="A8" s="64" t="s">
        <v>744</v>
      </c>
      <c r="B8" s="149">
        <v>0</v>
      </c>
      <c r="C8" s="540">
        <v>0</v>
      </c>
      <c r="D8" s="65">
        <f t="shared" si="0"/>
        <v>0</v>
      </c>
      <c r="E8" s="66" t="s">
        <v>744</v>
      </c>
      <c r="F8" s="150">
        <v>0</v>
      </c>
      <c r="G8" s="547">
        <v>0</v>
      </c>
      <c r="H8" s="67">
        <f t="shared" si="1"/>
        <v>0</v>
      </c>
      <c r="I8" s="64" t="s">
        <v>370</v>
      </c>
      <c r="J8" s="65" t="s">
        <v>17</v>
      </c>
      <c r="K8" s="65" t="s">
        <v>17</v>
      </c>
      <c r="L8" s="68" t="s">
        <v>17</v>
      </c>
      <c r="M8" s="65" t="s">
        <v>17</v>
      </c>
      <c r="N8" s="65" t="s">
        <v>17</v>
      </c>
      <c r="O8" s="68" t="s">
        <v>17</v>
      </c>
      <c r="P8" s="65">
        <v>1</v>
      </c>
      <c r="Q8" s="128" t="s">
        <v>17</v>
      </c>
      <c r="R8" s="128" t="s">
        <v>17</v>
      </c>
      <c r="S8" s="231" t="s">
        <v>17</v>
      </c>
      <c r="T8" s="128">
        <v>1</v>
      </c>
      <c r="U8" s="128">
        <v>1</v>
      </c>
      <c r="V8" s="231">
        <f>SUM(T8/U8)*100</f>
        <v>100</v>
      </c>
      <c r="W8" s="180"/>
      <c r="X8" s="121"/>
      <c r="Y8" s="228" t="s">
        <v>17</v>
      </c>
      <c r="Z8" s="128" t="s">
        <v>17</v>
      </c>
      <c r="AA8" s="231" t="s">
        <v>17</v>
      </c>
      <c r="AB8" s="232" t="s">
        <v>17</v>
      </c>
      <c r="AC8" s="128" t="s">
        <v>17</v>
      </c>
      <c r="AD8" s="231" t="s">
        <v>17</v>
      </c>
      <c r="AE8" s="232" t="s">
        <v>17</v>
      </c>
      <c r="AF8" s="128" t="s">
        <v>17</v>
      </c>
      <c r="AG8" s="231" t="s">
        <v>17</v>
      </c>
      <c r="AH8" s="128" t="s">
        <v>17</v>
      </c>
      <c r="AI8" s="128" t="s">
        <v>17</v>
      </c>
      <c r="AJ8" s="231" t="s">
        <v>17</v>
      </c>
      <c r="AK8" s="128" t="s">
        <v>17</v>
      </c>
      <c r="AL8" s="128" t="s">
        <v>17</v>
      </c>
      <c r="AM8" s="231" t="s">
        <v>17</v>
      </c>
      <c r="AN8" s="128" t="s">
        <v>17</v>
      </c>
      <c r="AO8" s="128" t="s">
        <v>17</v>
      </c>
      <c r="AP8" s="231" t="s">
        <v>17</v>
      </c>
      <c r="AQ8" s="128" t="s">
        <v>17</v>
      </c>
      <c r="AR8" s="128" t="s">
        <v>17</v>
      </c>
      <c r="AS8" s="231" t="s">
        <v>17</v>
      </c>
      <c r="AT8" s="128" t="s">
        <v>17</v>
      </c>
      <c r="AU8" s="128" t="s">
        <v>17</v>
      </c>
      <c r="AV8" s="231" t="s">
        <v>17</v>
      </c>
    </row>
    <row r="9" spans="1:51" ht="14.95" customHeight="1" thickBot="1" x14ac:dyDescent="0.3">
      <c r="A9" s="64" t="s">
        <v>1041</v>
      </c>
      <c r="B9" s="149">
        <v>0</v>
      </c>
      <c r="C9" s="540">
        <v>0</v>
      </c>
      <c r="D9" s="65">
        <f t="shared" si="0"/>
        <v>0</v>
      </c>
      <c r="E9" s="66" t="s">
        <v>1041</v>
      </c>
      <c r="F9" s="150">
        <v>0</v>
      </c>
      <c r="G9" s="547">
        <v>0</v>
      </c>
      <c r="H9" s="67">
        <f t="shared" si="1"/>
        <v>0</v>
      </c>
      <c r="I9" s="64" t="s">
        <v>201</v>
      </c>
      <c r="J9" s="65" t="s">
        <v>17</v>
      </c>
      <c r="K9" s="65" t="s">
        <v>17</v>
      </c>
      <c r="L9" s="68" t="s">
        <v>17</v>
      </c>
      <c r="M9" s="65" t="s">
        <v>17</v>
      </c>
      <c r="N9" s="65" t="s">
        <v>17</v>
      </c>
      <c r="O9" s="68" t="s">
        <v>17</v>
      </c>
      <c r="P9" s="65">
        <v>3</v>
      </c>
      <c r="Q9" s="128">
        <v>3</v>
      </c>
      <c r="R9" s="128">
        <v>4</v>
      </c>
      <c r="S9" s="231">
        <v>75</v>
      </c>
      <c r="T9" s="128" t="s">
        <v>17</v>
      </c>
      <c r="U9" s="128" t="s">
        <v>17</v>
      </c>
      <c r="V9" s="231" t="s">
        <v>17</v>
      </c>
      <c r="W9" s="180"/>
      <c r="X9" s="121"/>
      <c r="Y9" s="228">
        <v>3</v>
      </c>
      <c r="Z9" s="128">
        <v>4</v>
      </c>
      <c r="AA9" s="231">
        <f>SUM(Y9/Z9)*100</f>
        <v>75</v>
      </c>
      <c r="AB9" s="228">
        <v>14</v>
      </c>
      <c r="AC9" s="128">
        <v>20</v>
      </c>
      <c r="AD9" s="231">
        <v>70</v>
      </c>
      <c r="AE9" s="228">
        <v>3</v>
      </c>
      <c r="AF9" s="128">
        <v>7</v>
      </c>
      <c r="AG9" s="231">
        <f>SUM(AE9/AF9)*100</f>
        <v>42.857142857142854</v>
      </c>
      <c r="AH9" s="228" t="s">
        <v>17</v>
      </c>
      <c r="AI9" s="128" t="s">
        <v>17</v>
      </c>
      <c r="AJ9" s="231" t="s">
        <v>17</v>
      </c>
      <c r="AK9" s="228" t="s">
        <v>17</v>
      </c>
      <c r="AL9" s="128" t="s">
        <v>17</v>
      </c>
      <c r="AM9" s="231" t="s">
        <v>17</v>
      </c>
      <c r="AN9" s="228">
        <v>6</v>
      </c>
      <c r="AO9" s="128">
        <v>9</v>
      </c>
      <c r="AP9" s="231">
        <f>SUM(AN9/AO9)*100</f>
        <v>66.666666666666657</v>
      </c>
      <c r="AQ9" s="228" t="s">
        <v>17</v>
      </c>
      <c r="AR9" s="128" t="s">
        <v>17</v>
      </c>
      <c r="AS9" s="128" t="s">
        <v>17</v>
      </c>
      <c r="AT9" s="228" t="s">
        <v>17</v>
      </c>
      <c r="AU9" s="128" t="s">
        <v>17</v>
      </c>
      <c r="AV9" s="128" t="s">
        <v>17</v>
      </c>
    </row>
    <row r="10" spans="1:51" ht="14.95" customHeight="1" thickBot="1" x14ac:dyDescent="0.3">
      <c r="A10" s="64" t="s">
        <v>478</v>
      </c>
      <c r="B10" s="149">
        <v>0</v>
      </c>
      <c r="C10" s="540">
        <v>0</v>
      </c>
      <c r="D10" s="65">
        <f t="shared" si="0"/>
        <v>0</v>
      </c>
      <c r="E10" s="66" t="s">
        <v>478</v>
      </c>
      <c r="F10" s="150">
        <v>0</v>
      </c>
      <c r="G10" s="547">
        <v>0</v>
      </c>
      <c r="H10" s="67">
        <f t="shared" si="1"/>
        <v>0</v>
      </c>
      <c r="I10" s="64" t="s">
        <v>78</v>
      </c>
      <c r="J10" s="65">
        <v>17</v>
      </c>
      <c r="K10" s="65">
        <v>21</v>
      </c>
      <c r="L10" s="68">
        <f>SUM(J10/K10)*100</f>
        <v>80.952380952380949</v>
      </c>
      <c r="M10" s="65">
        <v>7</v>
      </c>
      <c r="N10" s="65">
        <v>8</v>
      </c>
      <c r="O10" s="68">
        <f>SUM(M10/N10)*100</f>
        <v>87.5</v>
      </c>
      <c r="P10" s="65">
        <v>6</v>
      </c>
      <c r="Q10" s="128">
        <v>19</v>
      </c>
      <c r="R10" s="128">
        <v>24</v>
      </c>
      <c r="S10" s="231">
        <v>79.166666666666657</v>
      </c>
      <c r="T10" s="128">
        <v>30</v>
      </c>
      <c r="U10" s="128">
        <v>34</v>
      </c>
      <c r="V10" s="231">
        <f>SUM(T10/U10)*100</f>
        <v>88.235294117647058</v>
      </c>
      <c r="W10" s="180"/>
      <c r="X10" s="121"/>
      <c r="Y10" s="228">
        <v>29</v>
      </c>
      <c r="Z10" s="128">
        <v>38</v>
      </c>
      <c r="AA10" s="231">
        <f>SUM(Y10/Z10)*100</f>
        <v>76.31578947368422</v>
      </c>
      <c r="AB10" s="228">
        <v>23</v>
      </c>
      <c r="AC10" s="128">
        <v>26</v>
      </c>
      <c r="AD10" s="231">
        <v>88.461538461538453</v>
      </c>
      <c r="AE10" s="228">
        <v>20</v>
      </c>
      <c r="AF10" s="128">
        <v>28</v>
      </c>
      <c r="AG10" s="231">
        <f>SUM(AE10/AF10)*100</f>
        <v>71.428571428571431</v>
      </c>
      <c r="AH10" s="228">
        <v>1</v>
      </c>
      <c r="AI10" s="128">
        <v>2</v>
      </c>
      <c r="AJ10" s="231">
        <v>50</v>
      </c>
      <c r="AK10" s="228">
        <v>7</v>
      </c>
      <c r="AL10" s="128">
        <v>9</v>
      </c>
      <c r="AM10" s="231">
        <f>SUM(AK10/AL10)*100</f>
        <v>77.777777777777786</v>
      </c>
      <c r="AN10" s="228">
        <v>4</v>
      </c>
      <c r="AO10" s="128">
        <v>4</v>
      </c>
      <c r="AP10" s="231">
        <f>SUM(AN10/AO10)*100</f>
        <v>100</v>
      </c>
      <c r="AQ10" s="228">
        <v>34</v>
      </c>
      <c r="AR10" s="128">
        <v>43</v>
      </c>
      <c r="AS10" s="231">
        <f>SUM(AQ10/AR10)*100</f>
        <v>79.069767441860463</v>
      </c>
      <c r="AT10" s="228">
        <v>0</v>
      </c>
      <c r="AU10" s="128">
        <v>1</v>
      </c>
      <c r="AV10" s="231">
        <f>SUM(AT10/AU10)*100</f>
        <v>0</v>
      </c>
    </row>
    <row r="11" spans="1:51" ht="14.95" customHeight="1" thickBot="1" x14ac:dyDescent="0.3">
      <c r="A11" s="64" t="s">
        <v>745</v>
      </c>
      <c r="B11" s="149">
        <v>1</v>
      </c>
      <c r="C11" s="540">
        <v>0</v>
      </c>
      <c r="D11" s="65">
        <f t="shared" si="0"/>
        <v>1</v>
      </c>
      <c r="E11" s="66" t="s">
        <v>745</v>
      </c>
      <c r="F11" s="150">
        <v>5</v>
      </c>
      <c r="G11" s="547">
        <v>0</v>
      </c>
      <c r="H11" s="67">
        <f t="shared" si="1"/>
        <v>5</v>
      </c>
      <c r="I11" s="64" t="s">
        <v>11</v>
      </c>
      <c r="J11" s="65" t="s">
        <v>17</v>
      </c>
      <c r="K11" s="65" t="s">
        <v>17</v>
      </c>
      <c r="L11" s="68" t="s">
        <v>17</v>
      </c>
      <c r="M11" s="65" t="s">
        <v>17</v>
      </c>
      <c r="N11" s="65" t="s">
        <v>17</v>
      </c>
      <c r="O11" s="68" t="s">
        <v>17</v>
      </c>
      <c r="P11" s="65">
        <v>-1</v>
      </c>
      <c r="Q11" s="128">
        <v>0</v>
      </c>
      <c r="R11" s="128">
        <v>1</v>
      </c>
      <c r="S11" s="231">
        <v>0</v>
      </c>
      <c r="T11" s="128">
        <v>6</v>
      </c>
      <c r="U11" s="128">
        <v>8</v>
      </c>
      <c r="V11" s="231">
        <f>SUM(T11/U11)*100</f>
        <v>75</v>
      </c>
      <c r="W11" s="180"/>
      <c r="X11" s="121"/>
      <c r="Y11" s="228" t="s">
        <v>17</v>
      </c>
      <c r="Z11" s="128" t="s">
        <v>17</v>
      </c>
      <c r="AA11" s="231" t="s">
        <v>17</v>
      </c>
      <c r="AB11" s="228">
        <v>2</v>
      </c>
      <c r="AC11" s="128">
        <v>2</v>
      </c>
      <c r="AD11" s="231">
        <v>100</v>
      </c>
      <c r="AE11" s="228">
        <v>2</v>
      </c>
      <c r="AF11" s="128">
        <v>3</v>
      </c>
      <c r="AG11" s="231">
        <f>SUM(AE11/AF11)*100</f>
        <v>66.666666666666657</v>
      </c>
      <c r="AH11" s="228" t="s">
        <v>17</v>
      </c>
      <c r="AI11" s="128" t="s">
        <v>17</v>
      </c>
      <c r="AJ11" s="231" t="s">
        <v>17</v>
      </c>
      <c r="AK11" s="228" t="s">
        <v>17</v>
      </c>
      <c r="AL11" s="128" t="s">
        <v>17</v>
      </c>
      <c r="AM11" s="231" t="s">
        <v>17</v>
      </c>
      <c r="AN11" s="228" t="s">
        <v>17</v>
      </c>
      <c r="AO11" s="128" t="s">
        <v>17</v>
      </c>
      <c r="AP11" s="128" t="s">
        <v>17</v>
      </c>
      <c r="AQ11" s="228" t="s">
        <v>17</v>
      </c>
      <c r="AR11" s="128" t="s">
        <v>17</v>
      </c>
      <c r="AS11" s="128" t="s">
        <v>17</v>
      </c>
      <c r="AT11" s="228" t="s">
        <v>17</v>
      </c>
      <c r="AU11" s="128" t="s">
        <v>17</v>
      </c>
      <c r="AV11" s="128" t="s">
        <v>17</v>
      </c>
    </row>
    <row r="12" spans="1:51" ht="14.95" customHeight="1" thickBot="1" x14ac:dyDescent="0.3">
      <c r="A12" s="64" t="s">
        <v>956</v>
      </c>
      <c r="B12" s="149">
        <v>0</v>
      </c>
      <c r="C12" s="540">
        <v>0</v>
      </c>
      <c r="D12" s="65">
        <f t="shared" si="0"/>
        <v>0</v>
      </c>
      <c r="E12" s="66" t="s">
        <v>956</v>
      </c>
      <c r="F12" s="150">
        <v>0</v>
      </c>
      <c r="G12" s="547">
        <v>0</v>
      </c>
      <c r="H12" s="67">
        <f t="shared" si="1"/>
        <v>0</v>
      </c>
      <c r="Q12" s="120"/>
      <c r="R12" s="81"/>
    </row>
    <row r="13" spans="1:51" ht="14.95" customHeight="1" thickBot="1" x14ac:dyDescent="0.3">
      <c r="A13" s="64" t="s">
        <v>518</v>
      </c>
      <c r="B13" s="149">
        <v>0</v>
      </c>
      <c r="C13" s="540">
        <v>0</v>
      </c>
      <c r="D13" s="65">
        <f t="shared" si="0"/>
        <v>0</v>
      </c>
      <c r="E13" s="66" t="s">
        <v>518</v>
      </c>
      <c r="F13" s="150">
        <v>0</v>
      </c>
      <c r="G13" s="547">
        <v>0</v>
      </c>
      <c r="H13" s="67">
        <f t="shared" si="1"/>
        <v>0</v>
      </c>
      <c r="I13" s="589" t="s">
        <v>35</v>
      </c>
      <c r="J13" s="583">
        <v>2026</v>
      </c>
      <c r="K13" s="584"/>
      <c r="L13" s="585"/>
      <c r="M13" s="568">
        <v>2025</v>
      </c>
      <c r="N13" s="569"/>
      <c r="O13" s="570"/>
      <c r="P13" s="568">
        <v>2024</v>
      </c>
      <c r="Q13" s="569"/>
      <c r="R13" s="570"/>
      <c r="S13" s="568">
        <v>2023</v>
      </c>
      <c r="T13" s="558"/>
      <c r="U13" s="559"/>
      <c r="V13" s="229"/>
      <c r="W13" s="125"/>
      <c r="X13" s="248"/>
      <c r="Y13" s="568">
        <v>2022</v>
      </c>
      <c r="Z13" s="558"/>
      <c r="AA13" s="559"/>
      <c r="AB13" s="568">
        <v>2021</v>
      </c>
      <c r="AC13" s="569"/>
      <c r="AD13" s="570"/>
      <c r="AE13" s="568">
        <v>2020</v>
      </c>
      <c r="AF13" s="569"/>
      <c r="AG13" s="570"/>
      <c r="AH13" s="568">
        <v>2019</v>
      </c>
      <c r="AI13" s="569"/>
      <c r="AJ13" s="570"/>
      <c r="AK13" s="568">
        <v>2018</v>
      </c>
      <c r="AL13" s="558"/>
      <c r="AM13" s="559"/>
      <c r="AN13" s="557">
        <v>2017</v>
      </c>
      <c r="AO13" s="563"/>
      <c r="AP13" s="564"/>
      <c r="AQ13" s="557">
        <v>2016</v>
      </c>
      <c r="AR13" s="563"/>
      <c r="AS13" s="564"/>
      <c r="AT13" s="557">
        <v>2015</v>
      </c>
      <c r="AU13" s="563"/>
      <c r="AV13" s="564"/>
      <c r="AW13" s="557">
        <v>2014</v>
      </c>
      <c r="AX13" s="558"/>
      <c r="AY13" s="559"/>
    </row>
    <row r="14" spans="1:51" ht="14.95" customHeight="1" thickBot="1" x14ac:dyDescent="0.3">
      <c r="A14" s="64" t="s">
        <v>341</v>
      </c>
      <c r="B14" s="149">
        <v>0</v>
      </c>
      <c r="C14" s="540">
        <v>0</v>
      </c>
      <c r="D14" s="65">
        <f t="shared" si="0"/>
        <v>0</v>
      </c>
      <c r="E14" s="66" t="s">
        <v>341</v>
      </c>
      <c r="F14" s="150">
        <v>0</v>
      </c>
      <c r="G14" s="547">
        <v>0</v>
      </c>
      <c r="H14" s="67">
        <f t="shared" si="1"/>
        <v>0</v>
      </c>
      <c r="I14" s="590"/>
      <c r="J14" s="586"/>
      <c r="K14" s="587"/>
      <c r="L14" s="588"/>
      <c r="M14" s="571"/>
      <c r="N14" s="572"/>
      <c r="O14" s="573"/>
      <c r="P14" s="571"/>
      <c r="Q14" s="572"/>
      <c r="R14" s="573"/>
      <c r="S14" s="560"/>
      <c r="T14" s="561"/>
      <c r="U14" s="562"/>
      <c r="V14" s="229"/>
      <c r="W14" s="125"/>
      <c r="X14" s="248"/>
      <c r="Y14" s="560"/>
      <c r="Z14" s="561"/>
      <c r="AA14" s="562"/>
      <c r="AB14" s="571"/>
      <c r="AC14" s="572"/>
      <c r="AD14" s="573"/>
      <c r="AE14" s="571"/>
      <c r="AF14" s="572"/>
      <c r="AG14" s="573"/>
      <c r="AH14" s="571"/>
      <c r="AI14" s="572"/>
      <c r="AJ14" s="573"/>
      <c r="AK14" s="560"/>
      <c r="AL14" s="561"/>
      <c r="AM14" s="562"/>
      <c r="AN14" s="565"/>
      <c r="AO14" s="566"/>
      <c r="AP14" s="567"/>
      <c r="AQ14" s="565"/>
      <c r="AR14" s="566"/>
      <c r="AS14" s="567"/>
      <c r="AT14" s="565"/>
      <c r="AU14" s="566"/>
      <c r="AV14" s="567"/>
      <c r="AW14" s="560"/>
      <c r="AX14" s="561"/>
      <c r="AY14" s="562"/>
    </row>
    <row r="15" spans="1:51" ht="14.95" customHeight="1" thickBot="1" x14ac:dyDescent="0.3">
      <c r="A15" s="64" t="s">
        <v>77</v>
      </c>
      <c r="B15" s="149">
        <v>0</v>
      </c>
      <c r="C15" s="540">
        <v>0</v>
      </c>
      <c r="D15" s="65">
        <f t="shared" si="0"/>
        <v>0</v>
      </c>
      <c r="E15" s="66" t="s">
        <v>77</v>
      </c>
      <c r="F15" s="150">
        <v>0</v>
      </c>
      <c r="G15" s="547">
        <v>0</v>
      </c>
      <c r="H15" s="67">
        <f t="shared" si="1"/>
        <v>0</v>
      </c>
      <c r="I15" s="4"/>
      <c r="J15" s="1" t="s">
        <v>152</v>
      </c>
      <c r="K15" s="1" t="s">
        <v>12</v>
      </c>
      <c r="L15" s="1" t="s">
        <v>13</v>
      </c>
      <c r="M15" s="128" t="s">
        <v>152</v>
      </c>
      <c r="N15" s="128" t="s">
        <v>12</v>
      </c>
      <c r="O15" s="128" t="s">
        <v>13</v>
      </c>
      <c r="P15" s="128" t="s">
        <v>152</v>
      </c>
      <c r="Q15" s="128" t="s">
        <v>12</v>
      </c>
      <c r="R15" s="128" t="s">
        <v>13</v>
      </c>
      <c r="S15" s="128" t="s">
        <v>152</v>
      </c>
      <c r="T15" s="128" t="s">
        <v>12</v>
      </c>
      <c r="U15" s="128" t="s">
        <v>13</v>
      </c>
      <c r="V15" s="180"/>
      <c r="W15" s="121"/>
      <c r="X15" s="244"/>
      <c r="Y15" s="128" t="s">
        <v>152</v>
      </c>
      <c r="Z15" s="128" t="s">
        <v>12</v>
      </c>
      <c r="AA15" s="128" t="s">
        <v>13</v>
      </c>
      <c r="AB15" s="228" t="s">
        <v>152</v>
      </c>
      <c r="AC15" s="128" t="s">
        <v>12</v>
      </c>
      <c r="AD15" s="128" t="s">
        <v>13</v>
      </c>
      <c r="AE15" s="228" t="s">
        <v>152</v>
      </c>
      <c r="AF15" s="128" t="s">
        <v>12</v>
      </c>
      <c r="AG15" s="128" t="s">
        <v>13</v>
      </c>
      <c r="AH15" s="228" t="s">
        <v>152</v>
      </c>
      <c r="AI15" s="128" t="s">
        <v>12</v>
      </c>
      <c r="AJ15" s="128" t="s">
        <v>13</v>
      </c>
      <c r="AK15" s="228" t="s">
        <v>152</v>
      </c>
      <c r="AL15" s="128" t="s">
        <v>12</v>
      </c>
      <c r="AM15" s="128" t="s">
        <v>13</v>
      </c>
      <c r="AN15" s="171" t="s">
        <v>152</v>
      </c>
      <c r="AO15" s="119" t="s">
        <v>12</v>
      </c>
      <c r="AP15" s="119" t="s">
        <v>13</v>
      </c>
      <c r="AQ15" s="171" t="s">
        <v>152</v>
      </c>
      <c r="AR15" s="119" t="s">
        <v>12</v>
      </c>
      <c r="AS15" s="119" t="s">
        <v>13</v>
      </c>
      <c r="AT15" s="171" t="s">
        <v>152</v>
      </c>
      <c r="AU15" s="119" t="s">
        <v>12</v>
      </c>
      <c r="AV15" s="119" t="s">
        <v>13</v>
      </c>
      <c r="AW15" s="119" t="s">
        <v>152</v>
      </c>
      <c r="AX15" s="119" t="s">
        <v>12</v>
      </c>
      <c r="AY15" s="119" t="s">
        <v>13</v>
      </c>
    </row>
    <row r="16" spans="1:51" ht="14.95" customHeight="1" thickBot="1" x14ac:dyDescent="0.3">
      <c r="A16" s="64" t="s">
        <v>474</v>
      </c>
      <c r="B16" s="149">
        <v>3</v>
      </c>
      <c r="C16" s="540">
        <v>0</v>
      </c>
      <c r="D16" s="65">
        <f t="shared" si="0"/>
        <v>3</v>
      </c>
      <c r="E16" s="66" t="s">
        <v>474</v>
      </c>
      <c r="F16" s="150">
        <v>15</v>
      </c>
      <c r="G16" s="547">
        <v>0</v>
      </c>
      <c r="H16" s="67">
        <f t="shared" si="1"/>
        <v>15</v>
      </c>
      <c r="I16" s="64" t="s">
        <v>247</v>
      </c>
      <c r="J16" s="65" t="s">
        <v>17</v>
      </c>
      <c r="K16" s="65" t="s">
        <v>17</v>
      </c>
      <c r="L16" s="68" t="s">
        <v>17</v>
      </c>
      <c r="M16" s="128" t="s">
        <v>17</v>
      </c>
      <c r="N16" s="128" t="s">
        <v>17</v>
      </c>
      <c r="O16" s="231" t="s">
        <v>17</v>
      </c>
      <c r="P16" s="128" t="s">
        <v>17</v>
      </c>
      <c r="Q16" s="128" t="s">
        <v>17</v>
      </c>
      <c r="R16" s="231" t="s">
        <v>17</v>
      </c>
      <c r="S16" s="128" t="s">
        <v>17</v>
      </c>
      <c r="T16" s="128" t="s">
        <v>17</v>
      </c>
      <c r="U16" s="231" t="s">
        <v>17</v>
      </c>
      <c r="V16" s="180"/>
      <c r="W16" s="121"/>
      <c r="X16" s="244"/>
      <c r="Y16" s="128" t="s">
        <v>17</v>
      </c>
      <c r="Z16" s="128" t="s">
        <v>17</v>
      </c>
      <c r="AA16" s="231" t="s">
        <v>17</v>
      </c>
      <c r="AB16" s="228">
        <v>1</v>
      </c>
      <c r="AC16" s="128">
        <v>1</v>
      </c>
      <c r="AD16" s="231">
        <v>100</v>
      </c>
      <c r="AE16" s="228">
        <v>13</v>
      </c>
      <c r="AF16" s="128">
        <v>19</v>
      </c>
      <c r="AG16" s="128">
        <v>68.421052631578945</v>
      </c>
      <c r="AH16" s="228">
        <v>1</v>
      </c>
      <c r="AI16" s="128">
        <v>2</v>
      </c>
      <c r="AJ16" s="128">
        <v>100</v>
      </c>
      <c r="AK16" s="228" t="s">
        <v>17</v>
      </c>
      <c r="AL16" s="128" t="s">
        <v>17</v>
      </c>
      <c r="AM16" s="128" t="s">
        <v>17</v>
      </c>
      <c r="AN16" s="228" t="s">
        <v>17</v>
      </c>
      <c r="AO16" s="128" t="s">
        <v>17</v>
      </c>
      <c r="AP16" s="128" t="s">
        <v>17</v>
      </c>
      <c r="AQ16" s="228" t="s">
        <v>17</v>
      </c>
      <c r="AR16" s="128" t="s">
        <v>17</v>
      </c>
      <c r="AS16" s="128" t="s">
        <v>17</v>
      </c>
      <c r="AT16" s="228" t="s">
        <v>17</v>
      </c>
      <c r="AU16" s="128" t="s">
        <v>17</v>
      </c>
      <c r="AV16" s="128" t="s">
        <v>17</v>
      </c>
      <c r="AW16" s="228" t="s">
        <v>17</v>
      </c>
      <c r="AX16" s="128" t="s">
        <v>17</v>
      </c>
      <c r="AY16" s="128" t="s">
        <v>17</v>
      </c>
    </row>
    <row r="17" spans="1:51" ht="14.95" customHeight="1" thickBot="1" x14ac:dyDescent="0.3">
      <c r="A17" s="64" t="s">
        <v>746</v>
      </c>
      <c r="B17" s="149">
        <v>0</v>
      </c>
      <c r="C17" s="540">
        <v>0</v>
      </c>
      <c r="D17" s="65">
        <f t="shared" si="0"/>
        <v>0</v>
      </c>
      <c r="E17" s="66" t="s">
        <v>746</v>
      </c>
      <c r="F17" s="150">
        <v>0</v>
      </c>
      <c r="G17" s="547">
        <v>0</v>
      </c>
      <c r="H17" s="67">
        <f t="shared" si="1"/>
        <v>0</v>
      </c>
      <c r="I17" s="64" t="s">
        <v>201</v>
      </c>
      <c r="J17" s="65" t="s">
        <v>17</v>
      </c>
      <c r="K17" s="65" t="s">
        <v>17</v>
      </c>
      <c r="L17" s="68" t="s">
        <v>17</v>
      </c>
      <c r="M17" s="128">
        <v>3</v>
      </c>
      <c r="N17" s="128">
        <v>4</v>
      </c>
      <c r="O17" s="231">
        <v>75</v>
      </c>
      <c r="P17" s="128" t="s">
        <v>17</v>
      </c>
      <c r="Q17" s="128" t="s">
        <v>17</v>
      </c>
      <c r="R17" s="231" t="s">
        <v>17</v>
      </c>
      <c r="S17" s="228">
        <v>3</v>
      </c>
      <c r="T17" s="128">
        <v>4</v>
      </c>
      <c r="U17" s="128">
        <v>75</v>
      </c>
      <c r="V17" s="180"/>
      <c r="W17" s="121"/>
      <c r="X17" s="244"/>
      <c r="Y17" s="228">
        <v>0</v>
      </c>
      <c r="Z17" s="128">
        <v>1</v>
      </c>
      <c r="AA17" s="128">
        <v>0</v>
      </c>
      <c r="AB17" s="228" t="s">
        <v>17</v>
      </c>
      <c r="AC17" s="128" t="s">
        <v>17</v>
      </c>
      <c r="AD17" s="128" t="s">
        <v>17</v>
      </c>
      <c r="AE17" s="228" t="s">
        <v>17</v>
      </c>
      <c r="AF17" s="128" t="s">
        <v>17</v>
      </c>
      <c r="AG17" s="128" t="s">
        <v>17</v>
      </c>
      <c r="AH17" s="228" t="s">
        <v>17</v>
      </c>
      <c r="AI17" s="128" t="s">
        <v>17</v>
      </c>
      <c r="AJ17" s="128" t="s">
        <v>17</v>
      </c>
      <c r="AK17" s="228" t="s">
        <v>17</v>
      </c>
      <c r="AL17" s="128" t="s">
        <v>17</v>
      </c>
      <c r="AM17" s="128" t="s">
        <v>17</v>
      </c>
      <c r="AN17" s="228" t="s">
        <v>17</v>
      </c>
      <c r="AO17" s="128" t="s">
        <v>17</v>
      </c>
      <c r="AP17" s="128" t="s">
        <v>17</v>
      </c>
      <c r="AQ17" s="228" t="s">
        <v>17</v>
      </c>
      <c r="AR17" s="128" t="s">
        <v>17</v>
      </c>
      <c r="AS17" s="128" t="s">
        <v>17</v>
      </c>
      <c r="AT17" s="228" t="s">
        <v>17</v>
      </c>
      <c r="AU17" s="128" t="s">
        <v>17</v>
      </c>
      <c r="AV17" s="128" t="s">
        <v>17</v>
      </c>
      <c r="AW17" s="228" t="s">
        <v>17</v>
      </c>
      <c r="AX17" s="128" t="s">
        <v>17</v>
      </c>
      <c r="AY17" s="128" t="s">
        <v>17</v>
      </c>
    </row>
    <row r="18" spans="1:51" ht="14.95" customHeight="1" thickBot="1" x14ac:dyDescent="0.3">
      <c r="A18" s="64" t="s">
        <v>286</v>
      </c>
      <c r="B18" s="149">
        <v>0</v>
      </c>
      <c r="C18" s="540">
        <v>0</v>
      </c>
      <c r="D18" s="65">
        <f t="shared" si="0"/>
        <v>0</v>
      </c>
      <c r="E18" s="66" t="s">
        <v>286</v>
      </c>
      <c r="F18" s="150">
        <v>0</v>
      </c>
      <c r="G18" s="547">
        <v>0</v>
      </c>
      <c r="H18" s="67">
        <f t="shared" si="1"/>
        <v>0</v>
      </c>
      <c r="I18" s="64" t="s">
        <v>78</v>
      </c>
      <c r="J18" s="65">
        <v>17</v>
      </c>
      <c r="K18" s="65">
        <v>21</v>
      </c>
      <c r="L18" s="68">
        <f>SUM(J18/K18)*100</f>
        <v>80.952380952380949</v>
      </c>
      <c r="M18" s="128">
        <v>12</v>
      </c>
      <c r="N18" s="128">
        <v>17</v>
      </c>
      <c r="O18" s="231">
        <v>38</v>
      </c>
      <c r="P18" s="128">
        <v>22</v>
      </c>
      <c r="Q18" s="128">
        <v>23</v>
      </c>
      <c r="R18" s="231">
        <v>95.652173913043484</v>
      </c>
      <c r="S18" s="128">
        <v>12</v>
      </c>
      <c r="T18" s="128">
        <v>16</v>
      </c>
      <c r="U18" s="231">
        <v>75</v>
      </c>
      <c r="V18" s="180"/>
      <c r="W18" s="121"/>
      <c r="X18" s="244"/>
      <c r="Y18" s="128">
        <v>13</v>
      </c>
      <c r="Z18" s="128">
        <v>14</v>
      </c>
      <c r="AA18" s="231">
        <v>92.857142857142861</v>
      </c>
      <c r="AB18" s="228">
        <v>12</v>
      </c>
      <c r="AC18" s="128">
        <v>15</v>
      </c>
      <c r="AD18" s="231">
        <f>SUM(AB18/AC18)*100</f>
        <v>80</v>
      </c>
      <c r="AE18" s="228">
        <v>1</v>
      </c>
      <c r="AF18" s="128">
        <v>2</v>
      </c>
      <c r="AG18" s="231">
        <v>50</v>
      </c>
      <c r="AH18" s="228">
        <v>5</v>
      </c>
      <c r="AI18" s="128">
        <v>7</v>
      </c>
      <c r="AJ18" s="231">
        <f>SUM(AH18/AI18)*100</f>
        <v>71.428571428571431</v>
      </c>
      <c r="AK18" s="228">
        <v>2</v>
      </c>
      <c r="AL18" s="128">
        <v>2</v>
      </c>
      <c r="AM18" s="231">
        <f>SUM(AK18/AL18)*100</f>
        <v>100</v>
      </c>
      <c r="AN18" s="228">
        <v>15</v>
      </c>
      <c r="AO18" s="128">
        <v>17</v>
      </c>
      <c r="AP18" s="231">
        <f>SUM(AN18/AO18)*100</f>
        <v>88.235294117647058</v>
      </c>
      <c r="AQ18" s="228" t="s">
        <v>17</v>
      </c>
      <c r="AR18" s="128" t="s">
        <v>17</v>
      </c>
      <c r="AS18" s="128" t="s">
        <v>17</v>
      </c>
      <c r="AT18" s="228">
        <v>1</v>
      </c>
      <c r="AU18" s="128">
        <v>1</v>
      </c>
      <c r="AV18" s="231">
        <f>SUM(AT18/AU18)*100</f>
        <v>100</v>
      </c>
      <c r="AW18" s="128" t="s">
        <v>17</v>
      </c>
      <c r="AX18" s="128" t="s">
        <v>17</v>
      </c>
      <c r="AY18" s="128" t="s">
        <v>17</v>
      </c>
    </row>
    <row r="19" spans="1:51" ht="14.95" customHeight="1" thickBot="1" x14ac:dyDescent="0.3">
      <c r="A19" s="64" t="s">
        <v>1052</v>
      </c>
      <c r="B19" s="149">
        <v>0</v>
      </c>
      <c r="C19" s="540">
        <v>0</v>
      </c>
      <c r="D19" s="65">
        <f t="shared" si="0"/>
        <v>0</v>
      </c>
      <c r="E19" s="66" t="s">
        <v>1052</v>
      </c>
      <c r="F19" s="150">
        <v>0</v>
      </c>
      <c r="G19" s="547">
        <v>0</v>
      </c>
      <c r="H19" s="67">
        <f t="shared" si="1"/>
        <v>0</v>
      </c>
    </row>
    <row r="20" spans="1:51" ht="14.95" customHeight="1" thickBot="1" x14ac:dyDescent="0.3">
      <c r="A20" s="64" t="s">
        <v>247</v>
      </c>
      <c r="B20" s="149">
        <v>0</v>
      </c>
      <c r="C20" s="540">
        <v>0</v>
      </c>
      <c r="D20" s="65">
        <f t="shared" si="0"/>
        <v>0</v>
      </c>
      <c r="E20" s="66" t="s">
        <v>247</v>
      </c>
      <c r="F20" s="150">
        <v>0</v>
      </c>
      <c r="G20" s="547">
        <v>0</v>
      </c>
      <c r="H20" s="67">
        <f t="shared" si="1"/>
        <v>0</v>
      </c>
      <c r="I20" s="577" t="s">
        <v>33</v>
      </c>
      <c r="J20" s="568">
        <v>2023</v>
      </c>
      <c r="K20" s="569"/>
      <c r="L20" s="570"/>
      <c r="M20" s="568">
        <v>2019</v>
      </c>
      <c r="N20" s="569"/>
      <c r="O20" s="570"/>
      <c r="P20" s="557">
        <v>2015</v>
      </c>
      <c r="Q20" s="563"/>
      <c r="R20" s="564"/>
      <c r="Y20" t="s">
        <v>1208</v>
      </c>
    </row>
    <row r="21" spans="1:51" ht="14.95" customHeight="1" thickBot="1" x14ac:dyDescent="0.3">
      <c r="A21" s="64" t="s">
        <v>493</v>
      </c>
      <c r="B21" s="149">
        <v>0</v>
      </c>
      <c r="C21" s="540">
        <v>0</v>
      </c>
      <c r="D21" s="65">
        <f t="shared" si="0"/>
        <v>0</v>
      </c>
      <c r="E21" s="66" t="s">
        <v>493</v>
      </c>
      <c r="F21" s="150">
        <v>0</v>
      </c>
      <c r="G21" s="547">
        <v>0</v>
      </c>
      <c r="H21" s="67">
        <f t="shared" si="1"/>
        <v>0</v>
      </c>
      <c r="I21" s="578"/>
      <c r="J21" s="571"/>
      <c r="K21" s="572"/>
      <c r="L21" s="573"/>
      <c r="M21" s="571"/>
      <c r="N21" s="572"/>
      <c r="O21" s="573"/>
      <c r="P21" s="565"/>
      <c r="Q21" s="566"/>
      <c r="R21" s="567"/>
    </row>
    <row r="22" spans="1:51" ht="14.95" customHeight="1" thickBot="1" x14ac:dyDescent="0.3">
      <c r="A22" s="64" t="s">
        <v>475</v>
      </c>
      <c r="B22" s="149">
        <v>1</v>
      </c>
      <c r="C22" s="540">
        <v>0</v>
      </c>
      <c r="D22" s="65">
        <f t="shared" si="0"/>
        <v>1</v>
      </c>
      <c r="E22" s="66" t="s">
        <v>475</v>
      </c>
      <c r="F22" s="150">
        <v>5</v>
      </c>
      <c r="G22" s="547">
        <v>0</v>
      </c>
      <c r="H22" s="67">
        <f t="shared" si="1"/>
        <v>5</v>
      </c>
      <c r="I22" s="4"/>
      <c r="J22" s="128" t="s">
        <v>152</v>
      </c>
      <c r="K22" s="128" t="s">
        <v>12</v>
      </c>
      <c r="L22" s="128" t="s">
        <v>13</v>
      </c>
      <c r="M22" s="128" t="s">
        <v>152</v>
      </c>
      <c r="N22" s="128" t="s">
        <v>12</v>
      </c>
      <c r="O22" s="128" t="s">
        <v>13</v>
      </c>
      <c r="P22" s="119" t="s">
        <v>152</v>
      </c>
      <c r="Q22" s="119" t="s">
        <v>12</v>
      </c>
      <c r="R22" s="119" t="s">
        <v>13</v>
      </c>
    </row>
    <row r="23" spans="1:51" ht="14.95" customHeight="1" thickBot="1" x14ac:dyDescent="0.3">
      <c r="A23" s="64" t="s">
        <v>1126</v>
      </c>
      <c r="B23" s="149">
        <v>0</v>
      </c>
      <c r="C23" s="540">
        <v>0</v>
      </c>
      <c r="D23" s="65">
        <f t="shared" si="0"/>
        <v>0</v>
      </c>
      <c r="E23" s="66" t="s">
        <v>1126</v>
      </c>
      <c r="F23" s="150">
        <v>0</v>
      </c>
      <c r="G23" s="547">
        <v>0</v>
      </c>
      <c r="H23" s="67">
        <f t="shared" si="1"/>
        <v>0</v>
      </c>
      <c r="I23" s="64" t="s">
        <v>247</v>
      </c>
      <c r="J23" s="128" t="s">
        <v>17</v>
      </c>
      <c r="K23" s="128" t="s">
        <v>17</v>
      </c>
      <c r="L23" s="128" t="s">
        <v>17</v>
      </c>
      <c r="M23" s="128">
        <v>8</v>
      </c>
      <c r="N23" s="128">
        <v>9</v>
      </c>
      <c r="O23" s="128">
        <v>89</v>
      </c>
      <c r="P23" s="228" t="s">
        <v>17</v>
      </c>
      <c r="Q23" s="128" t="s">
        <v>17</v>
      </c>
      <c r="R23" s="128" t="s">
        <v>17</v>
      </c>
    </row>
    <row r="24" spans="1:51" ht="14.95" customHeight="1" thickBot="1" x14ac:dyDescent="0.3">
      <c r="A24" s="64" t="s">
        <v>1286</v>
      </c>
      <c r="B24" s="149">
        <v>0</v>
      </c>
      <c r="C24" s="540">
        <v>0</v>
      </c>
      <c r="D24" s="65">
        <f t="shared" si="0"/>
        <v>0</v>
      </c>
      <c r="E24" s="66" t="s">
        <v>1286</v>
      </c>
      <c r="F24" s="150">
        <v>0</v>
      </c>
      <c r="G24" s="547">
        <v>0</v>
      </c>
      <c r="H24" s="67">
        <f t="shared" si="1"/>
        <v>0</v>
      </c>
      <c r="I24" s="64" t="s">
        <v>493</v>
      </c>
      <c r="J24" s="128">
        <v>11</v>
      </c>
      <c r="K24" s="128">
        <v>11</v>
      </c>
      <c r="L24" s="128">
        <f>SUM(J24/K24)*100</f>
        <v>100</v>
      </c>
      <c r="M24" s="128" t="s">
        <v>17</v>
      </c>
      <c r="N24" s="128" t="s">
        <v>17</v>
      </c>
      <c r="O24" s="128" t="s">
        <v>17</v>
      </c>
      <c r="P24" s="128" t="s">
        <v>17</v>
      </c>
      <c r="Q24" s="128" t="s">
        <v>17</v>
      </c>
      <c r="R24" s="128" t="s">
        <v>17</v>
      </c>
    </row>
    <row r="25" spans="1:51" ht="14.95" customHeight="1" thickBot="1" x14ac:dyDescent="0.3">
      <c r="A25" s="64" t="s">
        <v>458</v>
      </c>
      <c r="B25" s="149">
        <v>2</v>
      </c>
      <c r="C25" s="540">
        <v>0</v>
      </c>
      <c r="D25" s="65">
        <f t="shared" si="0"/>
        <v>2</v>
      </c>
      <c r="E25" s="66" t="s">
        <v>458</v>
      </c>
      <c r="F25" s="150">
        <v>10</v>
      </c>
      <c r="G25" s="547">
        <v>0</v>
      </c>
      <c r="H25" s="67">
        <f t="shared" si="1"/>
        <v>10</v>
      </c>
      <c r="I25" s="64" t="s">
        <v>475</v>
      </c>
      <c r="J25" s="128">
        <v>1</v>
      </c>
      <c r="K25" s="128">
        <v>1</v>
      </c>
      <c r="L25" s="128">
        <f>SUM(J25/K25)*100</f>
        <v>100</v>
      </c>
      <c r="M25" s="128" t="s">
        <v>17</v>
      </c>
      <c r="N25" s="128" t="s">
        <v>17</v>
      </c>
      <c r="O25" s="128" t="s">
        <v>17</v>
      </c>
      <c r="P25" s="128" t="s">
        <v>17</v>
      </c>
      <c r="Q25" s="128" t="s">
        <v>17</v>
      </c>
      <c r="R25" s="128" t="s">
        <v>17</v>
      </c>
    </row>
    <row r="26" spans="1:51" ht="14.95" customHeight="1" thickBot="1" x14ac:dyDescent="0.3">
      <c r="A26" s="64" t="s">
        <v>370</v>
      </c>
      <c r="B26" s="149">
        <v>1</v>
      </c>
      <c r="C26" s="540">
        <v>0</v>
      </c>
      <c r="D26" s="65">
        <f t="shared" si="0"/>
        <v>1</v>
      </c>
      <c r="E26" s="66" t="s">
        <v>370</v>
      </c>
      <c r="F26" s="150">
        <v>5</v>
      </c>
      <c r="G26" s="547">
        <v>0</v>
      </c>
      <c r="H26" s="67">
        <f t="shared" si="1"/>
        <v>5</v>
      </c>
      <c r="I26" s="64" t="s">
        <v>78</v>
      </c>
      <c r="J26" s="128">
        <v>8</v>
      </c>
      <c r="K26" s="128">
        <v>10</v>
      </c>
      <c r="L26" s="231">
        <f>SUM(J26/K26)*100</f>
        <v>80</v>
      </c>
      <c r="M26" s="128">
        <v>1</v>
      </c>
      <c r="N26" s="128">
        <v>1</v>
      </c>
      <c r="O26" s="231">
        <f>SUM(M26/N26)*100</f>
        <v>100</v>
      </c>
      <c r="P26" s="128">
        <v>2</v>
      </c>
      <c r="Q26" s="128">
        <v>4</v>
      </c>
      <c r="R26" s="231">
        <f>SUM(P26/Q26)*100</f>
        <v>50</v>
      </c>
    </row>
    <row r="27" spans="1:51" ht="14.95" customHeight="1" thickBot="1" x14ac:dyDescent="0.3">
      <c r="A27" s="64" t="s">
        <v>201</v>
      </c>
      <c r="B27" s="149">
        <v>0</v>
      </c>
      <c r="C27" s="540">
        <v>0</v>
      </c>
      <c r="D27" s="65">
        <f t="shared" si="0"/>
        <v>0</v>
      </c>
      <c r="E27" s="66" t="s">
        <v>201</v>
      </c>
      <c r="F27" s="150">
        <v>0</v>
      </c>
      <c r="G27" s="547">
        <v>0</v>
      </c>
      <c r="H27" s="67">
        <f t="shared" si="1"/>
        <v>0</v>
      </c>
      <c r="I27" s="658" t="s">
        <v>1461</v>
      </c>
      <c r="J27" s="635"/>
      <c r="K27" s="635"/>
      <c r="L27" s="635"/>
      <c r="M27" s="635"/>
      <c r="N27" s="635"/>
      <c r="O27" s="635"/>
      <c r="P27" s="635"/>
      <c r="Q27" s="635"/>
      <c r="R27" s="635"/>
      <c r="S27" s="635"/>
      <c r="T27" s="635"/>
      <c r="U27" s="635"/>
      <c r="V27" s="635"/>
    </row>
    <row r="28" spans="1:51" ht="14.95" customHeight="1" thickBot="1" x14ac:dyDescent="0.3">
      <c r="A28" s="64" t="s">
        <v>891</v>
      </c>
      <c r="B28" s="149">
        <v>0</v>
      </c>
      <c r="C28" s="540">
        <v>0</v>
      </c>
      <c r="D28" s="65">
        <f t="shared" si="0"/>
        <v>0</v>
      </c>
      <c r="E28" s="66" t="s">
        <v>891</v>
      </c>
      <c r="F28" s="150">
        <v>0</v>
      </c>
      <c r="G28" s="547">
        <v>0</v>
      </c>
      <c r="H28" s="67">
        <f t="shared" si="1"/>
        <v>0</v>
      </c>
      <c r="I28" t="s">
        <v>1462</v>
      </c>
    </row>
    <row r="29" spans="1:51" ht="14.95" customHeight="1" thickBot="1" x14ac:dyDescent="0.3">
      <c r="A29" s="64" t="s">
        <v>954</v>
      </c>
      <c r="B29" s="149">
        <v>0</v>
      </c>
      <c r="C29" s="540">
        <v>0</v>
      </c>
      <c r="D29" s="65">
        <f t="shared" si="0"/>
        <v>0</v>
      </c>
      <c r="E29" s="66" t="s">
        <v>954</v>
      </c>
      <c r="F29" s="150">
        <v>0</v>
      </c>
      <c r="G29" s="547">
        <v>0</v>
      </c>
      <c r="H29" s="67">
        <f t="shared" si="1"/>
        <v>0</v>
      </c>
    </row>
    <row r="30" spans="1:51" ht="14.95" customHeight="1" thickBot="1" x14ac:dyDescent="0.3">
      <c r="A30" s="64" t="s">
        <v>957</v>
      </c>
      <c r="B30" s="149">
        <v>0</v>
      </c>
      <c r="C30" s="540">
        <v>0</v>
      </c>
      <c r="D30" s="65">
        <f t="shared" si="0"/>
        <v>0</v>
      </c>
      <c r="E30" s="66" t="s">
        <v>957</v>
      </c>
      <c r="F30" s="150">
        <v>0</v>
      </c>
      <c r="G30" s="547">
        <v>0</v>
      </c>
      <c r="H30" s="67">
        <f t="shared" si="1"/>
        <v>0</v>
      </c>
    </row>
    <row r="31" spans="1:51" ht="14.95" customHeight="1" thickBot="1" x14ac:dyDescent="0.3">
      <c r="A31" s="64" t="s">
        <v>4</v>
      </c>
      <c r="B31" s="149">
        <v>0</v>
      </c>
      <c r="C31" s="540">
        <v>0</v>
      </c>
      <c r="D31" s="65">
        <f t="shared" si="0"/>
        <v>0</v>
      </c>
      <c r="E31" s="66" t="s">
        <v>4</v>
      </c>
      <c r="F31" s="150">
        <v>0</v>
      </c>
      <c r="G31" s="547">
        <v>0</v>
      </c>
      <c r="H31" s="67">
        <f t="shared" si="1"/>
        <v>0</v>
      </c>
    </row>
    <row r="32" spans="1:51" ht="14.95" customHeight="1" thickBot="1" x14ac:dyDescent="0.3">
      <c r="A32" s="64" t="s">
        <v>122</v>
      </c>
      <c r="B32" s="149">
        <v>0</v>
      </c>
      <c r="C32" s="540">
        <v>0</v>
      </c>
      <c r="D32" s="65">
        <f t="shared" si="0"/>
        <v>0</v>
      </c>
      <c r="E32" s="66" t="s">
        <v>122</v>
      </c>
      <c r="F32" s="150">
        <v>0</v>
      </c>
      <c r="G32" s="547">
        <v>0</v>
      </c>
      <c r="H32" s="67">
        <f t="shared" si="1"/>
        <v>0</v>
      </c>
    </row>
    <row r="33" spans="1:8" ht="14.95" customHeight="1" thickBot="1" x14ac:dyDescent="0.3">
      <c r="A33" s="64" t="s">
        <v>575</v>
      </c>
      <c r="B33" s="149">
        <v>0</v>
      </c>
      <c r="C33" s="540">
        <v>0</v>
      </c>
      <c r="D33" s="65">
        <f t="shared" si="0"/>
        <v>0</v>
      </c>
      <c r="E33" s="66" t="s">
        <v>575</v>
      </c>
      <c r="F33" s="150">
        <v>0</v>
      </c>
      <c r="G33" s="547">
        <v>0</v>
      </c>
      <c r="H33" s="67">
        <f t="shared" si="1"/>
        <v>0</v>
      </c>
    </row>
    <row r="34" spans="1:8" ht="14.95" customHeight="1" thickBot="1" x14ac:dyDescent="0.3">
      <c r="A34" s="64" t="s">
        <v>953</v>
      </c>
      <c r="B34" s="149">
        <v>0</v>
      </c>
      <c r="C34" s="540">
        <v>0</v>
      </c>
      <c r="D34" s="65">
        <f t="shared" si="0"/>
        <v>0</v>
      </c>
      <c r="E34" s="66" t="s">
        <v>953</v>
      </c>
      <c r="F34" s="150">
        <v>0</v>
      </c>
      <c r="G34" s="547">
        <v>0</v>
      </c>
      <c r="H34" s="67">
        <f t="shared" si="1"/>
        <v>0</v>
      </c>
    </row>
    <row r="35" spans="1:8" ht="14.95" customHeight="1" thickBot="1" x14ac:dyDescent="0.3">
      <c r="A35" s="64" t="s">
        <v>951</v>
      </c>
      <c r="B35" s="149">
        <v>0</v>
      </c>
      <c r="C35" s="540">
        <v>0</v>
      </c>
      <c r="D35" s="65">
        <f t="shared" si="0"/>
        <v>0</v>
      </c>
      <c r="E35" s="66" t="s">
        <v>951</v>
      </c>
      <c r="F35" s="150">
        <v>0</v>
      </c>
      <c r="G35" s="547">
        <v>0</v>
      </c>
      <c r="H35" s="67">
        <f t="shared" si="1"/>
        <v>0</v>
      </c>
    </row>
    <row r="36" spans="1:8" ht="14.95" customHeight="1" thickBot="1" x14ac:dyDescent="0.3">
      <c r="A36" s="64" t="s">
        <v>260</v>
      </c>
      <c r="B36" s="149">
        <v>1</v>
      </c>
      <c r="C36" s="540">
        <v>0</v>
      </c>
      <c r="D36" s="65">
        <f t="shared" si="0"/>
        <v>1</v>
      </c>
      <c r="E36" s="66" t="s">
        <v>260</v>
      </c>
      <c r="F36" s="150">
        <v>5</v>
      </c>
      <c r="G36" s="547">
        <v>0</v>
      </c>
      <c r="H36" s="67">
        <f t="shared" si="1"/>
        <v>5</v>
      </c>
    </row>
    <row r="37" spans="1:8" ht="14.95" thickBot="1" x14ac:dyDescent="0.3">
      <c r="A37" s="64" t="s">
        <v>1039</v>
      </c>
      <c r="B37" s="149">
        <v>0</v>
      </c>
      <c r="C37" s="540">
        <v>0</v>
      </c>
      <c r="D37" s="65">
        <f t="shared" si="0"/>
        <v>0</v>
      </c>
      <c r="E37" s="66" t="s">
        <v>1039</v>
      </c>
      <c r="F37" s="150">
        <v>0</v>
      </c>
      <c r="G37" s="547">
        <v>0</v>
      </c>
      <c r="H37" s="67">
        <f t="shared" si="1"/>
        <v>0</v>
      </c>
    </row>
    <row r="38" spans="1:8" ht="14.95" thickBot="1" x14ac:dyDescent="0.3">
      <c r="A38" s="64" t="s">
        <v>78</v>
      </c>
      <c r="B38" s="149">
        <v>1</v>
      </c>
      <c r="C38" s="540">
        <v>0</v>
      </c>
      <c r="D38" s="65">
        <f t="shared" si="0"/>
        <v>1</v>
      </c>
      <c r="E38" s="66" t="s">
        <v>78</v>
      </c>
      <c r="F38" s="150">
        <v>42</v>
      </c>
      <c r="G38" s="547">
        <v>0</v>
      </c>
      <c r="H38" s="67">
        <f t="shared" si="1"/>
        <v>42</v>
      </c>
    </row>
    <row r="39" spans="1:8" ht="14.95" customHeight="1" thickBot="1" x14ac:dyDescent="0.3">
      <c r="A39" s="64" t="s">
        <v>437</v>
      </c>
      <c r="B39" s="149">
        <v>1</v>
      </c>
      <c r="C39" s="540">
        <v>0</v>
      </c>
      <c r="D39" s="65">
        <f t="shared" si="0"/>
        <v>1</v>
      </c>
      <c r="E39" s="66" t="s">
        <v>437</v>
      </c>
      <c r="F39" s="150">
        <v>5</v>
      </c>
      <c r="G39" s="547">
        <v>0</v>
      </c>
      <c r="H39" s="67">
        <f t="shared" si="1"/>
        <v>5</v>
      </c>
    </row>
    <row r="40" spans="1:8" ht="14.95" thickBot="1" x14ac:dyDescent="0.3">
      <c r="A40" s="64" t="s">
        <v>747</v>
      </c>
      <c r="B40" s="149">
        <v>0</v>
      </c>
      <c r="C40" s="540">
        <v>0</v>
      </c>
      <c r="D40" s="65">
        <f t="shared" si="0"/>
        <v>0</v>
      </c>
      <c r="E40" s="66" t="s">
        <v>747</v>
      </c>
      <c r="F40" s="150">
        <v>0</v>
      </c>
      <c r="G40" s="547">
        <v>0</v>
      </c>
      <c r="H40" s="67">
        <f t="shared" si="1"/>
        <v>0</v>
      </c>
    </row>
    <row r="41" spans="1:8" ht="14.95" thickBot="1" x14ac:dyDescent="0.3">
      <c r="A41" s="64" t="s">
        <v>748</v>
      </c>
      <c r="B41" s="149">
        <v>0</v>
      </c>
      <c r="C41" s="540">
        <v>0</v>
      </c>
      <c r="D41" s="65">
        <f t="shared" si="0"/>
        <v>0</v>
      </c>
      <c r="E41" s="66" t="s">
        <v>748</v>
      </c>
      <c r="F41" s="150">
        <v>0</v>
      </c>
      <c r="G41" s="547">
        <v>0</v>
      </c>
      <c r="H41" s="67">
        <f t="shared" si="1"/>
        <v>0</v>
      </c>
    </row>
    <row r="42" spans="1:8" ht="14.95" thickBot="1" x14ac:dyDescent="0.3">
      <c r="A42" s="64" t="s">
        <v>21</v>
      </c>
      <c r="B42" s="149">
        <v>0</v>
      </c>
      <c r="C42" s="540">
        <v>0</v>
      </c>
      <c r="D42" s="65">
        <f t="shared" si="0"/>
        <v>0</v>
      </c>
      <c r="E42" s="66" t="s">
        <v>21</v>
      </c>
      <c r="F42" s="150">
        <v>0</v>
      </c>
      <c r="G42" s="547">
        <v>0</v>
      </c>
      <c r="H42" s="67">
        <f t="shared" si="1"/>
        <v>0</v>
      </c>
    </row>
    <row r="43" spans="1:8" ht="14.95" thickBot="1" x14ac:dyDescent="0.3">
      <c r="A43" s="64" t="s">
        <v>82</v>
      </c>
      <c r="B43" s="149">
        <v>3</v>
      </c>
      <c r="C43" s="540">
        <v>0</v>
      </c>
      <c r="D43" s="65">
        <f t="shared" si="0"/>
        <v>3</v>
      </c>
      <c r="E43" s="66" t="s">
        <v>82</v>
      </c>
      <c r="F43" s="150">
        <v>15</v>
      </c>
      <c r="G43" s="547">
        <v>0</v>
      </c>
      <c r="H43" s="67">
        <f t="shared" si="1"/>
        <v>15</v>
      </c>
    </row>
    <row r="44" spans="1:8" ht="14.95" thickBot="1" x14ac:dyDescent="0.3">
      <c r="A44" s="64" t="s">
        <v>749</v>
      </c>
      <c r="B44" s="149">
        <v>0</v>
      </c>
      <c r="C44" s="540">
        <v>0</v>
      </c>
      <c r="D44" s="65">
        <f t="shared" si="0"/>
        <v>0</v>
      </c>
      <c r="E44" s="66" t="s">
        <v>749</v>
      </c>
      <c r="F44" s="150">
        <v>0</v>
      </c>
      <c r="G44" s="547">
        <v>0</v>
      </c>
      <c r="H44" s="67">
        <f t="shared" si="1"/>
        <v>0</v>
      </c>
    </row>
    <row r="45" spans="1:8" ht="14.3" customHeight="1" thickBot="1" x14ac:dyDescent="0.3">
      <c r="A45" s="64" t="s">
        <v>11</v>
      </c>
      <c r="B45" s="149">
        <v>0</v>
      </c>
      <c r="C45" s="540">
        <v>0</v>
      </c>
      <c r="D45" s="65">
        <f t="shared" si="0"/>
        <v>0</v>
      </c>
      <c r="E45" s="66" t="s">
        <v>11</v>
      </c>
      <c r="F45" s="150">
        <v>0</v>
      </c>
      <c r="G45" s="547">
        <v>0</v>
      </c>
      <c r="H45" s="67">
        <f t="shared" si="1"/>
        <v>0</v>
      </c>
    </row>
    <row r="46" spans="1:8" ht="14.3" customHeight="1" thickBot="1" x14ac:dyDescent="0.3">
      <c r="A46" s="64" t="s">
        <v>573</v>
      </c>
      <c r="B46" s="149">
        <v>0</v>
      </c>
      <c r="C46" s="540">
        <v>0</v>
      </c>
      <c r="D46" s="65">
        <f t="shared" si="0"/>
        <v>0</v>
      </c>
      <c r="E46" s="66" t="s">
        <v>573</v>
      </c>
      <c r="F46" s="150">
        <v>0</v>
      </c>
      <c r="G46" s="547">
        <v>0</v>
      </c>
      <c r="H46" s="67">
        <f t="shared" si="1"/>
        <v>0</v>
      </c>
    </row>
    <row r="47" spans="1:8" ht="14.95" thickBot="1" x14ac:dyDescent="0.3">
      <c r="A47" s="64" t="s">
        <v>215</v>
      </c>
      <c r="B47" s="149">
        <v>1</v>
      </c>
      <c r="C47" s="540">
        <v>0</v>
      </c>
      <c r="D47" s="65">
        <f t="shared" si="0"/>
        <v>1</v>
      </c>
      <c r="E47" s="66" t="s">
        <v>215</v>
      </c>
      <c r="F47" s="150">
        <v>5</v>
      </c>
      <c r="G47" s="547">
        <v>0</v>
      </c>
      <c r="H47" s="67">
        <f t="shared" si="1"/>
        <v>5</v>
      </c>
    </row>
    <row r="48" spans="1:8" ht="14.95" thickBot="1" x14ac:dyDescent="0.3">
      <c r="A48" s="64" t="s">
        <v>357</v>
      </c>
      <c r="B48" s="149">
        <v>0</v>
      </c>
      <c r="C48" s="540">
        <v>0</v>
      </c>
      <c r="D48" s="65">
        <f t="shared" si="0"/>
        <v>0</v>
      </c>
      <c r="E48" s="66" t="s">
        <v>357</v>
      </c>
      <c r="F48" s="150">
        <v>0</v>
      </c>
      <c r="G48" s="547">
        <v>0</v>
      </c>
      <c r="H48" s="67">
        <f t="shared" si="1"/>
        <v>0</v>
      </c>
    </row>
    <row r="49" spans="1:8" ht="14.95" thickBot="1" x14ac:dyDescent="0.3">
      <c r="A49" s="64" t="s">
        <v>952</v>
      </c>
      <c r="B49" s="149">
        <v>0</v>
      </c>
      <c r="C49" s="540">
        <v>0</v>
      </c>
      <c r="D49" s="65">
        <f t="shared" si="0"/>
        <v>0</v>
      </c>
      <c r="E49" s="66" t="s">
        <v>952</v>
      </c>
      <c r="F49" s="150">
        <v>0</v>
      </c>
      <c r="G49" s="547">
        <v>0</v>
      </c>
      <c r="H49" s="67">
        <f t="shared" si="1"/>
        <v>0</v>
      </c>
    </row>
    <row r="50" spans="1:8" ht="14.95" thickBot="1" x14ac:dyDescent="0.3">
      <c r="A50" s="64" t="s">
        <v>39</v>
      </c>
      <c r="B50" s="149">
        <v>0</v>
      </c>
      <c r="C50" s="540">
        <v>0</v>
      </c>
      <c r="D50" s="65">
        <f t="shared" si="0"/>
        <v>0</v>
      </c>
      <c r="E50" s="66" t="s">
        <v>39</v>
      </c>
      <c r="F50" s="150">
        <v>0</v>
      </c>
      <c r="G50" s="547">
        <v>0</v>
      </c>
      <c r="H50" s="67">
        <f t="shared" si="1"/>
        <v>0</v>
      </c>
    </row>
    <row r="51" spans="1:8" ht="14.95" thickBot="1" x14ac:dyDescent="0.3">
      <c r="A51" s="64" t="s">
        <v>423</v>
      </c>
      <c r="B51" s="149">
        <v>2</v>
      </c>
      <c r="C51" s="540">
        <v>0</v>
      </c>
      <c r="D51" s="65">
        <f t="shared" si="0"/>
        <v>2</v>
      </c>
      <c r="E51" s="66" t="s">
        <v>423</v>
      </c>
      <c r="F51" s="150">
        <v>10</v>
      </c>
      <c r="G51" s="547">
        <v>0</v>
      </c>
      <c r="H51" s="67">
        <f t="shared" si="1"/>
        <v>10</v>
      </c>
    </row>
    <row r="52" spans="1:8" ht="14.95" thickBot="1" x14ac:dyDescent="0.3">
      <c r="A52" s="64" t="s">
        <v>1434</v>
      </c>
      <c r="B52" s="149">
        <v>0</v>
      </c>
      <c r="C52" s="540">
        <v>0</v>
      </c>
      <c r="D52" s="65">
        <f t="shared" si="0"/>
        <v>0</v>
      </c>
      <c r="E52" s="66" t="s">
        <v>1434</v>
      </c>
      <c r="F52" s="150">
        <v>0</v>
      </c>
      <c r="G52" s="547">
        <v>0</v>
      </c>
      <c r="H52" s="67">
        <f t="shared" si="1"/>
        <v>0</v>
      </c>
    </row>
    <row r="53" spans="1:8" ht="14.95" thickBot="1" x14ac:dyDescent="0.3">
      <c r="A53" s="64" t="s">
        <v>3</v>
      </c>
      <c r="B53" s="149">
        <f>SUM(B3:B52)</f>
        <v>17</v>
      </c>
      <c r="C53" s="540">
        <f>SUM(C3:C52)</f>
        <v>0</v>
      </c>
      <c r="D53" s="65">
        <f t="shared" si="0"/>
        <v>17</v>
      </c>
      <c r="E53" s="66" t="s">
        <v>3</v>
      </c>
      <c r="F53" s="150">
        <f>SUM(F3:F52)</f>
        <v>122</v>
      </c>
      <c r="G53" s="547">
        <f>SUM(G3:G52)</f>
        <v>0</v>
      </c>
      <c r="H53" s="67">
        <f t="shared" si="1"/>
        <v>122</v>
      </c>
    </row>
    <row r="54" spans="1:8" x14ac:dyDescent="0.25">
      <c r="B54" s="110"/>
      <c r="C54" s="544"/>
      <c r="E54" s="11"/>
      <c r="G54" s="544"/>
    </row>
    <row r="55" spans="1:8" ht="14.95" thickBot="1" x14ac:dyDescent="0.3">
      <c r="A55" t="s">
        <v>15</v>
      </c>
      <c r="B55" s="110"/>
      <c r="C55" s="544"/>
      <c r="E55" s="9"/>
      <c r="F55" s="9"/>
      <c r="G55" s="545"/>
      <c r="H55" s="9"/>
    </row>
    <row r="56" spans="1:8" ht="14.95" thickBot="1" x14ac:dyDescent="0.3">
      <c r="A56" s="217" t="s">
        <v>0</v>
      </c>
      <c r="B56" s="194" t="s">
        <v>36</v>
      </c>
      <c r="C56" s="539" t="s">
        <v>1447</v>
      </c>
      <c r="D56" s="195" t="s">
        <v>1</v>
      </c>
      <c r="E56" s="215" t="s">
        <v>2</v>
      </c>
      <c r="F56" s="218" t="s">
        <v>36</v>
      </c>
      <c r="G56" s="506" t="s">
        <v>1447</v>
      </c>
      <c r="H56" s="216" t="s">
        <v>1</v>
      </c>
    </row>
    <row r="57" spans="1:8" ht="14.95" thickBot="1" x14ac:dyDescent="0.3">
      <c r="A57" s="64" t="s">
        <v>474</v>
      </c>
      <c r="B57" s="149">
        <v>3</v>
      </c>
      <c r="C57" s="540">
        <v>0</v>
      </c>
      <c r="D57" s="65">
        <f>SUM(B57:C57)</f>
        <v>3</v>
      </c>
      <c r="E57" s="66" t="s">
        <v>78</v>
      </c>
      <c r="F57" s="150">
        <v>42</v>
      </c>
      <c r="G57" s="547">
        <v>0</v>
      </c>
      <c r="H57" s="67">
        <f>SUM(F57:G57)</f>
        <v>42</v>
      </c>
    </row>
    <row r="58" spans="1:8" ht="14.95" thickBot="1" x14ac:dyDescent="0.3">
      <c r="A58" s="64" t="s">
        <v>82</v>
      </c>
      <c r="B58" s="149">
        <v>3</v>
      </c>
      <c r="C58" s="540">
        <v>0</v>
      </c>
      <c r="D58" s="65">
        <f>SUM(B58:C58)</f>
        <v>3</v>
      </c>
      <c r="E58" s="66" t="s">
        <v>474</v>
      </c>
      <c r="F58" s="150">
        <v>15</v>
      </c>
      <c r="G58" s="547">
        <v>0</v>
      </c>
      <c r="H58" s="67">
        <f>SUM(F58:G58)</f>
        <v>15</v>
      </c>
    </row>
    <row r="59" spans="1:8" ht="14.95" thickBot="1" x14ac:dyDescent="0.3">
      <c r="A59" s="64" t="s">
        <v>458</v>
      </c>
      <c r="B59" s="149">
        <v>2</v>
      </c>
      <c r="C59" s="540">
        <v>0</v>
      </c>
      <c r="D59" s="65">
        <f>SUM(B59:C59)</f>
        <v>2</v>
      </c>
      <c r="E59" s="66" t="s">
        <v>82</v>
      </c>
      <c r="F59" s="150">
        <v>15</v>
      </c>
      <c r="G59" s="547">
        <v>0</v>
      </c>
      <c r="H59" s="67">
        <f>SUM(F59:G59)</f>
        <v>15</v>
      </c>
    </row>
    <row r="60" spans="1:8" ht="14.95" thickBot="1" x14ac:dyDescent="0.3">
      <c r="A60" s="64" t="s">
        <v>423</v>
      </c>
      <c r="B60" s="149">
        <v>2</v>
      </c>
      <c r="C60" s="540">
        <v>0</v>
      </c>
      <c r="D60" s="65">
        <f>SUM(B60:C60)</f>
        <v>2</v>
      </c>
      <c r="E60" s="66" t="s">
        <v>458</v>
      </c>
      <c r="F60" s="150">
        <v>10</v>
      </c>
      <c r="G60" s="547">
        <v>0</v>
      </c>
      <c r="H60" s="67">
        <f>SUM(F60:G60)</f>
        <v>10</v>
      </c>
    </row>
    <row r="61" spans="1:8" ht="14.95" thickBot="1" x14ac:dyDescent="0.3">
      <c r="A61" s="64" t="s">
        <v>745</v>
      </c>
      <c r="B61" s="149">
        <v>1</v>
      </c>
      <c r="C61" s="540">
        <v>0</v>
      </c>
      <c r="D61" s="65">
        <f>SUM(B61:C61)</f>
        <v>1</v>
      </c>
      <c r="E61" s="66" t="s">
        <v>423</v>
      </c>
      <c r="F61" s="150">
        <v>10</v>
      </c>
      <c r="G61" s="547">
        <v>0</v>
      </c>
      <c r="H61" s="67">
        <f>SUM(F61:G61)</f>
        <v>10</v>
      </c>
    </row>
    <row r="62" spans="1:8" ht="14.95" thickBot="1" x14ac:dyDescent="0.3">
      <c r="A62" s="64" t="s">
        <v>475</v>
      </c>
      <c r="B62" s="149">
        <v>1</v>
      </c>
      <c r="C62" s="540">
        <v>0</v>
      </c>
      <c r="D62" s="65">
        <f>SUM(B62:C62)</f>
        <v>1</v>
      </c>
      <c r="E62" s="66" t="s">
        <v>745</v>
      </c>
      <c r="F62" s="150">
        <v>5</v>
      </c>
      <c r="G62" s="547">
        <v>0</v>
      </c>
      <c r="H62" s="67">
        <f>SUM(F62:G62)</f>
        <v>5</v>
      </c>
    </row>
    <row r="63" spans="1:8" ht="14.95" thickBot="1" x14ac:dyDescent="0.3">
      <c r="A63" s="64" t="s">
        <v>370</v>
      </c>
      <c r="B63" s="149">
        <v>1</v>
      </c>
      <c r="C63" s="540">
        <v>0</v>
      </c>
      <c r="D63" s="65">
        <f>SUM(B63:C63)</f>
        <v>1</v>
      </c>
      <c r="E63" s="66" t="s">
        <v>475</v>
      </c>
      <c r="F63" s="150">
        <v>5</v>
      </c>
      <c r="G63" s="547">
        <v>0</v>
      </c>
      <c r="H63" s="67">
        <f>SUM(F63:G63)</f>
        <v>5</v>
      </c>
    </row>
    <row r="64" spans="1:8" ht="14.95" thickBot="1" x14ac:dyDescent="0.3">
      <c r="A64" s="64" t="s">
        <v>260</v>
      </c>
      <c r="B64" s="149">
        <v>1</v>
      </c>
      <c r="C64" s="540">
        <v>0</v>
      </c>
      <c r="D64" s="65">
        <f>SUM(B64:C64)</f>
        <v>1</v>
      </c>
      <c r="E64" s="66" t="s">
        <v>370</v>
      </c>
      <c r="F64" s="150">
        <v>5</v>
      </c>
      <c r="G64" s="547">
        <v>0</v>
      </c>
      <c r="H64" s="67">
        <f>SUM(F64:G64)</f>
        <v>5</v>
      </c>
    </row>
    <row r="65" spans="1:8" ht="14.95" thickBot="1" x14ac:dyDescent="0.3">
      <c r="A65" s="64" t="s">
        <v>78</v>
      </c>
      <c r="B65" s="149">
        <v>1</v>
      </c>
      <c r="C65" s="540">
        <v>0</v>
      </c>
      <c r="D65" s="65">
        <f>SUM(B65:C65)</f>
        <v>1</v>
      </c>
      <c r="E65" s="66" t="s">
        <v>260</v>
      </c>
      <c r="F65" s="150">
        <v>5</v>
      </c>
      <c r="G65" s="547">
        <v>0</v>
      </c>
      <c r="H65" s="67">
        <f>SUM(F65:G65)</f>
        <v>5</v>
      </c>
    </row>
    <row r="66" spans="1:8" ht="14.95" thickBot="1" x14ac:dyDescent="0.3">
      <c r="A66" s="64" t="s">
        <v>437</v>
      </c>
      <c r="B66" s="149">
        <v>1</v>
      </c>
      <c r="C66" s="540">
        <v>0</v>
      </c>
      <c r="D66" s="65">
        <f>SUM(B66:C66)</f>
        <v>1</v>
      </c>
      <c r="E66" s="66" t="s">
        <v>437</v>
      </c>
      <c r="F66" s="150">
        <v>5</v>
      </c>
      <c r="G66" s="547">
        <v>0</v>
      </c>
      <c r="H66" s="67">
        <f>SUM(F66:G66)</f>
        <v>5</v>
      </c>
    </row>
    <row r="67" spans="1:8" ht="14.95" thickBot="1" x14ac:dyDescent="0.3">
      <c r="A67" s="64" t="s">
        <v>215</v>
      </c>
      <c r="B67" s="149">
        <v>1</v>
      </c>
      <c r="C67" s="540">
        <v>0</v>
      </c>
      <c r="D67" s="65">
        <f>SUM(B67:C67)</f>
        <v>1</v>
      </c>
      <c r="E67" s="66" t="s">
        <v>215</v>
      </c>
      <c r="F67" s="150">
        <v>5</v>
      </c>
      <c r="G67" s="547">
        <v>0</v>
      </c>
      <c r="H67" s="67">
        <f>SUM(F67:G67)</f>
        <v>5</v>
      </c>
    </row>
    <row r="68" spans="1:8" ht="14.95" thickBot="1" x14ac:dyDescent="0.3">
      <c r="A68" s="64" t="s">
        <v>452</v>
      </c>
      <c r="B68" s="149">
        <v>0</v>
      </c>
      <c r="C68" s="540">
        <v>0</v>
      </c>
      <c r="D68" s="65">
        <f>SUM(B68:C68)</f>
        <v>0</v>
      </c>
      <c r="E68" s="66" t="s">
        <v>452</v>
      </c>
      <c r="F68" s="150">
        <v>0</v>
      </c>
      <c r="G68" s="547">
        <v>0</v>
      </c>
      <c r="H68" s="67">
        <f>SUM(F68:G68)</f>
        <v>0</v>
      </c>
    </row>
    <row r="69" spans="1:8" ht="14.95" thickBot="1" x14ac:dyDescent="0.3">
      <c r="A69" s="64" t="s">
        <v>639</v>
      </c>
      <c r="B69" s="149">
        <v>0</v>
      </c>
      <c r="C69" s="540">
        <v>0</v>
      </c>
      <c r="D69" s="65">
        <f>SUM(B69:C69)</f>
        <v>0</v>
      </c>
      <c r="E69" s="66" t="s">
        <v>639</v>
      </c>
      <c r="F69" s="150">
        <v>0</v>
      </c>
      <c r="G69" s="547">
        <v>0</v>
      </c>
      <c r="H69" s="67">
        <f>SUM(F69:G69)</f>
        <v>0</v>
      </c>
    </row>
    <row r="70" spans="1:8" ht="14.95" thickBot="1" x14ac:dyDescent="0.3">
      <c r="A70" s="64" t="s">
        <v>742</v>
      </c>
      <c r="B70" s="149">
        <v>0</v>
      </c>
      <c r="C70" s="540">
        <v>0</v>
      </c>
      <c r="D70" s="65">
        <f>SUM(B70:C70)</f>
        <v>0</v>
      </c>
      <c r="E70" s="66" t="s">
        <v>742</v>
      </c>
      <c r="F70" s="150">
        <v>0</v>
      </c>
      <c r="G70" s="547">
        <v>0</v>
      </c>
      <c r="H70" s="67">
        <f>SUM(F70:G70)</f>
        <v>0</v>
      </c>
    </row>
    <row r="71" spans="1:8" ht="14.95" thickBot="1" x14ac:dyDescent="0.3">
      <c r="A71" s="64" t="s">
        <v>1255</v>
      </c>
      <c r="B71" s="149">
        <v>0</v>
      </c>
      <c r="C71" s="540">
        <v>0</v>
      </c>
      <c r="D71" s="65">
        <f>SUM(B71:C71)</f>
        <v>0</v>
      </c>
      <c r="E71" s="66" t="s">
        <v>1255</v>
      </c>
      <c r="F71" s="150">
        <v>0</v>
      </c>
      <c r="G71" s="547">
        <v>0</v>
      </c>
      <c r="H71" s="67">
        <f>SUM(F71:G71)</f>
        <v>0</v>
      </c>
    </row>
    <row r="72" spans="1:8" ht="14.95" thickBot="1" x14ac:dyDescent="0.3">
      <c r="A72" s="64" t="s">
        <v>743</v>
      </c>
      <c r="B72" s="149">
        <v>0</v>
      </c>
      <c r="C72" s="540">
        <v>0</v>
      </c>
      <c r="D72" s="65">
        <f>SUM(B72:C72)</f>
        <v>0</v>
      </c>
      <c r="E72" s="66" t="s">
        <v>743</v>
      </c>
      <c r="F72" s="150">
        <v>0</v>
      </c>
      <c r="G72" s="547">
        <v>0</v>
      </c>
      <c r="H72" s="67">
        <f>SUM(F72:G72)</f>
        <v>0</v>
      </c>
    </row>
    <row r="73" spans="1:8" ht="14.95" thickBot="1" x14ac:dyDescent="0.3">
      <c r="A73" s="64" t="s">
        <v>744</v>
      </c>
      <c r="B73" s="149">
        <v>0</v>
      </c>
      <c r="C73" s="540">
        <v>0</v>
      </c>
      <c r="D73" s="65">
        <f>SUM(B73:C73)</f>
        <v>0</v>
      </c>
      <c r="E73" s="66" t="s">
        <v>744</v>
      </c>
      <c r="F73" s="150">
        <v>0</v>
      </c>
      <c r="G73" s="547">
        <v>0</v>
      </c>
      <c r="H73" s="67">
        <f>SUM(F73:G73)</f>
        <v>0</v>
      </c>
    </row>
    <row r="74" spans="1:8" ht="14.95" thickBot="1" x14ac:dyDescent="0.3">
      <c r="A74" s="64" t="s">
        <v>1041</v>
      </c>
      <c r="B74" s="149">
        <v>0</v>
      </c>
      <c r="C74" s="540">
        <v>0</v>
      </c>
      <c r="D74" s="65">
        <f>SUM(B74:C74)</f>
        <v>0</v>
      </c>
      <c r="E74" s="66" t="s">
        <v>1041</v>
      </c>
      <c r="F74" s="150">
        <v>0</v>
      </c>
      <c r="G74" s="547">
        <v>0</v>
      </c>
      <c r="H74" s="67">
        <f>SUM(F74:G74)</f>
        <v>0</v>
      </c>
    </row>
    <row r="75" spans="1:8" ht="14.95" thickBot="1" x14ac:dyDescent="0.3">
      <c r="A75" s="64" t="s">
        <v>478</v>
      </c>
      <c r="B75" s="149">
        <v>0</v>
      </c>
      <c r="C75" s="540">
        <v>0</v>
      </c>
      <c r="D75" s="65">
        <f>SUM(B75:C75)</f>
        <v>0</v>
      </c>
      <c r="E75" s="66" t="s">
        <v>478</v>
      </c>
      <c r="F75" s="150">
        <v>0</v>
      </c>
      <c r="G75" s="547">
        <v>0</v>
      </c>
      <c r="H75" s="67">
        <f>SUM(F75:G75)</f>
        <v>0</v>
      </c>
    </row>
    <row r="76" spans="1:8" ht="14.95" thickBot="1" x14ac:dyDescent="0.3">
      <c r="A76" s="64" t="s">
        <v>956</v>
      </c>
      <c r="B76" s="149">
        <v>0</v>
      </c>
      <c r="C76" s="540">
        <v>0</v>
      </c>
      <c r="D76" s="65">
        <f>SUM(B76:C76)</f>
        <v>0</v>
      </c>
      <c r="E76" s="66" t="s">
        <v>956</v>
      </c>
      <c r="F76" s="150">
        <v>0</v>
      </c>
      <c r="G76" s="547">
        <v>0</v>
      </c>
      <c r="H76" s="67">
        <f>SUM(F76:G76)</f>
        <v>0</v>
      </c>
    </row>
    <row r="77" spans="1:8" ht="14.95" thickBot="1" x14ac:dyDescent="0.3">
      <c r="A77" s="64" t="s">
        <v>518</v>
      </c>
      <c r="B77" s="149">
        <v>0</v>
      </c>
      <c r="C77" s="540">
        <v>0</v>
      </c>
      <c r="D77" s="65">
        <f>SUM(B77:C77)</f>
        <v>0</v>
      </c>
      <c r="E77" s="66" t="s">
        <v>518</v>
      </c>
      <c r="F77" s="150">
        <v>0</v>
      </c>
      <c r="G77" s="547">
        <v>0</v>
      </c>
      <c r="H77" s="67">
        <f>SUM(F77:G77)</f>
        <v>0</v>
      </c>
    </row>
    <row r="78" spans="1:8" ht="14.95" thickBot="1" x14ac:dyDescent="0.3">
      <c r="A78" s="64" t="s">
        <v>341</v>
      </c>
      <c r="B78" s="149">
        <v>0</v>
      </c>
      <c r="C78" s="540">
        <v>0</v>
      </c>
      <c r="D78" s="65">
        <f>SUM(B78:C78)</f>
        <v>0</v>
      </c>
      <c r="E78" s="66" t="s">
        <v>341</v>
      </c>
      <c r="F78" s="150">
        <v>0</v>
      </c>
      <c r="G78" s="547">
        <v>0</v>
      </c>
      <c r="H78" s="67">
        <f>SUM(F78:G78)</f>
        <v>0</v>
      </c>
    </row>
    <row r="79" spans="1:8" ht="14.95" thickBot="1" x14ac:dyDescent="0.3">
      <c r="A79" s="64" t="s">
        <v>77</v>
      </c>
      <c r="B79" s="149">
        <v>0</v>
      </c>
      <c r="C79" s="540">
        <v>0</v>
      </c>
      <c r="D79" s="65">
        <f>SUM(B79:C79)</f>
        <v>0</v>
      </c>
      <c r="E79" s="66" t="s">
        <v>77</v>
      </c>
      <c r="F79" s="150">
        <v>0</v>
      </c>
      <c r="G79" s="547">
        <v>0</v>
      </c>
      <c r="H79" s="67">
        <f>SUM(F79:G79)</f>
        <v>0</v>
      </c>
    </row>
    <row r="80" spans="1:8" ht="14.95" thickBot="1" x14ac:dyDescent="0.3">
      <c r="A80" s="64" t="s">
        <v>746</v>
      </c>
      <c r="B80" s="149">
        <v>0</v>
      </c>
      <c r="C80" s="540">
        <v>0</v>
      </c>
      <c r="D80" s="65">
        <f>SUM(B80:C80)</f>
        <v>0</v>
      </c>
      <c r="E80" s="66" t="s">
        <v>746</v>
      </c>
      <c r="F80" s="150">
        <v>0</v>
      </c>
      <c r="G80" s="547">
        <v>0</v>
      </c>
      <c r="H80" s="67">
        <f>SUM(F80:G80)</f>
        <v>0</v>
      </c>
    </row>
    <row r="81" spans="1:8" ht="14.95" thickBot="1" x14ac:dyDescent="0.3">
      <c r="A81" s="64" t="s">
        <v>286</v>
      </c>
      <c r="B81" s="149">
        <v>0</v>
      </c>
      <c r="C81" s="540">
        <v>0</v>
      </c>
      <c r="D81" s="65">
        <f>SUM(B81:C81)</f>
        <v>0</v>
      </c>
      <c r="E81" s="66" t="s">
        <v>286</v>
      </c>
      <c r="F81" s="150">
        <v>0</v>
      </c>
      <c r="G81" s="547">
        <v>0</v>
      </c>
      <c r="H81" s="67">
        <f>SUM(F81:G81)</f>
        <v>0</v>
      </c>
    </row>
    <row r="82" spans="1:8" ht="14.95" thickBot="1" x14ac:dyDescent="0.3">
      <c r="A82" s="64" t="s">
        <v>1052</v>
      </c>
      <c r="B82" s="149">
        <v>0</v>
      </c>
      <c r="C82" s="540">
        <v>0</v>
      </c>
      <c r="D82" s="65">
        <f>SUM(B82:C82)</f>
        <v>0</v>
      </c>
      <c r="E82" s="66" t="s">
        <v>1052</v>
      </c>
      <c r="F82" s="150">
        <v>0</v>
      </c>
      <c r="G82" s="547">
        <v>0</v>
      </c>
      <c r="H82" s="67">
        <f>SUM(F82:G82)</f>
        <v>0</v>
      </c>
    </row>
    <row r="83" spans="1:8" ht="14.95" thickBot="1" x14ac:dyDescent="0.3">
      <c r="A83" s="64" t="s">
        <v>247</v>
      </c>
      <c r="B83" s="149">
        <v>0</v>
      </c>
      <c r="C83" s="540">
        <v>0</v>
      </c>
      <c r="D83" s="65">
        <f>SUM(B83:C83)</f>
        <v>0</v>
      </c>
      <c r="E83" s="66" t="s">
        <v>247</v>
      </c>
      <c r="F83" s="150">
        <v>0</v>
      </c>
      <c r="G83" s="547">
        <v>0</v>
      </c>
      <c r="H83" s="67">
        <f>SUM(F83:G83)</f>
        <v>0</v>
      </c>
    </row>
    <row r="84" spans="1:8" ht="14.95" thickBot="1" x14ac:dyDescent="0.3">
      <c r="A84" s="64" t="s">
        <v>493</v>
      </c>
      <c r="B84" s="149">
        <v>0</v>
      </c>
      <c r="C84" s="540">
        <v>0</v>
      </c>
      <c r="D84" s="65">
        <f>SUM(B84:C84)</f>
        <v>0</v>
      </c>
      <c r="E84" s="66" t="s">
        <v>493</v>
      </c>
      <c r="F84" s="150">
        <v>0</v>
      </c>
      <c r="G84" s="547">
        <v>0</v>
      </c>
      <c r="H84" s="67">
        <f>SUM(F84:G84)</f>
        <v>0</v>
      </c>
    </row>
    <row r="85" spans="1:8" ht="14.95" thickBot="1" x14ac:dyDescent="0.3">
      <c r="A85" s="64" t="s">
        <v>1126</v>
      </c>
      <c r="B85" s="149">
        <v>0</v>
      </c>
      <c r="C85" s="540">
        <v>0</v>
      </c>
      <c r="D85" s="65">
        <f>SUM(B85:C85)</f>
        <v>0</v>
      </c>
      <c r="E85" s="66" t="s">
        <v>1126</v>
      </c>
      <c r="F85" s="150">
        <v>0</v>
      </c>
      <c r="G85" s="547">
        <v>0</v>
      </c>
      <c r="H85" s="67">
        <f>SUM(F85:G85)</f>
        <v>0</v>
      </c>
    </row>
    <row r="86" spans="1:8" ht="14.95" thickBot="1" x14ac:dyDescent="0.3">
      <c r="A86" s="64" t="s">
        <v>1286</v>
      </c>
      <c r="B86" s="149">
        <v>0</v>
      </c>
      <c r="C86" s="540">
        <v>0</v>
      </c>
      <c r="D86" s="65">
        <f>SUM(B86:C86)</f>
        <v>0</v>
      </c>
      <c r="E86" s="66" t="s">
        <v>1286</v>
      </c>
      <c r="F86" s="150">
        <v>0</v>
      </c>
      <c r="G86" s="547">
        <v>0</v>
      </c>
      <c r="H86" s="67">
        <f>SUM(F86:G86)</f>
        <v>0</v>
      </c>
    </row>
    <row r="87" spans="1:8" ht="14.95" thickBot="1" x14ac:dyDescent="0.3">
      <c r="A87" s="64" t="s">
        <v>201</v>
      </c>
      <c r="B87" s="149">
        <v>0</v>
      </c>
      <c r="C87" s="540">
        <v>0</v>
      </c>
      <c r="D87" s="65">
        <f>SUM(B87:C87)</f>
        <v>0</v>
      </c>
      <c r="E87" s="66" t="s">
        <v>201</v>
      </c>
      <c r="F87" s="150">
        <v>0</v>
      </c>
      <c r="G87" s="547">
        <v>0</v>
      </c>
      <c r="H87" s="67">
        <f>SUM(F87:G87)</f>
        <v>0</v>
      </c>
    </row>
    <row r="88" spans="1:8" ht="14.95" thickBot="1" x14ac:dyDescent="0.3">
      <c r="A88" s="64" t="s">
        <v>891</v>
      </c>
      <c r="B88" s="149">
        <v>0</v>
      </c>
      <c r="C88" s="540">
        <v>0</v>
      </c>
      <c r="D88" s="65">
        <f>SUM(B88:C88)</f>
        <v>0</v>
      </c>
      <c r="E88" s="66" t="s">
        <v>891</v>
      </c>
      <c r="F88" s="150">
        <v>0</v>
      </c>
      <c r="G88" s="547">
        <v>0</v>
      </c>
      <c r="H88" s="67">
        <f>SUM(F88:G88)</f>
        <v>0</v>
      </c>
    </row>
    <row r="89" spans="1:8" ht="14.95" thickBot="1" x14ac:dyDescent="0.3">
      <c r="A89" s="64" t="s">
        <v>954</v>
      </c>
      <c r="B89" s="149">
        <v>0</v>
      </c>
      <c r="C89" s="540">
        <v>0</v>
      </c>
      <c r="D89" s="65">
        <f>SUM(B89:C89)</f>
        <v>0</v>
      </c>
      <c r="E89" s="66" t="s">
        <v>954</v>
      </c>
      <c r="F89" s="150">
        <v>0</v>
      </c>
      <c r="G89" s="547">
        <v>0</v>
      </c>
      <c r="H89" s="67">
        <f>SUM(F89:G89)</f>
        <v>0</v>
      </c>
    </row>
    <row r="90" spans="1:8" ht="14.95" thickBot="1" x14ac:dyDescent="0.3">
      <c r="A90" s="64" t="s">
        <v>957</v>
      </c>
      <c r="B90" s="149">
        <v>0</v>
      </c>
      <c r="C90" s="540">
        <v>0</v>
      </c>
      <c r="D90" s="65">
        <f>SUM(B90:C90)</f>
        <v>0</v>
      </c>
      <c r="E90" s="66" t="s">
        <v>957</v>
      </c>
      <c r="F90" s="150">
        <v>0</v>
      </c>
      <c r="G90" s="547">
        <v>0</v>
      </c>
      <c r="H90" s="67">
        <f>SUM(F90:G90)</f>
        <v>0</v>
      </c>
    </row>
    <row r="91" spans="1:8" ht="14.95" thickBot="1" x14ac:dyDescent="0.3">
      <c r="A91" s="64" t="s">
        <v>4</v>
      </c>
      <c r="B91" s="149">
        <v>0</v>
      </c>
      <c r="C91" s="540">
        <v>0</v>
      </c>
      <c r="D91" s="65">
        <f>SUM(B91:C91)</f>
        <v>0</v>
      </c>
      <c r="E91" s="66" t="s">
        <v>4</v>
      </c>
      <c r="F91" s="150">
        <v>0</v>
      </c>
      <c r="G91" s="547">
        <v>0</v>
      </c>
      <c r="H91" s="67">
        <f>SUM(F91:G91)</f>
        <v>0</v>
      </c>
    </row>
    <row r="92" spans="1:8" ht="14.95" thickBot="1" x14ac:dyDescent="0.3">
      <c r="A92" s="64" t="s">
        <v>122</v>
      </c>
      <c r="B92" s="149">
        <v>0</v>
      </c>
      <c r="C92" s="540">
        <v>0</v>
      </c>
      <c r="D92" s="65">
        <f>SUM(B92:C92)</f>
        <v>0</v>
      </c>
      <c r="E92" s="66" t="s">
        <v>122</v>
      </c>
      <c r="F92" s="150">
        <v>0</v>
      </c>
      <c r="G92" s="547">
        <v>0</v>
      </c>
      <c r="H92" s="67">
        <f>SUM(F92:G92)</f>
        <v>0</v>
      </c>
    </row>
    <row r="93" spans="1:8" ht="14.95" thickBot="1" x14ac:dyDescent="0.3">
      <c r="A93" s="64" t="s">
        <v>575</v>
      </c>
      <c r="B93" s="149">
        <v>0</v>
      </c>
      <c r="C93" s="540">
        <v>0</v>
      </c>
      <c r="D93" s="65">
        <f>SUM(B93:C93)</f>
        <v>0</v>
      </c>
      <c r="E93" s="66" t="s">
        <v>575</v>
      </c>
      <c r="F93" s="150">
        <v>0</v>
      </c>
      <c r="G93" s="547">
        <v>0</v>
      </c>
      <c r="H93" s="67">
        <f>SUM(F93:G93)</f>
        <v>0</v>
      </c>
    </row>
    <row r="94" spans="1:8" ht="14.95" thickBot="1" x14ac:dyDescent="0.3">
      <c r="A94" s="64" t="s">
        <v>953</v>
      </c>
      <c r="B94" s="149">
        <v>0</v>
      </c>
      <c r="C94" s="540">
        <v>0</v>
      </c>
      <c r="D94" s="65">
        <f>SUM(B94:C94)</f>
        <v>0</v>
      </c>
      <c r="E94" s="66" t="s">
        <v>953</v>
      </c>
      <c r="F94" s="150">
        <v>0</v>
      </c>
      <c r="G94" s="547">
        <v>0</v>
      </c>
      <c r="H94" s="67">
        <f>SUM(F94:G94)</f>
        <v>0</v>
      </c>
    </row>
    <row r="95" spans="1:8" ht="14.95" thickBot="1" x14ac:dyDescent="0.3">
      <c r="A95" s="64" t="s">
        <v>951</v>
      </c>
      <c r="B95" s="149">
        <v>0</v>
      </c>
      <c r="C95" s="540">
        <v>0</v>
      </c>
      <c r="D95" s="65">
        <f>SUM(B95:C95)</f>
        <v>0</v>
      </c>
      <c r="E95" s="66" t="s">
        <v>951</v>
      </c>
      <c r="F95" s="150">
        <v>0</v>
      </c>
      <c r="G95" s="547">
        <v>0</v>
      </c>
      <c r="H95" s="67">
        <f>SUM(F95:G95)</f>
        <v>0</v>
      </c>
    </row>
    <row r="96" spans="1:8" ht="14.95" thickBot="1" x14ac:dyDescent="0.3">
      <c r="A96" s="64" t="s">
        <v>1039</v>
      </c>
      <c r="B96" s="149">
        <v>0</v>
      </c>
      <c r="C96" s="540">
        <v>0</v>
      </c>
      <c r="D96" s="65">
        <f>SUM(B96:C96)</f>
        <v>0</v>
      </c>
      <c r="E96" s="66" t="s">
        <v>1039</v>
      </c>
      <c r="F96" s="150">
        <v>0</v>
      </c>
      <c r="G96" s="547">
        <v>0</v>
      </c>
      <c r="H96" s="67">
        <f>SUM(F96:G96)</f>
        <v>0</v>
      </c>
    </row>
    <row r="97" spans="1:8" ht="14.95" thickBot="1" x14ac:dyDescent="0.3">
      <c r="A97" s="64" t="s">
        <v>747</v>
      </c>
      <c r="B97" s="149">
        <v>0</v>
      </c>
      <c r="C97" s="540">
        <v>0</v>
      </c>
      <c r="D97" s="65">
        <f>SUM(B97:C97)</f>
        <v>0</v>
      </c>
      <c r="E97" s="66" t="s">
        <v>747</v>
      </c>
      <c r="F97" s="150">
        <v>0</v>
      </c>
      <c r="G97" s="547">
        <v>0</v>
      </c>
      <c r="H97" s="67">
        <f>SUM(F97:G97)</f>
        <v>0</v>
      </c>
    </row>
    <row r="98" spans="1:8" ht="14.95" thickBot="1" x14ac:dyDescent="0.3">
      <c r="A98" s="64" t="s">
        <v>748</v>
      </c>
      <c r="B98" s="149">
        <v>0</v>
      </c>
      <c r="C98" s="540">
        <v>0</v>
      </c>
      <c r="D98" s="65">
        <f>SUM(B98:C98)</f>
        <v>0</v>
      </c>
      <c r="E98" s="66" t="s">
        <v>748</v>
      </c>
      <c r="F98" s="150">
        <v>0</v>
      </c>
      <c r="G98" s="547">
        <v>0</v>
      </c>
      <c r="H98" s="67">
        <f>SUM(F98:G98)</f>
        <v>0</v>
      </c>
    </row>
    <row r="99" spans="1:8" ht="14.95" thickBot="1" x14ac:dyDescent="0.3">
      <c r="A99" s="64" t="s">
        <v>21</v>
      </c>
      <c r="B99" s="149">
        <v>0</v>
      </c>
      <c r="C99" s="540">
        <v>0</v>
      </c>
      <c r="D99" s="65">
        <f>SUM(B99:C99)</f>
        <v>0</v>
      </c>
      <c r="E99" s="66" t="s">
        <v>21</v>
      </c>
      <c r="F99" s="150">
        <v>0</v>
      </c>
      <c r="G99" s="547">
        <v>0</v>
      </c>
      <c r="H99" s="67">
        <f>SUM(F99:G99)</f>
        <v>0</v>
      </c>
    </row>
    <row r="100" spans="1:8" ht="14.95" thickBot="1" x14ac:dyDescent="0.3">
      <c r="A100" s="64" t="s">
        <v>749</v>
      </c>
      <c r="B100" s="149">
        <v>0</v>
      </c>
      <c r="C100" s="540">
        <v>0</v>
      </c>
      <c r="D100" s="65">
        <f>SUM(B100:C100)</f>
        <v>0</v>
      </c>
      <c r="E100" s="66" t="s">
        <v>749</v>
      </c>
      <c r="F100" s="150">
        <v>0</v>
      </c>
      <c r="G100" s="547">
        <v>0</v>
      </c>
      <c r="H100" s="67">
        <f>SUM(F100:G100)</f>
        <v>0</v>
      </c>
    </row>
    <row r="101" spans="1:8" ht="14.95" thickBot="1" x14ac:dyDescent="0.3">
      <c r="A101" s="64" t="s">
        <v>11</v>
      </c>
      <c r="B101" s="149">
        <v>0</v>
      </c>
      <c r="C101" s="540">
        <v>0</v>
      </c>
      <c r="D101" s="65">
        <f>SUM(B101:C101)</f>
        <v>0</v>
      </c>
      <c r="E101" s="66" t="s">
        <v>11</v>
      </c>
      <c r="F101" s="150">
        <v>0</v>
      </c>
      <c r="G101" s="547">
        <v>0</v>
      </c>
      <c r="H101" s="67">
        <f>SUM(F101:G101)</f>
        <v>0</v>
      </c>
    </row>
    <row r="102" spans="1:8" ht="14.95" thickBot="1" x14ac:dyDescent="0.3">
      <c r="A102" s="64" t="s">
        <v>573</v>
      </c>
      <c r="B102" s="149">
        <v>0</v>
      </c>
      <c r="C102" s="540">
        <v>0</v>
      </c>
      <c r="D102" s="65">
        <f>SUM(B102:C102)</f>
        <v>0</v>
      </c>
      <c r="E102" s="66" t="s">
        <v>573</v>
      </c>
      <c r="F102" s="150">
        <v>0</v>
      </c>
      <c r="G102" s="547">
        <v>0</v>
      </c>
      <c r="H102" s="67">
        <f>SUM(F102:G102)</f>
        <v>0</v>
      </c>
    </row>
    <row r="103" spans="1:8" ht="14.95" thickBot="1" x14ac:dyDescent="0.3">
      <c r="A103" s="64" t="s">
        <v>357</v>
      </c>
      <c r="B103" s="149">
        <v>0</v>
      </c>
      <c r="C103" s="540">
        <v>0</v>
      </c>
      <c r="D103" s="65">
        <f>SUM(B103:C103)</f>
        <v>0</v>
      </c>
      <c r="E103" s="66" t="s">
        <v>357</v>
      </c>
      <c r="F103" s="150">
        <v>0</v>
      </c>
      <c r="G103" s="547">
        <v>0</v>
      </c>
      <c r="H103" s="67">
        <f>SUM(F103:G103)</f>
        <v>0</v>
      </c>
    </row>
    <row r="104" spans="1:8" ht="14.95" thickBot="1" x14ac:dyDescent="0.3">
      <c r="A104" s="64" t="s">
        <v>952</v>
      </c>
      <c r="B104" s="149">
        <v>0</v>
      </c>
      <c r="C104" s="540">
        <v>0</v>
      </c>
      <c r="D104" s="65">
        <f>SUM(B104:C104)</f>
        <v>0</v>
      </c>
      <c r="E104" s="66" t="s">
        <v>952</v>
      </c>
      <c r="F104" s="150">
        <v>0</v>
      </c>
      <c r="G104" s="547">
        <v>0</v>
      </c>
      <c r="H104" s="67">
        <f>SUM(F104:G104)</f>
        <v>0</v>
      </c>
    </row>
    <row r="105" spans="1:8" ht="14.95" thickBot="1" x14ac:dyDescent="0.3">
      <c r="A105" s="64" t="s">
        <v>39</v>
      </c>
      <c r="B105" s="149">
        <v>0</v>
      </c>
      <c r="C105" s="540">
        <v>0</v>
      </c>
      <c r="D105" s="65">
        <f>SUM(B105:C105)</f>
        <v>0</v>
      </c>
      <c r="E105" s="66" t="s">
        <v>39</v>
      </c>
      <c r="F105" s="150">
        <v>0</v>
      </c>
      <c r="G105" s="547">
        <v>0</v>
      </c>
      <c r="H105" s="67">
        <f>SUM(F105:G105)</f>
        <v>0</v>
      </c>
    </row>
    <row r="106" spans="1:8" ht="14.3" customHeight="1" thickBot="1" x14ac:dyDescent="0.3">
      <c r="A106" s="64" t="s">
        <v>1434</v>
      </c>
      <c r="B106" s="149">
        <v>0</v>
      </c>
      <c r="C106" s="540">
        <v>0</v>
      </c>
      <c r="D106" s="65">
        <f>SUM(B106:C106)</f>
        <v>0</v>
      </c>
      <c r="E106" s="66" t="s">
        <v>1434</v>
      </c>
      <c r="F106" s="150">
        <v>0</v>
      </c>
      <c r="G106" s="547">
        <v>0</v>
      </c>
      <c r="H106" s="67">
        <f>SUM(F106:G106)</f>
        <v>0</v>
      </c>
    </row>
    <row r="107" spans="1:8" ht="14.95" thickBot="1" x14ac:dyDescent="0.3">
      <c r="A107" s="64" t="s">
        <v>3</v>
      </c>
      <c r="B107" s="149">
        <f>SUM(B57:B106)</f>
        <v>17</v>
      </c>
      <c r="C107" s="540">
        <f>SUM(C57:C106)</f>
        <v>0</v>
      </c>
      <c r="D107" s="65">
        <f t="shared" ref="D57:D107" si="3">SUM(B107:C107)</f>
        <v>17</v>
      </c>
      <c r="E107" s="66" t="s">
        <v>3</v>
      </c>
      <c r="F107" s="150">
        <f>SUM(F57:F106)</f>
        <v>122</v>
      </c>
      <c r="G107" s="547">
        <f>SUM(G57:G106)</f>
        <v>0</v>
      </c>
      <c r="H107" s="67">
        <f t="shared" ref="H61:H107" si="4">SUM(F107:G107)</f>
        <v>122</v>
      </c>
    </row>
    <row r="108" spans="1:8" ht="16.3" x14ac:dyDescent="0.3">
      <c r="A108" s="487" t="s">
        <v>28</v>
      </c>
    </row>
  </sheetData>
  <sortState xmlns:xlrd2="http://schemas.microsoft.com/office/spreadsheetml/2017/richdata2" ref="E57:H106">
    <sortCondition descending="1" ref="H57:H106"/>
  </sortState>
  <mergeCells count="34">
    <mergeCell ref="I27:V27"/>
    <mergeCell ref="Y13:AA14"/>
    <mergeCell ref="AW13:AY14"/>
    <mergeCell ref="AH1:AJ2"/>
    <mergeCell ref="AH13:AJ14"/>
    <mergeCell ref="S13:U14"/>
    <mergeCell ref="P20:R21"/>
    <mergeCell ref="AQ1:AS2"/>
    <mergeCell ref="AT1:AV2"/>
    <mergeCell ref="AQ13:AS14"/>
    <mergeCell ref="AT13:AV14"/>
    <mergeCell ref="AN1:AP2"/>
    <mergeCell ref="AN13:AP14"/>
    <mergeCell ref="T1:V2"/>
    <mergeCell ref="AK1:AM2"/>
    <mergeCell ref="AK13:AM14"/>
    <mergeCell ref="A1:H1"/>
    <mergeCell ref="I1:I2"/>
    <mergeCell ref="J1:L2"/>
    <mergeCell ref="M1:O2"/>
    <mergeCell ref="P1:P2"/>
    <mergeCell ref="AE1:AG2"/>
    <mergeCell ref="AE13:AG14"/>
    <mergeCell ref="Q1:S2"/>
    <mergeCell ref="M13:O14"/>
    <mergeCell ref="I20:I21"/>
    <mergeCell ref="I13:I14"/>
    <mergeCell ref="J13:L14"/>
    <mergeCell ref="J20:L21"/>
    <mergeCell ref="P13:R14"/>
    <mergeCell ref="M20:O21"/>
    <mergeCell ref="Y1:AA2"/>
    <mergeCell ref="AB1:AD2"/>
    <mergeCell ref="AB13:AD14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453"/>
  <sheetViews>
    <sheetView workbookViewId="0">
      <pane ySplit="3" topLeftCell="A4" activePane="bottomLeft" state="frozen"/>
      <selection pane="bottomLeft" activeCell="V25" sqref="V25"/>
    </sheetView>
  </sheetViews>
  <sheetFormatPr defaultRowHeight="14.3" x14ac:dyDescent="0.25"/>
  <cols>
    <col min="1" max="1" width="18.625" customWidth="1"/>
    <col min="2" max="2" width="4.875" bestFit="1" customWidth="1"/>
    <col min="3" max="5" width="5.625" customWidth="1"/>
    <col min="6" max="6" width="18.625" customWidth="1"/>
    <col min="7" max="7" width="4.875" bestFit="1" customWidth="1"/>
    <col min="8" max="10" width="5.625" customWidth="1"/>
    <col min="11" max="11" width="18.125" bestFit="1" customWidth="1"/>
    <col min="12" max="12" width="4.875" bestFit="1" customWidth="1"/>
    <col min="13" max="15" width="5.625" customWidth="1"/>
  </cols>
  <sheetData>
    <row r="1" spans="1:15" x14ac:dyDescent="0.25">
      <c r="A1" s="2" t="s">
        <v>1469</v>
      </c>
      <c r="B1" s="2"/>
      <c r="C1" s="2"/>
      <c r="D1" s="2"/>
    </row>
    <row r="2" spans="1:15" ht="14.95" thickBot="1" x14ac:dyDescent="0.3">
      <c r="A2" s="340" t="s">
        <v>1476</v>
      </c>
    </row>
    <row r="3" spans="1:15" ht="14.95" customHeight="1" thickBot="1" x14ac:dyDescent="0.3">
      <c r="A3" s="111" t="s">
        <v>0</v>
      </c>
      <c r="B3" s="224"/>
      <c r="C3" s="103" t="s">
        <v>36</v>
      </c>
      <c r="D3" s="532" t="s">
        <v>1447</v>
      </c>
      <c r="E3" s="100" t="s">
        <v>1</v>
      </c>
      <c r="F3" s="325" t="s">
        <v>2</v>
      </c>
      <c r="G3" s="98"/>
      <c r="H3" s="105" t="s">
        <v>36</v>
      </c>
      <c r="I3" s="533" t="s">
        <v>1447</v>
      </c>
      <c r="J3" s="106" t="s">
        <v>1</v>
      </c>
      <c r="K3" s="312" t="s">
        <v>295</v>
      </c>
      <c r="L3" s="226"/>
      <c r="M3" s="267" t="s">
        <v>180</v>
      </c>
      <c r="N3" s="267" t="s">
        <v>181</v>
      </c>
      <c r="O3" s="267" t="s">
        <v>13</v>
      </c>
    </row>
    <row r="4" spans="1:15" ht="14.95" customHeight="1" thickBot="1" x14ac:dyDescent="0.3">
      <c r="A4" s="26" t="s">
        <v>665</v>
      </c>
      <c r="B4" s="25" t="s">
        <v>182</v>
      </c>
      <c r="C4" s="316">
        <f>biellebiarreyfra6ntries</f>
        <v>5</v>
      </c>
      <c r="D4" s="534">
        <f>biellebiarreyfrainttries</f>
        <v>0</v>
      </c>
      <c r="E4" s="101">
        <f>SUM(C4:D4)</f>
        <v>5</v>
      </c>
      <c r="F4" s="113" t="s">
        <v>292</v>
      </c>
      <c r="G4" s="225" t="s">
        <v>182</v>
      </c>
      <c r="H4" s="318">
        <f>Ramosfra6npts</f>
        <v>58</v>
      </c>
      <c r="I4" s="536">
        <f>ramsfrainytpts</f>
        <v>0</v>
      </c>
      <c r="J4" s="102">
        <f>SUM(H4:I4)</f>
        <v>58</v>
      </c>
      <c r="K4" s="131" t="s">
        <v>184</v>
      </c>
      <c r="L4" s="25" t="s">
        <v>168</v>
      </c>
      <c r="M4" s="27">
        <f>Fordengyrgls</f>
        <v>12</v>
      </c>
      <c r="N4" s="27">
        <f>fordengyratt</f>
        <v>14</v>
      </c>
      <c r="O4" s="129">
        <f>SUM(M4/N4)*100</f>
        <v>85.714285714285708</v>
      </c>
    </row>
    <row r="5" spans="1:15" ht="14.95" customHeight="1" thickBot="1" x14ac:dyDescent="0.3">
      <c r="A5" s="26" t="s">
        <v>1403</v>
      </c>
      <c r="B5" s="25" t="s">
        <v>168</v>
      </c>
      <c r="C5" s="316">
        <f>Arundelleng6ntriescorrect</f>
        <v>4</v>
      </c>
      <c r="D5" s="534">
        <f>Arundellenginttriescorrect</f>
        <v>0</v>
      </c>
      <c r="E5" s="101">
        <f>SUM(C5:D5)</f>
        <v>4</v>
      </c>
      <c r="F5" s="113" t="s">
        <v>240</v>
      </c>
      <c r="G5" s="225" t="s">
        <v>169</v>
      </c>
      <c r="H5" s="318">
        <f>Russellsco6npts</f>
        <v>42</v>
      </c>
      <c r="I5" s="536">
        <f>russellscointpts</f>
        <v>0</v>
      </c>
      <c r="J5" s="102">
        <f>SUM(H5:I5)</f>
        <v>42</v>
      </c>
      <c r="K5" s="26" t="s">
        <v>361</v>
      </c>
      <c r="L5" s="25" t="s">
        <v>172</v>
      </c>
      <c r="M5" s="27">
        <f>Garbisiitayeargls</f>
        <v>12</v>
      </c>
      <c r="N5" s="27">
        <f>garbisiitayearatt</f>
        <v>14</v>
      </c>
      <c r="O5" s="129">
        <f>SUM(M5/N5)*100</f>
        <v>85.714285714285708</v>
      </c>
    </row>
    <row r="6" spans="1:15" ht="14.95" customHeight="1" thickBot="1" x14ac:dyDescent="0.3">
      <c r="A6" s="26" t="s">
        <v>976</v>
      </c>
      <c r="B6" s="25" t="s">
        <v>182</v>
      </c>
      <c r="C6" s="316">
        <f>Attissogbefra6ntries</f>
        <v>4</v>
      </c>
      <c r="D6" s="534">
        <f>attissoghefrainttries</f>
        <v>0</v>
      </c>
      <c r="E6" s="101">
        <f>SUM(C6:D6)</f>
        <v>4</v>
      </c>
      <c r="F6" s="113" t="s">
        <v>559</v>
      </c>
      <c r="G6" s="225" t="s">
        <v>167</v>
      </c>
      <c r="H6" s="318">
        <f>crowleyire6npts</f>
        <v>34</v>
      </c>
      <c r="I6" s="536">
        <f>crowleyireintpts</f>
        <v>0</v>
      </c>
      <c r="J6" s="102">
        <f>SUM(H6:I6)</f>
        <v>34</v>
      </c>
      <c r="K6" s="26" t="s">
        <v>292</v>
      </c>
      <c r="L6" s="25" t="s">
        <v>182</v>
      </c>
      <c r="M6" s="27">
        <f>Ramosfrayrgls</f>
        <v>21</v>
      </c>
      <c r="N6" s="27">
        <f>ramosfrayratt</f>
        <v>25</v>
      </c>
      <c r="O6" s="129">
        <f>SUM(M6/N6)*100</f>
        <v>84</v>
      </c>
    </row>
    <row r="7" spans="1:15" ht="14.95" customHeight="1" thickBot="1" x14ac:dyDescent="0.3">
      <c r="A7" s="26" t="s">
        <v>1466</v>
      </c>
      <c r="B7" s="25" t="s">
        <v>173</v>
      </c>
      <c r="C7" s="316">
        <f>Carrewal6ntries</f>
        <v>3</v>
      </c>
      <c r="D7" s="534">
        <f>Carrewalintpys</f>
        <v>0</v>
      </c>
      <c r="E7" s="101">
        <f>SUM(C7:D7)</f>
        <v>3</v>
      </c>
      <c r="F7" s="113" t="s">
        <v>361</v>
      </c>
      <c r="G7" s="225" t="s">
        <v>172</v>
      </c>
      <c r="H7" s="318">
        <f>Garbisiita6npts</f>
        <v>32</v>
      </c>
      <c r="I7" s="536">
        <f>garbisipitaintptscorrect</f>
        <v>0</v>
      </c>
      <c r="J7" s="102">
        <f>SUM(H7:I7)</f>
        <v>32</v>
      </c>
      <c r="K7" s="26" t="s">
        <v>240</v>
      </c>
      <c r="L7" s="25" t="s">
        <v>169</v>
      </c>
      <c r="M7" s="27">
        <f>Russellscoyeargls</f>
        <v>17</v>
      </c>
      <c r="N7" s="27">
        <f>russellscoyearattcorrect</f>
        <v>21</v>
      </c>
      <c r="O7" s="129">
        <f>SUM(M7/N7)*100</f>
        <v>80.952380952380949</v>
      </c>
    </row>
    <row r="8" spans="1:15" ht="14.95" customHeight="1" thickBot="1" x14ac:dyDescent="0.3">
      <c r="A8" s="26" t="s">
        <v>297</v>
      </c>
      <c r="B8" s="25" t="s">
        <v>169</v>
      </c>
      <c r="C8" s="316">
        <f>Grahamsco6ntries</f>
        <v>3</v>
      </c>
      <c r="D8" s="534">
        <f>grahamscointtries</f>
        <v>0</v>
      </c>
      <c r="E8" s="101">
        <f>SUM(C8:D8)</f>
        <v>3</v>
      </c>
      <c r="F8" s="113" t="s">
        <v>184</v>
      </c>
      <c r="G8" s="225" t="s">
        <v>168</v>
      </c>
      <c r="H8" s="318">
        <f>fordeng6npts</f>
        <v>27</v>
      </c>
      <c r="I8" s="536">
        <f>FordENGINTPTSCORRECT</f>
        <v>0</v>
      </c>
      <c r="J8" s="102">
        <f>SUM(H8:I8)</f>
        <v>27</v>
      </c>
      <c r="K8" s="131" t="s">
        <v>559</v>
      </c>
      <c r="L8" s="25" t="s">
        <v>167</v>
      </c>
      <c r="M8" s="27">
        <f>Crowleyireyrgls</f>
        <v>12</v>
      </c>
      <c r="N8" s="27">
        <f>crowleyireyratt</f>
        <v>16</v>
      </c>
      <c r="O8" s="129">
        <f>SUM(M8/N8)*100</f>
        <v>75</v>
      </c>
    </row>
    <row r="9" spans="1:15" ht="14.95" customHeight="1" thickBot="1" x14ac:dyDescent="0.3">
      <c r="A9" s="26" t="s">
        <v>971</v>
      </c>
      <c r="B9" s="25" t="s">
        <v>167</v>
      </c>
      <c r="C9" s="316">
        <f>Osborneire6ntries</f>
        <v>3</v>
      </c>
      <c r="D9" s="534">
        <f>osborneireinttries</f>
        <v>0</v>
      </c>
      <c r="E9" s="101">
        <f>SUM(C9:D9)</f>
        <v>3</v>
      </c>
      <c r="F9" s="113" t="s">
        <v>665</v>
      </c>
      <c r="G9" s="225" t="s">
        <v>182</v>
      </c>
      <c r="H9" s="318">
        <f>biellebiarreyfra6npts</f>
        <v>25</v>
      </c>
      <c r="I9" s="536">
        <f>biellebiarreyfraintpts</f>
        <v>0</v>
      </c>
      <c r="J9" s="102">
        <f>SUM(H9:I9)</f>
        <v>25</v>
      </c>
      <c r="K9" s="131" t="s">
        <v>806</v>
      </c>
      <c r="L9" s="25" t="s">
        <v>173</v>
      </c>
      <c r="M9" s="27">
        <f>Costelowwalyrgls</f>
        <v>4</v>
      </c>
      <c r="N9" s="268">
        <f>Costelowwalyratt</f>
        <v>4</v>
      </c>
      <c r="O9" s="129">
        <f>SUM(M9/N9)*100</f>
        <v>100</v>
      </c>
    </row>
    <row r="10" spans="1:15" ht="14.95" customHeight="1" thickBot="1" x14ac:dyDescent="0.3">
      <c r="A10" s="26" t="s">
        <v>292</v>
      </c>
      <c r="B10" s="25" t="s">
        <v>182</v>
      </c>
      <c r="C10" s="316">
        <f>Ramosfra6ntries</f>
        <v>3</v>
      </c>
      <c r="D10" s="534">
        <f>Ramosfrainttries</f>
        <v>0</v>
      </c>
      <c r="E10" s="101">
        <f>SUM(C10:D10)</f>
        <v>3</v>
      </c>
      <c r="F10" s="113" t="s">
        <v>1403</v>
      </c>
      <c r="G10" s="225" t="s">
        <v>168</v>
      </c>
      <c r="H10" s="318">
        <f>Arundelleng6nptscorrect</f>
        <v>20</v>
      </c>
      <c r="I10" s="536">
        <f>Arundellengintptscorrect</f>
        <v>0</v>
      </c>
      <c r="J10" s="102">
        <f>SUM(H10:I10)</f>
        <v>20</v>
      </c>
      <c r="K10" s="26" t="s">
        <v>1174</v>
      </c>
      <c r="L10" s="25" t="s">
        <v>173</v>
      </c>
      <c r="M10" s="27">
        <f>Edwardswalyrgls</f>
        <v>5</v>
      </c>
      <c r="N10" s="268">
        <f>edwardswalyratt</f>
        <v>5</v>
      </c>
      <c r="O10" s="129">
        <f>SUM(M10/N10)*100</f>
        <v>100</v>
      </c>
    </row>
    <row r="11" spans="1:15" ht="14.95" customHeight="1" thickBot="1" x14ac:dyDescent="0.3">
      <c r="A11" s="26" t="s">
        <v>438</v>
      </c>
      <c r="B11" s="25" t="s">
        <v>169</v>
      </c>
      <c r="C11" s="316">
        <f>Steynsco6ntries</f>
        <v>3</v>
      </c>
      <c r="D11" s="534">
        <f>steynscointtries</f>
        <v>0</v>
      </c>
      <c r="E11" s="101">
        <f>SUM(C11:D11)</f>
        <v>3</v>
      </c>
      <c r="F11" s="113" t="s">
        <v>976</v>
      </c>
      <c r="G11" s="225" t="s">
        <v>182</v>
      </c>
      <c r="H11" s="318">
        <f>Attissogbefra6npts</f>
        <v>20</v>
      </c>
      <c r="I11" s="536">
        <f>attissoghefraintpts</f>
        <v>0</v>
      </c>
      <c r="J11" s="102">
        <f>SUM(H11:I11)</f>
        <v>20</v>
      </c>
      <c r="K11" s="26" t="s">
        <v>910</v>
      </c>
      <c r="L11" s="25" t="s">
        <v>168</v>
      </c>
      <c r="M11" s="27">
        <f>Smith_Fengyrgls</f>
        <v>3</v>
      </c>
      <c r="N11" s="268">
        <f>smithfengyratt</f>
        <v>4</v>
      </c>
      <c r="O11" s="129">
        <f>SUM(M11/N11)*100</f>
        <v>75</v>
      </c>
    </row>
    <row r="12" spans="1:15" ht="14.95" customHeight="1" thickBot="1" x14ac:dyDescent="0.3">
      <c r="A12" s="26" t="s">
        <v>225</v>
      </c>
      <c r="B12" s="25" t="s">
        <v>173</v>
      </c>
      <c r="C12" s="316">
        <f>AdamsWAL6NTRIES</f>
        <v>2</v>
      </c>
      <c r="D12" s="534">
        <f>ADAMSWALINTTRIES</f>
        <v>0</v>
      </c>
      <c r="E12" s="101">
        <f>SUM(C12:D12)</f>
        <v>2</v>
      </c>
      <c r="F12" s="113" t="s">
        <v>1466</v>
      </c>
      <c r="G12" s="225" t="s">
        <v>173</v>
      </c>
      <c r="H12" s="318">
        <f>Carrewal6npts</f>
        <v>15</v>
      </c>
      <c r="I12" s="536">
        <f>Carrewalintpys</f>
        <v>0</v>
      </c>
      <c r="J12" s="102">
        <f>SUM(H12:I12)</f>
        <v>15</v>
      </c>
      <c r="K12" s="26" t="s">
        <v>1224</v>
      </c>
      <c r="L12" s="25" t="s">
        <v>173</v>
      </c>
      <c r="M12" s="27">
        <f>evansjwalyrgls</f>
        <v>1</v>
      </c>
      <c r="N12" s="268">
        <f>evansjwalyratt</f>
        <v>2</v>
      </c>
      <c r="O12" s="129">
        <f>SUM(M12/N12)*100</f>
        <v>50</v>
      </c>
    </row>
    <row r="13" spans="1:15" ht="14.95" customHeight="1" thickBot="1" x14ac:dyDescent="0.3">
      <c r="A13" s="26" t="s">
        <v>1464</v>
      </c>
      <c r="B13" s="25" t="s">
        <v>167</v>
      </c>
      <c r="C13" s="316">
        <f>Baloucouneire6ntries</f>
        <v>2</v>
      </c>
      <c r="D13" s="534">
        <f>Baloucouneireinttriescorrect</f>
        <v>0</v>
      </c>
      <c r="E13" s="101">
        <f>SUM(C13:D13)</f>
        <v>2</v>
      </c>
      <c r="F13" s="113" t="s">
        <v>297</v>
      </c>
      <c r="G13" s="225" t="s">
        <v>169</v>
      </c>
      <c r="H13" s="318">
        <f>Grahamsco6npts</f>
        <v>15</v>
      </c>
      <c r="I13" s="536">
        <f>grahamscointpts</f>
        <v>0</v>
      </c>
      <c r="J13" s="102">
        <f>SUM(H13:I13)</f>
        <v>15</v>
      </c>
      <c r="K13" s="26" t="s">
        <v>1137</v>
      </c>
      <c r="L13" s="25" t="s">
        <v>167</v>
      </c>
      <c r="M13" s="27">
        <f>Prendergastireyrgls</f>
        <v>2</v>
      </c>
      <c r="N13" s="268">
        <f>prendergastireyratt</f>
        <v>4</v>
      </c>
      <c r="O13" s="129">
        <f>SUM(M13/N13)*100</f>
        <v>50</v>
      </c>
    </row>
    <row r="14" spans="1:15" ht="14.95" customHeight="1" thickBot="1" x14ac:dyDescent="0.3">
      <c r="A14" s="26" t="s">
        <v>271</v>
      </c>
      <c r="B14" s="25" t="s">
        <v>167</v>
      </c>
      <c r="C14" s="316">
        <f>Conanire6ntries</f>
        <v>2</v>
      </c>
      <c r="D14" s="534">
        <f>conanireinttries</f>
        <v>0</v>
      </c>
      <c r="E14" s="101">
        <f>SUM(C14:D14)</f>
        <v>2</v>
      </c>
      <c r="F14" s="113" t="s">
        <v>971</v>
      </c>
      <c r="G14" s="225" t="s">
        <v>167</v>
      </c>
      <c r="H14" s="318">
        <f>Osborneire6npts</f>
        <v>15</v>
      </c>
      <c r="I14" s="536">
        <f>osborneireintpts</f>
        <v>0</v>
      </c>
      <c r="J14" s="102">
        <f>SUM(H14:I14)</f>
        <v>15</v>
      </c>
      <c r="K14" s="26" t="s">
        <v>973</v>
      </c>
      <c r="L14" s="25" t="s">
        <v>171</v>
      </c>
      <c r="M14" s="27" t="str">
        <f>Albornozargyrgls</f>
        <v>-</v>
      </c>
      <c r="N14" s="268" t="str">
        <f>Albornozargyratt</f>
        <v>-</v>
      </c>
      <c r="O14" s="129"/>
    </row>
    <row r="15" spans="1:15" ht="14.95" customHeight="1" thickBot="1" x14ac:dyDescent="0.3">
      <c r="A15" s="26" t="s">
        <v>660</v>
      </c>
      <c r="B15" s="25" t="s">
        <v>168</v>
      </c>
      <c r="C15" s="316">
        <f>earleng6ntries</f>
        <v>2</v>
      </c>
      <c r="D15" s="534">
        <f>Earlenginttries</f>
        <v>0</v>
      </c>
      <c r="E15" s="101">
        <f>SUM(C15:D15)</f>
        <v>2</v>
      </c>
      <c r="F15" s="113" t="s">
        <v>438</v>
      </c>
      <c r="G15" s="225" t="s">
        <v>169</v>
      </c>
      <c r="H15" s="318">
        <f>Steynsco6npts</f>
        <v>15</v>
      </c>
      <c r="I15" s="536">
        <f>steynscointpts</f>
        <v>0</v>
      </c>
      <c r="J15" s="102">
        <f>SUM(H15:I15)</f>
        <v>15</v>
      </c>
      <c r="K15" s="26" t="s">
        <v>213</v>
      </c>
      <c r="L15" s="25" t="s">
        <v>172</v>
      </c>
      <c r="M15" s="27" t="str">
        <f>Allanitayrgls</f>
        <v>-</v>
      </c>
      <c r="N15" s="268" t="str">
        <f>allanitsyratt</f>
        <v>-</v>
      </c>
      <c r="O15" s="129"/>
    </row>
    <row r="16" spans="1:15" ht="14.95" customHeight="1" thickBot="1" x14ac:dyDescent="0.3">
      <c r="A16" s="26" t="s">
        <v>922</v>
      </c>
      <c r="B16" s="25" t="s">
        <v>168</v>
      </c>
      <c r="C16" s="316">
        <f>freemaneng6ntries</f>
        <v>2</v>
      </c>
      <c r="D16" s="534">
        <f>Freemanenginttries</f>
        <v>0</v>
      </c>
      <c r="E16" s="101">
        <f>SUM(C16:D16)</f>
        <v>2</v>
      </c>
      <c r="F16" s="113" t="s">
        <v>1174</v>
      </c>
      <c r="G16" s="225" t="s">
        <v>173</v>
      </c>
      <c r="H16" s="318">
        <f>Edwardswal6npts</f>
        <v>11</v>
      </c>
      <c r="I16" s="536">
        <f>Edwardswalintpts</f>
        <v>0</v>
      </c>
      <c r="J16" s="102">
        <f>SUM(H16:I16)</f>
        <v>11</v>
      </c>
      <c r="K16" s="26" t="s">
        <v>440</v>
      </c>
      <c r="L16" s="25" t="s">
        <v>173</v>
      </c>
      <c r="M16" s="27" t="str">
        <f>Anscombewalyrglscorrect</f>
        <v>-</v>
      </c>
      <c r="N16" s="268" t="str">
        <f>Anscombewalattcorrect</f>
        <v>-</v>
      </c>
      <c r="O16" s="129"/>
    </row>
    <row r="17" spans="1:15" ht="14.95" customHeight="1" thickBot="1" x14ac:dyDescent="0.3">
      <c r="A17" s="26" t="s">
        <v>1004</v>
      </c>
      <c r="B17" s="25" t="s">
        <v>182</v>
      </c>
      <c r="C17" s="316">
        <f>Gailletonfra6ntries</f>
        <v>2</v>
      </c>
      <c r="D17" s="534">
        <f>gailletonfrainttries</f>
        <v>0</v>
      </c>
      <c r="E17" s="101">
        <f>SUM(C17:D17)</f>
        <v>2</v>
      </c>
      <c r="F17" s="113" t="s">
        <v>225</v>
      </c>
      <c r="G17" s="225" t="s">
        <v>173</v>
      </c>
      <c r="H17" s="318">
        <f>AdamsWAL6NPTS</f>
        <v>10</v>
      </c>
      <c r="I17" s="536">
        <f>ADAMSWALINTPTS</f>
        <v>0</v>
      </c>
      <c r="J17" s="102">
        <f>SUM(H17:I17)</f>
        <v>10</v>
      </c>
      <c r="K17" s="26" t="s">
        <v>1317</v>
      </c>
      <c r="L17" s="25" t="s">
        <v>168</v>
      </c>
      <c r="M17" s="27" t="str">
        <f>Atkinson_Cengyrgls</f>
        <v>-</v>
      </c>
      <c r="N17" s="268" t="str">
        <f>Atkinson_Cengyratt</f>
        <v>-</v>
      </c>
      <c r="O17" s="129"/>
    </row>
    <row r="18" spans="1:15" ht="14.95" customHeight="1" thickBot="1" x14ac:dyDescent="0.3">
      <c r="A18" s="26" t="s">
        <v>348</v>
      </c>
      <c r="B18" s="25" t="s">
        <v>182</v>
      </c>
      <c r="C18" s="316">
        <f>Jalibertfra6ntries</f>
        <v>2</v>
      </c>
      <c r="D18" s="534">
        <f>Jalibertfrainttries</f>
        <v>0</v>
      </c>
      <c r="E18" s="101">
        <f>SUM(C18:D18)</f>
        <v>2</v>
      </c>
      <c r="F18" s="113" t="s">
        <v>1464</v>
      </c>
      <c r="G18" s="225" t="s">
        <v>167</v>
      </c>
      <c r="H18" s="318">
        <f>Baloucouneire6npts</f>
        <v>10</v>
      </c>
      <c r="I18" s="536">
        <f>Baloucouneireintptscorrect</f>
        <v>0</v>
      </c>
      <c r="J18" s="102">
        <f>SUM(H18:I18)</f>
        <v>10</v>
      </c>
      <c r="K18" s="26" t="s">
        <v>117</v>
      </c>
      <c r="L18" s="25" t="s">
        <v>166</v>
      </c>
      <c r="M18" s="27" t="str">
        <f>Barrett_Bnzlyrgls</f>
        <v>-</v>
      </c>
      <c r="N18" s="268" t="str">
        <f>barrettbnzlyratt</f>
        <v>-</v>
      </c>
      <c r="O18" s="129"/>
    </row>
    <row r="19" spans="1:15" ht="14.95" customHeight="1" thickBot="1" x14ac:dyDescent="0.3">
      <c r="A19" s="26" t="s">
        <v>183</v>
      </c>
      <c r="B19" s="25" t="s">
        <v>169</v>
      </c>
      <c r="C19" s="316">
        <f>JonesSCO6NTRIES</f>
        <v>2</v>
      </c>
      <c r="D19" s="534">
        <f>jonesscointtries</f>
        <v>0</v>
      </c>
      <c r="E19" s="101">
        <f>SUM(C19:D19)</f>
        <v>2</v>
      </c>
      <c r="F19" s="113" t="s">
        <v>271</v>
      </c>
      <c r="G19" s="225" t="s">
        <v>167</v>
      </c>
      <c r="H19" s="318">
        <f>Conanire6npts</f>
        <v>10</v>
      </c>
      <c r="I19" s="536">
        <f>conanireintpts</f>
        <v>0</v>
      </c>
      <c r="J19" s="102">
        <f>SUM(H19:I19)</f>
        <v>10</v>
      </c>
      <c r="K19" s="26" t="s">
        <v>149</v>
      </c>
      <c r="L19" s="25" t="s">
        <v>166</v>
      </c>
      <c r="M19" s="27" t="str">
        <f>Barrett_Jnzlyrgls</f>
        <v>-</v>
      </c>
      <c r="N19" s="268" t="str">
        <f>barretjnzlyratt</f>
        <v>-</v>
      </c>
      <c r="O19" s="129"/>
    </row>
    <row r="20" spans="1:15" ht="14.95" customHeight="1" thickBot="1" x14ac:dyDescent="0.3">
      <c r="A20" s="26" t="s">
        <v>471</v>
      </c>
      <c r="B20" s="25" t="s">
        <v>172</v>
      </c>
      <c r="C20" s="316">
        <f>Menoncelloita6ntries</f>
        <v>2</v>
      </c>
      <c r="D20" s="534">
        <f>memoncelloitainttries</f>
        <v>0</v>
      </c>
      <c r="E20" s="101">
        <f>SUM(C20:D20)</f>
        <v>2</v>
      </c>
      <c r="F20" s="113" t="s">
        <v>806</v>
      </c>
      <c r="G20" s="225" t="s">
        <v>173</v>
      </c>
      <c r="H20" s="318">
        <f>costelowwal6npts</f>
        <v>10</v>
      </c>
      <c r="I20" s="536">
        <f>costellowwalintpts</f>
        <v>0</v>
      </c>
      <c r="J20" s="102">
        <f>SUM(H20:I20)</f>
        <v>10</v>
      </c>
      <c r="K20" s="131" t="s">
        <v>1256</v>
      </c>
      <c r="L20" s="25" t="s">
        <v>169</v>
      </c>
      <c r="M20" s="27" t="str">
        <f>Burkescoyrgls</f>
        <v>-</v>
      </c>
      <c r="N20" s="268" t="str">
        <f>Burkescoyratt</f>
        <v>-</v>
      </c>
      <c r="O20" s="129"/>
    </row>
    <row r="21" spans="1:15" ht="14.95" customHeight="1" thickBot="1" x14ac:dyDescent="0.3">
      <c r="A21" s="26" t="s">
        <v>275</v>
      </c>
      <c r="B21" s="25" t="s">
        <v>182</v>
      </c>
      <c r="C21" s="316">
        <f>Ollivonfra6Ntries</f>
        <v>2</v>
      </c>
      <c r="D21" s="534">
        <f>ollivonfrainttries</f>
        <v>0</v>
      </c>
      <c r="E21" s="101">
        <f>SUM(C21:D21)</f>
        <v>2</v>
      </c>
      <c r="F21" s="113" t="s">
        <v>660</v>
      </c>
      <c r="G21" s="225" t="s">
        <v>168</v>
      </c>
      <c r="H21" s="318">
        <f>earleng6npts</f>
        <v>10</v>
      </c>
      <c r="I21" s="536">
        <f>Earlengintpts</f>
        <v>0</v>
      </c>
      <c r="J21" s="102">
        <f>SUM(H21:I21)</f>
        <v>10</v>
      </c>
      <c r="K21" s="26" t="s">
        <v>513</v>
      </c>
      <c r="L21" s="25" t="s">
        <v>171</v>
      </c>
      <c r="M21" s="27" t="str">
        <f>Carreras_Sargyrgls</f>
        <v>-</v>
      </c>
      <c r="N21" s="268" t="str">
        <f>carrerassargyratt</f>
        <v>-</v>
      </c>
      <c r="O21" s="129"/>
    </row>
    <row r="22" spans="1:15" ht="14.95" customHeight="1" thickBot="1" x14ac:dyDescent="0.3">
      <c r="A22" s="26" t="s">
        <v>1146</v>
      </c>
      <c r="B22" s="25" t="s">
        <v>168</v>
      </c>
      <c r="C22" s="316">
        <f>roebuckeng6ntries</f>
        <v>2</v>
      </c>
      <c r="D22" s="534">
        <f>Roebuckenginttries</f>
        <v>0</v>
      </c>
      <c r="E22" s="101">
        <f>SUM(C22:D22)</f>
        <v>2</v>
      </c>
      <c r="F22" s="113" t="s">
        <v>922</v>
      </c>
      <c r="G22" s="225" t="s">
        <v>168</v>
      </c>
      <c r="H22" s="318">
        <f>freemaneng6npts</f>
        <v>10</v>
      </c>
      <c r="I22" s="536">
        <f>Freemanengintpts</f>
        <v>0</v>
      </c>
      <c r="J22" s="102">
        <f>SUM(H22:I22)</f>
        <v>10</v>
      </c>
      <c r="K22" s="26" t="s">
        <v>1213</v>
      </c>
      <c r="L22" s="25" t="s">
        <v>172</v>
      </c>
      <c r="M22" s="27" t="str">
        <f>Da_Reitayrgls</f>
        <v>-</v>
      </c>
      <c r="N22" s="268" t="str">
        <f>dareitayratt</f>
        <v>-</v>
      </c>
      <c r="O22" s="129"/>
    </row>
    <row r="23" spans="1:15" ht="14.95" customHeight="1" thickBot="1" x14ac:dyDescent="0.3">
      <c r="A23" s="26" t="s">
        <v>469</v>
      </c>
      <c r="B23" s="25" t="s">
        <v>169</v>
      </c>
      <c r="C23" s="316">
        <f>Whitesco6ntries</f>
        <v>2</v>
      </c>
      <c r="D23" s="534">
        <f>whitescointtries</f>
        <v>0</v>
      </c>
      <c r="E23" s="101">
        <f>SUM(C23:D23)</f>
        <v>2</v>
      </c>
      <c r="F23" s="113" t="s">
        <v>1004</v>
      </c>
      <c r="G23" s="225" t="s">
        <v>182</v>
      </c>
      <c r="H23" s="318">
        <f>Gailletonfra6npts</f>
        <v>10</v>
      </c>
      <c r="I23" s="536">
        <f>gailletonfraintpts</f>
        <v>0</v>
      </c>
      <c r="J23" s="102">
        <f>SUM(H23:I23)</f>
        <v>10</v>
      </c>
      <c r="K23" s="26" t="s">
        <v>562</v>
      </c>
      <c r="L23" s="25" t="s">
        <v>165</v>
      </c>
      <c r="M23" s="27" t="str">
        <f>Donaldsonausyrgls</f>
        <v>-</v>
      </c>
      <c r="N23" s="268" t="str">
        <f>donaldsonausyratt</f>
        <v>-</v>
      </c>
      <c r="O23" s="129"/>
    </row>
    <row r="24" spans="1:15" ht="14.95" customHeight="1" thickBot="1" x14ac:dyDescent="0.3">
      <c r="A24" s="26" t="s">
        <v>392</v>
      </c>
      <c r="B24" s="25" t="s">
        <v>173</v>
      </c>
      <c r="C24" s="316">
        <f>Biggarwal6ntries</f>
        <v>1</v>
      </c>
      <c r="D24" s="534">
        <f>bothamwalinttries</f>
        <v>0</v>
      </c>
      <c r="E24" s="101">
        <f>SUM(C24:D24)</f>
        <v>1</v>
      </c>
      <c r="F24" s="113" t="s">
        <v>348</v>
      </c>
      <c r="G24" s="225" t="s">
        <v>182</v>
      </c>
      <c r="H24" s="318">
        <f>Jalibertfra6npts</f>
        <v>10</v>
      </c>
      <c r="I24" s="536">
        <f>JALIBERTFRAINTPTS</f>
        <v>0</v>
      </c>
      <c r="J24" s="102">
        <f>SUM(H24:I24)</f>
        <v>10</v>
      </c>
      <c r="K24" s="26" t="s">
        <v>1364</v>
      </c>
      <c r="L24" s="25" t="s">
        <v>165</v>
      </c>
      <c r="M24" s="27" t="str">
        <f>Foleyausyrgls</f>
        <v>-</v>
      </c>
      <c r="N24" s="268" t="str">
        <f>foleyausyratt</f>
        <v>-</v>
      </c>
      <c r="O24" s="129"/>
    </row>
    <row r="25" spans="1:15" ht="14.95" customHeight="1" thickBot="1" x14ac:dyDescent="0.3">
      <c r="A25" s="26" t="s">
        <v>1468</v>
      </c>
      <c r="B25" s="25" t="s">
        <v>182</v>
      </c>
      <c r="C25" s="316">
        <f>Brau_Boiriefra6ntries</f>
        <v>1</v>
      </c>
      <c r="D25" s="534">
        <f>Brau_Boiriefrainttries</f>
        <v>0</v>
      </c>
      <c r="E25" s="101">
        <f>SUM(C25:D25)</f>
        <v>1</v>
      </c>
      <c r="F25" s="113" t="s">
        <v>183</v>
      </c>
      <c r="G25" s="225" t="s">
        <v>169</v>
      </c>
      <c r="H25" s="318">
        <f>JonesSCO6NPTS</f>
        <v>10</v>
      </c>
      <c r="I25" s="536">
        <f>jonesscointpts</f>
        <v>0</v>
      </c>
      <c r="J25" s="102">
        <f>SUM(H25:I25)</f>
        <v>10</v>
      </c>
      <c r="K25" s="26" t="s">
        <v>1107</v>
      </c>
      <c r="L25" s="25" t="s">
        <v>170</v>
      </c>
      <c r="M25" s="27" t="str">
        <f>Feinberg_M_zulursayrgls</f>
        <v>-</v>
      </c>
      <c r="N25" s="268" t="str">
        <f>Feinberg_M_zulursayratt</f>
        <v>-</v>
      </c>
      <c r="O25" s="129"/>
    </row>
    <row r="26" spans="1:15" ht="14.95" customHeight="1" thickBot="1" x14ac:dyDescent="0.3">
      <c r="A26" s="26" t="s">
        <v>487</v>
      </c>
      <c r="B26" s="25" t="s">
        <v>172</v>
      </c>
      <c r="C26" s="316">
        <f>Capuozzoita6ntries</f>
        <v>1</v>
      </c>
      <c r="D26" s="534">
        <f>capuozzoitainttries</f>
        <v>0</v>
      </c>
      <c r="E26" s="101">
        <f>SUM(C26:D26)</f>
        <v>1</v>
      </c>
      <c r="F26" s="113" t="s">
        <v>471</v>
      </c>
      <c r="G26" s="225" t="s">
        <v>172</v>
      </c>
      <c r="H26" s="318">
        <f>Menoncelloita6npts</f>
        <v>10</v>
      </c>
      <c r="I26" s="536">
        <f>menoncelloitaintpts</f>
        <v>0</v>
      </c>
      <c r="J26" s="102">
        <f>SUM(H26:I26)</f>
        <v>10</v>
      </c>
      <c r="K26" s="26" t="s">
        <v>248</v>
      </c>
      <c r="L26" s="25" t="s">
        <v>169</v>
      </c>
      <c r="M26" s="27" t="str">
        <f>Hastingsscoyrgls</f>
        <v>-</v>
      </c>
      <c r="N26" s="268" t="str">
        <f>hastingsscoyratt</f>
        <v>-</v>
      </c>
      <c r="O26" s="129"/>
    </row>
    <row r="27" spans="1:15" ht="14.95" customHeight="1" thickBot="1" x14ac:dyDescent="0.3">
      <c r="A27" s="26" t="s">
        <v>559</v>
      </c>
      <c r="B27" s="25" t="s">
        <v>167</v>
      </c>
      <c r="C27" s="316">
        <f>crowleyire6ntries</f>
        <v>1</v>
      </c>
      <c r="D27" s="534">
        <f>crowleyireinttries</f>
        <v>0</v>
      </c>
      <c r="E27" s="101">
        <f>SUM(C27:D27)</f>
        <v>1</v>
      </c>
      <c r="F27" s="113" t="s">
        <v>275</v>
      </c>
      <c r="G27" s="225" t="s">
        <v>182</v>
      </c>
      <c r="H27" s="318">
        <f>Ollivonfra6npts</f>
        <v>10</v>
      </c>
      <c r="I27" s="536">
        <f>ollivonfraintpts</f>
        <v>0</v>
      </c>
      <c r="J27" s="102">
        <f>SUM(H27:I27)</f>
        <v>10</v>
      </c>
      <c r="K27" s="131" t="s">
        <v>845</v>
      </c>
      <c r="L27" s="25" t="s">
        <v>182</v>
      </c>
      <c r="M27" s="27" t="str">
        <f>Hastoyfrayrgls</f>
        <v>-</v>
      </c>
      <c r="N27" s="268" t="str">
        <f>hastoyfrayratt</f>
        <v>-</v>
      </c>
      <c r="O27" s="129"/>
    </row>
    <row r="28" spans="1:15" ht="14.95" customHeight="1" thickBot="1" x14ac:dyDescent="0.3">
      <c r="A28" s="26" t="s">
        <v>750</v>
      </c>
      <c r="B28" s="25" t="s">
        <v>169</v>
      </c>
      <c r="C28" s="316">
        <f>Dempseysco6ntries</f>
        <v>1</v>
      </c>
      <c r="D28" s="534">
        <f>Dempseyscointtries</f>
        <v>0</v>
      </c>
      <c r="E28" s="101">
        <f>SUM(C28:D28)</f>
        <v>1</v>
      </c>
      <c r="F28" s="113" t="s">
        <v>1146</v>
      </c>
      <c r="G28" s="225" t="s">
        <v>168</v>
      </c>
      <c r="H28" s="318">
        <f>roebuckeng6npts</f>
        <v>10</v>
      </c>
      <c r="I28" s="536">
        <f>Roebuckengintpts</f>
        <v>0</v>
      </c>
      <c r="J28" s="102">
        <f>SUM(H28:I28)</f>
        <v>10</v>
      </c>
      <c r="K28" s="131" t="s">
        <v>230</v>
      </c>
      <c r="L28" s="25" t="s">
        <v>169</v>
      </c>
      <c r="M28" s="27" t="str">
        <f>Hornescoyrgls</f>
        <v>-</v>
      </c>
      <c r="N28" s="268" t="str">
        <f>Hornescoyratt</f>
        <v>-</v>
      </c>
      <c r="O28" s="129"/>
    </row>
    <row r="29" spans="1:15" ht="14.95" customHeight="1" thickBot="1" x14ac:dyDescent="0.3">
      <c r="A29" s="26" t="s">
        <v>903</v>
      </c>
      <c r="B29" s="25" t="s">
        <v>168</v>
      </c>
      <c r="C29" s="316">
        <f>dingwalleng6ntries</f>
        <v>1</v>
      </c>
      <c r="D29" s="534">
        <f>Dingwallenginttries</f>
        <v>0</v>
      </c>
      <c r="E29" s="101">
        <f>SUM(C29:D29)</f>
        <v>1</v>
      </c>
      <c r="F29" s="113" t="s">
        <v>469</v>
      </c>
      <c r="G29" s="225" t="s">
        <v>169</v>
      </c>
      <c r="H29" s="318">
        <f>Whitesco6npts</f>
        <v>10</v>
      </c>
      <c r="I29" s="536">
        <f>whitescointpts</f>
        <v>0</v>
      </c>
      <c r="J29" s="102">
        <f>SUM(H29:I29)</f>
        <v>10</v>
      </c>
      <c r="K29" s="26" t="s">
        <v>418</v>
      </c>
      <c r="L29" s="25" t="s">
        <v>165</v>
      </c>
      <c r="M29" s="27" t="str">
        <f>Kellawayausyrgls</f>
        <v>-</v>
      </c>
      <c r="N29" s="268" t="str">
        <f>kellawayausyratt</f>
        <v>-</v>
      </c>
      <c r="O29" s="129"/>
    </row>
    <row r="30" spans="1:15" ht="14.95" customHeight="1" thickBot="1" x14ac:dyDescent="0.3">
      <c r="A30" s="26" t="s">
        <v>1473</v>
      </c>
      <c r="B30" s="25" t="s">
        <v>182</v>
      </c>
      <c r="C30" s="316">
        <f>Dreanfra6ntries</f>
        <v>1</v>
      </c>
      <c r="D30" s="534">
        <f>Dreanfrainttries</f>
        <v>0</v>
      </c>
      <c r="E30" s="101">
        <f>SUM(C30:D30)</f>
        <v>1</v>
      </c>
      <c r="F30" s="113" t="s">
        <v>910</v>
      </c>
      <c r="G30" s="225" t="s">
        <v>168</v>
      </c>
      <c r="H30" s="318">
        <f>Smith_Feng6npts</f>
        <v>8</v>
      </c>
      <c r="I30" s="536">
        <f>Smith_Fengintpts</f>
        <v>0</v>
      </c>
      <c r="J30" s="102">
        <f>SUM(H30:I30)</f>
        <v>8</v>
      </c>
      <c r="K30" s="131" t="s">
        <v>216</v>
      </c>
      <c r="L30" s="25" t="s">
        <v>169</v>
      </c>
      <c r="M30" s="27" t="str">
        <f>Kinghornscoyrgls</f>
        <v>-</v>
      </c>
      <c r="N30" s="268" t="str">
        <f>kinghornscoyratt</f>
        <v>-</v>
      </c>
      <c r="O30" s="129"/>
    </row>
    <row r="31" spans="1:15" ht="14.95" customHeight="1" thickBot="1" x14ac:dyDescent="0.3">
      <c r="A31" s="26" t="s">
        <v>299</v>
      </c>
      <c r="B31" s="25" t="s">
        <v>182</v>
      </c>
      <c r="C31" s="316">
        <f>DupontFRA6NTRIES</f>
        <v>1</v>
      </c>
      <c r="D31" s="534">
        <v>0</v>
      </c>
      <c r="E31" s="101">
        <f>SUM(C31:D31)</f>
        <v>1</v>
      </c>
      <c r="F31" s="113" t="s">
        <v>175</v>
      </c>
      <c r="G31" s="225" t="s">
        <v>168</v>
      </c>
      <c r="H31" s="318">
        <f>Penalty_Trieseng6npts</f>
        <v>7</v>
      </c>
      <c r="I31" s="536">
        <f>Penalty_Triesengintpts</f>
        <v>0</v>
      </c>
      <c r="J31" s="102">
        <f>SUM(H31:I31)</f>
        <v>7</v>
      </c>
      <c r="K31" s="131" t="s">
        <v>1170</v>
      </c>
      <c r="L31" s="25" t="s">
        <v>182</v>
      </c>
      <c r="M31" s="27" t="str">
        <f>Le_Garrecfrayrgls</f>
        <v>-</v>
      </c>
      <c r="N31" s="268" t="str">
        <f>Le_Garrecfrayratt</f>
        <v>-</v>
      </c>
      <c r="O31" s="129"/>
    </row>
    <row r="32" spans="1:15" ht="14.95" customHeight="1" thickBot="1" x14ac:dyDescent="0.3">
      <c r="A32" s="26" t="s">
        <v>442</v>
      </c>
      <c r="B32" s="25" t="s">
        <v>167</v>
      </c>
      <c r="C32" s="316">
        <f>Gibson_Parkire6ntries</f>
        <v>1</v>
      </c>
      <c r="D32" s="534"/>
      <c r="E32" s="101">
        <f>SUM(C32:D32)</f>
        <v>1</v>
      </c>
      <c r="F32" s="113" t="s">
        <v>392</v>
      </c>
      <c r="G32" s="225" t="s">
        <v>173</v>
      </c>
      <c r="H32" s="318">
        <f>Biggarwal6npts</f>
        <v>5</v>
      </c>
      <c r="I32" s="536">
        <f>bothamwalintpts</f>
        <v>0</v>
      </c>
      <c r="J32" s="102">
        <f>SUM(H32:I32)</f>
        <v>5</v>
      </c>
      <c r="K32" s="26" t="s">
        <v>572</v>
      </c>
      <c r="L32" s="25" t="s">
        <v>170</v>
      </c>
      <c r="M32" s="27" t="str">
        <f>Libbok_Mrsayrgls</f>
        <v>-</v>
      </c>
      <c r="N32" s="268" t="str">
        <f>libbokjrsayratt</f>
        <v>-</v>
      </c>
      <c r="O32" s="129"/>
    </row>
    <row r="33" spans="1:15" ht="14.95" customHeight="1" thickBot="1" x14ac:dyDescent="0.3">
      <c r="A33" s="26" t="s">
        <v>918</v>
      </c>
      <c r="B33" s="25" t="s">
        <v>173</v>
      </c>
      <c r="C33" s="316">
        <f>gradywal6ntries</f>
        <v>1</v>
      </c>
      <c r="D33" s="534"/>
      <c r="E33" s="101">
        <f>SUM(C33:D33)</f>
        <v>1</v>
      </c>
      <c r="F33" s="113" t="s">
        <v>1468</v>
      </c>
      <c r="G33" s="225" t="s">
        <v>182</v>
      </c>
      <c r="H33" s="318">
        <f>Brau_Boiriefra6npts</f>
        <v>5</v>
      </c>
      <c r="I33" s="536">
        <f>Brau_Boiriefraintpts</f>
        <v>0</v>
      </c>
      <c r="J33" s="102">
        <f>SUM(H33:I33)</f>
        <v>5</v>
      </c>
      <c r="K33" s="26" t="s">
        <v>967</v>
      </c>
      <c r="L33" s="25" t="s">
        <v>165</v>
      </c>
      <c r="M33" s="27" t="str">
        <f>Lolesioausyrgls</f>
        <v>-</v>
      </c>
      <c r="N33" s="268" t="str">
        <f>lolesioausyratt</f>
        <v>-</v>
      </c>
      <c r="O33" s="129"/>
    </row>
    <row r="34" spans="1:15" ht="14.95" customHeight="1" thickBot="1" x14ac:dyDescent="0.3">
      <c r="A34" s="26" t="s">
        <v>230</v>
      </c>
      <c r="B34" s="25" t="s">
        <v>169</v>
      </c>
      <c r="C34" s="316">
        <f>Hornesco6ntries</f>
        <v>1</v>
      </c>
      <c r="D34" s="534">
        <f>hornescointtries</f>
        <v>0</v>
      </c>
      <c r="E34" s="101">
        <f>SUM(C34:D34)</f>
        <v>1</v>
      </c>
      <c r="F34" s="113" t="s">
        <v>487</v>
      </c>
      <c r="G34" s="225" t="s">
        <v>172</v>
      </c>
      <c r="H34" s="318">
        <f>Capuozzoita6npts</f>
        <v>5</v>
      </c>
      <c r="I34" s="536">
        <f>capuozzoitaintpts</f>
        <v>0</v>
      </c>
      <c r="J34" s="102">
        <f>SUM(H34:I34)</f>
        <v>5</v>
      </c>
      <c r="K34" s="131" t="s">
        <v>517</v>
      </c>
      <c r="L34" s="25" t="s">
        <v>182</v>
      </c>
      <c r="M34" s="27" t="str">
        <f>Lucufrayrgls</f>
        <v>-</v>
      </c>
      <c r="N34" s="268" t="str">
        <f>lucufrayratt</f>
        <v>-</v>
      </c>
      <c r="O34" s="129"/>
    </row>
    <row r="35" spans="1:15" ht="14.95" customHeight="1" thickBot="1" x14ac:dyDescent="0.3">
      <c r="A35" s="26" t="s">
        <v>1220</v>
      </c>
      <c r="B35" s="25" t="s">
        <v>182</v>
      </c>
      <c r="C35" s="316">
        <f>Jegoufra6ntries</f>
        <v>1</v>
      </c>
      <c r="D35" s="534">
        <f>jegoufrainttries</f>
        <v>0</v>
      </c>
      <c r="E35" s="101">
        <f>SUM(C35:D35)</f>
        <v>1</v>
      </c>
      <c r="F35" s="113" t="s">
        <v>750</v>
      </c>
      <c r="G35" s="225" t="s">
        <v>169</v>
      </c>
      <c r="H35" s="318">
        <f>Dempseysco6npts</f>
        <v>5</v>
      </c>
      <c r="I35" s="536">
        <f>dempseyscointpts</f>
        <v>0</v>
      </c>
      <c r="J35" s="102">
        <f>SUM(H35:I35)</f>
        <v>5</v>
      </c>
      <c r="K35" s="26" t="s">
        <v>968</v>
      </c>
      <c r="L35" s="25" t="s">
        <v>165</v>
      </c>
      <c r="M35" s="27" t="str">
        <f>Lynaghausyrgls</f>
        <v>-</v>
      </c>
      <c r="N35" s="268" t="str">
        <f>Lynaghausyratt</f>
        <v>-</v>
      </c>
      <c r="O35" s="129"/>
    </row>
    <row r="36" spans="1:15" ht="14.95" customHeight="1" thickBot="1" x14ac:dyDescent="0.3">
      <c r="A36" s="26" t="s">
        <v>1128</v>
      </c>
      <c r="B36" s="25" t="s">
        <v>169</v>
      </c>
      <c r="C36" s="316">
        <f>Jordansco6ntries</f>
        <v>1</v>
      </c>
      <c r="D36" s="534">
        <f>jordanscointtries</f>
        <v>0</v>
      </c>
      <c r="E36" s="101">
        <f>SUM(C36:D36)</f>
        <v>1</v>
      </c>
      <c r="F36" s="113" t="s">
        <v>903</v>
      </c>
      <c r="G36" s="225" t="s">
        <v>168</v>
      </c>
      <c r="H36" s="318">
        <f>dingwalleng6npts</f>
        <v>5</v>
      </c>
      <c r="I36" s="536">
        <f>Dingwallengintpts</f>
        <v>0</v>
      </c>
      <c r="J36" s="102">
        <f>SUM(H36:I36)</f>
        <v>5</v>
      </c>
      <c r="K36" s="26" t="s">
        <v>340</v>
      </c>
      <c r="L36" s="25" t="s">
        <v>171</v>
      </c>
      <c r="M36" s="27" t="str">
        <f>Malliaargyrgls</f>
        <v>-</v>
      </c>
      <c r="N36" s="268" t="str">
        <f>malliaargyratt</f>
        <v>-</v>
      </c>
      <c r="O36" s="129"/>
    </row>
    <row r="37" spans="1:15" ht="14.95" customHeight="1" thickBot="1" x14ac:dyDescent="0.3">
      <c r="A37" s="26" t="s">
        <v>401</v>
      </c>
      <c r="B37" s="25" t="s">
        <v>168</v>
      </c>
      <c r="C37" s="316">
        <f>Lawrenceeng6ntries</f>
        <v>1</v>
      </c>
      <c r="D37" s="534">
        <f>Lawrenceengintcorrect</f>
        <v>0</v>
      </c>
      <c r="E37" s="101">
        <f>SUM(C37:D37)</f>
        <v>1</v>
      </c>
      <c r="F37" s="113" t="s">
        <v>1473</v>
      </c>
      <c r="G37" s="225" t="s">
        <v>182</v>
      </c>
      <c r="H37" s="318">
        <f>Dreanfra6npts</f>
        <v>5</v>
      </c>
      <c r="I37" s="536">
        <f>Dreanfraintpts</f>
        <v>0</v>
      </c>
      <c r="J37" s="102">
        <f>SUM(H37:I37)</f>
        <v>5</v>
      </c>
      <c r="K37" s="26" t="s">
        <v>151</v>
      </c>
      <c r="L37" s="25" t="s">
        <v>166</v>
      </c>
      <c r="M37" s="27" t="str">
        <f>McKenzie_Dnzlyrgls</f>
        <v>-</v>
      </c>
      <c r="N37" s="268" t="str">
        <f>mckenzienzlyratt</f>
        <v>-</v>
      </c>
      <c r="O37" s="129"/>
    </row>
    <row r="38" spans="1:15" ht="14.95" customHeight="1" thickBot="1" x14ac:dyDescent="0.3">
      <c r="A38" s="26" t="s">
        <v>912</v>
      </c>
      <c r="B38" s="25" t="s">
        <v>172</v>
      </c>
      <c r="C38" s="316">
        <f>lynaghita6ntries</f>
        <v>1</v>
      </c>
      <c r="D38" s="534">
        <f>lynaghitatries</f>
        <v>0</v>
      </c>
      <c r="E38" s="101">
        <f>SUM(C38:D38)</f>
        <v>1</v>
      </c>
      <c r="F38" s="113" t="s">
        <v>299</v>
      </c>
      <c r="G38" s="225" t="s">
        <v>182</v>
      </c>
      <c r="H38" s="318">
        <f>DupontFRA6NPTS</f>
        <v>5</v>
      </c>
      <c r="I38" s="536"/>
      <c r="J38" s="102">
        <f>SUM(H38:I38)</f>
        <v>5</v>
      </c>
      <c r="K38" s="26" t="s">
        <v>1334</v>
      </c>
      <c r="L38" s="25" t="s">
        <v>165</v>
      </c>
      <c r="M38" s="27" t="str">
        <f>whiteausyrgls</f>
        <v>-</v>
      </c>
      <c r="N38" s="268" t="str">
        <f>whiteausyratt</f>
        <v>-</v>
      </c>
      <c r="O38" s="129"/>
    </row>
    <row r="39" spans="1:15" ht="14.95" customHeight="1" thickBot="1" x14ac:dyDescent="0.3">
      <c r="A39" s="26" t="s">
        <v>552</v>
      </c>
      <c r="B39" s="25" t="s">
        <v>182</v>
      </c>
      <c r="C39" s="316">
        <f>Marchandfra6ntries</f>
        <v>1</v>
      </c>
      <c r="D39" s="534">
        <f>marchandfrainttries</f>
        <v>0</v>
      </c>
      <c r="E39" s="101">
        <f>SUM(C39:D39)</f>
        <v>1</v>
      </c>
      <c r="F39" s="113" t="s">
        <v>442</v>
      </c>
      <c r="G39" s="225" t="s">
        <v>167</v>
      </c>
      <c r="H39" s="318">
        <f>Gibson_Parkire6npts</f>
        <v>5</v>
      </c>
      <c r="I39" s="536"/>
      <c r="J39" s="102">
        <f>SUM(H39:I39)</f>
        <v>5</v>
      </c>
      <c r="K39" s="26" t="s">
        <v>837</v>
      </c>
      <c r="L39" s="25" t="s">
        <v>172</v>
      </c>
      <c r="M39" s="27" t="str">
        <f>Page_Reloitayrgls</f>
        <v>-</v>
      </c>
      <c r="N39" s="268" t="str">
        <f>pagereloitsyratt</f>
        <v>-</v>
      </c>
      <c r="O39" s="129"/>
    </row>
    <row r="40" spans="1:15" ht="14.95" customHeight="1" thickBot="1" x14ac:dyDescent="0.3">
      <c r="A40" s="26" t="s">
        <v>1048</v>
      </c>
      <c r="B40" s="25" t="s">
        <v>172</v>
      </c>
      <c r="C40" s="316">
        <f>Marinita6ntries</f>
        <v>1</v>
      </c>
      <c r="D40" s="534">
        <f>marinitainttriescorrect</f>
        <v>0</v>
      </c>
      <c r="E40" s="101">
        <f>SUM(C40:D40)</f>
        <v>1</v>
      </c>
      <c r="F40" s="113" t="s">
        <v>918</v>
      </c>
      <c r="G40" s="225" t="s">
        <v>173</v>
      </c>
      <c r="H40" s="318">
        <f>gradywal6npts</f>
        <v>5</v>
      </c>
      <c r="I40" s="536"/>
      <c r="J40" s="102">
        <f>SUM(H40:I40)</f>
        <v>5</v>
      </c>
      <c r="K40" s="26" t="s">
        <v>875</v>
      </c>
      <c r="L40" s="25" t="s">
        <v>170</v>
      </c>
      <c r="M40" s="27" t="str">
        <f>Pollardrsayrgls</f>
        <v>-</v>
      </c>
      <c r="N40" s="268" t="str">
        <f>pollardrsayratt</f>
        <v>-</v>
      </c>
      <c r="O40" s="129"/>
    </row>
    <row r="41" spans="1:15" ht="14.95" customHeight="1" thickBot="1" x14ac:dyDescent="0.3">
      <c r="A41" s="26" t="s">
        <v>1471</v>
      </c>
      <c r="B41" s="25" t="s">
        <v>182</v>
      </c>
      <c r="C41" s="316">
        <f>Meafoufra6ntries</f>
        <v>1</v>
      </c>
      <c r="D41" s="534">
        <f>Meafoufrainttries</f>
        <v>0</v>
      </c>
      <c r="E41" s="101">
        <f>SUM(C41:D41)</f>
        <v>1</v>
      </c>
      <c r="F41" s="113" t="s">
        <v>230</v>
      </c>
      <c r="G41" s="225" t="s">
        <v>169</v>
      </c>
      <c r="H41" s="318">
        <f>Hornesco6npts</f>
        <v>5</v>
      </c>
      <c r="I41" s="536">
        <f>hornescointpts</f>
        <v>0</v>
      </c>
      <c r="J41" s="102">
        <f>SUM(H41:I41)</f>
        <v>5</v>
      </c>
      <c r="K41" s="26" t="s">
        <v>1308</v>
      </c>
      <c r="L41" s="25" t="s">
        <v>171</v>
      </c>
      <c r="M41" s="27" t="str">
        <f>Sanchezargyrgls</f>
        <v>-</v>
      </c>
      <c r="N41" s="268" t="str">
        <f>sanchexzargyratt</f>
        <v>-</v>
      </c>
      <c r="O41" s="129"/>
    </row>
    <row r="42" spans="1:15" ht="14.95" customHeight="1" thickBot="1" x14ac:dyDescent="0.3">
      <c r="A42" s="26" t="s">
        <v>1451</v>
      </c>
      <c r="B42" s="25" t="s">
        <v>167</v>
      </c>
      <c r="C42" s="316">
        <f>Milneire6ntries</f>
        <v>1</v>
      </c>
      <c r="D42" s="534">
        <f>Milneireinttries</f>
        <v>0</v>
      </c>
      <c r="E42" s="101">
        <f>SUM(C42:D42)</f>
        <v>1</v>
      </c>
      <c r="F42" s="113" t="s">
        <v>1220</v>
      </c>
      <c r="G42" s="225" t="s">
        <v>182</v>
      </c>
      <c r="H42" s="318">
        <f>Jegoufra6npts</f>
        <v>5</v>
      </c>
      <c r="I42" s="536">
        <f>jegoufraintptscorrect</f>
        <v>0</v>
      </c>
      <c r="J42" s="102">
        <f>SUM(H42:I42)</f>
        <v>5</v>
      </c>
      <c r="K42" s="131" t="s">
        <v>985</v>
      </c>
      <c r="L42" s="25" t="s">
        <v>182</v>
      </c>
      <c r="M42" s="27" t="str">
        <f>segondsfrayrgls</f>
        <v>-</v>
      </c>
      <c r="N42" s="268" t="str">
        <f>segondsfrayratt</f>
        <v>-</v>
      </c>
      <c r="O42" s="129"/>
    </row>
    <row r="43" spans="1:15" ht="14.95" customHeight="1" thickBot="1" x14ac:dyDescent="0.3">
      <c r="A43" s="26" t="s">
        <v>509</v>
      </c>
      <c r="B43" s="25" t="s">
        <v>172</v>
      </c>
      <c r="C43" s="316">
        <f>Nicoteraita6ntries</f>
        <v>1</v>
      </c>
      <c r="D43" s="534">
        <f>nicoteraitainttries</f>
        <v>0</v>
      </c>
      <c r="E43" s="101">
        <f>SUM(C43:D43)</f>
        <v>1</v>
      </c>
      <c r="F43" s="113" t="s">
        <v>1128</v>
      </c>
      <c r="G43" s="225" t="s">
        <v>169</v>
      </c>
      <c r="H43" s="318">
        <f>Jordansco6npts</f>
        <v>5</v>
      </c>
      <c r="I43" s="536">
        <f>jordanscointpts</f>
        <v>0</v>
      </c>
      <c r="J43" s="102">
        <f>SUM(H43:I43)</f>
        <v>5</v>
      </c>
      <c r="K43" s="26" t="s">
        <v>400</v>
      </c>
      <c r="L43" s="25" t="s">
        <v>168</v>
      </c>
      <c r="M43" s="27" t="str">
        <f>Smithengyeargls</f>
        <v>-</v>
      </c>
      <c r="N43" s="268" t="str">
        <f>smithengyearatt</f>
        <v>-</v>
      </c>
      <c r="O43" s="129"/>
    </row>
    <row r="44" spans="1:15" ht="14.95" customHeight="1" thickBot="1" x14ac:dyDescent="0.3">
      <c r="A44" s="26" t="s">
        <v>1243</v>
      </c>
      <c r="B44" s="25" t="s">
        <v>167</v>
      </c>
      <c r="C44" s="316">
        <f>O_Mahonyire6ntries</f>
        <v>1</v>
      </c>
      <c r="D44" s="534">
        <f>obrientireinttries</f>
        <v>0</v>
      </c>
      <c r="E44" s="101">
        <f>SUM(C44:D44)</f>
        <v>1</v>
      </c>
      <c r="F44" s="113" t="s">
        <v>401</v>
      </c>
      <c r="G44" s="225" t="s">
        <v>168</v>
      </c>
      <c r="H44" s="318">
        <f>Lawrenceeng6npts</f>
        <v>5</v>
      </c>
      <c r="I44" s="536">
        <f>Lawrenceengintptscorrect</f>
        <v>0</v>
      </c>
      <c r="J44" s="102">
        <f>SUM(H44:I44)</f>
        <v>5</v>
      </c>
      <c r="K44" s="26" t="s">
        <v>969</v>
      </c>
      <c r="L44" s="25" t="s">
        <v>173</v>
      </c>
      <c r="M44" s="27" t="str">
        <f>Thomas_Bwalyrgls</f>
        <v>-</v>
      </c>
      <c r="N44" s="268" t="str">
        <f>Thomas_Bwalyratt</f>
        <v>-</v>
      </c>
      <c r="O44" s="129"/>
    </row>
    <row r="45" spans="1:15" ht="14.95" customHeight="1" thickBot="1" x14ac:dyDescent="0.3">
      <c r="A45" s="26" t="s">
        <v>175</v>
      </c>
      <c r="B45" s="25" t="s">
        <v>168</v>
      </c>
      <c r="C45" s="316">
        <f>Penalty_Trieseng6ntries</f>
        <v>1</v>
      </c>
      <c r="D45" s="534">
        <f>Penalty_Triesenginttries</f>
        <v>0</v>
      </c>
      <c r="E45" s="101">
        <f>SUM(C45:D45)</f>
        <v>1</v>
      </c>
      <c r="F45" s="113" t="s">
        <v>912</v>
      </c>
      <c r="G45" s="225" t="s">
        <v>172</v>
      </c>
      <c r="H45" s="318">
        <f>lynaghita6npts</f>
        <v>5</v>
      </c>
      <c r="I45" s="536">
        <f>lynaghitapts</f>
        <v>0</v>
      </c>
      <c r="J45" s="102">
        <f>SUM(H45:I45)</f>
        <v>5</v>
      </c>
      <c r="K45" s="131" t="s">
        <v>963</v>
      </c>
      <c r="L45" s="25" t="s">
        <v>169</v>
      </c>
      <c r="M45" s="27" t="str">
        <f>Thompsonscoyrgls</f>
        <v>-</v>
      </c>
      <c r="N45" s="268" t="str">
        <f>Thompsonscoyratt</f>
        <v>-</v>
      </c>
      <c r="O45" s="129"/>
    </row>
    <row r="46" spans="1:15" ht="14.95" customHeight="1" thickBot="1" x14ac:dyDescent="0.3">
      <c r="A46" s="26" t="s">
        <v>261</v>
      </c>
      <c r="B46" s="25" t="s">
        <v>169</v>
      </c>
      <c r="C46" s="316">
        <f>Ritchiesco6ntries</f>
        <v>1</v>
      </c>
      <c r="D46" s="534">
        <f>Ritchiescointtries</f>
        <v>0</v>
      </c>
      <c r="E46" s="101">
        <f>SUM(C46:D46)</f>
        <v>1</v>
      </c>
      <c r="F46" s="113" t="s">
        <v>552</v>
      </c>
      <c r="G46" s="225" t="s">
        <v>182</v>
      </c>
      <c r="H46" s="318">
        <f>Marchandfra6npts</f>
        <v>5</v>
      </c>
      <c r="I46" s="536">
        <f>marchandfraintpts</f>
        <v>0</v>
      </c>
      <c r="J46" s="102">
        <f>SUM(H46:I46)</f>
        <v>5</v>
      </c>
      <c r="K46" s="26" t="s">
        <v>455</v>
      </c>
      <c r="L46" s="25" t="s">
        <v>172</v>
      </c>
      <c r="M46" s="27" t="str">
        <f>Varneyitayrgls</f>
        <v>-</v>
      </c>
      <c r="N46" s="268" t="str">
        <f>Varneyitayratt</f>
        <v>-</v>
      </c>
      <c r="O46" s="129"/>
    </row>
    <row r="47" spans="1:15" ht="14.95" customHeight="1" thickBot="1" x14ac:dyDescent="0.3">
      <c r="A47" s="26" t="s">
        <v>240</v>
      </c>
      <c r="B47" s="25" t="s">
        <v>1282</v>
      </c>
      <c r="C47" s="316">
        <f>RussellSCO6NTRIES</f>
        <v>1</v>
      </c>
      <c r="D47" s="534">
        <f>RUSSELLSCOINTTRIES</f>
        <v>0</v>
      </c>
      <c r="E47" s="101">
        <f>SUM(C47:D47)</f>
        <v>1</v>
      </c>
      <c r="F47" s="113" t="s">
        <v>1048</v>
      </c>
      <c r="G47" s="225" t="s">
        <v>172</v>
      </c>
      <c r="H47" s="318">
        <f>Marinita6npts</f>
        <v>5</v>
      </c>
      <c r="I47" s="536">
        <f>marinitaintptscorrect</f>
        <v>0</v>
      </c>
      <c r="J47" s="102">
        <f>SUM(H47:I47)</f>
        <v>5</v>
      </c>
      <c r="K47" s="236" t="s">
        <v>1477</v>
      </c>
    </row>
    <row r="48" spans="1:15" ht="14.95" customHeight="1" thickBot="1" x14ac:dyDescent="0.3">
      <c r="A48" s="26" t="s">
        <v>439</v>
      </c>
      <c r="B48" s="25" t="s">
        <v>169</v>
      </c>
      <c r="C48" s="316">
        <f>SchoemanSCO6NTRIES</f>
        <v>1</v>
      </c>
      <c r="D48" s="534">
        <f>schoemanscointtries</f>
        <v>0</v>
      </c>
      <c r="E48" s="101">
        <f>SUM(C48:D48)</f>
        <v>1</v>
      </c>
      <c r="F48" s="113" t="s">
        <v>1471</v>
      </c>
      <c r="G48" s="225" t="s">
        <v>182</v>
      </c>
      <c r="H48" s="318">
        <f>Meafoufra6npts</f>
        <v>5</v>
      </c>
      <c r="I48" s="536">
        <f>Meafoufraintpts</f>
        <v>0</v>
      </c>
      <c r="J48" s="102">
        <f>SUM(H48:I48)</f>
        <v>5</v>
      </c>
    </row>
    <row r="49" spans="1:10" ht="14.95" customHeight="1" thickBot="1" x14ac:dyDescent="0.3">
      <c r="A49" s="26" t="s">
        <v>467</v>
      </c>
      <c r="B49" s="25" t="s">
        <v>167</v>
      </c>
      <c r="C49" s="316">
        <f>Sheehanire6ntries</f>
        <v>1</v>
      </c>
      <c r="D49" s="534">
        <f>SHEEHANIREINTTRIES</f>
        <v>0</v>
      </c>
      <c r="E49" s="101">
        <f>SUM(C49:D49)</f>
        <v>1</v>
      </c>
      <c r="F49" s="113" t="s">
        <v>1451</v>
      </c>
      <c r="G49" s="225" t="s">
        <v>167</v>
      </c>
      <c r="H49" s="318">
        <f>Milneire6npts</f>
        <v>5</v>
      </c>
      <c r="I49" s="536">
        <f>Milneireintpts</f>
        <v>0</v>
      </c>
      <c r="J49" s="102">
        <f>SUM(H49:I49)</f>
        <v>5</v>
      </c>
    </row>
    <row r="50" spans="1:10" ht="14.95" customHeight="1" thickBot="1" x14ac:dyDescent="0.3">
      <c r="A50" s="26" t="s">
        <v>1475</v>
      </c>
      <c r="B50" s="25" t="s">
        <v>167</v>
      </c>
      <c r="C50" s="316">
        <f>Stockdaleire6ntries</f>
        <v>1</v>
      </c>
      <c r="D50" s="534">
        <f>stockdaleireinttries</f>
        <v>0</v>
      </c>
      <c r="E50" s="101">
        <f>SUM(C50:D50)</f>
        <v>1</v>
      </c>
      <c r="F50" s="113" t="s">
        <v>509</v>
      </c>
      <c r="G50" s="225" t="s">
        <v>172</v>
      </c>
      <c r="H50" s="318">
        <f>Nicoteraita6npts</f>
        <v>5</v>
      </c>
      <c r="I50" s="536">
        <f>nicoteraitaintpts</f>
        <v>0</v>
      </c>
      <c r="J50" s="102">
        <f>SUM(H50:I50)</f>
        <v>5</v>
      </c>
    </row>
    <row r="51" spans="1:10" ht="14.95" customHeight="1" thickBot="1" x14ac:dyDescent="0.3">
      <c r="A51" s="26" t="s">
        <v>1245</v>
      </c>
      <c r="B51" s="25" t="s">
        <v>167</v>
      </c>
      <c r="C51" s="316">
        <f>Timoneyire6ntries</f>
        <v>1</v>
      </c>
      <c r="D51" s="534">
        <f>timoneyireinttriescorrect</f>
        <v>0</v>
      </c>
      <c r="E51" s="101">
        <f>SUM(C51:D51)</f>
        <v>1</v>
      </c>
      <c r="F51" s="113" t="s">
        <v>1243</v>
      </c>
      <c r="G51" s="225" t="s">
        <v>167</v>
      </c>
      <c r="H51" s="318">
        <f>O_Mahonyire6npts</f>
        <v>5</v>
      </c>
      <c r="I51" s="536">
        <f>obrientireintpts</f>
        <v>0</v>
      </c>
      <c r="J51" s="102">
        <f>SUM(H51:I51)</f>
        <v>5</v>
      </c>
    </row>
    <row r="52" spans="1:10" ht="14.95" customHeight="1" thickBot="1" x14ac:dyDescent="0.3">
      <c r="A52" s="26" t="s">
        <v>214</v>
      </c>
      <c r="B52" s="25" t="s">
        <v>169</v>
      </c>
      <c r="C52" s="316">
        <f>Turnersco6ntries</f>
        <v>1</v>
      </c>
      <c r="D52" s="534">
        <f>turnerscointtries</f>
        <v>0</v>
      </c>
      <c r="E52" s="101">
        <f>SUM(C52:D52)</f>
        <v>1</v>
      </c>
      <c r="F52" s="113" t="s">
        <v>261</v>
      </c>
      <c r="G52" s="225" t="s">
        <v>169</v>
      </c>
      <c r="H52" s="318">
        <f>Ritchiesco6npts</f>
        <v>5</v>
      </c>
      <c r="I52" s="536">
        <f>Ritchiescointpts</f>
        <v>0</v>
      </c>
      <c r="J52" s="102">
        <f>SUM(H52:I52)</f>
        <v>5</v>
      </c>
    </row>
    <row r="53" spans="1:10" ht="14.95" customHeight="1" thickBot="1" x14ac:dyDescent="0.3">
      <c r="A53" s="26" t="s">
        <v>940</v>
      </c>
      <c r="B53" s="25" t="s">
        <v>168</v>
      </c>
      <c r="C53" s="316">
        <f>underhilleng6ntries</f>
        <v>1</v>
      </c>
      <c r="D53" s="534">
        <f>Underhillenginttries</f>
        <v>0</v>
      </c>
      <c r="E53" s="101">
        <f>SUM(C53:D53)</f>
        <v>1</v>
      </c>
      <c r="F53" s="113" t="s">
        <v>439</v>
      </c>
      <c r="G53" s="225" t="s">
        <v>169</v>
      </c>
      <c r="H53" s="318">
        <f>SchoemanSCO6NPTS</f>
        <v>5</v>
      </c>
      <c r="I53" s="536">
        <f>schoemanscointpts</f>
        <v>0</v>
      </c>
      <c r="J53" s="102">
        <f>SUM(H53:I53)</f>
        <v>5</v>
      </c>
    </row>
    <row r="54" spans="1:10" ht="14.95" customHeight="1" thickBot="1" x14ac:dyDescent="0.3">
      <c r="A54" s="26" t="s">
        <v>228</v>
      </c>
      <c r="B54" s="25" t="s">
        <v>167</v>
      </c>
      <c r="C54" s="316">
        <f>Akiiretries</f>
        <v>0</v>
      </c>
      <c r="D54" s="534">
        <f>akiireinttries</f>
        <v>0</v>
      </c>
      <c r="E54" s="101">
        <f>SUM(C54:D54)</f>
        <v>0</v>
      </c>
      <c r="F54" s="113" t="s">
        <v>467</v>
      </c>
      <c r="G54" s="225" t="s">
        <v>167</v>
      </c>
      <c r="H54" s="318">
        <f>Sheehanire6npts</f>
        <v>5</v>
      </c>
      <c r="I54" s="536">
        <f>SHEEHANIREINTPTS</f>
        <v>0</v>
      </c>
      <c r="J54" s="102">
        <f>SUM(H54:I54)</f>
        <v>5</v>
      </c>
    </row>
    <row r="55" spans="1:10" ht="14.95" customHeight="1" thickBot="1" x14ac:dyDescent="0.3">
      <c r="A55" s="26" t="s">
        <v>997</v>
      </c>
      <c r="B55" s="25" t="s">
        <v>165</v>
      </c>
      <c r="C55" s="316" t="s">
        <v>355</v>
      </c>
      <c r="D55" s="534">
        <f>alaalatoaausinttries</f>
        <v>0</v>
      </c>
      <c r="E55" s="101">
        <f>SUM(C55:D55)</f>
        <v>0</v>
      </c>
      <c r="F55" s="113" t="s">
        <v>1475</v>
      </c>
      <c r="G55" s="225" t="s">
        <v>167</v>
      </c>
      <c r="H55" s="318">
        <f>Stockdaleire6npts</f>
        <v>5</v>
      </c>
      <c r="I55" s="536">
        <f>stockdaleireintpts</f>
        <v>0</v>
      </c>
      <c r="J55" s="102">
        <f>SUM(H55:I55)</f>
        <v>5</v>
      </c>
    </row>
    <row r="56" spans="1:10" ht="14.95" customHeight="1" thickBot="1" x14ac:dyDescent="0.3">
      <c r="A56" s="26" t="s">
        <v>973</v>
      </c>
      <c r="B56" s="25" t="s">
        <v>171</v>
      </c>
      <c r="C56" s="316" t="s">
        <v>355</v>
      </c>
      <c r="D56" s="534">
        <f>ALBORNOZARGINTTRIES</f>
        <v>0</v>
      </c>
      <c r="E56" s="101">
        <f>SUM(C56:D56)</f>
        <v>0</v>
      </c>
      <c r="F56" s="113" t="s">
        <v>1245</v>
      </c>
      <c r="G56" s="225" t="s">
        <v>167</v>
      </c>
      <c r="H56" s="318">
        <f>Timoneyire6npts</f>
        <v>5</v>
      </c>
      <c r="I56" s="536">
        <f>timoneyireintptscorrect</f>
        <v>0</v>
      </c>
      <c r="J56" s="102">
        <f>SUM(H56:I56)</f>
        <v>5</v>
      </c>
    </row>
    <row r="57" spans="1:10" ht="14.95" customHeight="1" thickBot="1" x14ac:dyDescent="0.3">
      <c r="A57" s="26" t="s">
        <v>280</v>
      </c>
      <c r="B57" s="25" t="s">
        <v>171</v>
      </c>
      <c r="C57" s="316" t="s">
        <v>355</v>
      </c>
      <c r="D57" s="534">
        <f>Alemannoarginttries</f>
        <v>0</v>
      </c>
      <c r="E57" s="101">
        <f>SUM(C57:D57)</f>
        <v>0</v>
      </c>
      <c r="F57" s="113" t="s">
        <v>214</v>
      </c>
      <c r="G57" s="225" t="s">
        <v>169</v>
      </c>
      <c r="H57" s="318">
        <f>Turnersco6npts</f>
        <v>5</v>
      </c>
      <c r="I57" s="536">
        <f>turnerscointpts</f>
        <v>0</v>
      </c>
      <c r="J57" s="102">
        <f>SUM(H57:I57)</f>
        <v>5</v>
      </c>
    </row>
    <row r="58" spans="1:10" ht="14.95" customHeight="1" thickBot="1" x14ac:dyDescent="0.3">
      <c r="A58" s="26" t="s">
        <v>213</v>
      </c>
      <c r="B58" s="25" t="s">
        <v>172</v>
      </c>
      <c r="C58" s="316">
        <f>allanita6ntries</f>
        <v>0</v>
      </c>
      <c r="D58" s="534">
        <f>allanitainttries</f>
        <v>0</v>
      </c>
      <c r="E58" s="101">
        <f>SUM(C58:D58)</f>
        <v>0</v>
      </c>
      <c r="F58" s="113" t="s">
        <v>940</v>
      </c>
      <c r="G58" s="225" t="s">
        <v>168</v>
      </c>
      <c r="H58" s="318">
        <f>underhilleng6npts</f>
        <v>5</v>
      </c>
      <c r="I58" s="536">
        <f>Underhillengintpts</f>
        <v>0</v>
      </c>
      <c r="J58" s="102">
        <f>SUM(H58:I58)</f>
        <v>5</v>
      </c>
    </row>
    <row r="59" spans="1:10" ht="14.95" customHeight="1" thickBot="1" x14ac:dyDescent="0.3">
      <c r="A59" s="26" t="s">
        <v>293</v>
      </c>
      <c r="B59" s="25" t="s">
        <v>182</v>
      </c>
      <c r="C59" s="316">
        <f>Alldrittfra6ntries</f>
        <v>0</v>
      </c>
      <c r="D59" s="534">
        <f>Alldrittfrainttries</f>
        <v>0</v>
      </c>
      <c r="E59" s="101">
        <f>SUM(C59:D59)</f>
        <v>0</v>
      </c>
      <c r="F59" s="113" t="s">
        <v>1137</v>
      </c>
      <c r="G59" s="225" t="s">
        <v>167</v>
      </c>
      <c r="H59" s="318">
        <f>Prendergastire6npts</f>
        <v>4</v>
      </c>
      <c r="I59" s="536">
        <f>prendergastireintpts</f>
        <v>0</v>
      </c>
      <c r="J59" s="102">
        <f>SUM(H59:I59)</f>
        <v>4</v>
      </c>
    </row>
    <row r="60" spans="1:10" ht="14.95" customHeight="1" thickBot="1" x14ac:dyDescent="0.3">
      <c r="A60" s="26" t="s">
        <v>1023</v>
      </c>
      <c r="B60" s="25" t="s">
        <v>170</v>
      </c>
      <c r="C60" s="316" t="s">
        <v>355</v>
      </c>
      <c r="D60" s="534">
        <f>Amrsainttries</f>
        <v>0</v>
      </c>
      <c r="E60" s="101">
        <f>SUM(C60:D60)</f>
        <v>0</v>
      </c>
      <c r="F60" s="113" t="s">
        <v>1224</v>
      </c>
      <c r="G60" s="225" t="s">
        <v>173</v>
      </c>
      <c r="H60" s="318">
        <f>Evans_Jwal6npts</f>
        <v>3</v>
      </c>
      <c r="I60" s="536">
        <f>Evans_Jwalintpts</f>
        <v>0</v>
      </c>
      <c r="J60" s="102">
        <f>SUM(H60:I60)</f>
        <v>3</v>
      </c>
    </row>
    <row r="61" spans="1:10" ht="14.95" customHeight="1" thickBot="1" x14ac:dyDescent="0.3">
      <c r="A61" s="26" t="s">
        <v>440</v>
      </c>
      <c r="B61" s="25" t="s">
        <v>173</v>
      </c>
      <c r="C61" s="316">
        <f>Anscombewal6ntries</f>
        <v>0</v>
      </c>
      <c r="D61" s="534">
        <f>anscombewalinttries</f>
        <v>0</v>
      </c>
      <c r="E61" s="101">
        <f>SUM(C61:D61)</f>
        <v>0</v>
      </c>
      <c r="F61" s="113" t="s">
        <v>228</v>
      </c>
      <c r="G61" s="225" t="s">
        <v>167</v>
      </c>
      <c r="H61" s="318">
        <f>Akiire6npts</f>
        <v>0</v>
      </c>
      <c r="I61" s="536">
        <f>akiireintpts</f>
        <v>0</v>
      </c>
      <c r="J61" s="102">
        <f>SUM(H61:I61)</f>
        <v>0</v>
      </c>
    </row>
    <row r="62" spans="1:10" ht="14.95" customHeight="1" thickBot="1" x14ac:dyDescent="0.3">
      <c r="A62" s="26" t="s">
        <v>527</v>
      </c>
      <c r="B62" s="25" t="s">
        <v>170</v>
      </c>
      <c r="C62" s="316" t="s">
        <v>355</v>
      </c>
      <c r="D62" s="534">
        <f>Arendsersainttriescorrect</f>
        <v>0</v>
      </c>
      <c r="E62" s="101">
        <f>SUM(C62:D62)</f>
        <v>0</v>
      </c>
      <c r="F62" s="113" t="s">
        <v>997</v>
      </c>
      <c r="G62" s="225" t="s">
        <v>165</v>
      </c>
      <c r="H62" s="318" t="s">
        <v>355</v>
      </c>
      <c r="I62" s="536">
        <f>alaalatoaausintpts</f>
        <v>0</v>
      </c>
      <c r="J62" s="102">
        <f>SUM(H62:I62)</f>
        <v>0</v>
      </c>
    </row>
    <row r="63" spans="1:10" ht="14.95" customHeight="1" thickBot="1" x14ac:dyDescent="0.3">
      <c r="A63" s="26" t="s">
        <v>722</v>
      </c>
      <c r="B63" s="25" t="s">
        <v>165</v>
      </c>
      <c r="C63" s="316" t="s">
        <v>355</v>
      </c>
      <c r="D63" s="534"/>
      <c r="E63" s="101">
        <f>SUM(C63:D63)</f>
        <v>0</v>
      </c>
      <c r="F63" s="113" t="s">
        <v>973</v>
      </c>
      <c r="G63" s="225" t="s">
        <v>171</v>
      </c>
      <c r="H63" s="318" t="s">
        <v>355</v>
      </c>
      <c r="I63" s="536">
        <f>ALBORNOZARGINTPTS</f>
        <v>0</v>
      </c>
      <c r="J63" s="102">
        <f>SUM(H63:I63)</f>
        <v>0</v>
      </c>
    </row>
    <row r="64" spans="1:10" ht="14.95" customHeight="1" thickBot="1" x14ac:dyDescent="0.3">
      <c r="A64" s="26" t="s">
        <v>453</v>
      </c>
      <c r="B64" s="25" t="s">
        <v>169</v>
      </c>
      <c r="C64" s="316">
        <f>Ashmansco6ntries</f>
        <v>0</v>
      </c>
      <c r="D64" s="534">
        <f>ashmanscointtries</f>
        <v>0</v>
      </c>
      <c r="E64" s="101">
        <f>SUM(C64:D64)</f>
        <v>0</v>
      </c>
      <c r="F64" s="113" t="s">
        <v>280</v>
      </c>
      <c r="G64" s="225" t="s">
        <v>171</v>
      </c>
      <c r="H64" s="318" t="s">
        <v>355</v>
      </c>
      <c r="I64" s="536">
        <f>Alemannoargintpts</f>
        <v>0</v>
      </c>
      <c r="J64" s="102">
        <f>SUM(H64:I64)</f>
        <v>0</v>
      </c>
    </row>
    <row r="65" spans="1:10" ht="14.95" customHeight="1" thickBot="1" x14ac:dyDescent="0.3">
      <c r="A65" s="26" t="s">
        <v>1273</v>
      </c>
      <c r="B65" s="25" t="s">
        <v>168</v>
      </c>
      <c r="C65" s="316"/>
      <c r="D65" s="534">
        <f>Atkinson_Senginttries</f>
        <v>0</v>
      </c>
      <c r="E65" s="101">
        <f>SUM(C65:D65)</f>
        <v>0</v>
      </c>
      <c r="F65" s="113" t="s">
        <v>213</v>
      </c>
      <c r="G65" s="225" t="s">
        <v>172</v>
      </c>
      <c r="H65" s="318">
        <f>allanita6npts</f>
        <v>0</v>
      </c>
      <c r="I65" s="536">
        <f>allanitaintpts</f>
        <v>0</v>
      </c>
      <c r="J65" s="102">
        <f>SUM(H65:I65)</f>
        <v>0</v>
      </c>
    </row>
    <row r="66" spans="1:10" ht="14.95" customHeight="1" thickBot="1" x14ac:dyDescent="0.3">
      <c r="A66" s="26" t="s">
        <v>619</v>
      </c>
      <c r="B66" s="25" t="s">
        <v>182</v>
      </c>
      <c r="C66" s="316">
        <f>Atoniofra6ntries</f>
        <v>0</v>
      </c>
      <c r="D66" s="534">
        <f>atoniofrainttries</f>
        <v>0</v>
      </c>
      <c r="E66" s="101">
        <f>SUM(C66:D66)</f>
        <v>0</v>
      </c>
      <c r="F66" s="113" t="s">
        <v>293</v>
      </c>
      <c r="G66" s="225" t="s">
        <v>182</v>
      </c>
      <c r="H66" s="318">
        <f>Alldrittfra6npts</f>
        <v>0</v>
      </c>
      <c r="I66" s="536">
        <f>Alldrittfraintpts</f>
        <v>0</v>
      </c>
      <c r="J66" s="102">
        <f>SUM(H66:I66)</f>
        <v>0</v>
      </c>
    </row>
    <row r="67" spans="1:10" ht="14.95" customHeight="1" thickBot="1" x14ac:dyDescent="0.3">
      <c r="A67" s="26" t="s">
        <v>363</v>
      </c>
      <c r="B67" s="25" t="s">
        <v>182</v>
      </c>
      <c r="C67" s="316">
        <f>BailleFRA6NTRIES</f>
        <v>0</v>
      </c>
      <c r="D67" s="534">
        <f>baillefrainttries</f>
        <v>0</v>
      </c>
      <c r="E67" s="101">
        <f>SUM(C67:D67)</f>
        <v>0</v>
      </c>
      <c r="F67" s="113" t="s">
        <v>1023</v>
      </c>
      <c r="G67" s="225" t="s">
        <v>170</v>
      </c>
      <c r="H67" s="318" t="s">
        <v>355</v>
      </c>
      <c r="I67" s="536">
        <f>Amrsaintpts</f>
        <v>0</v>
      </c>
      <c r="J67" s="102">
        <f>SUM(H67:I67)</f>
        <v>0</v>
      </c>
    </row>
    <row r="68" spans="1:10" ht="14.95" customHeight="1" thickBot="1" x14ac:dyDescent="0.3">
      <c r="A68" s="26" t="s">
        <v>485</v>
      </c>
      <c r="B68" s="25" t="s">
        <v>167</v>
      </c>
      <c r="C68" s="316">
        <f>Bairdire6ntries</f>
        <v>0</v>
      </c>
      <c r="D68" s="534">
        <f>bairdireinttries</f>
        <v>0</v>
      </c>
      <c r="E68" s="101">
        <f>SUM(C68:D68)</f>
        <v>0</v>
      </c>
      <c r="F68" s="113" t="s">
        <v>440</v>
      </c>
      <c r="G68" s="225" t="s">
        <v>173</v>
      </c>
      <c r="H68" s="318">
        <f>Anscombewal6npts</f>
        <v>0</v>
      </c>
      <c r="I68" s="536">
        <f>ANSCOMBEWALINTPTS</f>
        <v>0</v>
      </c>
      <c r="J68" s="102">
        <f>SUM(H68:I68)</f>
        <v>0</v>
      </c>
    </row>
    <row r="69" spans="1:10" ht="14.95" customHeight="1" thickBot="1" x14ac:dyDescent="0.3">
      <c r="A69" s="26" t="s">
        <v>419</v>
      </c>
      <c r="B69" s="25" t="s">
        <v>165</v>
      </c>
      <c r="C69" s="316" t="s">
        <v>355</v>
      </c>
      <c r="D69" s="534"/>
      <c r="E69" s="101">
        <f>SUM(C69:D69)</f>
        <v>0</v>
      </c>
      <c r="F69" s="113" t="s">
        <v>527</v>
      </c>
      <c r="G69" s="225" t="s">
        <v>170</v>
      </c>
      <c r="H69" s="318" t="s">
        <v>355</v>
      </c>
      <c r="I69" s="536">
        <f>Arendsersaintptscorrect</f>
        <v>0</v>
      </c>
      <c r="J69" s="102">
        <f>SUM(H69:I69)</f>
        <v>0</v>
      </c>
    </row>
    <row r="70" spans="1:10" ht="14.95" customHeight="1" thickBot="1" x14ac:dyDescent="0.3">
      <c r="A70" s="26" t="s">
        <v>1214</v>
      </c>
      <c r="B70" s="25" t="s">
        <v>182</v>
      </c>
      <c r="C70" s="316">
        <f>Barassifra6ntries</f>
        <v>0</v>
      </c>
      <c r="D70" s="534">
        <f>Barassifrainttries</f>
        <v>0</v>
      </c>
      <c r="E70" s="101">
        <f>SUM(C70:D70)</f>
        <v>0</v>
      </c>
      <c r="F70" s="113" t="s">
        <v>722</v>
      </c>
      <c r="G70" s="225" t="s">
        <v>165</v>
      </c>
      <c r="H70" s="318" t="s">
        <v>355</v>
      </c>
      <c r="I70" s="536"/>
      <c r="J70" s="102">
        <f>SUM(H70:I70)</f>
        <v>0</v>
      </c>
    </row>
    <row r="71" spans="1:10" ht="14.95" customHeight="1" thickBot="1" x14ac:dyDescent="0.3">
      <c r="A71" s="26" t="s">
        <v>920</v>
      </c>
      <c r="B71" s="25" t="s">
        <v>182</v>
      </c>
      <c r="C71" s="316">
        <f>barrefra6ntries</f>
        <v>0</v>
      </c>
      <c r="D71" s="534">
        <f>barrefrainttries</f>
        <v>0</v>
      </c>
      <c r="E71" s="101">
        <f>SUM(C71:D71)</f>
        <v>0</v>
      </c>
      <c r="F71" s="113" t="s">
        <v>453</v>
      </c>
      <c r="G71" s="225" t="s">
        <v>169</v>
      </c>
      <c r="H71" s="318">
        <f>Ashmansco6npts</f>
        <v>0</v>
      </c>
      <c r="I71" s="536">
        <f>ashmanscointpts</f>
        <v>0</v>
      </c>
      <c r="J71" s="102">
        <f>SUM(H71:I71)</f>
        <v>0</v>
      </c>
    </row>
    <row r="72" spans="1:10" ht="14.95" customHeight="1" thickBot="1" x14ac:dyDescent="0.3">
      <c r="A72" s="26" t="s">
        <v>176</v>
      </c>
      <c r="B72" s="25" t="s">
        <v>166</v>
      </c>
      <c r="C72" s="316" t="s">
        <v>355</v>
      </c>
      <c r="D72" s="534">
        <f>Barrett_Bnzlinttries</f>
        <v>0</v>
      </c>
      <c r="E72" s="101">
        <f>SUM(C72:D72)</f>
        <v>0</v>
      </c>
      <c r="F72" s="113" t="s">
        <v>1273</v>
      </c>
      <c r="G72" s="225" t="s">
        <v>168</v>
      </c>
      <c r="H72" s="318"/>
      <c r="I72" s="536">
        <f>Atkinson_Sengintpts</f>
        <v>0</v>
      </c>
      <c r="J72" s="102">
        <f>SUM(H72:I72)</f>
        <v>0</v>
      </c>
    </row>
    <row r="73" spans="1:10" ht="14.95" customHeight="1" thickBot="1" x14ac:dyDescent="0.3">
      <c r="A73" s="26" t="s">
        <v>177</v>
      </c>
      <c r="B73" s="25" t="s">
        <v>166</v>
      </c>
      <c r="C73" s="316" t="s">
        <v>355</v>
      </c>
      <c r="D73" s="534">
        <f>Barrett_JNZLINTTRIES</f>
        <v>0</v>
      </c>
      <c r="E73" s="101">
        <f>SUM(C73:D73)</f>
        <v>0</v>
      </c>
      <c r="F73" s="113" t="s">
        <v>619</v>
      </c>
      <c r="G73" s="225" t="s">
        <v>182</v>
      </c>
      <c r="H73" s="318">
        <f>Atoniofra6npts</f>
        <v>0</v>
      </c>
      <c r="I73" s="536">
        <f>atoniofraintpts</f>
        <v>0</v>
      </c>
      <c r="J73" s="102">
        <f>SUM(H73:I73)</f>
        <v>0</v>
      </c>
    </row>
    <row r="74" spans="1:10" ht="14.95" customHeight="1" thickBot="1" x14ac:dyDescent="0.3">
      <c r="A74" s="26" t="s">
        <v>178</v>
      </c>
      <c r="B74" s="25" t="s">
        <v>166</v>
      </c>
      <c r="C74" s="316" t="s">
        <v>355</v>
      </c>
      <c r="D74" s="534"/>
      <c r="E74" s="101">
        <f>SUM(C74:D74)</f>
        <v>0</v>
      </c>
      <c r="F74" s="113" t="s">
        <v>363</v>
      </c>
      <c r="G74" s="225" t="s">
        <v>182</v>
      </c>
      <c r="H74" s="318">
        <f>BailleFRA6NPTS</f>
        <v>0</v>
      </c>
      <c r="I74" s="536">
        <f>baillefraintpts</f>
        <v>0</v>
      </c>
      <c r="J74" s="102">
        <f>SUM(H74:I74)</f>
        <v>0</v>
      </c>
    </row>
    <row r="75" spans="1:10" ht="14.95" customHeight="1" thickBot="1" x14ac:dyDescent="0.3">
      <c r="A75" s="26" t="s">
        <v>394</v>
      </c>
      <c r="B75" s="25" t="s">
        <v>173</v>
      </c>
      <c r="C75" s="316">
        <f>BashamWAL6NTRIES</f>
        <v>0</v>
      </c>
      <c r="D75" s="534"/>
      <c r="E75" s="101">
        <f>SUM(C75:D75)</f>
        <v>0</v>
      </c>
      <c r="F75" s="113" t="s">
        <v>485</v>
      </c>
      <c r="G75" s="225" t="s">
        <v>167</v>
      </c>
      <c r="H75" s="318">
        <f>Bairdire6npts</f>
        <v>0</v>
      </c>
      <c r="I75" s="536">
        <f>bairdireintpts</f>
        <v>0</v>
      </c>
      <c r="J75" s="102">
        <f>SUM(H75:I75)</f>
        <v>0</v>
      </c>
    </row>
    <row r="76" spans="1:10" ht="14.95" customHeight="1" thickBot="1" x14ac:dyDescent="0.3">
      <c r="A76" s="26" t="s">
        <v>1176</v>
      </c>
      <c r="B76" s="25" t="s">
        <v>168</v>
      </c>
      <c r="C76" s="316">
        <f>baxtereng6ntries</f>
        <v>0</v>
      </c>
      <c r="D76" s="534">
        <f>Baxterenginttries</f>
        <v>0</v>
      </c>
      <c r="E76" s="101">
        <f>SUM(C76:D76)</f>
        <v>0</v>
      </c>
      <c r="F76" s="113" t="s">
        <v>419</v>
      </c>
      <c r="G76" s="225" t="s">
        <v>165</v>
      </c>
      <c r="H76" s="318" t="s">
        <v>355</v>
      </c>
      <c r="I76" s="536"/>
      <c r="J76" s="102">
        <f>SUM(H76:I76)</f>
        <v>0</v>
      </c>
    </row>
    <row r="77" spans="1:10" ht="14.95" customHeight="1" thickBot="1" x14ac:dyDescent="0.3">
      <c r="A77" s="26" t="s">
        <v>641</v>
      </c>
      <c r="B77" s="25" t="s">
        <v>169</v>
      </c>
      <c r="C77" s="316"/>
      <c r="D77" s="534">
        <f>baylissscointtries</f>
        <v>0</v>
      </c>
      <c r="E77" s="101">
        <f>SUM(C77:D77)</f>
        <v>0</v>
      </c>
      <c r="F77" s="113" t="s">
        <v>1214</v>
      </c>
      <c r="G77" s="225" t="s">
        <v>182</v>
      </c>
      <c r="H77" s="318">
        <f>Barassifra6npts</f>
        <v>0</v>
      </c>
      <c r="I77" s="536">
        <f>Barassifraintpts</f>
        <v>0</v>
      </c>
      <c r="J77" s="102">
        <f>SUM(H77:I77)</f>
        <v>0</v>
      </c>
    </row>
    <row r="78" spans="1:10" ht="14.95" customHeight="1" thickBot="1" x14ac:dyDescent="0.3">
      <c r="A78" s="26" t="s">
        <v>388</v>
      </c>
      <c r="B78" s="25" t="s">
        <v>167</v>
      </c>
      <c r="C78" s="316">
        <f>Bealhamire6ntries</f>
        <v>0</v>
      </c>
      <c r="D78" s="534"/>
      <c r="E78" s="101">
        <f>SUM(C78:D78)</f>
        <v>0</v>
      </c>
      <c r="F78" s="113" t="s">
        <v>920</v>
      </c>
      <c r="G78" s="225" t="s">
        <v>182</v>
      </c>
      <c r="H78" s="318">
        <f>barrefra6npts</f>
        <v>0</v>
      </c>
      <c r="I78" s="536">
        <f>barrefraintpts</f>
        <v>0</v>
      </c>
      <c r="J78" s="102">
        <f>SUM(H78:I78)</f>
        <v>0</v>
      </c>
    </row>
    <row r="79" spans="1:10" ht="14.95" customHeight="1" thickBot="1" x14ac:dyDescent="0.3">
      <c r="A79" s="26" t="s">
        <v>251</v>
      </c>
      <c r="B79" s="25" t="s">
        <v>167</v>
      </c>
      <c r="C79" s="316">
        <f>BEIRNEIRE6NTRIES</f>
        <v>0</v>
      </c>
      <c r="D79" s="534">
        <f>BEIRNEIREINTTRIES</f>
        <v>0</v>
      </c>
      <c r="E79" s="101">
        <f>SUM(C79:D79)</f>
        <v>0</v>
      </c>
      <c r="F79" s="113" t="s">
        <v>176</v>
      </c>
      <c r="G79" s="225" t="s">
        <v>166</v>
      </c>
      <c r="H79" s="318" t="s">
        <v>355</v>
      </c>
      <c r="I79" s="536">
        <f>Barrett_Bnzlintpts</f>
        <v>0</v>
      </c>
      <c r="J79" s="102">
        <f>SUM(H79:I79)</f>
        <v>0</v>
      </c>
    </row>
    <row r="80" spans="1:10" ht="14.95" customHeight="1" thickBot="1" x14ac:dyDescent="0.3">
      <c r="A80" s="26" t="s">
        <v>723</v>
      </c>
      <c r="B80" s="25" t="s">
        <v>165</v>
      </c>
      <c r="C80" s="316" t="s">
        <v>355</v>
      </c>
      <c r="D80" s="534">
        <f>Bellausinttries</f>
        <v>0</v>
      </c>
      <c r="E80" s="101">
        <f>SUM(C80:D80)</f>
        <v>0</v>
      </c>
      <c r="F80" s="113" t="s">
        <v>177</v>
      </c>
      <c r="G80" s="225" t="s">
        <v>166</v>
      </c>
      <c r="H80" s="318" t="s">
        <v>355</v>
      </c>
      <c r="I80" s="536">
        <f>Barrett_JNZLINTPTS</f>
        <v>0</v>
      </c>
      <c r="J80" s="102">
        <f>SUM(H80:I80)</f>
        <v>0</v>
      </c>
    </row>
    <row r="81" spans="1:10" ht="14.95" customHeight="1" thickBot="1" x14ac:dyDescent="0.3">
      <c r="A81" s="26" t="s">
        <v>1011</v>
      </c>
      <c r="B81" s="25" t="s">
        <v>166</v>
      </c>
      <c r="C81" s="316"/>
      <c r="D81" s="534">
        <f>Bellnzlinttries</f>
        <v>0</v>
      </c>
      <c r="E81" s="101">
        <f>SUM(C81:D81)</f>
        <v>0</v>
      </c>
      <c r="F81" s="113" t="s">
        <v>178</v>
      </c>
      <c r="G81" s="225" t="s">
        <v>166</v>
      </c>
      <c r="H81" s="318" t="s">
        <v>355</v>
      </c>
      <c r="I81" s="536"/>
      <c r="J81" s="102">
        <f>SUM(H81:I81)</f>
        <v>0</v>
      </c>
    </row>
    <row r="82" spans="1:10" ht="14.95" customHeight="1" thickBot="1" x14ac:dyDescent="0.3">
      <c r="A82" s="26" t="s">
        <v>1002</v>
      </c>
      <c r="B82" s="25" t="s">
        <v>171</v>
      </c>
      <c r="C82" s="316" t="s">
        <v>355</v>
      </c>
      <c r="D82" s="534">
        <f>belloarginttries</f>
        <v>0</v>
      </c>
      <c r="E82" s="101">
        <f>SUM(C82:D82)</f>
        <v>0</v>
      </c>
      <c r="F82" s="113" t="s">
        <v>394</v>
      </c>
      <c r="G82" s="225" t="s">
        <v>173</v>
      </c>
      <c r="H82" s="318">
        <f>BashamWAL6NPTS</f>
        <v>0</v>
      </c>
      <c r="I82" s="536"/>
      <c r="J82" s="102">
        <f>SUM(H82:I82)</f>
        <v>0</v>
      </c>
    </row>
    <row r="83" spans="1:10" ht="14.95" customHeight="1" thickBot="1" x14ac:dyDescent="0.3">
      <c r="A83" s="26" t="s">
        <v>1415</v>
      </c>
      <c r="B83" s="25" t="s">
        <v>171</v>
      </c>
      <c r="C83" s="316" t="s">
        <v>355</v>
      </c>
      <c r="D83" s="534">
        <f>bertranouarginttries</f>
        <v>0</v>
      </c>
      <c r="E83" s="101">
        <f>SUM(C83:D83)</f>
        <v>0</v>
      </c>
      <c r="F83" s="113" t="s">
        <v>1176</v>
      </c>
      <c r="G83" s="225" t="s">
        <v>168</v>
      </c>
      <c r="H83" s="318">
        <f>baxtereng6npts</f>
        <v>0</v>
      </c>
      <c r="I83" s="536">
        <f>Baxterengintpts</f>
        <v>0</v>
      </c>
      <c r="J83" s="102">
        <f>SUM(H83:I83)</f>
        <v>0</v>
      </c>
    </row>
    <row r="84" spans="1:10" ht="14.95" customHeight="1" thickBot="1" x14ac:dyDescent="0.3">
      <c r="A84" s="26" t="s">
        <v>984</v>
      </c>
      <c r="B84" s="25" t="s">
        <v>182</v>
      </c>
      <c r="C84" s="316"/>
      <c r="D84" s="534">
        <f>berdeufrainttries</f>
        <v>0</v>
      </c>
      <c r="E84" s="101">
        <f>SUM(C84:D84)</f>
        <v>0</v>
      </c>
      <c r="F84" s="113" t="s">
        <v>641</v>
      </c>
      <c r="G84" s="225" t="s">
        <v>169</v>
      </c>
      <c r="H84" s="318"/>
      <c r="I84" s="536">
        <f>baylissscointpts</f>
        <v>0</v>
      </c>
      <c r="J84" s="102">
        <f>SUM(H84:I84)</f>
        <v>0</v>
      </c>
    </row>
    <row r="85" spans="1:10" ht="14.95" customHeight="1" thickBot="1" x14ac:dyDescent="0.3">
      <c r="A85" s="26" t="s">
        <v>1122</v>
      </c>
      <c r="B85" s="25" t="s">
        <v>173</v>
      </c>
      <c r="C85" s="316"/>
      <c r="D85" s="534">
        <f>bevanwalinttries</f>
        <v>0</v>
      </c>
      <c r="E85" s="101">
        <f>SUM(C85:D85)</f>
        <v>0</v>
      </c>
      <c r="F85" s="113" t="s">
        <v>388</v>
      </c>
      <c r="G85" s="225" t="s">
        <v>167</v>
      </c>
      <c r="H85" s="318">
        <f>Bealhamire6npts</f>
        <v>0</v>
      </c>
      <c r="I85" s="536"/>
      <c r="J85" s="102">
        <f>SUM(H85:I85)</f>
        <v>0</v>
      </c>
    </row>
    <row r="86" spans="1:10" ht="14.95" customHeight="1" thickBot="1" x14ac:dyDescent="0.3">
      <c r="A86" s="26" t="s">
        <v>383</v>
      </c>
      <c r="B86" s="25" t="s">
        <v>172</v>
      </c>
      <c r="C86" s="316"/>
      <c r="D86" s="534"/>
      <c r="E86" s="101">
        <f>SUM(C86:D86)</f>
        <v>0</v>
      </c>
      <c r="F86" s="113" t="s">
        <v>251</v>
      </c>
      <c r="G86" s="225" t="s">
        <v>167</v>
      </c>
      <c r="H86" s="318">
        <f>BEIRNEIRE6NPTS</f>
        <v>0</v>
      </c>
      <c r="I86" s="536">
        <f>BEIRNEIREINTPTS</f>
        <v>0</v>
      </c>
      <c r="J86" s="102">
        <f>SUM(H86:I86)</f>
        <v>0</v>
      </c>
    </row>
    <row r="87" spans="1:10" ht="14.95" customHeight="1" thickBot="1" x14ac:dyDescent="0.3">
      <c r="A87" s="26" t="s">
        <v>427</v>
      </c>
      <c r="B87" s="25" t="s">
        <v>171</v>
      </c>
      <c r="C87" s="316" t="s">
        <v>355</v>
      </c>
      <c r="D87" s="534">
        <f>boffelliarginttries</f>
        <v>0</v>
      </c>
      <c r="E87" s="101">
        <f>SUM(C87:D87)</f>
        <v>0</v>
      </c>
      <c r="F87" s="113" t="s">
        <v>723</v>
      </c>
      <c r="G87" s="225" t="s">
        <v>165</v>
      </c>
      <c r="H87" s="318" t="s">
        <v>355</v>
      </c>
      <c r="I87" s="536">
        <f>Bellausintpts</f>
        <v>0</v>
      </c>
      <c r="J87" s="102">
        <f>SUM(H87:I87)</f>
        <v>0</v>
      </c>
    </row>
    <row r="88" spans="1:10" ht="14.95" customHeight="1" thickBot="1" x14ac:dyDescent="0.3">
      <c r="A88" s="26" t="s">
        <v>692</v>
      </c>
      <c r="B88" s="25" t="s">
        <v>171</v>
      </c>
      <c r="C88" s="316" t="s">
        <v>355</v>
      </c>
      <c r="D88" s="534">
        <f>bogadoarginttries</f>
        <v>0</v>
      </c>
      <c r="E88" s="101">
        <f>SUM(C88:D88)</f>
        <v>0</v>
      </c>
      <c r="F88" s="113" t="s">
        <v>1011</v>
      </c>
      <c r="G88" s="225" t="s">
        <v>166</v>
      </c>
      <c r="H88" s="318"/>
      <c r="I88" s="536">
        <f>Bellnzlintpts</f>
        <v>0</v>
      </c>
      <c r="J88" s="102">
        <f>SUM(H88:I88)</f>
        <v>0</v>
      </c>
    </row>
    <row r="89" spans="1:10" ht="14.95" customHeight="1" thickBot="1" x14ac:dyDescent="0.3">
      <c r="A89" s="26" t="s">
        <v>1269</v>
      </c>
      <c r="B89" s="25" t="s">
        <v>167</v>
      </c>
      <c r="C89" s="316"/>
      <c r="D89" s="534">
        <f>boltonireinttries</f>
        <v>0</v>
      </c>
      <c r="E89" s="101">
        <f>SUM(C89:D89)</f>
        <v>0</v>
      </c>
      <c r="F89" s="113" t="s">
        <v>1002</v>
      </c>
      <c r="G89" s="225" t="s">
        <v>171</v>
      </c>
      <c r="H89" s="318" t="s">
        <v>355</v>
      </c>
      <c r="I89" s="536">
        <f>belloargintpts</f>
        <v>0</v>
      </c>
      <c r="J89" s="102">
        <f>SUM(H89:I89)</f>
        <v>0</v>
      </c>
    </row>
    <row r="90" spans="1:10" ht="14.95" customHeight="1" thickBot="1" x14ac:dyDescent="0.3">
      <c r="A90" s="26" t="s">
        <v>841</v>
      </c>
      <c r="B90" s="25" t="s">
        <v>182</v>
      </c>
      <c r="C90" s="316">
        <f>Boudehent__Paulfra6ntries</f>
        <v>0</v>
      </c>
      <c r="D90" s="534">
        <f>boudehentpaulfrainttries</f>
        <v>0</v>
      </c>
      <c r="E90" s="101">
        <f>SUM(C90:D90)</f>
        <v>0</v>
      </c>
      <c r="F90" s="113" t="s">
        <v>1415</v>
      </c>
      <c r="G90" s="225" t="s">
        <v>171</v>
      </c>
      <c r="H90" s="318" t="s">
        <v>355</v>
      </c>
      <c r="I90" s="536">
        <f>bertranouargintpts</f>
        <v>0</v>
      </c>
      <c r="J90" s="102">
        <f>SUM(H90:I90)</f>
        <v>0</v>
      </c>
    </row>
    <row r="91" spans="1:10" ht="14.95" customHeight="1" thickBot="1" x14ac:dyDescent="0.3">
      <c r="A91" s="26" t="s">
        <v>1384</v>
      </c>
      <c r="B91" s="25" t="s">
        <v>166</v>
      </c>
      <c r="C91" s="316" t="s">
        <v>355</v>
      </c>
      <c r="D91" s="534">
        <f>Bowernzlinttries</f>
        <v>0</v>
      </c>
      <c r="E91" s="101">
        <f>SUM(C91:D91)</f>
        <v>0</v>
      </c>
      <c r="F91" s="113" t="s">
        <v>984</v>
      </c>
      <c r="G91" s="225" t="s">
        <v>182</v>
      </c>
      <c r="H91" s="318"/>
      <c r="I91" s="536">
        <f>berdeufraintpts</f>
        <v>0</v>
      </c>
      <c r="J91" s="102">
        <f>SUM(H91:I91)</f>
        <v>0</v>
      </c>
    </row>
    <row r="92" spans="1:10" ht="14.95" customHeight="1" thickBot="1" x14ac:dyDescent="0.3">
      <c r="A92" s="26" t="s">
        <v>488</v>
      </c>
      <c r="B92" s="25" t="s">
        <v>172</v>
      </c>
      <c r="C92" s="316" t="s">
        <v>355</v>
      </c>
      <c r="D92" s="534"/>
      <c r="E92" s="101">
        <f>SUM(C92:D92)</f>
        <v>0</v>
      </c>
      <c r="F92" s="113" t="s">
        <v>1122</v>
      </c>
      <c r="G92" s="225" t="s">
        <v>173</v>
      </c>
      <c r="H92" s="318"/>
      <c r="I92" s="536">
        <f>bevanwalintpts</f>
        <v>0</v>
      </c>
      <c r="J92" s="102">
        <f>SUM(H92:I92)</f>
        <v>0</v>
      </c>
    </row>
    <row r="93" spans="1:10" ht="14.95" customHeight="1" thickBot="1" x14ac:dyDescent="0.3">
      <c r="A93" s="26" t="s">
        <v>1261</v>
      </c>
      <c r="B93" s="25" t="s">
        <v>182</v>
      </c>
      <c r="C93" s="316"/>
      <c r="D93" s="534">
        <f>brennanfrainttries</f>
        <v>0</v>
      </c>
      <c r="E93" s="101">
        <f>SUM(C93:D93)</f>
        <v>0</v>
      </c>
      <c r="F93" s="113" t="s">
        <v>383</v>
      </c>
      <c r="G93" s="225" t="s">
        <v>172</v>
      </c>
      <c r="H93" s="318"/>
      <c r="I93" s="536"/>
      <c r="J93" s="102">
        <f>SUM(H93:I93)</f>
        <v>0</v>
      </c>
    </row>
    <row r="94" spans="1:10" ht="14.95" customHeight="1" thickBot="1" x14ac:dyDescent="0.3">
      <c r="A94" s="26" t="s">
        <v>876</v>
      </c>
      <c r="B94" s="25" t="s">
        <v>172</v>
      </c>
      <c r="C94" s="316">
        <f>Brexita6ntries</f>
        <v>0</v>
      </c>
      <c r="D94" s="534">
        <f>brexitainttries</f>
        <v>0</v>
      </c>
      <c r="E94" s="101">
        <f>SUM(C94:D94)</f>
        <v>0</v>
      </c>
      <c r="F94" s="113" t="s">
        <v>427</v>
      </c>
      <c r="G94" s="225" t="s">
        <v>171</v>
      </c>
      <c r="H94" s="318" t="s">
        <v>355</v>
      </c>
      <c r="I94" s="536">
        <f>boffelliargintpts</f>
        <v>0</v>
      </c>
      <c r="J94" s="102">
        <f>SUM(H94:I94)</f>
        <v>0</v>
      </c>
    </row>
    <row r="95" spans="1:10" ht="14.95" customHeight="1" thickBot="1" x14ac:dyDescent="0.3">
      <c r="A95" s="26" t="s">
        <v>548</v>
      </c>
      <c r="B95" s="25" t="s">
        <v>172</v>
      </c>
      <c r="C95" s="316">
        <f>Brunoita6ntries</f>
        <v>0</v>
      </c>
      <c r="D95" s="534">
        <f>brunoitainttries</f>
        <v>0</v>
      </c>
      <c r="E95" s="101">
        <f>SUM(C95:D95)</f>
        <v>0</v>
      </c>
      <c r="F95" s="113" t="s">
        <v>692</v>
      </c>
      <c r="G95" s="225" t="s">
        <v>171</v>
      </c>
      <c r="H95" s="318" t="s">
        <v>355</v>
      </c>
      <c r="I95" s="536">
        <f>bogadoargintpts</f>
        <v>0</v>
      </c>
      <c r="J95" s="102">
        <f>SUM(H95:I95)</f>
        <v>0</v>
      </c>
    </row>
    <row r="96" spans="1:10" ht="14.95" customHeight="1" thickBot="1" x14ac:dyDescent="0.3">
      <c r="A96" s="26" t="s">
        <v>1256</v>
      </c>
      <c r="B96" s="25" t="s">
        <v>169</v>
      </c>
      <c r="C96" s="316">
        <f>Burkesco6ntries</f>
        <v>0</v>
      </c>
      <c r="D96" s="534">
        <f>Burkescointtries</f>
        <v>0</v>
      </c>
      <c r="E96" s="101">
        <f>SUM(C96:D96)</f>
        <v>0</v>
      </c>
      <c r="F96" s="113" t="s">
        <v>1269</v>
      </c>
      <c r="G96" s="225" t="s">
        <v>167</v>
      </c>
      <c r="H96" s="318"/>
      <c r="I96" s="536">
        <f>boltonireintpts</f>
        <v>0</v>
      </c>
      <c r="J96" s="102">
        <f>SUM(H96:I96)</f>
        <v>0</v>
      </c>
    </row>
    <row r="97" spans="1:10" ht="14.95" customHeight="1" thickBot="1" x14ac:dyDescent="0.3">
      <c r="A97" s="26" t="s">
        <v>1130</v>
      </c>
      <c r="B97" s="25" t="s">
        <v>182</v>
      </c>
      <c r="C97" s="316"/>
      <c r="D97" s="534">
        <f>burosfrainttries</f>
        <v>0</v>
      </c>
      <c r="E97" s="101">
        <f>SUM(C97:D97)</f>
        <v>0</v>
      </c>
      <c r="F97" s="113" t="s">
        <v>841</v>
      </c>
      <c r="G97" s="225" t="s">
        <v>182</v>
      </c>
      <c r="H97" s="318">
        <f>Boudehent__Paulfra6npts</f>
        <v>0</v>
      </c>
      <c r="I97" s="536">
        <f>boudehentpaulfraintpts</f>
        <v>0</v>
      </c>
      <c r="J97" s="102">
        <f>SUM(H97:I97)</f>
        <v>0</v>
      </c>
    </row>
    <row r="98" spans="1:10" ht="14.95" customHeight="1" thickBot="1" x14ac:dyDescent="0.3">
      <c r="A98" s="26" t="s">
        <v>1019</v>
      </c>
      <c r="B98" s="25" t="s">
        <v>170</v>
      </c>
      <c r="C98" s="316" t="s">
        <v>355</v>
      </c>
      <c r="D98" s="534">
        <f>Buthelezirsainttries</f>
        <v>0</v>
      </c>
      <c r="E98" s="101">
        <f>SUM(C98:D98)</f>
        <v>0</v>
      </c>
      <c r="F98" s="113" t="s">
        <v>1384</v>
      </c>
      <c r="G98" s="225" t="s">
        <v>166</v>
      </c>
      <c r="H98" s="318" t="s">
        <v>355</v>
      </c>
      <c r="I98" s="536">
        <f>Bowernzlintpts</f>
        <v>0</v>
      </c>
      <c r="J98" s="102">
        <f>SUM(H98:I98)</f>
        <v>0</v>
      </c>
    </row>
    <row r="99" spans="1:10" ht="14.95" customHeight="1" thickBot="1" x14ac:dyDescent="0.3">
      <c r="A99" s="26" t="s">
        <v>406</v>
      </c>
      <c r="B99" s="25" t="s">
        <v>167</v>
      </c>
      <c r="C99" s="316">
        <f>byrnehire6ntries</f>
        <v>0</v>
      </c>
      <c r="D99" s="534"/>
      <c r="E99" s="101">
        <f>SUM(C99:D99)</f>
        <v>0</v>
      </c>
      <c r="F99" s="113" t="s">
        <v>488</v>
      </c>
      <c r="G99" s="225" t="s">
        <v>172</v>
      </c>
      <c r="H99" s="318" t="s">
        <v>355</v>
      </c>
      <c r="I99" s="536"/>
      <c r="J99" s="102">
        <f>SUM(H99:I99)</f>
        <v>0</v>
      </c>
    </row>
    <row r="100" spans="1:10" ht="14.95" customHeight="1" thickBot="1" x14ac:dyDescent="0.3">
      <c r="A100" s="26" t="s">
        <v>547</v>
      </c>
      <c r="B100" s="25" t="s">
        <v>172</v>
      </c>
      <c r="C100" s="316"/>
      <c r="D100" s="534">
        <f>cannonelitainttries</f>
        <v>0</v>
      </c>
      <c r="E100" s="101">
        <f>SUM(C100:D100)</f>
        <v>0</v>
      </c>
      <c r="F100" s="113" t="s">
        <v>1261</v>
      </c>
      <c r="G100" s="225" t="s">
        <v>182</v>
      </c>
      <c r="H100" s="318"/>
      <c r="I100" s="536">
        <f>brennanfraintpts</f>
        <v>0</v>
      </c>
      <c r="J100" s="102">
        <f>SUM(H100:I100)</f>
        <v>0</v>
      </c>
    </row>
    <row r="101" spans="1:10" ht="14.95" customHeight="1" thickBot="1" x14ac:dyDescent="0.3">
      <c r="A101" s="26" t="s">
        <v>506</v>
      </c>
      <c r="B101" s="25" t="s">
        <v>172</v>
      </c>
      <c r="C101" s="316"/>
      <c r="D101" s="534">
        <f>canonenitainttries</f>
        <v>0</v>
      </c>
      <c r="E101" s="101">
        <f>SUM(C101:D101)</f>
        <v>0</v>
      </c>
      <c r="F101" s="113" t="s">
        <v>876</v>
      </c>
      <c r="G101" s="225" t="s">
        <v>172</v>
      </c>
      <c r="H101" s="318">
        <f>Brexits6npts</f>
        <v>0</v>
      </c>
      <c r="I101" s="536">
        <f>brexitaintpts</f>
        <v>0</v>
      </c>
      <c r="J101" s="102">
        <f>SUM(H101:I101)</f>
        <v>0</v>
      </c>
    </row>
    <row r="102" spans="1:10" ht="14.95" customHeight="1" thickBot="1" x14ac:dyDescent="0.3">
      <c r="A102" s="26" t="s">
        <v>633</v>
      </c>
      <c r="B102" s="25" t="s">
        <v>171</v>
      </c>
      <c r="C102" s="316" t="s">
        <v>355</v>
      </c>
      <c r="D102" s="534">
        <f>carrerasmarginttries</f>
        <v>0</v>
      </c>
      <c r="E102" s="101">
        <f>SUM(C102:D102)</f>
        <v>0</v>
      </c>
      <c r="F102" s="113" t="s">
        <v>548</v>
      </c>
      <c r="G102" s="225" t="s">
        <v>172</v>
      </c>
      <c r="H102" s="318">
        <f>Brunoits6npts</f>
        <v>0</v>
      </c>
      <c r="I102" s="536">
        <f>brunoitaintpts</f>
        <v>0</v>
      </c>
      <c r="J102" s="102">
        <f>SUM(H102:I102)</f>
        <v>0</v>
      </c>
    </row>
    <row r="103" spans="1:10" ht="14.95" customHeight="1" thickBot="1" x14ac:dyDescent="0.3">
      <c r="A103" s="26" t="s">
        <v>513</v>
      </c>
      <c r="B103" s="25" t="s">
        <v>171</v>
      </c>
      <c r="C103" s="316" t="s">
        <v>355</v>
      </c>
      <c r="D103" s="534">
        <f>carrerassarginttries</f>
        <v>0</v>
      </c>
      <c r="E103" s="101">
        <f>SUM(C103:D103)</f>
        <v>0</v>
      </c>
      <c r="F103" s="113" t="s">
        <v>1256</v>
      </c>
      <c r="G103" s="225" t="s">
        <v>169</v>
      </c>
      <c r="H103" s="318">
        <f>Burkesco6npts</f>
        <v>0</v>
      </c>
      <c r="I103" s="536">
        <f>Burkescointpts</f>
        <v>0</v>
      </c>
      <c r="J103" s="102">
        <f>SUM(H103:I103)</f>
        <v>0</v>
      </c>
    </row>
    <row r="104" spans="1:10" ht="14.95" customHeight="1" thickBot="1" x14ac:dyDescent="0.3">
      <c r="A104" s="26" t="s">
        <v>1366</v>
      </c>
      <c r="B104" s="25" t="s">
        <v>166</v>
      </c>
      <c r="C104" s="316" t="s">
        <v>355</v>
      </c>
      <c r="D104" s="534">
        <f>Carternzlinttries</f>
        <v>0</v>
      </c>
      <c r="E104" s="101">
        <f>SUM(C104:D104)</f>
        <v>0</v>
      </c>
      <c r="F104" s="113" t="s">
        <v>1130</v>
      </c>
      <c r="G104" s="225" t="s">
        <v>182</v>
      </c>
      <c r="H104" s="318"/>
      <c r="I104" s="536">
        <f>burosfraintpts</f>
        <v>0</v>
      </c>
      <c r="J104" s="102">
        <f>SUM(H104:I104)</f>
        <v>0</v>
      </c>
    </row>
    <row r="105" spans="1:10" ht="14.95" customHeight="1" thickBot="1" x14ac:dyDescent="0.3">
      <c r="A105" s="26" t="s">
        <v>867</v>
      </c>
      <c r="B105" s="25" t="s">
        <v>167</v>
      </c>
      <c r="C105" s="316">
        <f>Carberyire6ntries</f>
        <v>0</v>
      </c>
      <c r="D105" s="534">
        <f>caseyireinttries</f>
        <v>0</v>
      </c>
      <c r="E105" s="101">
        <f>SUM(C105:D105)</f>
        <v>0</v>
      </c>
      <c r="F105" s="113" t="s">
        <v>1019</v>
      </c>
      <c r="G105" s="225" t="s">
        <v>170</v>
      </c>
      <c r="H105" s="318" t="s">
        <v>355</v>
      </c>
      <c r="I105" s="536">
        <f>Buthelezirsaintpts</f>
        <v>0</v>
      </c>
      <c r="J105" s="102">
        <f>SUM(H105:I105)</f>
        <v>0</v>
      </c>
    </row>
    <row r="106" spans="1:10" ht="14.95" customHeight="1" thickBot="1" x14ac:dyDescent="0.3">
      <c r="A106" s="26" t="s">
        <v>1386</v>
      </c>
      <c r="B106" s="25" t="s">
        <v>165</v>
      </c>
      <c r="C106" s="316" t="s">
        <v>355</v>
      </c>
      <c r="D106" s="534">
        <f>cooperausinttriies</f>
        <v>0</v>
      </c>
      <c r="E106" s="101">
        <f>SUM(C106:D106)</f>
        <v>0</v>
      </c>
      <c r="F106" s="113" t="s">
        <v>406</v>
      </c>
      <c r="G106" s="225" t="s">
        <v>167</v>
      </c>
      <c r="H106" s="318">
        <f>byrnehire6npts</f>
        <v>0</v>
      </c>
      <c r="I106" s="536"/>
      <c r="J106" s="102">
        <f>SUM(H106:I106)</f>
        <v>0</v>
      </c>
    </row>
    <row r="107" spans="1:10" ht="14.95" customHeight="1" thickBot="1" x14ac:dyDescent="0.3">
      <c r="A107" s="26" t="s">
        <v>601</v>
      </c>
      <c r="B107" s="25" t="s">
        <v>168</v>
      </c>
      <c r="C107" s="316">
        <f>Chessum_Oeng6ntries</f>
        <v>0</v>
      </c>
      <c r="D107" s="534"/>
      <c r="E107" s="101">
        <f>SUM(C107:D107)</f>
        <v>0</v>
      </c>
      <c r="F107" s="113" t="s">
        <v>547</v>
      </c>
      <c r="G107" s="225" t="s">
        <v>172</v>
      </c>
      <c r="H107" s="318"/>
      <c r="I107" s="536">
        <f>cannonelitaintptscorrect</f>
        <v>0</v>
      </c>
      <c r="J107" s="102">
        <f>SUM(H107:I107)</f>
        <v>0</v>
      </c>
    </row>
    <row r="108" spans="1:10" ht="14.95" customHeight="1" thickBot="1" x14ac:dyDescent="0.3">
      <c r="A108" s="26" t="s">
        <v>693</v>
      </c>
      <c r="B108" s="25" t="s">
        <v>171</v>
      </c>
      <c r="C108" s="316" t="s">
        <v>355</v>
      </c>
      <c r="D108" s="534">
        <f>Chocobaresarginttries</f>
        <v>0</v>
      </c>
      <c r="E108" s="101">
        <f>SUM(C108:D108)</f>
        <v>0</v>
      </c>
      <c r="F108" s="113" t="s">
        <v>506</v>
      </c>
      <c r="G108" s="225" t="s">
        <v>172</v>
      </c>
      <c r="H108" s="318"/>
      <c r="I108" s="536">
        <f>cannoncenitaintpts</f>
        <v>0</v>
      </c>
      <c r="J108" s="102">
        <f>SUM(H108:I108)</f>
        <v>0</v>
      </c>
    </row>
    <row r="109" spans="1:10" ht="14.95" customHeight="1" thickBot="1" x14ac:dyDescent="0.3">
      <c r="A109" s="26" t="s">
        <v>1058</v>
      </c>
      <c r="B109" s="25" t="s">
        <v>171</v>
      </c>
      <c r="C109" s="316" t="s">
        <v>355</v>
      </c>
      <c r="D109" s="534">
        <f>Cintiarginttries</f>
        <v>0</v>
      </c>
      <c r="E109" s="101">
        <f>SUM(C109:D109)</f>
        <v>0</v>
      </c>
      <c r="F109" s="113" t="s">
        <v>633</v>
      </c>
      <c r="G109" s="225" t="s">
        <v>171</v>
      </c>
      <c r="H109" s="318" t="s">
        <v>355</v>
      </c>
      <c r="I109" s="536">
        <f>carrerasmargintpts</f>
        <v>0</v>
      </c>
      <c r="J109" s="102">
        <f>SUM(H109:I109)</f>
        <v>0</v>
      </c>
    </row>
    <row r="110" spans="1:10" ht="14.95" customHeight="1" thickBot="1" x14ac:dyDescent="0.3">
      <c r="A110" s="26" t="s">
        <v>531</v>
      </c>
      <c r="B110" s="25" t="s">
        <v>166</v>
      </c>
      <c r="C110" s="316" t="s">
        <v>355</v>
      </c>
      <c r="D110" s="534">
        <f>clarkenzlinttriescorrect</f>
        <v>0</v>
      </c>
      <c r="E110" s="101">
        <f>SUM(C110:D110)</f>
        <v>0</v>
      </c>
      <c r="F110" s="113" t="s">
        <v>513</v>
      </c>
      <c r="G110" s="225" t="s">
        <v>171</v>
      </c>
      <c r="H110" s="318" t="s">
        <v>355</v>
      </c>
      <c r="I110" s="536">
        <f>carrerassargintpts</f>
        <v>0</v>
      </c>
      <c r="J110" s="102">
        <f>SUM(H110:I110)</f>
        <v>0</v>
      </c>
    </row>
    <row r="111" spans="1:10" ht="14.95" customHeight="1" thickBot="1" x14ac:dyDescent="0.3">
      <c r="A111" s="26" t="s">
        <v>1270</v>
      </c>
      <c r="B111" s="25" t="s">
        <v>167</v>
      </c>
      <c r="C111" s="316"/>
      <c r="D111" s="534">
        <f>clarksonireinttries</f>
        <v>0</v>
      </c>
      <c r="E111" s="101">
        <f>SUM(C111:D111)</f>
        <v>0</v>
      </c>
      <c r="F111" s="113" t="s">
        <v>1366</v>
      </c>
      <c r="G111" s="225" t="s">
        <v>166</v>
      </c>
      <c r="H111" s="318" t="s">
        <v>355</v>
      </c>
      <c r="I111" s="536">
        <f>Carternzlintpts</f>
        <v>0</v>
      </c>
      <c r="J111" s="102">
        <f>SUM(H111:I111)</f>
        <v>0</v>
      </c>
    </row>
    <row r="112" spans="1:10" ht="14.95" customHeight="1" thickBot="1" x14ac:dyDescent="0.3">
      <c r="A112" s="26" t="s">
        <v>917</v>
      </c>
      <c r="B112" s="25" t="s">
        <v>182</v>
      </c>
      <c r="C112" s="316">
        <f>colombesfra6ntries</f>
        <v>0</v>
      </c>
      <c r="D112" s="534">
        <f>COUILLOUDFRAINTTRIES</f>
        <v>0</v>
      </c>
      <c r="E112" s="101">
        <f>SUM(C112:D112)</f>
        <v>0</v>
      </c>
      <c r="F112" s="113" t="s">
        <v>867</v>
      </c>
      <c r="G112" s="225" t="s">
        <v>167</v>
      </c>
      <c r="H112" s="318">
        <f>Carberyire6npts</f>
        <v>0</v>
      </c>
      <c r="I112" s="536">
        <f>carberyiireintpts</f>
        <v>0</v>
      </c>
      <c r="J112" s="102">
        <f>SUM(H112:I112)</f>
        <v>0</v>
      </c>
    </row>
    <row r="113" spans="1:10" ht="14.95" customHeight="1" thickBot="1" x14ac:dyDescent="0.3">
      <c r="A113" s="26" t="s">
        <v>1035</v>
      </c>
      <c r="B113" s="25" t="s">
        <v>171</v>
      </c>
      <c r="C113" s="316" t="s">
        <v>355</v>
      </c>
      <c r="D113" s="534">
        <f>corderoarginttries</f>
        <v>0</v>
      </c>
      <c r="E113" s="101">
        <f>SUM(C113:D113)</f>
        <v>0</v>
      </c>
      <c r="F113" s="113" t="s">
        <v>1386</v>
      </c>
      <c r="G113" s="225" t="s">
        <v>165</v>
      </c>
      <c r="H113" s="318" t="s">
        <v>355</v>
      </c>
      <c r="I113" s="536">
        <f>cooperausintpts</f>
        <v>0</v>
      </c>
      <c r="J113" s="102">
        <f>SUM(H113:I113)</f>
        <v>0</v>
      </c>
    </row>
    <row r="114" spans="1:10" ht="14.95" customHeight="1" thickBot="1" x14ac:dyDescent="0.3">
      <c r="A114" s="26" t="s">
        <v>1037</v>
      </c>
      <c r="B114" s="25" t="s">
        <v>171</v>
      </c>
      <c r="C114" s="316" t="s">
        <v>355</v>
      </c>
      <c r="D114" s="534">
        <f>cubelliarginttries</f>
        <v>0</v>
      </c>
      <c r="E114" s="101">
        <f>SUM(C114:D114)</f>
        <v>0</v>
      </c>
      <c r="F114" s="113" t="s">
        <v>601</v>
      </c>
      <c r="G114" s="225" t="s">
        <v>168</v>
      </c>
      <c r="H114" s="318">
        <f>Chessum_Oeng6npts</f>
        <v>0</v>
      </c>
      <c r="I114" s="536"/>
      <c r="J114" s="102">
        <f>SUM(H114:I114)</f>
        <v>0</v>
      </c>
    </row>
    <row r="115" spans="1:10" ht="14.95" customHeight="1" thickBot="1" x14ac:dyDescent="0.3">
      <c r="A115" s="26" t="s">
        <v>806</v>
      </c>
      <c r="B115" s="25" t="s">
        <v>173</v>
      </c>
      <c r="C115" s="316">
        <f>costelowwal6ntries</f>
        <v>0</v>
      </c>
      <c r="D115" s="534">
        <f>costellowwalinttries</f>
        <v>0</v>
      </c>
      <c r="E115" s="101">
        <f>SUM(C115:D115)</f>
        <v>0</v>
      </c>
      <c r="F115" s="113" t="s">
        <v>693</v>
      </c>
      <c r="G115" s="225" t="s">
        <v>171</v>
      </c>
      <c r="H115" s="318" t="s">
        <v>355</v>
      </c>
      <c r="I115" s="536">
        <f>Chocobaresargintpts</f>
        <v>0</v>
      </c>
      <c r="J115" s="102">
        <f>SUM(H115:I115)</f>
        <v>0</v>
      </c>
    </row>
    <row r="116" spans="1:10" ht="14.95" customHeight="1" thickBot="1" x14ac:dyDescent="0.3">
      <c r="A116" s="26" t="s">
        <v>982</v>
      </c>
      <c r="B116" s="25" t="s">
        <v>182</v>
      </c>
      <c r="C116" s="316"/>
      <c r="D116" s="534">
        <f>couilloudfrainttriescorrect</f>
        <v>0</v>
      </c>
      <c r="E116" s="101">
        <f>SUM(C116:D116)</f>
        <v>0</v>
      </c>
      <c r="F116" s="113" t="s">
        <v>1058</v>
      </c>
      <c r="G116" s="225" t="s">
        <v>171</v>
      </c>
      <c r="H116" s="318" t="s">
        <v>355</v>
      </c>
      <c r="I116" s="536">
        <f>Cintiarginttries</f>
        <v>0</v>
      </c>
      <c r="J116" s="102">
        <f>SUM(H116:I116)</f>
        <v>0</v>
      </c>
    </row>
    <row r="117" spans="1:10" ht="14.95" customHeight="1" thickBot="1" x14ac:dyDescent="0.3">
      <c r="A117" s="26" t="s">
        <v>325</v>
      </c>
      <c r="B117" s="25" t="s">
        <v>168</v>
      </c>
      <c r="C117" s="316"/>
      <c r="D117" s="534">
        <f>Cowan_Dickieenginttries</f>
        <v>0</v>
      </c>
      <c r="E117" s="101">
        <f>SUM(C117:D117)</f>
        <v>0</v>
      </c>
      <c r="F117" s="113" t="s">
        <v>531</v>
      </c>
      <c r="G117" s="225" t="s">
        <v>166</v>
      </c>
      <c r="H117" s="318" t="s">
        <v>355</v>
      </c>
      <c r="I117" s="536">
        <f>clarkenzlintptscorrect</f>
        <v>0</v>
      </c>
      <c r="J117" s="102">
        <f>SUM(H117:I117)</f>
        <v>0</v>
      </c>
    </row>
    <row r="118" spans="1:10" ht="14.95" customHeight="1" thickBot="1" x14ac:dyDescent="0.3">
      <c r="A118" s="26" t="s">
        <v>1060</v>
      </c>
      <c r="B118" s="25" t="s">
        <v>171</v>
      </c>
      <c r="C118" s="316" t="s">
        <v>355</v>
      </c>
      <c r="D118" s="534">
        <f>Creevyarginttriescorrect</f>
        <v>0</v>
      </c>
      <c r="E118" s="101">
        <f>SUM(C118:D118)</f>
        <v>0</v>
      </c>
      <c r="F118" s="113" t="s">
        <v>1270</v>
      </c>
      <c r="G118" s="225" t="s">
        <v>167</v>
      </c>
      <c r="H118" s="318"/>
      <c r="I118" s="536">
        <f>clarksonireintpts</f>
        <v>0</v>
      </c>
      <c r="J118" s="102">
        <f>SUM(H118:I118)</f>
        <v>0</v>
      </c>
    </row>
    <row r="119" spans="1:10" ht="14.95" customHeight="1" thickBot="1" x14ac:dyDescent="0.3">
      <c r="A119" s="26" t="s">
        <v>496</v>
      </c>
      <c r="B119" s="25" t="s">
        <v>182</v>
      </c>
      <c r="C119" s="316">
        <f>Crosfra6ntries</f>
        <v>0</v>
      </c>
      <c r="D119" s="534"/>
      <c r="E119" s="101">
        <f>SUM(C119:D119)</f>
        <v>0</v>
      </c>
      <c r="F119" s="113" t="s">
        <v>917</v>
      </c>
      <c r="G119" s="225" t="s">
        <v>182</v>
      </c>
      <c r="H119" s="318">
        <f>colombesfra6npts</f>
        <v>0</v>
      </c>
      <c r="I119" s="536">
        <f>COUILLOUDFRAINTPTS</f>
        <v>0</v>
      </c>
      <c r="J119" s="102">
        <f>SUM(H119:I119)</f>
        <v>0</v>
      </c>
    </row>
    <row r="120" spans="1:10" ht="14.95" customHeight="1" thickBot="1" x14ac:dyDescent="0.3">
      <c r="A120" s="26" t="s">
        <v>1051</v>
      </c>
      <c r="B120" s="25" t="s">
        <v>169</v>
      </c>
      <c r="C120" s="316"/>
      <c r="D120" s="534">
        <f>CROSBIESCOINTTRIES</f>
        <v>0</v>
      </c>
      <c r="E120" s="101">
        <f>SUM(C120:D120)</f>
        <v>0</v>
      </c>
      <c r="F120" s="113" t="s">
        <v>1035</v>
      </c>
      <c r="G120" s="225" t="s">
        <v>171</v>
      </c>
      <c r="H120" s="318" t="s">
        <v>355</v>
      </c>
      <c r="I120" s="536">
        <f>corderoargintpts</f>
        <v>0</v>
      </c>
      <c r="J120" s="102">
        <f>SUM(H120:I120)</f>
        <v>0</v>
      </c>
    </row>
    <row r="121" spans="1:10" ht="14.95" customHeight="1" thickBot="1" x14ac:dyDescent="0.3">
      <c r="A121" s="26" t="s">
        <v>938</v>
      </c>
      <c r="B121" s="25" t="s">
        <v>168</v>
      </c>
      <c r="C121" s="316">
        <f>CUNNINGHAMSOUTHENG6NTRIES</f>
        <v>0</v>
      </c>
      <c r="D121" s="534">
        <f>Cunningham_Sthenginttries</f>
        <v>0</v>
      </c>
      <c r="E121" s="101">
        <f>SUM(C121:D121)</f>
        <v>0</v>
      </c>
      <c r="F121" s="113" t="s">
        <v>1037</v>
      </c>
      <c r="G121" s="225" t="s">
        <v>171</v>
      </c>
      <c r="H121" s="318" t="s">
        <v>355</v>
      </c>
      <c r="I121" s="536">
        <f>cubelliargintpts</f>
        <v>0</v>
      </c>
      <c r="J121" s="102">
        <f>SUM(H121:I121)</f>
        <v>0</v>
      </c>
    </row>
    <row r="122" spans="1:10" ht="14.95" customHeight="1" thickBot="1" x14ac:dyDescent="0.3">
      <c r="A122" s="26" t="s">
        <v>1042</v>
      </c>
      <c r="B122" s="25" t="s">
        <v>169</v>
      </c>
      <c r="C122" s="316"/>
      <c r="D122" s="534">
        <f>curriescointtries</f>
        <v>0</v>
      </c>
      <c r="E122" s="101">
        <f>SUM(C122:D122)</f>
        <v>0</v>
      </c>
      <c r="F122" s="113" t="s">
        <v>982</v>
      </c>
      <c r="G122" s="225" t="s">
        <v>182</v>
      </c>
      <c r="H122" s="318"/>
      <c r="I122" s="536">
        <f>couilloudfraintptscorrect</f>
        <v>0</v>
      </c>
      <c r="J122" s="102">
        <f>SUM(H122:I122)</f>
        <v>0</v>
      </c>
    </row>
    <row r="123" spans="1:10" ht="14.95" customHeight="1" thickBot="1" x14ac:dyDescent="0.3">
      <c r="A123" s="26" t="s">
        <v>296</v>
      </c>
      <c r="B123" s="25" t="s">
        <v>168</v>
      </c>
      <c r="C123" s="316">
        <f>curryteng6ntries</f>
        <v>0</v>
      </c>
      <c r="D123" s="534">
        <f>Curry_Tenginttries</f>
        <v>0</v>
      </c>
      <c r="E123" s="101">
        <f>SUM(C123:D123)</f>
        <v>0</v>
      </c>
      <c r="F123" s="113" t="s">
        <v>325</v>
      </c>
      <c r="G123" s="225" t="s">
        <v>168</v>
      </c>
      <c r="H123" s="318"/>
      <c r="I123" s="536">
        <f>Cowan_Dickieengintpts</f>
        <v>0</v>
      </c>
      <c r="J123" s="102">
        <f>SUM(H123:I123)</f>
        <v>0</v>
      </c>
    </row>
    <row r="124" spans="1:10" ht="14.95" customHeight="1" thickBot="1" x14ac:dyDescent="0.3">
      <c r="A124" s="26" t="s">
        <v>1213</v>
      </c>
      <c r="B124" s="25" t="s">
        <v>172</v>
      </c>
      <c r="C124" s="316">
        <f>da_Reita6ntries</f>
        <v>0</v>
      </c>
      <c r="D124" s="534">
        <f>dareitainttries</f>
        <v>0</v>
      </c>
      <c r="E124" s="101">
        <f>SUM(C124:D124)</f>
        <v>0</v>
      </c>
      <c r="F124" s="113" t="s">
        <v>1060</v>
      </c>
      <c r="G124" s="225" t="s">
        <v>171</v>
      </c>
      <c r="H124" s="318" t="s">
        <v>355</v>
      </c>
      <c r="I124" s="536">
        <f>Creevyargintptsscorrect</f>
        <v>0</v>
      </c>
      <c r="J124" s="102">
        <f>SUM(H124:I124)</f>
        <v>0</v>
      </c>
    </row>
    <row r="125" spans="1:10" ht="14.95" customHeight="1" thickBot="1" x14ac:dyDescent="0.3">
      <c r="A125" s="26" t="s">
        <v>212</v>
      </c>
      <c r="B125" s="25" t="s">
        <v>168</v>
      </c>
      <c r="C125" s="316">
        <f>Dalyeng6ntries</f>
        <v>0</v>
      </c>
      <c r="D125" s="534"/>
      <c r="E125" s="101">
        <f>SUM(C125:D125)</f>
        <v>0</v>
      </c>
      <c r="F125" s="113" t="s">
        <v>496</v>
      </c>
      <c r="G125" s="225" t="s">
        <v>182</v>
      </c>
      <c r="H125" s="318">
        <f>Crosfra6npts</f>
        <v>0</v>
      </c>
      <c r="I125" s="536"/>
      <c r="J125" s="102">
        <f>SUM(H125:I125)</f>
        <v>0</v>
      </c>
    </row>
    <row r="126" spans="1:10" ht="14.95" customHeight="1" thickBot="1" x14ac:dyDescent="0.3">
      <c r="A126" s="26" t="s">
        <v>659</v>
      </c>
      <c r="B126" s="25" t="s">
        <v>168</v>
      </c>
      <c r="C126" s="316" t="s">
        <v>20</v>
      </c>
      <c r="D126" s="534"/>
      <c r="E126" s="101">
        <f>SUM(C126:D126)</f>
        <v>0</v>
      </c>
      <c r="F126" s="113" t="s">
        <v>1051</v>
      </c>
      <c r="G126" s="225" t="s">
        <v>169</v>
      </c>
      <c r="H126" s="318"/>
      <c r="I126" s="536">
        <f>CROSBIESCOINTPTS</f>
        <v>0</v>
      </c>
      <c r="J126" s="102">
        <f>SUM(H126:I126)</f>
        <v>0</v>
      </c>
    </row>
    <row r="127" spans="1:10" ht="14.95" customHeight="1" thickBot="1" x14ac:dyDescent="0.3">
      <c r="A127" s="26" t="s">
        <v>374</v>
      </c>
      <c r="B127" s="25" t="s">
        <v>182</v>
      </c>
      <c r="C127" s="316">
        <f>Dantyfra6ntries</f>
        <v>0</v>
      </c>
      <c r="D127" s="534">
        <f>DANTYFRAINTTRIES</f>
        <v>0</v>
      </c>
      <c r="E127" s="101">
        <f>SUM(C127:D127)</f>
        <v>0</v>
      </c>
      <c r="F127" s="113" t="s">
        <v>938</v>
      </c>
      <c r="G127" s="225" t="s">
        <v>168</v>
      </c>
      <c r="H127" s="318">
        <f>CUNNINGHAMSOUTHENG6NPTS</f>
        <v>0</v>
      </c>
      <c r="I127" s="536">
        <f>Cunningham_Sthengintpts</f>
        <v>0</v>
      </c>
      <c r="J127" s="102">
        <f>SUM(H127:I127)</f>
        <v>0</v>
      </c>
    </row>
    <row r="128" spans="1:10" ht="14.95" customHeight="1" thickBot="1" x14ac:dyDescent="0.3">
      <c r="A128" s="26" t="s">
        <v>479</v>
      </c>
      <c r="B128" s="25" t="s">
        <v>169</v>
      </c>
      <c r="C128" s="316">
        <f>Dargesco6ntries</f>
        <v>0</v>
      </c>
      <c r="D128" s="534">
        <f>dargescointtries</f>
        <v>0</v>
      </c>
      <c r="E128" s="101">
        <f>SUM(C128:D128)</f>
        <v>0</v>
      </c>
      <c r="F128" s="113" t="s">
        <v>1042</v>
      </c>
      <c r="G128" s="225" t="s">
        <v>169</v>
      </c>
      <c r="H128" s="318"/>
      <c r="I128" s="536">
        <f>curriescointpts</f>
        <v>0</v>
      </c>
      <c r="J128" s="102">
        <f>SUM(H128:I128)</f>
        <v>0</v>
      </c>
    </row>
    <row r="129" spans="1:10" ht="14.95" customHeight="1" thickBot="1" x14ac:dyDescent="0.3">
      <c r="A129" s="26" t="s">
        <v>1055</v>
      </c>
      <c r="B129" s="25" t="s">
        <v>166</v>
      </c>
      <c r="C129" s="316" t="s">
        <v>355</v>
      </c>
      <c r="D129" s="534">
        <f>Darrynzlintries</f>
        <v>0</v>
      </c>
      <c r="E129" s="101">
        <f>SUM(C129:D129)</f>
        <v>0</v>
      </c>
      <c r="F129" s="113" t="s">
        <v>296</v>
      </c>
      <c r="G129" s="225" t="s">
        <v>168</v>
      </c>
      <c r="H129" s="318">
        <f>curryteng6npts</f>
        <v>0</v>
      </c>
      <c r="I129" s="536">
        <f>Curry_Tengintpts</f>
        <v>0</v>
      </c>
      <c r="J129" s="102">
        <f>SUM(H129:I129)</f>
        <v>0</v>
      </c>
    </row>
    <row r="130" spans="1:10" ht="14.95" customHeight="1" thickBot="1" x14ac:dyDescent="0.3">
      <c r="A130" s="26" t="s">
        <v>356</v>
      </c>
      <c r="B130" s="25" t="s">
        <v>165</v>
      </c>
      <c r="C130" s="316" t="s">
        <v>355</v>
      </c>
      <c r="D130" s="534">
        <f>daugunuausinttries</f>
        <v>0</v>
      </c>
      <c r="E130" s="101">
        <f>SUM(C130:D130)</f>
        <v>0</v>
      </c>
      <c r="F130" s="113" t="s">
        <v>1213</v>
      </c>
      <c r="G130" s="225" t="s">
        <v>172</v>
      </c>
      <c r="H130" s="318">
        <f>da_Reita6npts</f>
        <v>0</v>
      </c>
      <c r="I130" s="536">
        <f>dareitaintpts</f>
        <v>0</v>
      </c>
      <c r="J130" s="102">
        <f>SUM(H130:I130)</f>
        <v>0</v>
      </c>
    </row>
    <row r="131" spans="1:10" ht="14.95" customHeight="1" thickBot="1" x14ac:dyDescent="0.3">
      <c r="A131" s="26" t="s">
        <v>246</v>
      </c>
      <c r="B131" s="25" t="s">
        <v>170</v>
      </c>
      <c r="C131" s="316" t="s">
        <v>355</v>
      </c>
      <c r="D131" s="534"/>
      <c r="E131" s="101">
        <f>SUM(C131:D131)</f>
        <v>0</v>
      </c>
      <c r="F131" s="113" t="s">
        <v>212</v>
      </c>
      <c r="G131" s="225" t="s">
        <v>168</v>
      </c>
      <c r="H131" s="318">
        <f>Dalyeng6npts</f>
        <v>0</v>
      </c>
      <c r="I131" s="536"/>
      <c r="J131" s="102">
        <f>SUM(H131:I131)</f>
        <v>0</v>
      </c>
    </row>
    <row r="132" spans="1:10" ht="14.95" customHeight="1" thickBot="1" x14ac:dyDescent="0.3">
      <c r="A132" s="26" t="s">
        <v>436</v>
      </c>
      <c r="B132" s="25" t="s">
        <v>166</v>
      </c>
      <c r="C132" s="316" t="s">
        <v>355</v>
      </c>
      <c r="D132" s="534">
        <f>de_Grootnzlinttries</f>
        <v>0</v>
      </c>
      <c r="E132" s="101">
        <f>SUM(C132:D132)</f>
        <v>0</v>
      </c>
      <c r="F132" s="113" t="s">
        <v>659</v>
      </c>
      <c r="G132" s="225" t="s">
        <v>168</v>
      </c>
      <c r="H132" s="318" t="s">
        <v>20</v>
      </c>
      <c r="I132" s="536" t="s">
        <v>20</v>
      </c>
      <c r="J132" s="102">
        <f>SUM(H132:I132)</f>
        <v>0</v>
      </c>
    </row>
    <row r="133" spans="1:10" ht="14.95" customHeight="1" thickBot="1" x14ac:dyDescent="0.3">
      <c r="A133" s="26" t="s">
        <v>312</v>
      </c>
      <c r="B133" s="25" t="s">
        <v>170</v>
      </c>
      <c r="C133" s="316" t="s">
        <v>355</v>
      </c>
      <c r="D133" s="534"/>
      <c r="E133" s="101">
        <f>SUM(C133:D133)</f>
        <v>0</v>
      </c>
      <c r="F133" s="113" t="s">
        <v>374</v>
      </c>
      <c r="G133" s="225" t="s">
        <v>182</v>
      </c>
      <c r="H133" s="318">
        <f>Dantyfra6npts</f>
        <v>0</v>
      </c>
      <c r="I133" s="536">
        <f>DANTYFRAINTPTS</f>
        <v>0</v>
      </c>
      <c r="J133" s="102">
        <f>SUM(H133:I133)</f>
        <v>0</v>
      </c>
    </row>
    <row r="134" spans="1:10" ht="14.95" customHeight="1" thickBot="1" x14ac:dyDescent="0.3">
      <c r="A134" s="26" t="s">
        <v>209</v>
      </c>
      <c r="B134" s="25" t="s">
        <v>170</v>
      </c>
      <c r="C134" s="316" t="s">
        <v>355</v>
      </c>
      <c r="D134" s="534"/>
      <c r="E134" s="101">
        <f>SUM(C134:D134)</f>
        <v>0</v>
      </c>
      <c r="F134" s="113" t="s">
        <v>479</v>
      </c>
      <c r="G134" s="225" t="s">
        <v>169</v>
      </c>
      <c r="H134" s="318">
        <f>Dargesco6npts</f>
        <v>0</v>
      </c>
      <c r="I134" s="536">
        <f>dargescointpts</f>
        <v>0</v>
      </c>
      <c r="J134" s="102">
        <f>SUM(H134:I134)</f>
        <v>0</v>
      </c>
    </row>
    <row r="135" spans="1:10" ht="14.95" customHeight="1" thickBot="1" x14ac:dyDescent="0.3">
      <c r="A135" s="26" t="s">
        <v>807</v>
      </c>
      <c r="B135" s="25" t="s">
        <v>173</v>
      </c>
      <c r="C135" s="316">
        <f>deewal6ntries</f>
        <v>0</v>
      </c>
      <c r="D135" s="534"/>
      <c r="E135" s="101">
        <f>SUM(C135:D135)</f>
        <v>0</v>
      </c>
      <c r="F135" s="113" t="s">
        <v>1055</v>
      </c>
      <c r="G135" s="225" t="s">
        <v>166</v>
      </c>
      <c r="H135" s="318" t="s">
        <v>355</v>
      </c>
      <c r="I135" s="536">
        <f>Darrynzlintpts</f>
        <v>0</v>
      </c>
      <c r="J135" s="102">
        <f>SUM(H135:I135)</f>
        <v>0</v>
      </c>
    </row>
    <row r="136" spans="1:10" ht="14.95" customHeight="1" thickBot="1" x14ac:dyDescent="0.3">
      <c r="A136" s="26" t="s">
        <v>1411</v>
      </c>
      <c r="B136" s="25" t="s">
        <v>171</v>
      </c>
      <c r="C136" s="316" t="s">
        <v>355</v>
      </c>
      <c r="D136" s="534">
        <f>delafuentearginttries</f>
        <v>0</v>
      </c>
      <c r="E136" s="101">
        <f>SUM(C136:D136)</f>
        <v>0</v>
      </c>
      <c r="F136" s="113" t="s">
        <v>356</v>
      </c>
      <c r="G136" s="225" t="s">
        <v>165</v>
      </c>
      <c r="H136" s="318" t="s">
        <v>355</v>
      </c>
      <c r="I136" s="536">
        <f>daugunuausintpts</f>
        <v>0</v>
      </c>
      <c r="J136" s="102">
        <f>SUM(H136:I136)</f>
        <v>0</v>
      </c>
    </row>
    <row r="137" spans="1:10" ht="14.95" customHeight="1" thickBot="1" x14ac:dyDescent="0.3">
      <c r="A137" s="26" t="s">
        <v>1115</v>
      </c>
      <c r="B137" s="25" t="s">
        <v>171</v>
      </c>
      <c r="C137" s="316" t="s">
        <v>355</v>
      </c>
      <c r="D137" s="534">
        <f>delguyarginttries</f>
        <v>0</v>
      </c>
      <c r="E137" s="101">
        <f>SUM(C137:D137)</f>
        <v>0</v>
      </c>
      <c r="F137" s="113" t="s">
        <v>246</v>
      </c>
      <c r="G137" s="225" t="s">
        <v>170</v>
      </c>
      <c r="H137" s="318" t="s">
        <v>355</v>
      </c>
      <c r="I137" s="536"/>
      <c r="J137" s="102">
        <f>SUM(H137:I137)</f>
        <v>0</v>
      </c>
    </row>
    <row r="138" spans="1:10" ht="14.95" customHeight="1" thickBot="1" x14ac:dyDescent="0.3">
      <c r="A138" s="26" t="s">
        <v>1422</v>
      </c>
      <c r="B138" s="25" t="s">
        <v>182</v>
      </c>
      <c r="C138" s="316">
        <f>Depoorterefra6ntries</f>
        <v>0</v>
      </c>
      <c r="D138" s="534">
        <f>Depoorterefrainttries</f>
        <v>0</v>
      </c>
      <c r="E138" s="101">
        <f>SUM(C138:D138)</f>
        <v>0</v>
      </c>
      <c r="F138" s="113" t="s">
        <v>436</v>
      </c>
      <c r="G138" s="225" t="s">
        <v>166</v>
      </c>
      <c r="H138" s="318" t="s">
        <v>355</v>
      </c>
      <c r="I138" s="536">
        <f>de_Grootnzlintpts</f>
        <v>0</v>
      </c>
      <c r="J138" s="102">
        <f>SUM(H138:I138)</f>
        <v>0</v>
      </c>
    </row>
    <row r="139" spans="1:10" ht="14.95" customHeight="1" thickBot="1" x14ac:dyDescent="0.3">
      <c r="A139" s="26" t="s">
        <v>1429</v>
      </c>
      <c r="B139" s="25" t="s">
        <v>172</v>
      </c>
      <c r="C139" s="316">
        <f>Di_Bartolomeoita6ntries</f>
        <v>0</v>
      </c>
      <c r="D139" s="534">
        <f>Di_Bartolomeoitainttries</f>
        <v>0</v>
      </c>
      <c r="E139" s="101">
        <f>SUM(C139:D139)</f>
        <v>0</v>
      </c>
      <c r="F139" s="113" t="s">
        <v>312</v>
      </c>
      <c r="G139" s="225" t="s">
        <v>170</v>
      </c>
      <c r="H139" s="318" t="s">
        <v>355</v>
      </c>
      <c r="I139" s="536"/>
      <c r="J139" s="102">
        <f>SUM(H139:I139)</f>
        <v>0</v>
      </c>
    </row>
    <row r="140" spans="1:10" ht="14.95" customHeight="1" thickBot="1" x14ac:dyDescent="0.3">
      <c r="A140" s="26" t="s">
        <v>1242</v>
      </c>
      <c r="B140" s="25" t="s">
        <v>172</v>
      </c>
      <c r="C140" s="316"/>
      <c r="D140" s="534">
        <f>dimcheffitainttries</f>
        <v>0</v>
      </c>
      <c r="E140" s="101">
        <f>SUM(C140:D140)</f>
        <v>0</v>
      </c>
      <c r="F140" s="113" t="s">
        <v>209</v>
      </c>
      <c r="G140" s="225" t="s">
        <v>170</v>
      </c>
      <c r="H140" s="318" t="s">
        <v>355</v>
      </c>
      <c r="I140" s="536"/>
      <c r="J140" s="102">
        <f>SUM(H140:I140)</f>
        <v>0</v>
      </c>
    </row>
    <row r="141" spans="1:10" ht="14.95" customHeight="1" thickBot="1" x14ac:dyDescent="0.3">
      <c r="A141" s="26" t="s">
        <v>1021</v>
      </c>
      <c r="B141" s="25" t="s">
        <v>170</v>
      </c>
      <c r="C141" s="316" t="s">
        <v>355</v>
      </c>
      <c r="D141" s="534">
        <f>Dixonrsainttries</f>
        <v>0</v>
      </c>
      <c r="E141" s="101">
        <f>SUM(C141:D141)</f>
        <v>0</v>
      </c>
      <c r="F141" s="113" t="s">
        <v>807</v>
      </c>
      <c r="G141" s="225" t="s">
        <v>173</v>
      </c>
      <c r="H141" s="318">
        <f>deewal6npts</f>
        <v>0</v>
      </c>
      <c r="I141" s="536"/>
      <c r="J141" s="102">
        <f>SUM(H141:I141)</f>
        <v>0</v>
      </c>
    </row>
    <row r="142" spans="1:10" ht="14.95" customHeight="1" thickBot="1" x14ac:dyDescent="0.3">
      <c r="A142" s="26" t="s">
        <v>961</v>
      </c>
      <c r="B142" s="25" t="s">
        <v>169</v>
      </c>
      <c r="C142" s="316">
        <f>Dobiesco6ntries</f>
        <v>0</v>
      </c>
      <c r="D142" s="534">
        <f>dobiescointtries</f>
        <v>0</v>
      </c>
      <c r="E142" s="101">
        <f>SUM(C142:D142)</f>
        <v>0</v>
      </c>
      <c r="F142" s="113" t="s">
        <v>1411</v>
      </c>
      <c r="G142" s="225" t="s">
        <v>171</v>
      </c>
      <c r="H142" s="318" t="s">
        <v>355</v>
      </c>
      <c r="I142" s="536">
        <f>delafuenteargintpts</f>
        <v>0</v>
      </c>
      <c r="J142" s="102">
        <f>SUM(H142:I142)</f>
        <v>0</v>
      </c>
    </row>
    <row r="143" spans="1:10" ht="14.95" customHeight="1" thickBot="1" x14ac:dyDescent="0.3">
      <c r="A143" s="26" t="s">
        <v>562</v>
      </c>
      <c r="B143" s="25" t="s">
        <v>165</v>
      </c>
      <c r="C143" s="316" t="s">
        <v>355</v>
      </c>
      <c r="D143" s="534">
        <f>Donaldsonausinttries</f>
        <v>0</v>
      </c>
      <c r="E143" s="101">
        <f>SUM(C143:D143)</f>
        <v>0</v>
      </c>
      <c r="F143" s="113" t="s">
        <v>1115</v>
      </c>
      <c r="G143" s="225" t="s">
        <v>171</v>
      </c>
      <c r="H143" s="318" t="s">
        <v>355</v>
      </c>
      <c r="I143" s="536">
        <f>delguyargintpts</f>
        <v>0</v>
      </c>
      <c r="J143" s="102">
        <f>SUM(H143:I143)</f>
        <v>0</v>
      </c>
    </row>
    <row r="144" spans="1:10" ht="14.95" customHeight="1" thickBot="1" x14ac:dyDescent="0.3">
      <c r="A144" s="26" t="s">
        <v>457</v>
      </c>
      <c r="B144" s="25" t="s">
        <v>167</v>
      </c>
      <c r="C144" s="316">
        <f>Dorisire6ntries</f>
        <v>0</v>
      </c>
      <c r="D144" s="534">
        <f>dorisireinttries</f>
        <v>0</v>
      </c>
      <c r="E144" s="101">
        <f>SUM(C144:D144)</f>
        <v>0</v>
      </c>
      <c r="F144" s="113" t="s">
        <v>1422</v>
      </c>
      <c r="G144" s="225" t="s">
        <v>182</v>
      </c>
      <c r="H144" s="318">
        <f>Depoorterefra6npts</f>
        <v>0</v>
      </c>
      <c r="I144" s="536">
        <f>Depoorterefraintpts</f>
        <v>0</v>
      </c>
      <c r="J144" s="102">
        <f>SUM(H144:I144)</f>
        <v>0</v>
      </c>
    </row>
    <row r="145" spans="1:10" ht="14.95" customHeight="1" thickBot="1" x14ac:dyDescent="0.3">
      <c r="A145" s="26" t="s">
        <v>283</v>
      </c>
      <c r="B145" s="25" t="s">
        <v>170</v>
      </c>
      <c r="C145" s="316" t="s">
        <v>355</v>
      </c>
      <c r="D145" s="534">
        <f>du_Toit_P_Srsainttries</f>
        <v>0</v>
      </c>
      <c r="E145" s="101">
        <f>SUM(C145:D145)</f>
        <v>0</v>
      </c>
      <c r="F145" s="113" t="s">
        <v>1429</v>
      </c>
      <c r="G145" s="225" t="s">
        <v>172</v>
      </c>
      <c r="H145" s="318">
        <f>Di_Bartolomeoita6npts</f>
        <v>0</v>
      </c>
      <c r="I145" s="536">
        <f>Di_Bartolomeoitaintpts</f>
        <v>0</v>
      </c>
      <c r="J145" s="102">
        <f>SUM(H145:I145)</f>
        <v>0</v>
      </c>
    </row>
    <row r="146" spans="1:10" ht="14.95" customHeight="1" thickBot="1" x14ac:dyDescent="0.3">
      <c r="A146" s="26" t="s">
        <v>1123</v>
      </c>
      <c r="B146" s="25" t="s">
        <v>170</v>
      </c>
      <c r="C146" s="316" t="s">
        <v>355</v>
      </c>
      <c r="D146" s="534">
        <f>du_Toit_Trsainttries</f>
        <v>0</v>
      </c>
      <c r="E146" s="101">
        <f>SUM(C146:D146)</f>
        <v>0</v>
      </c>
      <c r="F146" s="113" t="s">
        <v>1242</v>
      </c>
      <c r="G146" s="225" t="s">
        <v>172</v>
      </c>
      <c r="H146" s="318"/>
      <c r="I146" s="536">
        <f>dimcheffitaintpts</f>
        <v>0</v>
      </c>
      <c r="J146" s="102">
        <f>SUM(H146:I146)</f>
        <v>0</v>
      </c>
    </row>
    <row r="147" spans="1:10" ht="14.95" customHeight="1" thickBot="1" x14ac:dyDescent="0.3">
      <c r="A147" s="26" t="s">
        <v>589</v>
      </c>
      <c r="B147" s="25" t="s">
        <v>182</v>
      </c>
      <c r="C147" s="316">
        <f>Dumortierfra6ntries</f>
        <v>0</v>
      </c>
      <c r="D147" s="534">
        <f>dumortierfrainttries</f>
        <v>0</v>
      </c>
      <c r="E147" s="101">
        <f>SUM(C147:D147)</f>
        <v>0</v>
      </c>
      <c r="F147" s="113" t="s">
        <v>1021</v>
      </c>
      <c r="G147" s="225" t="s">
        <v>170</v>
      </c>
      <c r="H147" s="318" t="s">
        <v>355</v>
      </c>
      <c r="I147" s="536">
        <f>Dixonrsaintpts</f>
        <v>0</v>
      </c>
      <c r="J147" s="102">
        <f>SUM(H147:I147)</f>
        <v>0</v>
      </c>
    </row>
    <row r="148" spans="1:10" ht="14.95" customHeight="1" thickBot="1" x14ac:dyDescent="0.3">
      <c r="A148" s="26" t="s">
        <v>550</v>
      </c>
      <c r="B148" s="25" t="s">
        <v>173</v>
      </c>
      <c r="C148" s="316">
        <f>Dyerwal6ntries</f>
        <v>0</v>
      </c>
      <c r="D148" s="534">
        <f>dyerwalinttries</f>
        <v>0</v>
      </c>
      <c r="E148" s="101">
        <f>SUM(C148:D148)</f>
        <v>0</v>
      </c>
      <c r="F148" s="113" t="s">
        <v>961</v>
      </c>
      <c r="G148" s="225" t="s">
        <v>169</v>
      </c>
      <c r="H148" s="318">
        <f>Dobiesco6npts</f>
        <v>0</v>
      </c>
      <c r="I148" s="536">
        <f>dobiescointpts</f>
        <v>0</v>
      </c>
      <c r="J148" s="102">
        <f>SUM(H148:I148)</f>
        <v>0</v>
      </c>
    </row>
    <row r="149" spans="1:10" ht="14.95" customHeight="1" thickBot="1" x14ac:dyDescent="0.3">
      <c r="A149" s="26" t="s">
        <v>1364</v>
      </c>
      <c r="B149" s="25" t="s">
        <v>165</v>
      </c>
      <c r="C149" s="316" t="s">
        <v>355</v>
      </c>
      <c r="D149" s="534">
        <f>Edmedausinttries</f>
        <v>0</v>
      </c>
      <c r="E149" s="101">
        <f>SUM(C149:D149)</f>
        <v>0</v>
      </c>
      <c r="F149" s="113" t="s">
        <v>562</v>
      </c>
      <c r="G149" s="225" t="s">
        <v>165</v>
      </c>
      <c r="H149" s="318" t="s">
        <v>355</v>
      </c>
      <c r="I149" s="536">
        <f>donaldsonausintpts</f>
        <v>0</v>
      </c>
      <c r="J149" s="102">
        <f>SUM(H149:I149)</f>
        <v>0</v>
      </c>
    </row>
    <row r="150" spans="1:10" ht="14.95" customHeight="1" thickBot="1" x14ac:dyDescent="0.3">
      <c r="A150" s="26" t="s">
        <v>1174</v>
      </c>
      <c r="B150" s="25" t="s">
        <v>173</v>
      </c>
      <c r="C150" s="316">
        <f>Edwardswal6ntries</f>
        <v>0</v>
      </c>
      <c r="D150" s="534">
        <f>Edwardswalintries</f>
        <v>0</v>
      </c>
      <c r="E150" s="101">
        <f>SUM(C150:D150)</f>
        <v>0</v>
      </c>
      <c r="F150" s="113" t="s">
        <v>457</v>
      </c>
      <c r="G150" s="225" t="s">
        <v>167</v>
      </c>
      <c r="H150" s="318">
        <f>Dorisire6npts</f>
        <v>0</v>
      </c>
      <c r="I150" s="536">
        <f>dorisireintpts</f>
        <v>0</v>
      </c>
      <c r="J150" s="102">
        <f>SUM(H150:I150)</f>
        <v>0</v>
      </c>
    </row>
    <row r="151" spans="1:10" ht="14.95" customHeight="1" thickBot="1" x14ac:dyDescent="0.3">
      <c r="A151" s="26" t="s">
        <v>204</v>
      </c>
      <c r="B151" s="25" t="s">
        <v>173</v>
      </c>
      <c r="C151" s="316"/>
      <c r="D151" s="534"/>
      <c r="E151" s="101">
        <f>SUM(C151:D151)</f>
        <v>0</v>
      </c>
      <c r="F151" s="113" t="s">
        <v>283</v>
      </c>
      <c r="G151" s="225" t="s">
        <v>170</v>
      </c>
      <c r="H151" s="318" t="s">
        <v>355</v>
      </c>
      <c r="I151" s="536">
        <f>du_Toit_P_Srsaintpts</f>
        <v>0</v>
      </c>
      <c r="J151" s="102">
        <f>SUM(H151:I151)</f>
        <v>0</v>
      </c>
    </row>
    <row r="152" spans="1:10" ht="14.95" customHeight="1" thickBot="1" x14ac:dyDescent="0.3">
      <c r="A152" s="26" t="s">
        <v>1330</v>
      </c>
      <c r="B152" s="25" t="s">
        <v>170</v>
      </c>
      <c r="C152" s="316" t="s">
        <v>355</v>
      </c>
      <c r="D152" s="534">
        <f>Esterhuizenrsainttries</f>
        <v>0</v>
      </c>
      <c r="E152" s="101">
        <f>SUM(C152:D152)</f>
        <v>0</v>
      </c>
      <c r="F152" s="113" t="s">
        <v>1123</v>
      </c>
      <c r="G152" s="225" t="s">
        <v>170</v>
      </c>
      <c r="H152" s="318" t="s">
        <v>355</v>
      </c>
      <c r="I152" s="536">
        <f>du_Toit_Trsaintpts</f>
        <v>0</v>
      </c>
      <c r="J152" s="102">
        <f>SUM(H152:I152)</f>
        <v>0</v>
      </c>
    </row>
    <row r="153" spans="1:10" ht="14.95" customHeight="1" thickBot="1" x14ac:dyDescent="0.3">
      <c r="A153" s="26" t="s">
        <v>284</v>
      </c>
      <c r="B153" s="25" t="s">
        <v>170</v>
      </c>
      <c r="C153" s="316" t="s">
        <v>355</v>
      </c>
      <c r="D153" s="534">
        <f>Etzebethrsainttries</f>
        <v>0</v>
      </c>
      <c r="E153" s="101">
        <f>SUM(C153:D153)</f>
        <v>0</v>
      </c>
      <c r="F153" s="113" t="s">
        <v>589</v>
      </c>
      <c r="G153" s="225" t="s">
        <v>182</v>
      </c>
      <c r="H153" s="318">
        <f>Dumortierfra6npts</f>
        <v>0</v>
      </c>
      <c r="I153" s="536">
        <f>dumortierfraintpts</f>
        <v>0</v>
      </c>
      <c r="J153" s="102">
        <f>SUM(H153:I153)</f>
        <v>0</v>
      </c>
    </row>
    <row r="154" spans="1:10" ht="14.95" customHeight="1" thickBot="1" x14ac:dyDescent="0.3">
      <c r="A154" s="26" t="s">
        <v>818</v>
      </c>
      <c r="B154" s="25" t="s">
        <v>173</v>
      </c>
      <c r="C154" s="316"/>
      <c r="D154" s="534">
        <f>evanscaiwalinttries</f>
        <v>0</v>
      </c>
      <c r="E154" s="101">
        <f>SUM(C154:D154)</f>
        <v>0</v>
      </c>
      <c r="F154" s="113" t="s">
        <v>550</v>
      </c>
      <c r="G154" s="225" t="s">
        <v>173</v>
      </c>
      <c r="H154" s="318">
        <f>Dyerwal6npts</f>
        <v>0</v>
      </c>
      <c r="I154" s="536">
        <f>dyerwalintpts</f>
        <v>0</v>
      </c>
      <c r="J154" s="102">
        <f>SUM(H154:I154)</f>
        <v>0</v>
      </c>
    </row>
    <row r="155" spans="1:10" ht="14.95" customHeight="1" thickBot="1" x14ac:dyDescent="0.3">
      <c r="A155" s="26" t="s">
        <v>1224</v>
      </c>
      <c r="B155" s="25" t="s">
        <v>173</v>
      </c>
      <c r="C155" s="316">
        <f>Evans_Jwal6ntries</f>
        <v>0</v>
      </c>
      <c r="D155" s="534">
        <f>Evans_Jwalinttries</f>
        <v>0</v>
      </c>
      <c r="E155" s="101">
        <f>SUM(C155:D155)</f>
        <v>0</v>
      </c>
      <c r="F155" s="113" t="s">
        <v>1364</v>
      </c>
      <c r="G155" s="225" t="s">
        <v>165</v>
      </c>
      <c r="H155" s="318" t="s">
        <v>355</v>
      </c>
      <c r="I155" s="536">
        <f>Edmedausintpts</f>
        <v>0</v>
      </c>
      <c r="J155" s="102">
        <f>SUM(H155:I155)</f>
        <v>0</v>
      </c>
    </row>
    <row r="156" spans="1:10" ht="14.95" customHeight="1" thickBot="1" x14ac:dyDescent="0.3">
      <c r="A156" s="26" t="s">
        <v>1094</v>
      </c>
      <c r="B156" s="25" t="s">
        <v>165</v>
      </c>
      <c r="C156" s="316" t="s">
        <v>355</v>
      </c>
      <c r="D156" s="534">
        <f>faesslerausinttries</f>
        <v>0</v>
      </c>
      <c r="E156" s="101">
        <f>SUM(C156:D156)</f>
        <v>0</v>
      </c>
      <c r="F156" s="113" t="s">
        <v>204</v>
      </c>
      <c r="G156" s="225" t="s">
        <v>173</v>
      </c>
      <c r="H156" s="318"/>
      <c r="I156" s="536"/>
      <c r="J156" s="102">
        <f>SUM(H156:I156)</f>
        <v>0</v>
      </c>
    </row>
    <row r="157" spans="1:10" ht="14.95" customHeight="1" thickBot="1" x14ac:dyDescent="0.3">
      <c r="A157" s="26" t="s">
        <v>518</v>
      </c>
      <c r="B157" s="25" t="s">
        <v>169</v>
      </c>
      <c r="C157" s="316">
        <f>Fagerson_Msco6ntries</f>
        <v>0</v>
      </c>
      <c r="D157" s="534">
        <f>fagersonmscointtries</f>
        <v>0</v>
      </c>
      <c r="E157" s="101">
        <f>SUM(C157:D157)</f>
        <v>0</v>
      </c>
      <c r="F157" s="113" t="s">
        <v>1330</v>
      </c>
      <c r="G157" s="225" t="s">
        <v>170</v>
      </c>
      <c r="H157" s="318" t="s">
        <v>355</v>
      </c>
      <c r="I157" s="536">
        <f>Esterhuizenrsaintpts</f>
        <v>0</v>
      </c>
      <c r="J157" s="102">
        <f>SUM(H157:I157)</f>
        <v>0</v>
      </c>
    </row>
    <row r="158" spans="1:10" ht="14.95" customHeight="1" thickBot="1" x14ac:dyDescent="0.3">
      <c r="A158" s="26" t="s">
        <v>341</v>
      </c>
      <c r="B158" s="25" t="s">
        <v>169</v>
      </c>
      <c r="C158" s="316">
        <f>FAGERSONZSCO6NTRIES</f>
        <v>0</v>
      </c>
      <c r="D158" s="534"/>
      <c r="E158" s="101">
        <f>SUM(C158:D158)</f>
        <v>0</v>
      </c>
      <c r="F158" s="113" t="s">
        <v>284</v>
      </c>
      <c r="G158" s="225" t="s">
        <v>170</v>
      </c>
      <c r="H158" s="318" t="s">
        <v>355</v>
      </c>
      <c r="I158" s="536">
        <f>Etzebethrsaintpts</f>
        <v>0</v>
      </c>
      <c r="J158" s="102">
        <f>SUM(H158:I158)</f>
        <v>0</v>
      </c>
    </row>
    <row r="159" spans="1:10" ht="14.95" customHeight="1" thickBot="1" x14ac:dyDescent="0.3">
      <c r="A159" s="26" t="s">
        <v>424</v>
      </c>
      <c r="B159" s="25" t="s">
        <v>165</v>
      </c>
      <c r="C159" s="316" t="s">
        <v>355</v>
      </c>
      <c r="D159" s="534">
        <f>faingaaausinttries</f>
        <v>0</v>
      </c>
      <c r="E159" s="101">
        <f>SUM(C159:D159)</f>
        <v>0</v>
      </c>
      <c r="F159" s="113" t="s">
        <v>818</v>
      </c>
      <c r="G159" s="225" t="s">
        <v>173</v>
      </c>
      <c r="H159" s="318"/>
      <c r="I159" s="536">
        <f>evanscaiwalintpts</f>
        <v>0</v>
      </c>
      <c r="J159" s="102">
        <f>SUM(H159:I159)</f>
        <v>0</v>
      </c>
    </row>
    <row r="160" spans="1:10" ht="14.95" customHeight="1" thickBot="1" x14ac:dyDescent="0.3">
      <c r="A160" s="26" t="s">
        <v>658</v>
      </c>
      <c r="B160" s="25" t="s">
        <v>166</v>
      </c>
      <c r="C160" s="316" t="s">
        <v>355</v>
      </c>
      <c r="D160" s="534">
        <f>Fainga_anukunzlinttries</f>
        <v>0</v>
      </c>
      <c r="E160" s="101">
        <f>SUM(C160:D160)</f>
        <v>0</v>
      </c>
      <c r="F160" s="113" t="s">
        <v>1094</v>
      </c>
      <c r="G160" s="225" t="s">
        <v>165</v>
      </c>
      <c r="H160" s="318" t="s">
        <v>355</v>
      </c>
      <c r="I160" s="536">
        <f>faesslerausintpts</f>
        <v>0</v>
      </c>
      <c r="J160" s="102">
        <f>SUM(H160:I160)</f>
        <v>0</v>
      </c>
    </row>
    <row r="161" spans="1:10" ht="14.95" customHeight="1" thickBot="1" x14ac:dyDescent="0.3">
      <c r="A161" s="26" t="s">
        <v>835</v>
      </c>
      <c r="B161" s="25" t="s">
        <v>172</v>
      </c>
      <c r="C161" s="316" t="s">
        <v>20</v>
      </c>
      <c r="D161" s="534"/>
      <c r="E161" s="101">
        <f>SUM(C161:D161)</f>
        <v>0</v>
      </c>
      <c r="F161" s="113" t="s">
        <v>518</v>
      </c>
      <c r="G161" s="225" t="s">
        <v>169</v>
      </c>
      <c r="H161" s="318">
        <f>Fagerson_Msco6npts</f>
        <v>0</v>
      </c>
      <c r="I161" s="536">
        <f>fagersonmscointpts</f>
        <v>0</v>
      </c>
      <c r="J161" s="102">
        <f>SUM(H161:I161)</f>
        <v>0</v>
      </c>
    </row>
    <row r="162" spans="1:10" ht="14.95" customHeight="1" thickBot="1" x14ac:dyDescent="0.3">
      <c r="A162" s="26" t="s">
        <v>270</v>
      </c>
      <c r="B162" s="25" t="s">
        <v>173</v>
      </c>
      <c r="C162" s="316">
        <f>Faletauwal6ntries</f>
        <v>0</v>
      </c>
      <c r="D162" s="534">
        <f>faletauwalinttries</f>
        <v>0</v>
      </c>
      <c r="E162" s="101">
        <f>SUM(C162:D162)</f>
        <v>0</v>
      </c>
      <c r="F162" s="113" t="s">
        <v>341</v>
      </c>
      <c r="G162" s="225" t="s">
        <v>169</v>
      </c>
      <c r="H162" s="318">
        <f>FAGERSONZSCO6NPTS</f>
        <v>0</v>
      </c>
      <c r="I162" s="536"/>
      <c r="J162" s="102">
        <f>SUM(H162:I162)</f>
        <v>0</v>
      </c>
    </row>
    <row r="163" spans="1:10" ht="14.95" customHeight="1" thickBot="1" x14ac:dyDescent="0.3">
      <c r="A163" s="26" t="s">
        <v>1062</v>
      </c>
      <c r="B163" s="25" t="s">
        <v>170</v>
      </c>
      <c r="C163" s="316" t="s">
        <v>355</v>
      </c>
      <c r="D163" s="534">
        <f>Fassirsainttries</f>
        <v>0</v>
      </c>
      <c r="E163" s="101">
        <f>SUM(C163:D163)</f>
        <v>0</v>
      </c>
      <c r="F163" s="113" t="s">
        <v>424</v>
      </c>
      <c r="G163" s="225" t="s">
        <v>165</v>
      </c>
      <c r="H163" s="318" t="s">
        <v>355</v>
      </c>
      <c r="I163" s="536">
        <f>faingaaausintpts</f>
        <v>0</v>
      </c>
      <c r="J163" s="102">
        <f>SUM(H163:I163)</f>
        <v>0</v>
      </c>
    </row>
    <row r="164" spans="1:10" ht="14.95" customHeight="1" thickBot="1" x14ac:dyDescent="0.3">
      <c r="A164" s="26" t="s">
        <v>1107</v>
      </c>
      <c r="B164" s="25" t="s">
        <v>170</v>
      </c>
      <c r="C164" s="316" t="s">
        <v>355</v>
      </c>
      <c r="D164" s="534">
        <f>Feinberg_M_zulursainttries</f>
        <v>0</v>
      </c>
      <c r="E164" s="101">
        <f>SUM(C164:D164)</f>
        <v>0</v>
      </c>
      <c r="F164" s="113" t="s">
        <v>658</v>
      </c>
      <c r="G164" s="225" t="s">
        <v>166</v>
      </c>
      <c r="H164" s="318" t="s">
        <v>355</v>
      </c>
      <c r="I164" s="536">
        <f>Fainga_anukunzlintpts</f>
        <v>0</v>
      </c>
      <c r="J164" s="102">
        <f>SUM(H164:I164)</f>
        <v>0</v>
      </c>
    </row>
    <row r="165" spans="1:10" ht="14.95" customHeight="1" thickBot="1" x14ac:dyDescent="0.3">
      <c r="A165" s="26" t="s">
        <v>327</v>
      </c>
      <c r="B165" s="25" t="s">
        <v>172</v>
      </c>
      <c r="C165" s="316"/>
      <c r="D165" s="534"/>
      <c r="E165" s="101">
        <f>SUM(C165:D165)</f>
        <v>0</v>
      </c>
      <c r="F165" s="113" t="s">
        <v>835</v>
      </c>
      <c r="G165" s="225" t="s">
        <v>172</v>
      </c>
      <c r="H165" s="318" t="s">
        <v>20</v>
      </c>
      <c r="I165" s="536"/>
      <c r="J165" s="102">
        <f>SUM(H165:I165)</f>
        <v>0</v>
      </c>
    </row>
    <row r="166" spans="1:10" ht="14.95" customHeight="1" thickBot="1" x14ac:dyDescent="0.3">
      <c r="A166" s="26" t="s">
        <v>909</v>
      </c>
      <c r="B166" s="25" t="s">
        <v>168</v>
      </c>
      <c r="C166" s="316">
        <f>feyiwabosoeng6ntries</f>
        <v>0</v>
      </c>
      <c r="D166" s="534">
        <f>Feyi_Wabosoenginttries</f>
        <v>0</v>
      </c>
      <c r="E166" s="101">
        <f>SUM(C166:D166)</f>
        <v>0</v>
      </c>
      <c r="F166" s="113" t="s">
        <v>270</v>
      </c>
      <c r="G166" s="225" t="s">
        <v>173</v>
      </c>
      <c r="H166" s="318">
        <f>Faletauwal6npts</f>
        <v>0</v>
      </c>
      <c r="I166" s="536">
        <f>faletauwalintpts</f>
        <v>0</v>
      </c>
      <c r="J166" s="102">
        <f>SUM(H166:I166)</f>
        <v>0</v>
      </c>
    </row>
    <row r="167" spans="1:10" ht="14.95" customHeight="1" thickBot="1" x14ac:dyDescent="0.3">
      <c r="A167" s="26" t="s">
        <v>255</v>
      </c>
      <c r="B167" s="25" t="s">
        <v>182</v>
      </c>
      <c r="C167" s="316">
        <f>Fickoufra6ntries</f>
        <v>0</v>
      </c>
      <c r="D167" s="534">
        <f>fickoufrainttries</f>
        <v>0</v>
      </c>
      <c r="E167" s="101">
        <f>SUM(C167:D167)</f>
        <v>0</v>
      </c>
      <c r="F167" s="113" t="s">
        <v>1062</v>
      </c>
      <c r="G167" s="225" t="s">
        <v>170</v>
      </c>
      <c r="H167" s="318" t="s">
        <v>355</v>
      </c>
      <c r="I167" s="536">
        <f>Fassirsaintpts</f>
        <v>0</v>
      </c>
      <c r="J167" s="102">
        <f>SUM(H167:I167)</f>
        <v>0</v>
      </c>
    </row>
    <row r="168" spans="1:10" ht="14.95" customHeight="1" thickBot="1" x14ac:dyDescent="0.3">
      <c r="A168" s="26" t="s">
        <v>673</v>
      </c>
      <c r="B168" s="25" t="s">
        <v>166</v>
      </c>
      <c r="C168" s="316" t="s">
        <v>355</v>
      </c>
      <c r="D168" s="534">
        <f>Finaunzlinttriescorrect</f>
        <v>0</v>
      </c>
      <c r="E168" s="101">
        <f>SUM(C168:D168)</f>
        <v>0</v>
      </c>
      <c r="F168" s="113" t="s">
        <v>1107</v>
      </c>
      <c r="G168" s="225" t="s">
        <v>170</v>
      </c>
      <c r="H168" s="318" t="s">
        <v>355</v>
      </c>
      <c r="I168" s="536">
        <f>Feinberg_M_zulursaintpts</f>
        <v>0</v>
      </c>
      <c r="J168" s="102">
        <f>SUM(H168:I168)</f>
        <v>0</v>
      </c>
    </row>
    <row r="169" spans="1:10" ht="14.95" customHeight="1" thickBot="1" x14ac:dyDescent="0.3">
      <c r="A169" s="26" t="s">
        <v>445</v>
      </c>
      <c r="B169" s="25" t="s">
        <v>182</v>
      </c>
      <c r="C169" s="316">
        <f>Flamentfra6ntries</f>
        <v>0</v>
      </c>
      <c r="D169" s="534">
        <f>flamentfrainttries</f>
        <v>0</v>
      </c>
      <c r="E169" s="101">
        <f>SUM(C169:D169)</f>
        <v>0</v>
      </c>
      <c r="F169" s="113" t="s">
        <v>327</v>
      </c>
      <c r="G169" s="225" t="s">
        <v>172</v>
      </c>
      <c r="H169" s="318"/>
      <c r="I169" s="536"/>
      <c r="J169" s="102">
        <f>SUM(H169:I169)</f>
        <v>0</v>
      </c>
    </row>
    <row r="170" spans="1:10" ht="14.95" customHeight="1" thickBot="1" x14ac:dyDescent="0.3">
      <c r="A170" s="26" t="s">
        <v>1388</v>
      </c>
      <c r="B170" s="25" t="s">
        <v>165</v>
      </c>
      <c r="C170" s="316" t="s">
        <v>355</v>
      </c>
      <c r="D170" s="534">
        <f>foketiausinttries</f>
        <v>0</v>
      </c>
      <c r="E170" s="101">
        <f>SUM(C170:D170)</f>
        <v>0</v>
      </c>
      <c r="F170" s="113" t="s">
        <v>909</v>
      </c>
      <c r="G170" s="225" t="s">
        <v>168</v>
      </c>
      <c r="H170" s="318">
        <f>feyiwabosoeng6npts</f>
        <v>0</v>
      </c>
      <c r="I170" s="536">
        <f>Feyi_Wabosoengintpts</f>
        <v>0</v>
      </c>
      <c r="J170" s="102">
        <f>SUM(H170:I170)</f>
        <v>0</v>
      </c>
    </row>
    <row r="171" spans="1:10" ht="14.95" customHeight="1" thickBot="1" x14ac:dyDescent="0.3">
      <c r="A171" s="26" t="s">
        <v>184</v>
      </c>
      <c r="B171" s="25" t="s">
        <v>168</v>
      </c>
      <c r="C171" s="316">
        <f>fordeng6ntries</f>
        <v>0</v>
      </c>
      <c r="D171" s="534">
        <f>FordENGINTTRIESCORRECT</f>
        <v>0</v>
      </c>
      <c r="E171" s="101">
        <f>SUM(C171:D171)</f>
        <v>0</v>
      </c>
      <c r="F171" s="113" t="s">
        <v>255</v>
      </c>
      <c r="G171" s="225" t="s">
        <v>182</v>
      </c>
      <c r="H171" s="318">
        <f>Fickoufra6npts</f>
        <v>0</v>
      </c>
      <c r="I171" s="536">
        <f>fickoufraintpts</f>
        <v>0</v>
      </c>
      <c r="J171" s="102">
        <f>SUM(H171:I171)</f>
        <v>0</v>
      </c>
    </row>
    <row r="172" spans="1:10" ht="14.95" customHeight="1" thickBot="1" x14ac:dyDescent="0.3">
      <c r="A172" s="26" t="s">
        <v>704</v>
      </c>
      <c r="B172" s="25" t="s">
        <v>170</v>
      </c>
      <c r="C172" s="316" t="s">
        <v>355</v>
      </c>
      <c r="D172" s="534"/>
      <c r="E172" s="101">
        <f>SUM(C172:D172)</f>
        <v>0</v>
      </c>
      <c r="F172" s="113" t="s">
        <v>673</v>
      </c>
      <c r="G172" s="225" t="s">
        <v>166</v>
      </c>
      <c r="H172" s="318" t="s">
        <v>355</v>
      </c>
      <c r="I172" s="536">
        <f>Finaunzlintptscorrect</f>
        <v>0</v>
      </c>
      <c r="J172" s="102">
        <f>SUM(H172:I172)</f>
        <v>0</v>
      </c>
    </row>
    <row r="173" spans="1:10" ht="14.95" customHeight="1" thickBot="1" x14ac:dyDescent="0.3">
      <c r="A173" s="26" t="s">
        <v>668</v>
      </c>
      <c r="B173" s="25" t="s">
        <v>167</v>
      </c>
      <c r="C173" s="316">
        <f>frawleyire6ntries</f>
        <v>0</v>
      </c>
      <c r="D173" s="534">
        <f>frawleyireinttries</f>
        <v>0</v>
      </c>
      <c r="E173" s="101">
        <f>SUM(C173:D173)</f>
        <v>0</v>
      </c>
      <c r="F173" s="113" t="s">
        <v>445</v>
      </c>
      <c r="G173" s="225" t="s">
        <v>182</v>
      </c>
      <c r="H173" s="318">
        <f>Flamentfra6npts</f>
        <v>0</v>
      </c>
      <c r="I173" s="536">
        <f>flamentfraintpts</f>
        <v>0</v>
      </c>
      <c r="J173" s="102">
        <f>SUM(H173:I173)</f>
        <v>0</v>
      </c>
    </row>
    <row r="174" spans="1:10" ht="14.95" customHeight="1" thickBot="1" x14ac:dyDescent="0.3">
      <c r="A174" s="26" t="s">
        <v>975</v>
      </c>
      <c r="B174" s="25" t="s">
        <v>182</v>
      </c>
      <c r="C174" s="316"/>
      <c r="D174" s="534">
        <f>frischfrainttries</f>
        <v>0</v>
      </c>
      <c r="E174" s="101">
        <f>SUM(C174:D174)</f>
        <v>0</v>
      </c>
      <c r="F174" s="113" t="s">
        <v>1388</v>
      </c>
      <c r="G174" s="225" t="s">
        <v>165</v>
      </c>
      <c r="H174" s="318"/>
      <c r="I174" s="536">
        <f>foketiausintpts</f>
        <v>0</v>
      </c>
      <c r="J174" s="102">
        <f>SUM(H174:I174)</f>
        <v>0</v>
      </c>
    </row>
    <row r="175" spans="1:10" ht="14.95" customHeight="1" thickBot="1" x14ac:dyDescent="0.3">
      <c r="A175" s="26" t="s">
        <v>335</v>
      </c>
      <c r="B175" s="25" t="s">
        <v>166</v>
      </c>
      <c r="C175" s="316" t="s">
        <v>355</v>
      </c>
      <c r="D175" s="534"/>
      <c r="E175" s="101">
        <f>SUM(C175:D175)</f>
        <v>0</v>
      </c>
      <c r="F175" s="113" t="s">
        <v>704</v>
      </c>
      <c r="G175" s="225" t="s">
        <v>170</v>
      </c>
      <c r="H175" s="318" t="s">
        <v>355</v>
      </c>
      <c r="I175" s="536"/>
      <c r="J175" s="102">
        <f>SUM(H175:I175)</f>
        <v>0</v>
      </c>
    </row>
    <row r="176" spans="1:10" ht="14.95" customHeight="1" thickBot="1" x14ac:dyDescent="0.3">
      <c r="A176" s="26" t="s">
        <v>1134</v>
      </c>
      <c r="B176" s="25" t="s">
        <v>165</v>
      </c>
      <c r="C176" s="316" t="s">
        <v>355</v>
      </c>
      <c r="D176" s="534">
        <f>frostausinttries</f>
        <v>0</v>
      </c>
      <c r="E176" s="101">
        <f>SUM(C176:D176)</f>
        <v>0</v>
      </c>
      <c r="F176" s="113" t="s">
        <v>668</v>
      </c>
      <c r="G176" s="225" t="s">
        <v>167</v>
      </c>
      <c r="H176" s="318">
        <f>frawleyire6npts</f>
        <v>0</v>
      </c>
      <c r="I176" s="536">
        <f>frawleyireintpts</f>
        <v>0</v>
      </c>
      <c r="J176" s="102">
        <f>SUM(H176:I176)</f>
        <v>0</v>
      </c>
    </row>
    <row r="177" spans="1:10" ht="14.95" customHeight="1" thickBot="1" x14ac:dyDescent="0.3">
      <c r="A177" s="26" t="s">
        <v>907</v>
      </c>
      <c r="B177" s="25" t="s">
        <v>168</v>
      </c>
      <c r="C177" s="316">
        <f>furbankeng6ntries</f>
        <v>0</v>
      </c>
      <c r="D177" s="534">
        <f>Furbankenginttries</f>
        <v>0</v>
      </c>
      <c r="E177" s="101">
        <f>SUM(C177:D177)</f>
        <v>0</v>
      </c>
      <c r="F177" s="113" t="s">
        <v>975</v>
      </c>
      <c r="G177" s="225" t="s">
        <v>182</v>
      </c>
      <c r="H177" s="318"/>
      <c r="I177" s="536">
        <f>frischfraintpts</f>
        <v>0</v>
      </c>
      <c r="J177" s="102">
        <f>SUM(H177:I177)</f>
        <v>0</v>
      </c>
    </row>
    <row r="178" spans="1:10" ht="14.95" customHeight="1" thickBot="1" x14ac:dyDescent="0.3">
      <c r="A178" s="26" t="s">
        <v>221</v>
      </c>
      <c r="B178" s="25" t="s">
        <v>167</v>
      </c>
      <c r="C178" s="316">
        <f>Furlongire6ntries</f>
        <v>0</v>
      </c>
      <c r="D178" s="534">
        <f>Furlongireinttries</f>
        <v>0</v>
      </c>
      <c r="E178" s="101">
        <f>SUM(C178:D178)</f>
        <v>0</v>
      </c>
      <c r="F178" s="113" t="s">
        <v>335</v>
      </c>
      <c r="G178" s="225" t="s">
        <v>166</v>
      </c>
      <c r="H178" s="318" t="s">
        <v>355</v>
      </c>
      <c r="I178" s="536"/>
      <c r="J178" s="102">
        <f>SUM(H178:I178)</f>
        <v>0</v>
      </c>
    </row>
    <row r="179" spans="1:10" ht="14.95" customHeight="1" thickBot="1" x14ac:dyDescent="0.3">
      <c r="A179" s="26" t="s">
        <v>605</v>
      </c>
      <c r="B179" s="25" t="s">
        <v>172</v>
      </c>
      <c r="C179" s="316">
        <f>Fuscoita6ntriescorrect</f>
        <v>0</v>
      </c>
      <c r="D179" s="534">
        <f>fuscoitainttriescorrect</f>
        <v>0</v>
      </c>
      <c r="E179" s="101">
        <f>SUM(C179:D179)</f>
        <v>0</v>
      </c>
      <c r="F179" s="113" t="s">
        <v>1134</v>
      </c>
      <c r="G179" s="225" t="s">
        <v>165</v>
      </c>
      <c r="H179" s="318" t="s">
        <v>355</v>
      </c>
      <c r="I179" s="536">
        <f>frostausintpts</f>
        <v>0</v>
      </c>
      <c r="J179" s="102">
        <f>SUM(H179:I179)</f>
        <v>0</v>
      </c>
    </row>
    <row r="180" spans="1:10" ht="14.95" customHeight="1" thickBot="1" x14ac:dyDescent="0.3">
      <c r="A180" s="26" t="s">
        <v>896</v>
      </c>
      <c r="B180" s="25" t="s">
        <v>182</v>
      </c>
      <c r="C180" s="316">
        <f>gabrillaguesfra6ntries</f>
        <v>0</v>
      </c>
      <c r="D180" s="534"/>
      <c r="E180" s="101">
        <f>SUM(C180:D180)</f>
        <v>0</v>
      </c>
      <c r="F180" s="113" t="s">
        <v>907</v>
      </c>
      <c r="G180" s="225" t="s">
        <v>168</v>
      </c>
      <c r="H180" s="318">
        <f>furbankeng6npts</f>
        <v>0</v>
      </c>
      <c r="I180" s="536">
        <f>Furbankengintpts</f>
        <v>0</v>
      </c>
      <c r="J180" s="102">
        <f>SUM(H180:I180)</f>
        <v>0</v>
      </c>
    </row>
    <row r="181" spans="1:10" ht="14.95" customHeight="1" thickBot="1" x14ac:dyDescent="0.3">
      <c r="A181" s="26" t="s">
        <v>507</v>
      </c>
      <c r="B181" s="25" t="s">
        <v>172</v>
      </c>
      <c r="C181" s="316">
        <f>garbisiaita6ntries</f>
        <v>0</v>
      </c>
      <c r="D181" s="534">
        <f>garbisiaitainttries</f>
        <v>0</v>
      </c>
      <c r="E181" s="101">
        <f>SUM(C181:D181)</f>
        <v>0</v>
      </c>
      <c r="F181" s="113" t="s">
        <v>221</v>
      </c>
      <c r="G181" s="225" t="s">
        <v>167</v>
      </c>
      <c r="H181" s="318">
        <f>Furlongire6npts</f>
        <v>0</v>
      </c>
      <c r="I181" s="536">
        <f>Furlongireintpts</f>
        <v>0</v>
      </c>
      <c r="J181" s="102">
        <f>SUM(H181:I181)</f>
        <v>0</v>
      </c>
    </row>
    <row r="182" spans="1:10" ht="14.95" customHeight="1" thickBot="1" x14ac:dyDescent="0.3">
      <c r="A182" s="26" t="s">
        <v>361</v>
      </c>
      <c r="B182" s="25" t="s">
        <v>172</v>
      </c>
      <c r="C182" s="316">
        <f>Garbisi_Pita6ntries</f>
        <v>0</v>
      </c>
      <c r="D182" s="534">
        <f>garbisipitatries</f>
        <v>0</v>
      </c>
      <c r="E182" s="101">
        <f>SUM(C182:D182)</f>
        <v>0</v>
      </c>
      <c r="F182" s="113" t="s">
        <v>605</v>
      </c>
      <c r="G182" s="225" t="s">
        <v>172</v>
      </c>
      <c r="H182" s="318">
        <f>Fuscoita6nptscorrect</f>
        <v>0</v>
      </c>
      <c r="I182" s="536">
        <f>fuscoitaintptscorrect</f>
        <v>0</v>
      </c>
      <c r="J182" s="102">
        <f>SUM(H182:I182)</f>
        <v>0</v>
      </c>
    </row>
    <row r="183" spans="1:10" ht="14.95" customHeight="1" thickBot="1" x14ac:dyDescent="0.3">
      <c r="A183" s="26" t="s">
        <v>1340</v>
      </c>
      <c r="B183" s="25" t="s">
        <v>171</v>
      </c>
      <c r="C183" s="316" t="s">
        <v>355</v>
      </c>
      <c r="D183" s="534">
        <f>galloarginttries</f>
        <v>0</v>
      </c>
      <c r="E183" s="101">
        <f>SUM(C183:D183)</f>
        <v>0</v>
      </c>
      <c r="F183" s="113" t="s">
        <v>896</v>
      </c>
      <c r="G183" s="225" t="s">
        <v>182</v>
      </c>
      <c r="H183" s="318">
        <f>gabrillaguesfra6npts</f>
        <v>0</v>
      </c>
      <c r="I183" s="536"/>
      <c r="J183" s="102">
        <f>SUM(H183:I183)</f>
        <v>0</v>
      </c>
    </row>
    <row r="184" spans="1:10" ht="14.95" customHeight="1" thickBot="1" x14ac:dyDescent="0.3">
      <c r="A184" s="26" t="s">
        <v>1271</v>
      </c>
      <c r="B184" s="25" t="s">
        <v>167</v>
      </c>
      <c r="C184" s="316">
        <v>0</v>
      </c>
      <c r="D184" s="534">
        <f>gavinireinttries</f>
        <v>0</v>
      </c>
      <c r="E184" s="101">
        <f>SUM(C184:D184)</f>
        <v>0</v>
      </c>
      <c r="F184" s="113" t="s">
        <v>507</v>
      </c>
      <c r="G184" s="225" t="s">
        <v>172</v>
      </c>
      <c r="H184" s="318">
        <f>garbisiaita6npts</f>
        <v>0</v>
      </c>
      <c r="I184" s="536">
        <f>garbisiaitaintpts</f>
        <v>0</v>
      </c>
      <c r="J184" s="102">
        <f>SUM(H184:I184)</f>
        <v>0</v>
      </c>
    </row>
    <row r="185" spans="1:10" ht="14.95" customHeight="1" thickBot="1" x14ac:dyDescent="0.3">
      <c r="A185" s="26" t="s">
        <v>328</v>
      </c>
      <c r="B185" s="25" t="s">
        <v>168</v>
      </c>
      <c r="C185" s="316">
        <f>Gengeeng6ntries</f>
        <v>0</v>
      </c>
      <c r="D185" s="534">
        <f>Gengeengintries</f>
        <v>0</v>
      </c>
      <c r="E185" s="101">
        <f>SUM(C185:D185)</f>
        <v>0</v>
      </c>
      <c r="F185" s="113" t="s">
        <v>1340</v>
      </c>
      <c r="G185" s="225" t="s">
        <v>171</v>
      </c>
      <c r="H185" s="318" t="s">
        <v>355</v>
      </c>
      <c r="I185" s="536">
        <f>galloargintpts</f>
        <v>0</v>
      </c>
      <c r="J185" s="102">
        <f>SUM(H185:I185)</f>
        <v>0</v>
      </c>
    </row>
    <row r="186" spans="1:10" ht="14.95" customHeight="1" thickBot="1" x14ac:dyDescent="0.3">
      <c r="A186" s="26" t="s">
        <v>273</v>
      </c>
      <c r="B186" s="25" t="s">
        <v>168</v>
      </c>
      <c r="C186" s="316">
        <f>Georgeeng6ntries</f>
        <v>0</v>
      </c>
      <c r="D186" s="534">
        <f>Georgeengintcorrect</f>
        <v>0</v>
      </c>
      <c r="E186" s="101">
        <f>SUM(C186:D186)</f>
        <v>0</v>
      </c>
      <c r="F186" s="113" t="s">
        <v>1271</v>
      </c>
      <c r="G186" s="225" t="s">
        <v>167</v>
      </c>
      <c r="H186" s="318"/>
      <c r="I186" s="536">
        <f>gavinireintpts</f>
        <v>0</v>
      </c>
      <c r="J186" s="102">
        <f>SUM(H186:I186)</f>
        <v>0</v>
      </c>
    </row>
    <row r="187" spans="1:10" ht="14.95" customHeight="1" thickBot="1" x14ac:dyDescent="0.3">
      <c r="A187" s="26" t="s">
        <v>1234</v>
      </c>
      <c r="B187" s="25" t="s">
        <v>172</v>
      </c>
      <c r="C187" s="316">
        <f>Gesi_Sita6ntries</f>
        <v>0</v>
      </c>
      <c r="D187" s="534">
        <f>gesiitainttries</f>
        <v>0</v>
      </c>
      <c r="E187" s="101">
        <f>SUM(C187:D187)</f>
        <v>0</v>
      </c>
      <c r="F187" s="113" t="s">
        <v>328</v>
      </c>
      <c r="G187" s="225" t="s">
        <v>168</v>
      </c>
      <c r="H187" s="318">
        <f>Gengeeng6npts</f>
        <v>0</v>
      </c>
      <c r="I187" s="536">
        <f>Gengeengintptscorrect</f>
        <v>0</v>
      </c>
      <c r="J187" s="102">
        <f>SUM(H187:I187)</f>
        <v>0</v>
      </c>
    </row>
    <row r="188" spans="1:10" ht="14.95" customHeight="1" thickBot="1" x14ac:dyDescent="0.3">
      <c r="A188" s="26" t="s">
        <v>1288</v>
      </c>
      <c r="B188" s="25" t="s">
        <v>169</v>
      </c>
      <c r="C188" s="316"/>
      <c r="D188" s="534">
        <f>gilchristscointtries</f>
        <v>0</v>
      </c>
      <c r="E188" s="101">
        <f>SUM(C188:D188)</f>
        <v>0</v>
      </c>
      <c r="F188" s="113" t="s">
        <v>273</v>
      </c>
      <c r="G188" s="225" t="s">
        <v>168</v>
      </c>
      <c r="H188" s="318">
        <f>Georgeeng6npts</f>
        <v>0</v>
      </c>
      <c r="I188" s="536">
        <f>Georgeengintptscorrect</f>
        <v>0</v>
      </c>
      <c r="J188" s="102">
        <f>SUM(H188:I188)</f>
        <v>0</v>
      </c>
    </row>
    <row r="189" spans="1:10" ht="14.95" customHeight="1" thickBot="1" x14ac:dyDescent="0.3">
      <c r="A189" s="26" t="s">
        <v>634</v>
      </c>
      <c r="B189" s="25" t="s">
        <v>171</v>
      </c>
      <c r="C189" s="316" t="s">
        <v>355</v>
      </c>
      <c r="D189" s="534"/>
      <c r="E189" s="101">
        <f>SUM(C189:D189)</f>
        <v>0</v>
      </c>
      <c r="F189" s="113" t="s">
        <v>1234</v>
      </c>
      <c r="G189" s="225" t="s">
        <v>172</v>
      </c>
      <c r="H189" s="318">
        <f>Gesi_Sita6npts</f>
        <v>0</v>
      </c>
      <c r="I189" s="536">
        <f>gesiitaintpts</f>
        <v>0</v>
      </c>
      <c r="J189" s="102">
        <f>SUM(H189:I189)</f>
        <v>0</v>
      </c>
    </row>
    <row r="190" spans="1:10" ht="14.95" customHeight="1" thickBot="1" x14ac:dyDescent="0.3">
      <c r="A190" s="26" t="s">
        <v>625</v>
      </c>
      <c r="B190" s="25" t="s">
        <v>165</v>
      </c>
      <c r="C190" s="316" t="s">
        <v>355</v>
      </c>
      <c r="D190" s="534">
        <f>Gordon_Causinttries</f>
        <v>0</v>
      </c>
      <c r="E190" s="101">
        <f>SUM(C190:D190)</f>
        <v>0</v>
      </c>
      <c r="F190" s="113" t="s">
        <v>1288</v>
      </c>
      <c r="G190" s="225" t="s">
        <v>169</v>
      </c>
      <c r="H190" s="318"/>
      <c r="I190" s="536">
        <f>gilchristscointpts</f>
        <v>0</v>
      </c>
      <c r="J190" s="102">
        <f>SUM(H190:I190)</f>
        <v>0</v>
      </c>
    </row>
    <row r="191" spans="1:10" ht="14.95" customHeight="1" thickBot="1" x14ac:dyDescent="0.3">
      <c r="A191" s="26" t="s">
        <v>407</v>
      </c>
      <c r="B191" s="25" t="s">
        <v>165</v>
      </c>
      <c r="C191" s="316" t="s">
        <v>355</v>
      </c>
      <c r="D191" s="534">
        <f>gordonjausinttries</f>
        <v>0</v>
      </c>
      <c r="E191" s="101">
        <f>SUM(C191:D191)</f>
        <v>0</v>
      </c>
      <c r="F191" s="113" t="s">
        <v>634</v>
      </c>
      <c r="G191" s="225" t="s">
        <v>171</v>
      </c>
      <c r="H191" s="318" t="s">
        <v>355</v>
      </c>
      <c r="I191" s="536"/>
      <c r="J191" s="102">
        <f>SUM(H191:I191)</f>
        <v>0</v>
      </c>
    </row>
    <row r="192" spans="1:10" ht="14.95" customHeight="1" thickBot="1" x14ac:dyDescent="0.3">
      <c r="A192" s="26" t="s">
        <v>1416</v>
      </c>
      <c r="B192" s="25" t="s">
        <v>171</v>
      </c>
      <c r="C192" s="316" t="s">
        <v>355</v>
      </c>
      <c r="D192" s="534">
        <f>Grondona_Sarginttries</f>
        <v>0</v>
      </c>
      <c r="E192" s="101">
        <f>SUM(C192:D192)</f>
        <v>0</v>
      </c>
      <c r="F192" s="113" t="s">
        <v>625</v>
      </c>
      <c r="G192" s="225" t="s">
        <v>165</v>
      </c>
      <c r="H192" s="318" t="s">
        <v>355</v>
      </c>
      <c r="I192" s="536">
        <f>Gordon_Causintpts</f>
        <v>0</v>
      </c>
      <c r="J192" s="102">
        <f>SUM(H192:I192)</f>
        <v>0</v>
      </c>
    </row>
    <row r="193" spans="1:10" ht="14.95" customHeight="1" thickBot="1" x14ac:dyDescent="0.3">
      <c r="A193" s="26" t="s">
        <v>1116</v>
      </c>
      <c r="B193" s="25" t="s">
        <v>182</v>
      </c>
      <c r="C193" s="316"/>
      <c r="D193" s="534">
        <f>grosfrainttries</f>
        <v>0</v>
      </c>
      <c r="E193" s="101">
        <f>SUM(C193:D193)</f>
        <v>0</v>
      </c>
      <c r="F193" s="113" t="s">
        <v>407</v>
      </c>
      <c r="G193" s="225" t="s">
        <v>165</v>
      </c>
      <c r="H193" s="318" t="s">
        <v>355</v>
      </c>
      <c r="I193" s="536">
        <f>gordonjausintpts</f>
        <v>0</v>
      </c>
      <c r="J193" s="102">
        <f>SUM(H193:I193)</f>
        <v>0</v>
      </c>
    </row>
    <row r="194" spans="1:10" ht="14.95" customHeight="1" thickBot="1" x14ac:dyDescent="0.3">
      <c r="A194" s="26" t="s">
        <v>1211</v>
      </c>
      <c r="B194" s="25" t="s">
        <v>182</v>
      </c>
      <c r="C194" s="316">
        <f>Guillardfra6ntries</f>
        <v>0</v>
      </c>
      <c r="D194" s="534">
        <f>guillardfrainttries</f>
        <v>0</v>
      </c>
      <c r="E194" s="101">
        <f>SUM(C194:D194)</f>
        <v>0</v>
      </c>
      <c r="F194" s="113" t="s">
        <v>1416</v>
      </c>
      <c r="G194" s="225" t="s">
        <v>171</v>
      </c>
      <c r="H194" s="318" t="s">
        <v>355</v>
      </c>
      <c r="I194" s="536">
        <f>Grondona_Sargintpts</f>
        <v>0</v>
      </c>
      <c r="J194" s="102">
        <f>SUM(H194:I194)</f>
        <v>0</v>
      </c>
    </row>
    <row r="195" spans="1:10" ht="14.95" customHeight="1" thickBot="1" x14ac:dyDescent="0.3">
      <c r="A195" s="26" t="s">
        <v>477</v>
      </c>
      <c r="B195" s="25" t="s">
        <v>167</v>
      </c>
      <c r="C195" s="316">
        <f>Hansenire6nries</f>
        <v>0</v>
      </c>
      <c r="D195" s="534">
        <f>hansenireinttries</f>
        <v>0</v>
      </c>
      <c r="E195" s="101">
        <f>SUM(C195:D195)</f>
        <v>0</v>
      </c>
      <c r="F195" s="113" t="s">
        <v>1116</v>
      </c>
      <c r="G195" s="225" t="s">
        <v>182</v>
      </c>
      <c r="H195" s="318"/>
      <c r="I195" s="536">
        <f>grosfraintpts</f>
        <v>0</v>
      </c>
      <c r="J195" s="102">
        <f>SUM(H195:I195)</f>
        <v>0</v>
      </c>
    </row>
    <row r="196" spans="1:10" ht="14.95" customHeight="1" thickBot="1" x14ac:dyDescent="0.3">
      <c r="A196" s="26" t="s">
        <v>378</v>
      </c>
      <c r="B196" s="25" t="s">
        <v>173</v>
      </c>
      <c r="C196" s="316">
        <f>Hardywal6ntriescorrect</f>
        <v>0</v>
      </c>
      <c r="D196" s="534">
        <f>Hardywalinttries</f>
        <v>0</v>
      </c>
      <c r="E196" s="101">
        <f>SUM(C196:D196)</f>
        <v>0</v>
      </c>
      <c r="F196" s="113" t="s">
        <v>1211</v>
      </c>
      <c r="G196" s="225" t="s">
        <v>182</v>
      </c>
      <c r="H196" s="318">
        <f>Guillardfra6npts</f>
        <v>0</v>
      </c>
      <c r="I196" s="536">
        <f>guillardfraintpts</f>
        <v>0</v>
      </c>
      <c r="J196" s="102">
        <f>SUM(H196:I196)</f>
        <v>0</v>
      </c>
    </row>
    <row r="197" spans="1:10" ht="14.95" customHeight="1" thickBot="1" x14ac:dyDescent="0.3">
      <c r="A197" s="26" t="s">
        <v>287</v>
      </c>
      <c r="B197" s="25" t="s">
        <v>169</v>
      </c>
      <c r="C197" s="316">
        <f>HarrisSCO6NTRIES</f>
        <v>0</v>
      </c>
      <c r="D197" s="534"/>
      <c r="E197" s="101">
        <f>SUM(C197:D197)</f>
        <v>0</v>
      </c>
      <c r="F197" s="113" t="s">
        <v>477</v>
      </c>
      <c r="G197" s="225" t="s">
        <v>167</v>
      </c>
      <c r="H197" s="318">
        <f>Hansenire6npts</f>
        <v>0</v>
      </c>
      <c r="I197" s="536">
        <f>hansenireintpts</f>
        <v>0</v>
      </c>
      <c r="J197" s="102">
        <f>SUM(H197:I197)</f>
        <v>0</v>
      </c>
    </row>
    <row r="198" spans="1:10" ht="14.95" customHeight="1" thickBot="1" x14ac:dyDescent="0.3">
      <c r="A198" s="26" t="s">
        <v>1053</v>
      </c>
      <c r="B198" s="25" t="s">
        <v>169</v>
      </c>
      <c r="C198" s="316"/>
      <c r="D198" s="534">
        <f>harrisonscointtries</f>
        <v>0</v>
      </c>
      <c r="E198" s="101">
        <f>SUM(C198:D198)</f>
        <v>0</v>
      </c>
      <c r="F198" s="113" t="s">
        <v>378</v>
      </c>
      <c r="G198" s="225" t="s">
        <v>173</v>
      </c>
      <c r="H198" s="318">
        <f>Hardywal6nptscorrect</f>
        <v>0</v>
      </c>
      <c r="I198" s="536">
        <f>Hardywalintpts</f>
        <v>0</v>
      </c>
      <c r="J198" s="102">
        <f>SUM(H198:I198)</f>
        <v>0</v>
      </c>
    </row>
    <row r="199" spans="1:10" ht="14.95" customHeight="1" thickBot="1" x14ac:dyDescent="0.3">
      <c r="A199" s="26" t="s">
        <v>248</v>
      </c>
      <c r="B199" s="25" t="s">
        <v>169</v>
      </c>
      <c r="C199" s="316"/>
      <c r="D199" s="534">
        <f>hastingsscointtries</f>
        <v>0</v>
      </c>
      <c r="E199" s="101">
        <f>SUM(C199:D199)</f>
        <v>0</v>
      </c>
      <c r="F199" s="113" t="s">
        <v>287</v>
      </c>
      <c r="G199" s="225" t="s">
        <v>169</v>
      </c>
      <c r="H199" s="318">
        <f>HarrisSCO6NPTS</f>
        <v>0</v>
      </c>
      <c r="I199" s="536"/>
      <c r="J199" s="102">
        <f>SUM(H199:I199)</f>
        <v>0</v>
      </c>
    </row>
    <row r="200" spans="1:10" ht="14.95" customHeight="1" thickBot="1" x14ac:dyDescent="0.3">
      <c r="A200" s="26" t="s">
        <v>845</v>
      </c>
      <c r="B200" s="25" t="s">
        <v>182</v>
      </c>
      <c r="C200" s="316" t="s">
        <v>20</v>
      </c>
      <c r="D200" s="534">
        <f>hastoyfrainttries</f>
        <v>0</v>
      </c>
      <c r="E200" s="101">
        <f>SUM(C200:D200)</f>
        <v>0</v>
      </c>
      <c r="F200" s="113" t="s">
        <v>1053</v>
      </c>
      <c r="G200" s="225" t="s">
        <v>169</v>
      </c>
      <c r="H200" s="318"/>
      <c r="I200" s="536">
        <f>harrisonscointpts</f>
        <v>0</v>
      </c>
      <c r="J200" s="102">
        <f>SUM(H200:I200)</f>
        <v>0</v>
      </c>
    </row>
    <row r="201" spans="1:10" ht="14.95" customHeight="1" thickBot="1" x14ac:dyDescent="0.3">
      <c r="A201" s="26" t="s">
        <v>640</v>
      </c>
      <c r="B201" s="25" t="s">
        <v>182</v>
      </c>
      <c r="C201" s="316">
        <f>Hoggsco6ntries</f>
        <v>0</v>
      </c>
      <c r="D201" s="534">
        <f>hoggscointtries</f>
        <v>0</v>
      </c>
      <c r="E201" s="101">
        <f>SUM(C201:D201)</f>
        <v>0</v>
      </c>
      <c r="F201" s="113" t="s">
        <v>248</v>
      </c>
      <c r="G201" s="225" t="s">
        <v>169</v>
      </c>
      <c r="H201" s="318"/>
      <c r="I201" s="536">
        <f>hastingsscointpts</f>
        <v>0</v>
      </c>
      <c r="J201" s="102">
        <f>SUM(H201:I201)</f>
        <v>0</v>
      </c>
    </row>
    <row r="202" spans="1:10" ht="14.95" customHeight="1" thickBot="1" x14ac:dyDescent="0.3">
      <c r="A202" s="26" t="s">
        <v>494</v>
      </c>
      <c r="B202" s="25" t="s">
        <v>167</v>
      </c>
      <c r="C202" s="316">
        <f>Healyire6ntries</f>
        <v>0</v>
      </c>
      <c r="D202" s="534">
        <f>healyireinttries</f>
        <v>0</v>
      </c>
      <c r="E202" s="101">
        <f>SUM(C202:D202)</f>
        <v>0</v>
      </c>
      <c r="F202" s="113" t="s">
        <v>845</v>
      </c>
      <c r="G202" s="225" t="s">
        <v>182</v>
      </c>
      <c r="H202" s="318" t="s">
        <v>20</v>
      </c>
      <c r="I202" s="536">
        <f>hastoyfraintpts</f>
        <v>0</v>
      </c>
      <c r="J202" s="102">
        <f>SUM(H202:I202)</f>
        <v>0</v>
      </c>
    </row>
    <row r="203" spans="1:10" ht="14.95" customHeight="1" thickBot="1" x14ac:dyDescent="0.3">
      <c r="A203" s="26" t="s">
        <v>277</v>
      </c>
      <c r="B203" s="25" t="s">
        <v>167</v>
      </c>
      <c r="C203" s="316"/>
      <c r="D203" s="534"/>
      <c r="E203" s="101">
        <f>SUM(C203:D203)</f>
        <v>0</v>
      </c>
      <c r="F203" s="113" t="s">
        <v>640</v>
      </c>
      <c r="G203" s="225" t="s">
        <v>169</v>
      </c>
      <c r="H203" s="318">
        <f>Hoggsco6npts</f>
        <v>0</v>
      </c>
      <c r="I203" s="536">
        <f>hoggscointpts</f>
        <v>0</v>
      </c>
      <c r="J203" s="102">
        <f>SUM(H203:I203)</f>
        <v>0</v>
      </c>
    </row>
    <row r="204" spans="1:10" ht="14.95" customHeight="1" thickBot="1" x14ac:dyDescent="0.3">
      <c r="A204" s="26" t="s">
        <v>1096</v>
      </c>
      <c r="B204" s="25" t="s">
        <v>170</v>
      </c>
      <c r="C204" s="316" t="s">
        <v>355</v>
      </c>
      <c r="D204" s="534"/>
      <c r="E204" s="101">
        <f>SUM(C204:D204)</f>
        <v>0</v>
      </c>
      <c r="F204" s="113" t="s">
        <v>494</v>
      </c>
      <c r="G204" s="225" t="s">
        <v>167</v>
      </c>
      <c r="H204" s="318">
        <f>Healyire6npts</f>
        <v>0</v>
      </c>
      <c r="I204" s="536">
        <f>healyireintpts</f>
        <v>0</v>
      </c>
      <c r="J204" s="102">
        <f>SUM(H204:I204)</f>
        <v>0</v>
      </c>
    </row>
    <row r="205" spans="1:10" ht="14.95" customHeight="1" thickBot="1" x14ac:dyDescent="0.3">
      <c r="A205" s="26" t="s">
        <v>943</v>
      </c>
      <c r="B205" s="25" t="s">
        <v>170</v>
      </c>
      <c r="C205" s="316" t="s">
        <v>355</v>
      </c>
      <c r="D205" s="534">
        <f>Hendrikse__Jordanrsainttries</f>
        <v>0</v>
      </c>
      <c r="E205" s="101">
        <f>SUM(C205:D205)</f>
        <v>0</v>
      </c>
      <c r="F205" s="113" t="s">
        <v>277</v>
      </c>
      <c r="G205" s="225" t="s">
        <v>167</v>
      </c>
      <c r="H205" s="318"/>
      <c r="I205" s="536"/>
      <c r="J205" s="102">
        <f>SUM(H205:I205)</f>
        <v>0</v>
      </c>
    </row>
    <row r="206" spans="1:10" ht="14.95" customHeight="1" thickBot="1" x14ac:dyDescent="0.3">
      <c r="A206" s="26" t="s">
        <v>254</v>
      </c>
      <c r="B206" s="25" t="s">
        <v>167</v>
      </c>
      <c r="C206" s="316">
        <f>Henshawire6ntries</f>
        <v>0</v>
      </c>
      <c r="D206" s="534">
        <f>HENSHAWIREINTTRIES</f>
        <v>0</v>
      </c>
      <c r="E206" s="101">
        <f>SUM(C206:D206)</f>
        <v>0</v>
      </c>
      <c r="F206" s="113" t="s">
        <v>1096</v>
      </c>
      <c r="G206" s="225" t="s">
        <v>170</v>
      </c>
      <c r="H206" s="318" t="s">
        <v>355</v>
      </c>
      <c r="I206" s="536"/>
      <c r="J206" s="102">
        <f>SUM(H206:I206)</f>
        <v>0</v>
      </c>
    </row>
    <row r="207" spans="1:10" ht="14.95" customHeight="1" thickBot="1" x14ac:dyDescent="0.3">
      <c r="A207" s="26" t="s">
        <v>278</v>
      </c>
      <c r="B207" s="25" t="s">
        <v>167</v>
      </c>
      <c r="C207" s="316">
        <f>Herringire6ntries</f>
        <v>0</v>
      </c>
      <c r="D207" s="534">
        <f>HERRINGIREINTTRIES</f>
        <v>0</v>
      </c>
      <c r="E207" s="101">
        <f>SUM(C207:D207)</f>
        <v>0</v>
      </c>
      <c r="F207" s="113" t="s">
        <v>943</v>
      </c>
      <c r="G207" s="225" t="s">
        <v>170</v>
      </c>
      <c r="H207" s="318" t="s">
        <v>355</v>
      </c>
      <c r="I207" s="536">
        <f>Hendrikse__Jordanrsaintpts</f>
        <v>0</v>
      </c>
      <c r="J207" s="102">
        <f>SUM(H207:I207)</f>
        <v>0</v>
      </c>
    </row>
    <row r="208" spans="1:10" ht="14.95" customHeight="1" thickBot="1" x14ac:dyDescent="0.3">
      <c r="A208" s="26" t="s">
        <v>1229</v>
      </c>
      <c r="B208" s="25" t="s">
        <v>168</v>
      </c>
      <c r="C208" s="316">
        <f>heyeseng6ntries</f>
        <v>0</v>
      </c>
      <c r="D208" s="534"/>
      <c r="E208" s="101">
        <f>SUM(C208:D208)</f>
        <v>0</v>
      </c>
      <c r="F208" s="113" t="s">
        <v>254</v>
      </c>
      <c r="G208" s="225" t="s">
        <v>167</v>
      </c>
      <c r="H208" s="318">
        <f>Henshawire6npts</f>
        <v>0</v>
      </c>
      <c r="I208" s="536">
        <f>HENSHAWIREINTPTS</f>
        <v>0</v>
      </c>
      <c r="J208" s="102">
        <f>SUM(H208:I208)</f>
        <v>0</v>
      </c>
    </row>
    <row r="209" spans="1:10" ht="14.95" customHeight="1" thickBot="1" x14ac:dyDescent="0.3">
      <c r="A209" s="26" t="s">
        <v>1418</v>
      </c>
      <c r="B209" s="25" t="s">
        <v>170</v>
      </c>
      <c r="C209" s="316" t="s">
        <v>355</v>
      </c>
      <c r="D209" s="534">
        <f>Hookerrsainttries</f>
        <v>0</v>
      </c>
      <c r="E209" s="101">
        <f>SUM(C209:D209)</f>
        <v>0</v>
      </c>
      <c r="F209" s="113" t="s">
        <v>278</v>
      </c>
      <c r="G209" s="225" t="s">
        <v>167</v>
      </c>
      <c r="H209" s="318">
        <f>Herringire6npts</f>
        <v>0</v>
      </c>
      <c r="I209" s="536">
        <f>HERRINGREINTPTS</f>
        <v>0</v>
      </c>
      <c r="J209" s="102">
        <f>SUM(H209:I209)</f>
        <v>0</v>
      </c>
    </row>
    <row r="210" spans="1:10" ht="14.95" customHeight="1" thickBot="1" x14ac:dyDescent="0.3">
      <c r="A210" s="26" t="s">
        <v>674</v>
      </c>
      <c r="B210" s="25" t="s">
        <v>165</v>
      </c>
      <c r="C210" s="316" t="s">
        <v>355</v>
      </c>
      <c r="D210" s="534">
        <f>hoopertausinttries</f>
        <v>0</v>
      </c>
      <c r="E210" s="101">
        <f>SUM(C210:D210)</f>
        <v>0</v>
      </c>
      <c r="F210" s="113" t="s">
        <v>1229</v>
      </c>
      <c r="G210" s="225" t="s">
        <v>168</v>
      </c>
      <c r="H210" s="318">
        <f>heyeseng6npts</f>
        <v>0</v>
      </c>
      <c r="I210" s="536"/>
      <c r="J210" s="102">
        <f>SUM(H210:I210)</f>
        <v>0</v>
      </c>
    </row>
    <row r="211" spans="1:10" ht="14.95" customHeight="1" thickBot="1" x14ac:dyDescent="0.3">
      <c r="A211" s="26" t="s">
        <v>1026</v>
      </c>
      <c r="B211" s="25" t="s">
        <v>170</v>
      </c>
      <c r="C211" s="316" t="s">
        <v>355</v>
      </c>
      <c r="D211" s="534">
        <f>Hornrsainttries</f>
        <v>0</v>
      </c>
      <c r="E211" s="101">
        <f>SUM(C211:D211)</f>
        <v>0</v>
      </c>
      <c r="F211" s="113" t="s">
        <v>1418</v>
      </c>
      <c r="G211" s="225" t="s">
        <v>170</v>
      </c>
      <c r="H211" s="318" t="s">
        <v>355</v>
      </c>
      <c r="I211" s="536">
        <f>Hookerrsaintpts</f>
        <v>0</v>
      </c>
      <c r="J211" s="102">
        <f>SUM(H211:I211)</f>
        <v>0</v>
      </c>
    </row>
    <row r="212" spans="1:10" ht="14.95" customHeight="1" thickBot="1" x14ac:dyDescent="0.3">
      <c r="A212" s="26" t="s">
        <v>1127</v>
      </c>
      <c r="B212" s="25" t="s">
        <v>169</v>
      </c>
      <c r="C212" s="316"/>
      <c r="D212" s="534">
        <f>hurdscointtries</f>
        <v>0</v>
      </c>
      <c r="E212" s="101">
        <f>SUM(C212:D212)</f>
        <v>0</v>
      </c>
      <c r="F212" s="113" t="s">
        <v>674</v>
      </c>
      <c r="G212" s="225" t="s">
        <v>165</v>
      </c>
      <c r="H212" s="318" t="s">
        <v>355</v>
      </c>
      <c r="I212" s="536">
        <f>hoopertausintpts</f>
        <v>0</v>
      </c>
      <c r="J212" s="102">
        <f>SUM(H212:I212)</f>
        <v>0</v>
      </c>
    </row>
    <row r="213" spans="1:10" ht="14.95" customHeight="1" thickBot="1" x14ac:dyDescent="0.3">
      <c r="A213" s="26" t="s">
        <v>1287</v>
      </c>
      <c r="B213" s="25" t="s">
        <v>169</v>
      </c>
      <c r="C213" s="316"/>
      <c r="D213" s="534">
        <f>hutchinsonscointtriescorrect</f>
        <v>0</v>
      </c>
      <c r="E213" s="101">
        <f>SUM(C213:D213)</f>
        <v>0</v>
      </c>
      <c r="F213" s="113" t="s">
        <v>1026</v>
      </c>
      <c r="G213" s="225" t="s">
        <v>170</v>
      </c>
      <c r="H213" s="318" t="s">
        <v>355</v>
      </c>
      <c r="I213" s="536">
        <f>Hornrsaintpts</f>
        <v>0</v>
      </c>
      <c r="J213" s="102">
        <f>SUM(H213:I213)</f>
        <v>0</v>
      </c>
    </row>
    <row r="214" spans="1:10" ht="14.95" customHeight="1" thickBot="1" x14ac:dyDescent="0.3">
      <c r="A214" s="26" t="s">
        <v>426</v>
      </c>
      <c r="B214" s="25" t="s">
        <v>165</v>
      </c>
      <c r="C214" s="316" t="s">
        <v>355</v>
      </c>
      <c r="D214" s="534">
        <f>ikitauausinttries</f>
        <v>0</v>
      </c>
      <c r="E214" s="101">
        <f>SUM(C214:D214)</f>
        <v>0</v>
      </c>
      <c r="F214" s="113" t="s">
        <v>1127</v>
      </c>
      <c r="G214" s="225" t="s">
        <v>169</v>
      </c>
      <c r="H214" s="318"/>
      <c r="I214" s="536">
        <f>hurdscointpts</f>
        <v>0</v>
      </c>
      <c r="J214" s="102">
        <f>SUM(H214:I214)</f>
        <v>0</v>
      </c>
    </row>
    <row r="215" spans="1:10" ht="14.95" customHeight="1" thickBot="1" x14ac:dyDescent="0.3">
      <c r="A215" s="26" t="s">
        <v>380</v>
      </c>
      <c r="B215" s="25" t="s">
        <v>172</v>
      </c>
      <c r="C215" s="316">
        <f>ioaneita6ntries</f>
        <v>0</v>
      </c>
      <c r="D215" s="534">
        <f>ioaneitainttries</f>
        <v>0</v>
      </c>
      <c r="E215" s="101">
        <f>SUM(C215:D215)</f>
        <v>0</v>
      </c>
      <c r="F215" s="113" t="s">
        <v>1287</v>
      </c>
      <c r="G215" s="225" t="s">
        <v>169</v>
      </c>
      <c r="H215" s="318"/>
      <c r="I215" s="536">
        <f>hutchinsonscointptscorrect</f>
        <v>0</v>
      </c>
      <c r="J215" s="102">
        <f>SUM(H215:I215)</f>
        <v>0</v>
      </c>
    </row>
    <row r="216" spans="1:10" ht="14.95" customHeight="1" thickBot="1" x14ac:dyDescent="0.3">
      <c r="A216" s="26" t="s">
        <v>205</v>
      </c>
      <c r="B216" s="25" t="s">
        <v>166</v>
      </c>
      <c r="C216" s="316" t="s">
        <v>355</v>
      </c>
      <c r="D216" s="534">
        <f>Ioanenzlinttries</f>
        <v>0</v>
      </c>
      <c r="E216" s="101">
        <f>SUM(C216:D216)</f>
        <v>0</v>
      </c>
      <c r="F216" s="113" t="s">
        <v>426</v>
      </c>
      <c r="G216" s="225" t="s">
        <v>165</v>
      </c>
      <c r="H216" s="318" t="s">
        <v>355</v>
      </c>
      <c r="I216" s="536">
        <f>ikitauausintpts</f>
        <v>0</v>
      </c>
      <c r="J216" s="102">
        <f>SUM(H216:I216)</f>
        <v>0</v>
      </c>
    </row>
    <row r="217" spans="1:10" ht="14.95" customHeight="1" thickBot="1" x14ac:dyDescent="0.3">
      <c r="A217" s="26" t="s">
        <v>320</v>
      </c>
      <c r="B217" s="25" t="s">
        <v>171</v>
      </c>
      <c r="C217" s="316" t="s">
        <v>355</v>
      </c>
      <c r="D217" s="534">
        <f>isaarginttries</f>
        <v>0</v>
      </c>
      <c r="E217" s="101">
        <f>SUM(C217:D217)</f>
        <v>0</v>
      </c>
      <c r="F217" s="113" t="s">
        <v>380</v>
      </c>
      <c r="G217" s="225" t="s">
        <v>172</v>
      </c>
      <c r="H217" s="318">
        <f>ioaneita6npts</f>
        <v>0</v>
      </c>
      <c r="I217" s="536">
        <f>ioaneitaintpts</f>
        <v>0</v>
      </c>
      <c r="J217" s="102">
        <f>SUM(H217:I217)</f>
        <v>0</v>
      </c>
    </row>
    <row r="218" spans="1:10" ht="14.95" customHeight="1" thickBot="1" x14ac:dyDescent="0.3">
      <c r="A218" s="26" t="s">
        <v>694</v>
      </c>
      <c r="B218" s="25" t="s">
        <v>171</v>
      </c>
      <c r="C218" s="316" t="s">
        <v>355</v>
      </c>
      <c r="D218" s="534">
        <f>isgroarginttries</f>
        <v>0</v>
      </c>
      <c r="E218" s="101">
        <f>SUM(C218:D218)</f>
        <v>0</v>
      </c>
      <c r="F218" s="113" t="s">
        <v>205</v>
      </c>
      <c r="G218" s="225" t="s">
        <v>166</v>
      </c>
      <c r="H218" s="318" t="s">
        <v>355</v>
      </c>
      <c r="I218" s="536">
        <f>Ioanenzlintpts</f>
        <v>0</v>
      </c>
      <c r="J218" s="102">
        <f>SUM(H218:I218)</f>
        <v>0</v>
      </c>
    </row>
    <row r="219" spans="1:10" ht="14.95" customHeight="1" thickBot="1" x14ac:dyDescent="0.3">
      <c r="A219" s="26" t="s">
        <v>211</v>
      </c>
      <c r="B219" s="25" t="s">
        <v>168</v>
      </c>
      <c r="C219" s="316">
        <f>itojeeng6ntries</f>
        <v>0</v>
      </c>
      <c r="D219" s="534">
        <f>ItojeINTTRIES</f>
        <v>0</v>
      </c>
      <c r="E219" s="101">
        <f>SUM(C219:D219)</f>
        <v>0</v>
      </c>
      <c r="F219" s="113" t="s">
        <v>320</v>
      </c>
      <c r="G219" s="225" t="s">
        <v>171</v>
      </c>
      <c r="H219" s="318" t="s">
        <v>355</v>
      </c>
      <c r="I219" s="536">
        <f>isaargintpts</f>
        <v>0</v>
      </c>
      <c r="J219" s="102">
        <f>SUM(H219:I219)</f>
        <v>0</v>
      </c>
    </row>
    <row r="220" spans="1:10" ht="14.95" customHeight="1" thickBot="1" x14ac:dyDescent="0.3">
      <c r="A220" s="26" t="s">
        <v>399</v>
      </c>
      <c r="B220" s="25" t="s">
        <v>166</v>
      </c>
      <c r="C220" s="316" t="s">
        <v>355</v>
      </c>
      <c r="D220" s="534"/>
      <c r="E220" s="101">
        <f>SUM(C220:D220)</f>
        <v>0</v>
      </c>
      <c r="F220" s="113" t="s">
        <v>694</v>
      </c>
      <c r="G220" s="225" t="s">
        <v>171</v>
      </c>
      <c r="H220" s="318" t="s">
        <v>355</v>
      </c>
      <c r="I220" s="536">
        <f>isgroargintpts</f>
        <v>0</v>
      </c>
      <c r="J220" s="102">
        <f>SUM(H220:I220)</f>
        <v>0</v>
      </c>
    </row>
    <row r="221" spans="1:10" ht="14.95" customHeight="1" thickBot="1" x14ac:dyDescent="0.3">
      <c r="A221" s="26" t="s">
        <v>371</v>
      </c>
      <c r="B221" s="25" t="s">
        <v>166</v>
      </c>
      <c r="C221" s="316" t="s">
        <v>355</v>
      </c>
      <c r="D221" s="534">
        <f>Jordannzlinttriescorrect</f>
        <v>0</v>
      </c>
      <c r="E221" s="101">
        <f>SUM(C221:D221)</f>
        <v>0</v>
      </c>
      <c r="F221" s="113" t="s">
        <v>211</v>
      </c>
      <c r="G221" s="225" t="s">
        <v>168</v>
      </c>
      <c r="H221" s="318">
        <f>itojeeng6npts</f>
        <v>0</v>
      </c>
      <c r="I221" s="536">
        <f>ItojeINTPTS</f>
        <v>0</v>
      </c>
      <c r="J221" s="102">
        <f>SUM(H221:I221)</f>
        <v>0</v>
      </c>
    </row>
    <row r="222" spans="1:10" ht="14.95" customHeight="1" thickBot="1" x14ac:dyDescent="0.3">
      <c r="A222" s="26" t="s">
        <v>1112</v>
      </c>
      <c r="B222" s="25" t="s">
        <v>165</v>
      </c>
      <c r="C222" s="316" t="s">
        <v>355</v>
      </c>
      <c r="D222" s="534">
        <f>jorgensenausinttries</f>
        <v>0</v>
      </c>
      <c r="E222" s="101">
        <f>SUM(C222:D222)</f>
        <v>0</v>
      </c>
      <c r="F222" s="113" t="s">
        <v>399</v>
      </c>
      <c r="G222" s="225" t="s">
        <v>166</v>
      </c>
      <c r="H222" s="318" t="s">
        <v>355</v>
      </c>
      <c r="I222" s="536"/>
      <c r="J222" s="102">
        <f>SUM(H222:I222)</f>
        <v>0</v>
      </c>
    </row>
    <row r="223" spans="1:10" ht="14.95" customHeight="1" thickBot="1" x14ac:dyDescent="0.3">
      <c r="A223" s="26" t="s">
        <v>1014</v>
      </c>
      <c r="B223" s="25" t="s">
        <v>165</v>
      </c>
      <c r="C223" s="316" t="s">
        <v>355</v>
      </c>
      <c r="D223" s="534">
        <f>kaileaausinttries</f>
        <v>0</v>
      </c>
      <c r="E223" s="101">
        <f>SUM(C223:D223)</f>
        <v>0</v>
      </c>
      <c r="F223" s="113" t="s">
        <v>371</v>
      </c>
      <c r="G223" s="225" t="s">
        <v>166</v>
      </c>
      <c r="H223" s="318" t="s">
        <v>355</v>
      </c>
      <c r="I223" s="536">
        <f>Jordannzlintptscorrect</f>
        <v>0</v>
      </c>
      <c r="J223" s="102">
        <f>SUM(H223:I223)</f>
        <v>0</v>
      </c>
    </row>
    <row r="224" spans="1:10" ht="14.95" customHeight="1" thickBot="1" x14ac:dyDescent="0.3">
      <c r="A224" s="26" t="s">
        <v>360</v>
      </c>
      <c r="B224" s="25" t="s">
        <v>167</v>
      </c>
      <c r="C224" s="316">
        <f>Keenanire6ntries</f>
        <v>0</v>
      </c>
      <c r="D224" s="534">
        <f>KEENANIREINTTRIES</f>
        <v>0</v>
      </c>
      <c r="E224" s="101">
        <f>SUM(C224:D224)</f>
        <v>0</v>
      </c>
      <c r="F224" s="113" t="s">
        <v>1112</v>
      </c>
      <c r="G224" s="225" t="s">
        <v>165</v>
      </c>
      <c r="H224" s="318" t="s">
        <v>355</v>
      </c>
      <c r="I224" s="536">
        <f>jorgensenausintpts</f>
        <v>0</v>
      </c>
      <c r="J224" s="102">
        <f>SUM(H224:I224)</f>
        <v>0</v>
      </c>
    </row>
    <row r="225" spans="1:10" ht="14.95" customHeight="1" thickBot="1" x14ac:dyDescent="0.3">
      <c r="A225" s="26" t="s">
        <v>418</v>
      </c>
      <c r="B225" s="25" t="s">
        <v>165</v>
      </c>
      <c r="C225" s="316" t="s">
        <v>355</v>
      </c>
      <c r="D225" s="534">
        <f>kellawayausinttries</f>
        <v>0</v>
      </c>
      <c r="E225" s="101">
        <f>SUM(C225:D225)</f>
        <v>0</v>
      </c>
      <c r="F225" s="113" t="s">
        <v>1014</v>
      </c>
      <c r="G225" s="225" t="s">
        <v>165</v>
      </c>
      <c r="H225" s="318" t="s">
        <v>355</v>
      </c>
      <c r="I225" s="536">
        <f>kaileaausintpts</f>
        <v>0</v>
      </c>
      <c r="J225" s="102">
        <f>SUM(H225:I225)</f>
        <v>0</v>
      </c>
    </row>
    <row r="226" spans="1:10" ht="14.95" customHeight="1" thickBot="1" x14ac:dyDescent="0.3">
      <c r="A226" s="26" t="s">
        <v>381</v>
      </c>
      <c r="B226" s="25" t="s">
        <v>167</v>
      </c>
      <c r="C226" s="316">
        <f>kelleherire6ntries</f>
        <v>0</v>
      </c>
      <c r="D226" s="534"/>
      <c r="E226" s="101">
        <f>SUM(C226:D226)</f>
        <v>0</v>
      </c>
      <c r="F226" s="113" t="s">
        <v>360</v>
      </c>
      <c r="G226" s="225" t="s">
        <v>167</v>
      </c>
      <c r="H226" s="318">
        <f>Keenanire6npts</f>
        <v>0</v>
      </c>
      <c r="I226" s="536">
        <f>KEENANIREINTPTS</f>
        <v>0</v>
      </c>
      <c r="J226" s="102">
        <f>SUM(H226:I226)</f>
        <v>0</v>
      </c>
    </row>
    <row r="227" spans="1:10" ht="14.95" customHeight="1" thickBot="1" x14ac:dyDescent="0.3">
      <c r="A227" s="26" t="s">
        <v>1268</v>
      </c>
      <c r="B227" s="25" t="s">
        <v>167</v>
      </c>
      <c r="C227" s="316"/>
      <c r="D227" s="534">
        <f>kilcoyneireinttries</f>
        <v>0</v>
      </c>
      <c r="E227" s="101">
        <f>SUM(C227:D227)</f>
        <v>0</v>
      </c>
      <c r="F227" s="113" t="s">
        <v>418</v>
      </c>
      <c r="G227" s="225" t="s">
        <v>165</v>
      </c>
      <c r="H227" s="318" t="s">
        <v>355</v>
      </c>
      <c r="I227" s="536">
        <f>kellawayausintpts</f>
        <v>0</v>
      </c>
      <c r="J227" s="102">
        <f>SUM(H227:I227)</f>
        <v>0</v>
      </c>
    </row>
    <row r="228" spans="1:10" ht="14.95" customHeight="1" thickBot="1" x14ac:dyDescent="0.3">
      <c r="A228" s="26" t="s">
        <v>282</v>
      </c>
      <c r="B228" s="25" t="s">
        <v>165</v>
      </c>
      <c r="C228" s="316" t="s">
        <v>355</v>
      </c>
      <c r="D228" s="534">
        <f>kereviausinttries</f>
        <v>0</v>
      </c>
      <c r="E228" s="101">
        <f>SUM(C228:D228)</f>
        <v>0</v>
      </c>
      <c r="F228" s="113" t="s">
        <v>381</v>
      </c>
      <c r="G228" s="225" t="s">
        <v>167</v>
      </c>
      <c r="H228" s="318">
        <f>kelleherire6npts</f>
        <v>0</v>
      </c>
      <c r="I228" s="536"/>
      <c r="J228" s="102">
        <f>SUM(H228:I228)</f>
        <v>0</v>
      </c>
    </row>
    <row r="229" spans="1:10" ht="14.95" customHeight="1" thickBot="1" x14ac:dyDescent="0.3">
      <c r="A229" s="26" t="s">
        <v>216</v>
      </c>
      <c r="B229" s="25" t="s">
        <v>169</v>
      </c>
      <c r="C229" s="316">
        <f>Kinghornsco6ntries</f>
        <v>0</v>
      </c>
      <c r="D229" s="534">
        <f>kinghornscointtries</f>
        <v>0</v>
      </c>
      <c r="E229" s="101">
        <f>SUM(C229:D229)</f>
        <v>0</v>
      </c>
      <c r="F229" s="113" t="s">
        <v>1268</v>
      </c>
      <c r="G229" s="225" t="s">
        <v>167</v>
      </c>
      <c r="H229" s="318"/>
      <c r="I229" s="536">
        <f>kilcoyneireintpts</f>
        <v>0</v>
      </c>
      <c r="J229" s="102">
        <f>SUM(H229:I229)</f>
        <v>0</v>
      </c>
    </row>
    <row r="230" spans="1:10" ht="14.95" customHeight="1" thickBot="1" x14ac:dyDescent="0.3">
      <c r="A230" s="26" t="s">
        <v>1298</v>
      </c>
      <c r="B230" s="25" t="s">
        <v>166</v>
      </c>
      <c r="C230" s="316" t="s">
        <v>355</v>
      </c>
      <c r="D230" s="534">
        <f>Kirifinzlinttries</f>
        <v>0</v>
      </c>
      <c r="E230" s="101">
        <f>SUM(C230:D230)</f>
        <v>0</v>
      </c>
      <c r="F230" s="113" t="s">
        <v>282</v>
      </c>
      <c r="G230" s="225" t="s">
        <v>165</v>
      </c>
      <c r="H230" s="318" t="s">
        <v>355</v>
      </c>
      <c r="I230" s="536">
        <f>kereviausintpts</f>
        <v>0</v>
      </c>
      <c r="J230" s="102">
        <f>SUM(H230:I230)</f>
        <v>0</v>
      </c>
    </row>
    <row r="231" spans="1:10" ht="14.95" customHeight="1" thickBot="1" x14ac:dyDescent="0.3">
      <c r="A231" s="26" t="s">
        <v>570</v>
      </c>
      <c r="B231" s="25" t="s">
        <v>170</v>
      </c>
      <c r="C231" s="316" t="s">
        <v>355</v>
      </c>
      <c r="D231" s="534"/>
      <c r="E231" s="101">
        <f>SUM(C231:D231)</f>
        <v>0</v>
      </c>
      <c r="F231" s="113" t="s">
        <v>216</v>
      </c>
      <c r="G231" s="225" t="s">
        <v>169</v>
      </c>
      <c r="H231" s="318">
        <f>kinghornsco6npts</f>
        <v>0</v>
      </c>
      <c r="I231" s="536">
        <f>kinghornscointpts</f>
        <v>0</v>
      </c>
      <c r="J231" s="102">
        <f>SUM(H231:I231)</f>
        <v>0</v>
      </c>
    </row>
    <row r="232" spans="1:10" ht="14.95" customHeight="1" thickBot="1" x14ac:dyDescent="0.3">
      <c r="A232" s="26" t="s">
        <v>1240</v>
      </c>
      <c r="B232" s="25" t="s">
        <v>170</v>
      </c>
      <c r="C232" s="316" t="s">
        <v>355</v>
      </c>
      <c r="D232" s="534">
        <f>Kochrsainttries</f>
        <v>0</v>
      </c>
      <c r="E232" s="101">
        <f>SUM(C232:D232)</f>
        <v>0</v>
      </c>
      <c r="F232" s="113" t="s">
        <v>1298</v>
      </c>
      <c r="G232" s="225" t="s">
        <v>166</v>
      </c>
      <c r="H232" s="318" t="s">
        <v>355</v>
      </c>
      <c r="I232" s="536">
        <f>Kirifinzlintpts</f>
        <v>0</v>
      </c>
      <c r="J232" s="102">
        <f>SUM(H232:I232)</f>
        <v>0</v>
      </c>
    </row>
    <row r="233" spans="1:10" ht="14.95" customHeight="1" thickBot="1" x14ac:dyDescent="0.3">
      <c r="A233" s="26" t="s">
        <v>244</v>
      </c>
      <c r="B233" s="25" t="s">
        <v>170</v>
      </c>
      <c r="C233" s="316" t="s">
        <v>355</v>
      </c>
      <c r="D233" s="534">
        <f>Kolbersainttriescorrect</f>
        <v>0</v>
      </c>
      <c r="E233" s="101">
        <f>SUM(C233:D233)</f>
        <v>0</v>
      </c>
      <c r="F233" s="113" t="s">
        <v>570</v>
      </c>
      <c r="G233" s="225" t="s">
        <v>170</v>
      </c>
      <c r="H233" s="318" t="s">
        <v>355</v>
      </c>
      <c r="I233" s="536"/>
      <c r="J233" s="102">
        <f>SUM(H233:I233)</f>
        <v>0</v>
      </c>
    </row>
    <row r="234" spans="1:10" ht="14.95" customHeight="1" thickBot="1" x14ac:dyDescent="0.3">
      <c r="A234" s="26" t="s">
        <v>237</v>
      </c>
      <c r="B234" s="25" t="s">
        <v>170</v>
      </c>
      <c r="C234" s="316" t="s">
        <v>355</v>
      </c>
      <c r="D234" s="534"/>
      <c r="E234" s="101">
        <f>SUM(C234:D234)</f>
        <v>0</v>
      </c>
      <c r="F234" s="113" t="s">
        <v>1240</v>
      </c>
      <c r="G234" s="225" t="s">
        <v>170</v>
      </c>
      <c r="H234" s="318" t="s">
        <v>355</v>
      </c>
      <c r="I234" s="536">
        <f>Kochrsaintpts</f>
        <v>0</v>
      </c>
      <c r="J234" s="102">
        <f>SUM(H234:I234)</f>
        <v>0</v>
      </c>
    </row>
    <row r="235" spans="1:10" ht="14.95" customHeight="1" thickBot="1" x14ac:dyDescent="0.3">
      <c r="A235" s="26" t="s">
        <v>256</v>
      </c>
      <c r="B235" s="25" t="s">
        <v>165</v>
      </c>
      <c r="C235" s="316" t="s">
        <v>355</v>
      </c>
      <c r="D235" s="534">
        <f>koroibeteausinttries</f>
        <v>0</v>
      </c>
      <c r="E235" s="101">
        <f>SUM(C235:D235)</f>
        <v>0</v>
      </c>
      <c r="F235" s="113" t="s">
        <v>244</v>
      </c>
      <c r="G235" s="225" t="s">
        <v>170</v>
      </c>
      <c r="H235" s="318" t="s">
        <v>355</v>
      </c>
      <c r="I235" s="536">
        <f>Kolbersaintptscorrect</f>
        <v>0</v>
      </c>
      <c r="J235" s="102">
        <f>SUM(H235:I235)</f>
        <v>0</v>
      </c>
    </row>
    <row r="236" spans="1:10" ht="14.95" customHeight="1" thickBot="1" x14ac:dyDescent="0.3">
      <c r="A236" s="26" t="s">
        <v>281</v>
      </c>
      <c r="B236" s="25" t="s">
        <v>171</v>
      </c>
      <c r="C236" s="316" t="s">
        <v>355</v>
      </c>
      <c r="D236" s="534">
        <f>kremerarginttries</f>
        <v>0</v>
      </c>
      <c r="E236" s="101">
        <f>SUM(C236:D236)</f>
        <v>0</v>
      </c>
      <c r="F236" s="113" t="s">
        <v>237</v>
      </c>
      <c r="G236" s="225" t="s">
        <v>170</v>
      </c>
      <c r="H236" s="318" t="s">
        <v>355</v>
      </c>
      <c r="I236" s="536"/>
      <c r="J236" s="102">
        <f>SUM(H236:I236)</f>
        <v>0</v>
      </c>
    </row>
    <row r="237" spans="1:10" ht="14.95" customHeight="1" thickBot="1" x14ac:dyDescent="0.3">
      <c r="A237" s="26" t="s">
        <v>705</v>
      </c>
      <c r="B237" s="25" t="s">
        <v>170</v>
      </c>
      <c r="C237" s="316" t="s">
        <v>355</v>
      </c>
      <c r="D237" s="534">
        <f>Krielrsainttriescorrect</f>
        <v>0</v>
      </c>
      <c r="E237" s="101">
        <f>SUM(C237:D237)</f>
        <v>0</v>
      </c>
      <c r="F237" s="113" t="s">
        <v>256</v>
      </c>
      <c r="G237" s="225" t="s">
        <v>165</v>
      </c>
      <c r="H237" s="318" t="s">
        <v>355</v>
      </c>
      <c r="I237" s="536">
        <f>koroibeteausintpts</f>
        <v>0</v>
      </c>
      <c r="J237" s="102">
        <f>SUM(H237:I237)</f>
        <v>0</v>
      </c>
    </row>
    <row r="238" spans="1:10" ht="14.95" customHeight="1" thickBot="1" x14ac:dyDescent="0.3">
      <c r="A238" s="26" t="s">
        <v>1132</v>
      </c>
      <c r="B238" s="25" t="s">
        <v>166</v>
      </c>
      <c r="C238" s="316" t="s">
        <v>355</v>
      </c>
      <c r="D238" s="534">
        <f>Lakainzlinttries</f>
        <v>0</v>
      </c>
      <c r="E238" s="101">
        <f>SUM(C238:D238)</f>
        <v>0</v>
      </c>
      <c r="F238" s="113" t="s">
        <v>281</v>
      </c>
      <c r="G238" s="225" t="s">
        <v>171</v>
      </c>
      <c r="H238" s="318" t="s">
        <v>355</v>
      </c>
      <c r="I238" s="536">
        <f>kremerargontpts</f>
        <v>0</v>
      </c>
      <c r="J238" s="102">
        <f>SUM(H238:I238)</f>
        <v>0</v>
      </c>
    </row>
    <row r="239" spans="1:10" ht="14.95" customHeight="1" thickBot="1" x14ac:dyDescent="0.3">
      <c r="A239" s="26" t="s">
        <v>492</v>
      </c>
      <c r="B239" s="25" t="s">
        <v>173</v>
      </c>
      <c r="C239" s="316">
        <f>Lakewal6ntries</f>
        <v>0</v>
      </c>
      <c r="D239" s="534">
        <f>lakewalinttries</f>
        <v>0</v>
      </c>
      <c r="E239" s="101">
        <f>SUM(C239:D239)</f>
        <v>0</v>
      </c>
      <c r="F239" s="113" t="s">
        <v>705</v>
      </c>
      <c r="G239" s="225" t="s">
        <v>170</v>
      </c>
      <c r="H239" s="318" t="s">
        <v>355</v>
      </c>
      <c r="I239" s="536">
        <f>Krielrsaintptscorrect</f>
        <v>0</v>
      </c>
      <c r="J239" s="102">
        <f>SUM(H239:I239)</f>
        <v>0</v>
      </c>
    </row>
    <row r="240" spans="1:10" ht="14.95" customHeight="1" thickBot="1" x14ac:dyDescent="0.3">
      <c r="A240" s="26" t="s">
        <v>836</v>
      </c>
      <c r="B240" s="25" t="s">
        <v>172</v>
      </c>
      <c r="C240" s="316" t="s">
        <v>20</v>
      </c>
      <c r="D240" s="534">
        <f>lamaroitainttries</f>
        <v>0</v>
      </c>
      <c r="E240" s="101">
        <f>SUM(C240:D240)</f>
        <v>0</v>
      </c>
      <c r="F240" s="113" t="s">
        <v>1132</v>
      </c>
      <c r="G240" s="225" t="s">
        <v>166</v>
      </c>
      <c r="H240" s="318" t="s">
        <v>355</v>
      </c>
      <c r="I240" s="536">
        <f>Lakainzlintpts</f>
        <v>0</v>
      </c>
      <c r="J240" s="102">
        <f>SUM(H240:I240)</f>
        <v>0</v>
      </c>
    </row>
    <row r="241" spans="1:10" ht="14.95" customHeight="1" thickBot="1" x14ac:dyDescent="0.3">
      <c r="A241" s="26" t="s">
        <v>821</v>
      </c>
      <c r="B241" s="25" t="s">
        <v>172</v>
      </c>
      <c r="C241" s="316"/>
      <c r="D241" s="534">
        <f>lucchesiitainttries</f>
        <v>0</v>
      </c>
      <c r="E241" s="101">
        <f>SUM(C241:D241)</f>
        <v>0</v>
      </c>
      <c r="F241" s="113" t="s">
        <v>492</v>
      </c>
      <c r="G241" s="225" t="s">
        <v>173</v>
      </c>
      <c r="H241" s="318">
        <f>Lakewal6npts</f>
        <v>0</v>
      </c>
      <c r="I241" s="536">
        <f>lakewalintpts</f>
        <v>0</v>
      </c>
      <c r="J241" s="102">
        <f>SUM(H241:I241)</f>
        <v>0</v>
      </c>
    </row>
    <row r="242" spans="1:10" ht="14.95" customHeight="1" thickBot="1" x14ac:dyDescent="0.3">
      <c r="A242" s="26" t="s">
        <v>1431</v>
      </c>
      <c r="B242" s="25" t="s">
        <v>182</v>
      </c>
      <c r="C242" s="316">
        <f>Jelonchfra6ntries</f>
        <v>0</v>
      </c>
      <c r="D242" s="534">
        <f>jelonchfrainttries</f>
        <v>0</v>
      </c>
      <c r="E242" s="101">
        <f>SUM(C242:D242)</f>
        <v>0</v>
      </c>
      <c r="F242" s="113" t="s">
        <v>836</v>
      </c>
      <c r="G242" s="225" t="s">
        <v>172</v>
      </c>
      <c r="H242" s="318" t="s">
        <v>20</v>
      </c>
      <c r="I242" s="536">
        <f>lamaroitaintpts</f>
        <v>0</v>
      </c>
      <c r="J242" s="102">
        <f>SUM(H242:I242)</f>
        <v>0</v>
      </c>
    </row>
    <row r="243" spans="1:10" ht="14.95" customHeight="1" thickBot="1" x14ac:dyDescent="0.3">
      <c r="A243" s="26" t="s">
        <v>1312</v>
      </c>
      <c r="B243" s="25" t="s">
        <v>168</v>
      </c>
      <c r="C243" s="316"/>
      <c r="D243" s="534">
        <f>Langdonenginttries</f>
        <v>0</v>
      </c>
      <c r="E243" s="101">
        <f>SUM(C243:D243)</f>
        <v>0</v>
      </c>
      <c r="F243" s="113" t="s">
        <v>821</v>
      </c>
      <c r="G243" s="225" t="s">
        <v>172</v>
      </c>
      <c r="H243" s="318"/>
      <c r="I243" s="536">
        <f>lucchesiitaintpts</f>
        <v>0</v>
      </c>
      <c r="J243" s="102">
        <f>SUM(H243:I243)</f>
        <v>0</v>
      </c>
    </row>
    <row r="244" spans="1:10" ht="14.95" customHeight="1" thickBot="1" x14ac:dyDescent="0.3">
      <c r="A244" s="26" t="s">
        <v>252</v>
      </c>
      <c r="B244" s="25" t="s">
        <v>167</v>
      </c>
      <c r="C244" s="316"/>
      <c r="D244" s="534"/>
      <c r="E244" s="101">
        <f>SUM(C244:D244)</f>
        <v>0</v>
      </c>
      <c r="F244" s="113" t="s">
        <v>1431</v>
      </c>
      <c r="G244" s="225" t="s">
        <v>182</v>
      </c>
      <c r="H244" s="318">
        <f>Jelonchfra6npts</f>
        <v>0</v>
      </c>
      <c r="I244" s="536">
        <f>jelonchfraintpts</f>
        <v>0</v>
      </c>
      <c r="J244" s="102">
        <f>SUM(H244:I244)</f>
        <v>0</v>
      </c>
    </row>
    <row r="245" spans="1:10" ht="14.95" customHeight="1" thickBot="1" x14ac:dyDescent="0.3">
      <c r="A245" s="26" t="s">
        <v>915</v>
      </c>
      <c r="B245" s="25" t="s">
        <v>182</v>
      </c>
      <c r="C245" s="316">
        <f>legarrecfra6ntries</f>
        <v>0</v>
      </c>
      <c r="D245" s="534">
        <f>legarrecfrainttries</f>
        <v>0</v>
      </c>
      <c r="E245" s="101">
        <f>SUM(C245:D245)</f>
        <v>0</v>
      </c>
      <c r="F245" s="113" t="s">
        <v>1312</v>
      </c>
      <c r="G245" s="225" t="s">
        <v>168</v>
      </c>
      <c r="H245" s="318"/>
      <c r="I245" s="536">
        <f>Langdonengintpts</f>
        <v>0</v>
      </c>
      <c r="J245" s="102">
        <f>SUM(H245:I245)</f>
        <v>0</v>
      </c>
    </row>
    <row r="246" spans="1:10" ht="14.95" customHeight="1" thickBot="1" x14ac:dyDescent="0.3">
      <c r="A246" s="26" t="s">
        <v>526</v>
      </c>
      <c r="B246" s="25" t="s">
        <v>170</v>
      </c>
      <c r="C246" s="316" t="s">
        <v>355</v>
      </c>
      <c r="D246" s="534"/>
      <c r="E246" s="101">
        <f>SUM(C246:D246)</f>
        <v>0</v>
      </c>
      <c r="F246" s="113" t="s">
        <v>252</v>
      </c>
      <c r="G246" s="225" t="s">
        <v>167</v>
      </c>
      <c r="H246" s="318"/>
      <c r="I246" s="536"/>
      <c r="J246" s="102">
        <f>SUM(H246:I246)</f>
        <v>0</v>
      </c>
    </row>
    <row r="247" spans="1:10" ht="14.95" customHeight="1" thickBot="1" x14ac:dyDescent="0.3">
      <c r="A247" s="26" t="s">
        <v>572</v>
      </c>
      <c r="B247" s="25" t="s">
        <v>170</v>
      </c>
      <c r="C247" s="316" t="s">
        <v>355</v>
      </c>
      <c r="D247" s="534">
        <f>Libbokrsainttries</f>
        <v>0</v>
      </c>
      <c r="E247" s="101">
        <f>SUM(C247:D247)</f>
        <v>0</v>
      </c>
      <c r="F247" s="113" t="s">
        <v>915</v>
      </c>
      <c r="G247" s="225" t="s">
        <v>182</v>
      </c>
      <c r="H247" s="318">
        <f>legarrcefra6npts</f>
        <v>0</v>
      </c>
      <c r="I247" s="536">
        <f>legarrecfraintpts</f>
        <v>0</v>
      </c>
      <c r="J247" s="102">
        <f>SUM(H247:I247)</f>
        <v>0</v>
      </c>
    </row>
    <row r="248" spans="1:10" ht="14.95" customHeight="1" thickBot="1" x14ac:dyDescent="0.3">
      <c r="A248" s="26" t="s">
        <v>257</v>
      </c>
      <c r="B248" s="25" t="s">
        <v>166</v>
      </c>
      <c r="C248" s="316" t="s">
        <v>355</v>
      </c>
      <c r="D248" s="534">
        <f>Lienert_Brownnzlinttries</f>
        <v>0</v>
      </c>
      <c r="E248" s="101">
        <f>SUM(C248:D248)</f>
        <v>0</v>
      </c>
      <c r="F248" s="113" t="s">
        <v>526</v>
      </c>
      <c r="G248" s="225" t="s">
        <v>170</v>
      </c>
      <c r="H248" s="318" t="s">
        <v>355</v>
      </c>
      <c r="I248" s="536"/>
      <c r="J248" s="102">
        <f>SUM(H248:I248)</f>
        <v>0</v>
      </c>
    </row>
    <row r="249" spans="1:10" ht="14.95" customHeight="1" thickBot="1" x14ac:dyDescent="0.3">
      <c r="A249" s="26" t="s">
        <v>1223</v>
      </c>
      <c r="B249" s="25" t="s">
        <v>173</v>
      </c>
      <c r="C249" s="316">
        <f>Llewellynwaltries</f>
        <v>0</v>
      </c>
      <c r="D249" s="534">
        <f>llewellynwalinttries</f>
        <v>0</v>
      </c>
      <c r="E249" s="101">
        <f>SUM(C249:D249)</f>
        <v>0</v>
      </c>
      <c r="F249" s="113" t="s">
        <v>572</v>
      </c>
      <c r="G249" s="225" t="s">
        <v>170</v>
      </c>
      <c r="H249" s="318" t="s">
        <v>355</v>
      </c>
      <c r="I249" s="536">
        <f>Libbokrsaintptscorrect</f>
        <v>0</v>
      </c>
      <c r="J249" s="102">
        <f>SUM(H249:I249)</f>
        <v>0</v>
      </c>
    </row>
    <row r="250" spans="1:10" ht="14.95" customHeight="1" thickBot="1" x14ac:dyDescent="0.3">
      <c r="A250" s="26" t="s">
        <v>1222</v>
      </c>
      <c r="B250" s="25" t="s">
        <v>173</v>
      </c>
      <c r="C250" s="316">
        <f>lloydwal6ntries</f>
        <v>0</v>
      </c>
      <c r="D250" s="534"/>
      <c r="E250" s="101">
        <f>SUM(C250:D250)</f>
        <v>0</v>
      </c>
      <c r="F250" s="113" t="s">
        <v>257</v>
      </c>
      <c r="G250" s="225" t="s">
        <v>166</v>
      </c>
      <c r="H250" s="318" t="s">
        <v>355</v>
      </c>
      <c r="I250" s="536">
        <f>lienertbrownnzlintpts</f>
        <v>0</v>
      </c>
      <c r="J250" s="102">
        <f>SUM(H250:I250)</f>
        <v>0</v>
      </c>
    </row>
    <row r="251" spans="1:10" ht="14.95" customHeight="1" thickBot="1" x14ac:dyDescent="0.3">
      <c r="A251" s="26" t="s">
        <v>967</v>
      </c>
      <c r="B251" s="25" t="s">
        <v>165</v>
      </c>
      <c r="C251" s="316" t="s">
        <v>355</v>
      </c>
      <c r="D251" s="534">
        <f>lolesioausinttries</f>
        <v>0</v>
      </c>
      <c r="E251" s="101">
        <f>SUM(C251:D251)</f>
        <v>0</v>
      </c>
      <c r="F251" s="113" t="s">
        <v>1223</v>
      </c>
      <c r="G251" s="225" t="s">
        <v>173</v>
      </c>
      <c r="H251" s="318">
        <f>Llewellynwalpts</f>
        <v>0</v>
      </c>
      <c r="I251" s="536">
        <f>llewellynwalintpts</f>
        <v>0</v>
      </c>
      <c r="J251" s="102">
        <f>SUM(H251:I251)</f>
        <v>0</v>
      </c>
    </row>
    <row r="252" spans="1:10" ht="14.95" customHeight="1" thickBot="1" x14ac:dyDescent="0.3">
      <c r="A252" s="26" t="s">
        <v>1139</v>
      </c>
      <c r="B252" s="25" t="s">
        <v>170</v>
      </c>
      <c r="C252" s="316" t="s">
        <v>355</v>
      </c>
      <c r="D252" s="534">
        <f>Louw_Ersainttries</f>
        <v>0</v>
      </c>
      <c r="E252" s="101">
        <f>SUM(C252:D252)</f>
        <v>0</v>
      </c>
      <c r="F252" s="113" t="s">
        <v>1222</v>
      </c>
      <c r="G252" s="225" t="s">
        <v>173</v>
      </c>
      <c r="H252" s="318">
        <f>lloydwal6npts</f>
        <v>0</v>
      </c>
      <c r="I252" s="536"/>
      <c r="J252" s="102">
        <f>SUM(H252:I252)</f>
        <v>0</v>
      </c>
    </row>
    <row r="253" spans="1:10" ht="14.95" customHeight="1" thickBot="1" x14ac:dyDescent="0.3">
      <c r="A253" s="26" t="s">
        <v>1390</v>
      </c>
      <c r="B253" s="25" t="s">
        <v>170</v>
      </c>
      <c r="C253" s="316" t="s">
        <v>355</v>
      </c>
      <c r="D253" s="534">
        <f>Louw_Wrsainttries</f>
        <v>0</v>
      </c>
      <c r="E253" s="101">
        <f>SUM(C253:D253)</f>
        <v>0</v>
      </c>
      <c r="F253" s="113" t="s">
        <v>967</v>
      </c>
      <c r="G253" s="225" t="s">
        <v>165</v>
      </c>
      <c r="H253" s="318" t="s">
        <v>355</v>
      </c>
      <c r="I253" s="536">
        <f>lolesioausintptsscorrect</f>
        <v>0</v>
      </c>
      <c r="J253" s="102">
        <f>SUM(H253:I253)</f>
        <v>0</v>
      </c>
    </row>
    <row r="254" spans="1:10" ht="14.95" customHeight="1" thickBot="1" x14ac:dyDescent="0.3">
      <c r="A254" s="26" t="s">
        <v>1102</v>
      </c>
      <c r="B254" s="25" t="s">
        <v>166</v>
      </c>
      <c r="C254" s="316" t="s">
        <v>355</v>
      </c>
      <c r="D254" s="534">
        <f>lovenzlinttries</f>
        <v>0</v>
      </c>
      <c r="E254" s="101">
        <f>SUM(C254:D254)</f>
        <v>0</v>
      </c>
      <c r="F254" s="113" t="s">
        <v>1139</v>
      </c>
      <c r="G254" s="225" t="s">
        <v>170</v>
      </c>
      <c r="H254" s="318" t="s">
        <v>355</v>
      </c>
      <c r="I254" s="536">
        <f>Louw_Ersaintpts</f>
        <v>0</v>
      </c>
      <c r="J254" s="102">
        <f>SUM(H254:I254)</f>
        <v>0</v>
      </c>
    </row>
    <row r="255" spans="1:10" ht="14.95" customHeight="1" thickBot="1" x14ac:dyDescent="0.3">
      <c r="A255" s="26" t="s">
        <v>368</v>
      </c>
      <c r="B255" s="25" t="s">
        <v>167</v>
      </c>
      <c r="C255" s="316">
        <f>Loweire6ntries</f>
        <v>0</v>
      </c>
      <c r="D255" s="534">
        <f>loweireinttries</f>
        <v>0</v>
      </c>
      <c r="E255" s="101">
        <f>SUM(C255:D255)</f>
        <v>0</v>
      </c>
      <c r="F255" s="113" t="s">
        <v>1390</v>
      </c>
      <c r="G255" s="225" t="s">
        <v>170</v>
      </c>
      <c r="H255" s="318" t="s">
        <v>355</v>
      </c>
      <c r="I255" s="536">
        <f>louwwrsaintpts</f>
        <v>0</v>
      </c>
      <c r="J255" s="102">
        <f>SUM(H255:I255)</f>
        <v>0</v>
      </c>
    </row>
    <row r="256" spans="1:10" ht="14.95" customHeight="1" thickBot="1" x14ac:dyDescent="0.3">
      <c r="A256" s="26" t="s">
        <v>517</v>
      </c>
      <c r="B256" s="25" t="s">
        <v>182</v>
      </c>
      <c r="C256" s="316">
        <f>lucufra6ntries</f>
        <v>0</v>
      </c>
      <c r="D256" s="534">
        <f>lucufrainttries</f>
        <v>0</v>
      </c>
      <c r="E256" s="101">
        <f>SUM(C256:D256)</f>
        <v>0</v>
      </c>
      <c r="F256" s="113" t="s">
        <v>1102</v>
      </c>
      <c r="G256" s="225" t="s">
        <v>166</v>
      </c>
      <c r="H256" s="318" t="s">
        <v>355</v>
      </c>
      <c r="I256" s="536">
        <f>Lovenzlintpts</f>
        <v>0</v>
      </c>
      <c r="J256" s="102">
        <f>SUM(H256:I256)</f>
        <v>0</v>
      </c>
    </row>
    <row r="257" spans="1:10" ht="14.95" customHeight="1" thickBot="1" x14ac:dyDescent="0.3">
      <c r="A257" s="26" t="s">
        <v>968</v>
      </c>
      <c r="B257" s="25" t="s">
        <v>165</v>
      </c>
      <c r="C257" s="316" t="s">
        <v>355</v>
      </c>
      <c r="D257" s="534">
        <f>lynaghausinttries</f>
        <v>0</v>
      </c>
      <c r="E257" s="101">
        <f>SUM(C257:D257)</f>
        <v>0</v>
      </c>
      <c r="F257" s="113" t="s">
        <v>368</v>
      </c>
      <c r="G257" s="225" t="s">
        <v>167</v>
      </c>
      <c r="H257" s="318">
        <f>Loweire6npts</f>
        <v>0</v>
      </c>
      <c r="I257" s="536">
        <f>loweireintpts</f>
        <v>0</v>
      </c>
      <c r="J257" s="102">
        <f>SUM(H257:I257)</f>
        <v>0</v>
      </c>
    </row>
    <row r="258" spans="1:10" ht="14.95" customHeight="1" thickBot="1" x14ac:dyDescent="0.3">
      <c r="A258" s="26" t="s">
        <v>825</v>
      </c>
      <c r="B258" s="25" t="s">
        <v>182</v>
      </c>
      <c r="C258" s="316"/>
      <c r="D258" s="534">
        <f>macaloufrainttries</f>
        <v>0</v>
      </c>
      <c r="E258" s="101">
        <f>SUM(C258:D258)</f>
        <v>0</v>
      </c>
      <c r="F258" s="113" t="s">
        <v>517</v>
      </c>
      <c r="G258" s="225" t="s">
        <v>182</v>
      </c>
      <c r="H258" s="318">
        <f>lucufra6npts</f>
        <v>0</v>
      </c>
      <c r="I258" s="536">
        <f>LUCUFRAINTPTS</f>
        <v>0</v>
      </c>
      <c r="J258" s="102">
        <f>SUM(H258:I258)</f>
        <v>0</v>
      </c>
    </row>
    <row r="259" spans="1:10" ht="14.95" customHeight="1" thickBot="1" x14ac:dyDescent="0.3">
      <c r="A259" s="26" t="s">
        <v>587</v>
      </c>
      <c r="B259" s="25" t="s">
        <v>168</v>
      </c>
      <c r="C259" s="316">
        <f>Malinseng6ntries</f>
        <v>0</v>
      </c>
      <c r="D259" s="534"/>
      <c r="E259" s="101">
        <f>SUM(C259:D259)</f>
        <v>0</v>
      </c>
      <c r="F259" s="113" t="s">
        <v>968</v>
      </c>
      <c r="G259" s="225" t="s">
        <v>165</v>
      </c>
      <c r="H259" s="318" t="s">
        <v>355</v>
      </c>
      <c r="I259" s="536">
        <f>lynaghausintpts</f>
        <v>0</v>
      </c>
      <c r="J259" s="102">
        <f>SUM(H259:I259)</f>
        <v>0</v>
      </c>
    </row>
    <row r="260" spans="1:10" ht="14.95" customHeight="1" thickBot="1" x14ac:dyDescent="0.3">
      <c r="A260" s="26" t="s">
        <v>340</v>
      </c>
      <c r="B260" s="25" t="s">
        <v>171</v>
      </c>
      <c r="C260" s="316" t="s">
        <v>355</v>
      </c>
      <c r="D260" s="534">
        <f>malliaarginttries</f>
        <v>0</v>
      </c>
      <c r="E260" s="101">
        <f>SUM(C260:D260)</f>
        <v>0</v>
      </c>
      <c r="F260" s="113" t="s">
        <v>825</v>
      </c>
      <c r="G260" s="225" t="s">
        <v>182</v>
      </c>
      <c r="H260" s="318"/>
      <c r="I260" s="536">
        <f>macaloufraintpts</f>
        <v>0</v>
      </c>
      <c r="J260" s="102">
        <f>SUM(H260:I260)</f>
        <v>0</v>
      </c>
    </row>
    <row r="261" spans="1:10" ht="14.95" customHeight="1" thickBot="1" x14ac:dyDescent="0.3">
      <c r="A261" s="26" t="s">
        <v>901</v>
      </c>
      <c r="B261" s="25" t="s">
        <v>173</v>
      </c>
      <c r="C261" s="316">
        <f>mannwal6ntriws</f>
        <v>0</v>
      </c>
      <c r="D261" s="534">
        <f>owenswalinttries</f>
        <v>0</v>
      </c>
      <c r="E261" s="101">
        <f>SUM(C261:D261)</f>
        <v>0</v>
      </c>
      <c r="F261" s="113" t="s">
        <v>587</v>
      </c>
      <c r="G261" s="225" t="s">
        <v>168</v>
      </c>
      <c r="H261" s="318">
        <f>Malinseng6npts</f>
        <v>0</v>
      </c>
      <c r="I261" s="536"/>
      <c r="J261" s="102">
        <f>SUM(H261:I261)</f>
        <v>0</v>
      </c>
    </row>
    <row r="262" spans="1:10" ht="14.95" customHeight="1" thickBot="1" x14ac:dyDescent="0.3">
      <c r="A262" s="26" t="s">
        <v>203</v>
      </c>
      <c r="B262" s="25" t="s">
        <v>170</v>
      </c>
      <c r="C262" s="316" t="s">
        <v>355</v>
      </c>
      <c r="D262" s="534">
        <f>Mapimpirsainttriescorrect</f>
        <v>0</v>
      </c>
      <c r="E262" s="101">
        <f>SUM(C262:D262)</f>
        <v>0</v>
      </c>
      <c r="F262" s="113" t="s">
        <v>340</v>
      </c>
      <c r="G262" s="225" t="s">
        <v>171</v>
      </c>
      <c r="H262" s="318" t="s">
        <v>355</v>
      </c>
      <c r="I262" s="536">
        <f>malliaargintpts</f>
        <v>0</v>
      </c>
      <c r="J262" s="102">
        <f>SUM(H262:I262)</f>
        <v>0</v>
      </c>
    </row>
    <row r="263" spans="1:10" ht="14.95" customHeight="1" thickBot="1" x14ac:dyDescent="0.3">
      <c r="A263" s="26" t="s">
        <v>234</v>
      </c>
      <c r="B263" s="25" t="s">
        <v>170</v>
      </c>
      <c r="C263" s="316" t="s">
        <v>355</v>
      </c>
      <c r="D263" s="534">
        <f>Marxrsainttriescorrect</f>
        <v>0</v>
      </c>
      <c r="E263" s="101">
        <f>SUM(C263:D263)</f>
        <v>0</v>
      </c>
      <c r="F263" s="113" t="s">
        <v>901</v>
      </c>
      <c r="G263" s="225" t="s">
        <v>173</v>
      </c>
      <c r="H263" s="318">
        <f>mannwal6npts</f>
        <v>0</v>
      </c>
      <c r="I263" s="536">
        <f>owesnwalintpts</f>
        <v>0</v>
      </c>
      <c r="J263" s="102">
        <f>SUM(H263:I263)</f>
        <v>0</v>
      </c>
    </row>
    <row r="264" spans="1:10" ht="14.95" customHeight="1" thickBot="1" x14ac:dyDescent="0.3">
      <c r="A264" s="26" t="s">
        <v>233</v>
      </c>
      <c r="B264" s="25" t="s">
        <v>171</v>
      </c>
      <c r="C264" s="316" t="s">
        <v>355</v>
      </c>
      <c r="D264" s="534">
        <f>materaarginttries</f>
        <v>0</v>
      </c>
      <c r="E264" s="101">
        <f>SUM(C264:D264)</f>
        <v>0</v>
      </c>
      <c r="F264" s="113" t="s">
        <v>203</v>
      </c>
      <c r="G264" s="225" t="s">
        <v>170</v>
      </c>
      <c r="H264" s="318" t="s">
        <v>355</v>
      </c>
      <c r="I264" s="536">
        <f>Mapimpirsaintptscorrect</f>
        <v>0</v>
      </c>
      <c r="J264" s="102">
        <f>SUM(H264:I264)</f>
        <v>0</v>
      </c>
    </row>
    <row r="265" spans="1:10" ht="14.95" customHeight="1" thickBot="1" x14ac:dyDescent="0.3">
      <c r="A265" s="26" t="s">
        <v>444</v>
      </c>
      <c r="B265" s="25" t="s">
        <v>182</v>
      </c>
      <c r="C265" s="316">
        <f>MauvakaFRA6NTRIES</f>
        <v>0</v>
      </c>
      <c r="D265" s="534">
        <f>mauvacafrainttries</f>
        <v>0</v>
      </c>
      <c r="E265" s="101">
        <f>SUM(C265:D265)</f>
        <v>0</v>
      </c>
      <c r="F265" s="113" t="s">
        <v>234</v>
      </c>
      <c r="G265" s="225" t="s">
        <v>170</v>
      </c>
      <c r="H265" s="318" t="s">
        <v>355</v>
      </c>
      <c r="I265" s="536">
        <f>Marxrsaintptscorrect</f>
        <v>0</v>
      </c>
      <c r="J265" s="102">
        <f>SUM(H265:I265)</f>
        <v>0</v>
      </c>
    </row>
    <row r="266" spans="1:10" ht="14.95" customHeight="1" thickBot="1" x14ac:dyDescent="0.3">
      <c r="A266" s="26" t="s">
        <v>242</v>
      </c>
      <c r="B266" s="25" t="s">
        <v>170</v>
      </c>
      <c r="C266" s="316" t="s">
        <v>355</v>
      </c>
      <c r="D266" s="534">
        <f>Mbonambirsainttriescorrect</f>
        <v>0</v>
      </c>
      <c r="E266" s="101">
        <f>SUM(C266:D266)</f>
        <v>0</v>
      </c>
      <c r="F266" s="113" t="s">
        <v>233</v>
      </c>
      <c r="G266" s="225" t="s">
        <v>171</v>
      </c>
      <c r="H266" s="318" t="s">
        <v>355</v>
      </c>
      <c r="I266" s="536">
        <f>materaargintpts</f>
        <v>0</v>
      </c>
      <c r="J266" s="102">
        <f>SUM(H266:I266)</f>
        <v>0</v>
      </c>
    </row>
    <row r="267" spans="1:10" ht="14.95" customHeight="1" thickBot="1" x14ac:dyDescent="0.3">
      <c r="A267" s="26" t="s">
        <v>1300</v>
      </c>
      <c r="B267" s="25" t="s">
        <v>166</v>
      </c>
      <c r="C267" s="316" t="s">
        <v>355</v>
      </c>
      <c r="D267" s="534">
        <f>McAlisternzlinttries</f>
        <v>0</v>
      </c>
      <c r="E267" s="101">
        <f>SUM(C267:D267)</f>
        <v>0</v>
      </c>
      <c r="F267" s="113" t="s">
        <v>444</v>
      </c>
      <c r="G267" s="225" t="s">
        <v>182</v>
      </c>
      <c r="H267" s="318">
        <f>MauvakaFRA6NPTS</f>
        <v>0</v>
      </c>
      <c r="I267" s="536">
        <f>mauvacafraintpts</f>
        <v>0</v>
      </c>
      <c r="J267" s="102">
        <f>SUM(H267:I267)</f>
        <v>0</v>
      </c>
    </row>
    <row r="268" spans="1:10" ht="14.95" customHeight="1" thickBot="1" x14ac:dyDescent="0.3">
      <c r="A268" s="26" t="s">
        <v>1135</v>
      </c>
      <c r="B268" s="25" t="s">
        <v>167</v>
      </c>
      <c r="C268" s="316">
        <f>McCarthy_Gire6ntries</f>
        <v>0</v>
      </c>
      <c r="D268" s="534">
        <f>mccarthygireinttries</f>
        <v>0</v>
      </c>
      <c r="E268" s="101">
        <f>SUM(C268:D268)</f>
        <v>0</v>
      </c>
      <c r="F268" s="113" t="s">
        <v>242</v>
      </c>
      <c r="G268" s="225" t="s">
        <v>170</v>
      </c>
      <c r="H268" s="318" t="s">
        <v>355</v>
      </c>
      <c r="I268" s="536">
        <f>Mbonambirsaintptscorrect</f>
        <v>0</v>
      </c>
      <c r="J268" s="102">
        <f>SUM(H268:I268)</f>
        <v>0</v>
      </c>
    </row>
    <row r="269" spans="1:10" ht="14.95" customHeight="1" thickBot="1" x14ac:dyDescent="0.3">
      <c r="A269" s="26" t="s">
        <v>870</v>
      </c>
      <c r="B269" s="25" t="s">
        <v>167</v>
      </c>
      <c r="C269" s="316">
        <f>Lowryire6ntries</f>
        <v>0</v>
      </c>
      <c r="D269" s="534">
        <f>mccarthyireinttries</f>
        <v>0</v>
      </c>
      <c r="E269" s="101">
        <f>SUM(C269:D269)</f>
        <v>0</v>
      </c>
      <c r="F269" s="113" t="s">
        <v>1300</v>
      </c>
      <c r="G269" s="225" t="s">
        <v>166</v>
      </c>
      <c r="H269" s="318" t="s">
        <v>355</v>
      </c>
      <c r="I269" s="536">
        <f>McAlisternzlintpts</f>
        <v>0</v>
      </c>
      <c r="J269" s="102">
        <f>SUM(H269:I269)</f>
        <v>0</v>
      </c>
    </row>
    <row r="270" spans="1:10" ht="14.95" customHeight="1" thickBot="1" x14ac:dyDescent="0.3">
      <c r="A270" s="26" t="s">
        <v>1396</v>
      </c>
      <c r="B270" s="25" t="s">
        <v>167</v>
      </c>
      <c r="C270" s="316">
        <f>McCarthy_Pire6ntries</f>
        <v>0</v>
      </c>
      <c r="D270" s="534">
        <f>McCarthy_Pireinttries</f>
        <v>0</v>
      </c>
      <c r="E270" s="101">
        <f>SUM(C270:D270)</f>
        <v>0</v>
      </c>
      <c r="F270" s="113" t="s">
        <v>1135</v>
      </c>
      <c r="G270" s="225" t="s">
        <v>167</v>
      </c>
      <c r="H270" s="318">
        <f>McCarthy_Gire6npts</f>
        <v>0</v>
      </c>
      <c r="I270" s="536">
        <f>mccarthygireintpts</f>
        <v>0</v>
      </c>
      <c r="J270" s="102">
        <f>SUM(H270:I270)</f>
        <v>0</v>
      </c>
    </row>
    <row r="271" spans="1:10" ht="14.95" customHeight="1" thickBot="1" x14ac:dyDescent="0.3">
      <c r="A271" s="26" t="s">
        <v>272</v>
      </c>
      <c r="B271" s="25" t="s">
        <v>167</v>
      </c>
      <c r="C271" s="316"/>
      <c r="D271" s="534">
        <f>mccloskeyireinttries</f>
        <v>0</v>
      </c>
      <c r="E271" s="101">
        <f>SUM(C271:D271)</f>
        <v>0</v>
      </c>
      <c r="F271" s="113" t="s">
        <v>870</v>
      </c>
      <c r="G271" s="225" t="s">
        <v>167</v>
      </c>
      <c r="H271" s="318">
        <f>Lowryire6npts</f>
        <v>0</v>
      </c>
      <c r="I271" s="536">
        <f>mccarthyireintpts</f>
        <v>0</v>
      </c>
      <c r="J271" s="102">
        <f>SUM(H271:I271)</f>
        <v>0</v>
      </c>
    </row>
    <row r="272" spans="1:10" ht="14.95" customHeight="1" thickBot="1" x14ac:dyDescent="0.3">
      <c r="A272" s="26" t="s">
        <v>408</v>
      </c>
      <c r="B272" s="25" t="s">
        <v>165</v>
      </c>
      <c r="C272" s="316" t="s">
        <v>355</v>
      </c>
      <c r="D272" s="534">
        <f>mcdermottausinttries</f>
        <v>0</v>
      </c>
      <c r="E272" s="101">
        <f>SUM(C272:D272)</f>
        <v>0</v>
      </c>
      <c r="F272" s="113" t="s">
        <v>1396</v>
      </c>
      <c r="G272" s="225" t="s">
        <v>167</v>
      </c>
      <c r="H272" s="318">
        <f>McCarthy_Pire6npts</f>
        <v>0</v>
      </c>
      <c r="I272" s="536">
        <f>McCarthy_Pireintpts</f>
        <v>0</v>
      </c>
      <c r="J272" s="102">
        <f>SUM(H272:I272)</f>
        <v>0</v>
      </c>
    </row>
    <row r="273" spans="1:10" ht="14.95" customHeight="1" thickBot="1" x14ac:dyDescent="0.3">
      <c r="A273" s="26" t="s">
        <v>955</v>
      </c>
      <c r="B273" s="25" t="s">
        <v>169</v>
      </c>
      <c r="C273" s="316"/>
      <c r="D273" s="534">
        <f>mcdowallscointtries</f>
        <v>0</v>
      </c>
      <c r="E273" s="101">
        <f>SUM(C273:D273)</f>
        <v>0</v>
      </c>
      <c r="F273" s="113" t="s">
        <v>272</v>
      </c>
      <c r="G273" s="225" t="s">
        <v>167</v>
      </c>
      <c r="H273" s="318"/>
      <c r="I273" s="536">
        <f>mccloskeyireintpts</f>
        <v>0</v>
      </c>
      <c r="J273" s="102">
        <f>SUM(H273:I273)</f>
        <v>0</v>
      </c>
    </row>
    <row r="274" spans="1:10" ht="14.95" customHeight="1" thickBot="1" x14ac:dyDescent="0.3">
      <c r="A274" s="26" t="s">
        <v>151</v>
      </c>
      <c r="B274" s="25" t="s">
        <v>166</v>
      </c>
      <c r="C274" s="316" t="s">
        <v>355</v>
      </c>
      <c r="D274" s="534">
        <f>McKenzienzlinttriescorrect</f>
        <v>0</v>
      </c>
      <c r="E274" s="101">
        <f>SUM(C274:D274)</f>
        <v>0</v>
      </c>
      <c r="F274" s="113" t="s">
        <v>408</v>
      </c>
      <c r="G274" s="225" t="s">
        <v>165</v>
      </c>
      <c r="H274" s="318" t="s">
        <v>355</v>
      </c>
      <c r="I274" s="536">
        <f>mcdermottausintpts</f>
        <v>0</v>
      </c>
      <c r="J274" s="102">
        <f>SUM(H274:I274)</f>
        <v>0</v>
      </c>
    </row>
    <row r="275" spans="1:10" ht="14.95" customHeight="1" thickBot="1" x14ac:dyDescent="0.3">
      <c r="A275" s="26" t="s">
        <v>529</v>
      </c>
      <c r="B275" s="25" t="s">
        <v>165</v>
      </c>
      <c r="C275" s="316" t="s">
        <v>355</v>
      </c>
      <c r="D275" s="534">
        <f>mcreightausinttries</f>
        <v>0</v>
      </c>
      <c r="E275" s="101">
        <f>SUM(C275:D275)</f>
        <v>0</v>
      </c>
      <c r="F275" s="113" t="s">
        <v>955</v>
      </c>
      <c r="G275" s="225" t="s">
        <v>169</v>
      </c>
      <c r="H275" s="318"/>
      <c r="I275" s="536">
        <f>mcdowallscointpts</f>
        <v>0</v>
      </c>
      <c r="J275" s="102">
        <f>SUM(H275:I275)</f>
        <v>0</v>
      </c>
    </row>
    <row r="276" spans="1:10" ht="14.95" customHeight="1" thickBot="1" x14ac:dyDescent="0.3">
      <c r="A276" s="26" t="s">
        <v>1030</v>
      </c>
      <c r="B276" s="25" t="s">
        <v>171</v>
      </c>
      <c r="C276" s="316" t="s">
        <v>355</v>
      </c>
      <c r="D276" s="534">
        <f>mendyarginttries</f>
        <v>0</v>
      </c>
      <c r="E276" s="101">
        <f>SUM(C276:D276)</f>
        <v>0</v>
      </c>
      <c r="F276" s="113" t="s">
        <v>151</v>
      </c>
      <c r="G276" s="225" t="s">
        <v>166</v>
      </c>
      <c r="H276" s="318" t="s">
        <v>355</v>
      </c>
      <c r="I276" s="536">
        <f>McKenzienzlintptscorrect</f>
        <v>0</v>
      </c>
      <c r="J276" s="102">
        <f>SUM(H276:I276)</f>
        <v>0</v>
      </c>
    </row>
    <row r="277" spans="1:10" ht="14.95" customHeight="1" thickBot="1" x14ac:dyDescent="0.3">
      <c r="A277" s="26" t="s">
        <v>446</v>
      </c>
      <c r="B277" s="25" t="s">
        <v>168</v>
      </c>
      <c r="C277" s="316">
        <f>mitchelleng6ntries</f>
        <v>0</v>
      </c>
      <c r="D277" s="534">
        <f>Mitchellenginttries</f>
        <v>0</v>
      </c>
      <c r="E277" s="101">
        <f>SUM(C277:D277)</f>
        <v>0</v>
      </c>
      <c r="F277" s="113" t="s">
        <v>529</v>
      </c>
      <c r="G277" s="225" t="s">
        <v>165</v>
      </c>
      <c r="H277" s="318" t="s">
        <v>355</v>
      </c>
      <c r="I277" s="536">
        <f>mcreightausintpts</f>
        <v>0</v>
      </c>
      <c r="J277" s="102">
        <f>SUM(H277:I277)</f>
        <v>0</v>
      </c>
    </row>
    <row r="278" spans="1:10" ht="14.95" customHeight="1" thickBot="1" x14ac:dyDescent="0.3">
      <c r="A278" s="26" t="s">
        <v>482</v>
      </c>
      <c r="B278" s="25" t="s">
        <v>182</v>
      </c>
      <c r="C278" s="316">
        <f>Moefanafra6ntries</f>
        <v>0</v>
      </c>
      <c r="D278" s="534">
        <f>moefanafrainttries</f>
        <v>0</v>
      </c>
      <c r="E278" s="101">
        <f>SUM(C278:D278)</f>
        <v>0</v>
      </c>
      <c r="F278" s="113" t="s">
        <v>1030</v>
      </c>
      <c r="G278" s="225" t="s">
        <v>171</v>
      </c>
      <c r="H278" s="318" t="s">
        <v>355</v>
      </c>
      <c r="I278" s="536">
        <f>mendyargintpts</f>
        <v>0</v>
      </c>
      <c r="J278" s="102">
        <f>SUM(H278:I278)</f>
        <v>0</v>
      </c>
    </row>
    <row r="279" spans="1:10" ht="14.95" customHeight="1" thickBot="1" x14ac:dyDescent="0.3">
      <c r="A279" s="26" t="s">
        <v>1057</v>
      </c>
      <c r="B279" s="25" t="s">
        <v>171</v>
      </c>
      <c r="C279" s="316" t="s">
        <v>355</v>
      </c>
      <c r="D279" s="534">
        <f>Molinaarginttries</f>
        <v>0</v>
      </c>
      <c r="E279" s="101">
        <f>SUM(C279:D279)</f>
        <v>0</v>
      </c>
      <c r="F279" s="113" t="s">
        <v>446</v>
      </c>
      <c r="G279" s="225" t="s">
        <v>168</v>
      </c>
      <c r="H279" s="318">
        <f>mitchelleng6npts</f>
        <v>0</v>
      </c>
      <c r="I279" s="536">
        <f>Mitchellengintpts</f>
        <v>0</v>
      </c>
      <c r="J279" s="102">
        <f>SUM(H279:I279)</f>
        <v>0</v>
      </c>
    </row>
    <row r="280" spans="1:10" ht="14.95" customHeight="1" thickBot="1" x14ac:dyDescent="0.3">
      <c r="A280" s="26" t="s">
        <v>223</v>
      </c>
      <c r="B280" s="25" t="s">
        <v>171</v>
      </c>
      <c r="C280" s="316" t="s">
        <v>355</v>
      </c>
      <c r="D280" s="534">
        <f>montoyaarginttries</f>
        <v>0</v>
      </c>
      <c r="E280" s="101">
        <f>SUM(C280:D280)</f>
        <v>0</v>
      </c>
      <c r="F280" s="113" t="s">
        <v>482</v>
      </c>
      <c r="G280" s="225" t="s">
        <v>182</v>
      </c>
      <c r="H280" s="318">
        <f>Moefana6npts</f>
        <v>0</v>
      </c>
      <c r="I280" s="536">
        <f>moefanafraintpts</f>
        <v>0</v>
      </c>
      <c r="J280" s="102">
        <f>SUM(H280:I280)</f>
        <v>0</v>
      </c>
    </row>
    <row r="281" spans="1:10" ht="14.95" customHeight="1" thickBot="1" x14ac:dyDescent="0.3">
      <c r="A281" s="26" t="s">
        <v>533</v>
      </c>
      <c r="B281" s="25" t="s">
        <v>170</v>
      </c>
      <c r="C281" s="316" t="s">
        <v>355</v>
      </c>
      <c r="D281" s="534">
        <f>Moodiersainttriescorrect</f>
        <v>0</v>
      </c>
      <c r="E281" s="101">
        <f>SUM(C281:D281)</f>
        <v>0</v>
      </c>
      <c r="F281" s="113" t="s">
        <v>1057</v>
      </c>
      <c r="G281" s="225" t="s">
        <v>171</v>
      </c>
      <c r="H281" s="318" t="s">
        <v>355</v>
      </c>
      <c r="I281" s="536">
        <f>Molinaargintpts</f>
        <v>0</v>
      </c>
      <c r="J281" s="102">
        <f>SUM(H281:I281)</f>
        <v>0</v>
      </c>
    </row>
    <row r="282" spans="1:10" ht="14.95" customHeight="1" thickBot="1" x14ac:dyDescent="0.3">
      <c r="A282" s="26" t="s">
        <v>569</v>
      </c>
      <c r="B282" s="25" t="s">
        <v>173</v>
      </c>
      <c r="C282" s="316">
        <f>Morganwal6ntries</f>
        <v>0</v>
      </c>
      <c r="D282" s="534">
        <f>morgnjacwalinttries</f>
        <v>0</v>
      </c>
      <c r="E282" s="101">
        <f>SUM(C282:D282)</f>
        <v>0</v>
      </c>
      <c r="F282" s="113" t="s">
        <v>223</v>
      </c>
      <c r="G282" s="225" t="s">
        <v>171</v>
      </c>
      <c r="H282" s="318" t="s">
        <v>355</v>
      </c>
      <c r="I282" s="536">
        <f>montoyaargintpts</f>
        <v>0</v>
      </c>
      <c r="J282" s="102">
        <f>SUM(H282:I282)</f>
        <v>0</v>
      </c>
    </row>
    <row r="283" spans="1:10" ht="14.95" customHeight="1" thickBot="1" x14ac:dyDescent="0.3">
      <c r="A283" s="26" t="s">
        <v>1032</v>
      </c>
      <c r="B283" s="25" t="s">
        <v>171</v>
      </c>
      <c r="C283" s="316" t="s">
        <v>355</v>
      </c>
      <c r="D283" s="534">
        <f>moroarginttries</f>
        <v>0</v>
      </c>
      <c r="E283" s="101">
        <f>SUM(C283:D283)</f>
        <v>0</v>
      </c>
      <c r="F283" s="113" t="s">
        <v>533</v>
      </c>
      <c r="G283" s="225" t="s">
        <v>170</v>
      </c>
      <c r="H283" s="318" t="s">
        <v>355</v>
      </c>
      <c r="I283" s="536">
        <f>Moodiersaintptscorrect</f>
        <v>0</v>
      </c>
      <c r="J283" s="102">
        <f>SUM(H283:I283)</f>
        <v>0</v>
      </c>
    </row>
    <row r="284" spans="1:10" ht="14.95" customHeight="1" thickBot="1" x14ac:dyDescent="0.3">
      <c r="A284" s="26" t="s">
        <v>235</v>
      </c>
      <c r="B284" s="25" t="s">
        <v>171</v>
      </c>
      <c r="C284" s="316" t="s">
        <v>355</v>
      </c>
      <c r="D284" s="534">
        <f>orlandoarginttries</f>
        <v>0</v>
      </c>
      <c r="E284" s="101">
        <f>SUM(C284:D284)</f>
        <v>0</v>
      </c>
      <c r="F284" s="113" t="s">
        <v>569</v>
      </c>
      <c r="G284" s="225" t="s">
        <v>173</v>
      </c>
      <c r="H284" s="318">
        <f>Morganwal6npts</f>
        <v>0</v>
      </c>
      <c r="I284" s="536">
        <f>morganjacwalintpts</f>
        <v>0</v>
      </c>
      <c r="J284" s="102">
        <f>SUM(H284:I284)</f>
        <v>0</v>
      </c>
    </row>
    <row r="285" spans="1:10" ht="14.95" customHeight="1" thickBot="1" x14ac:dyDescent="0.3">
      <c r="A285" s="26" t="s">
        <v>236</v>
      </c>
      <c r="B285" s="25" t="s">
        <v>170</v>
      </c>
      <c r="C285" s="316" t="s">
        <v>355</v>
      </c>
      <c r="D285" s="534">
        <f>Mostertrsainttriescorrecyt</f>
        <v>0</v>
      </c>
      <c r="E285" s="101">
        <f>SUM(C285:D285)</f>
        <v>0</v>
      </c>
      <c r="F285" s="113" t="s">
        <v>1032</v>
      </c>
      <c r="G285" s="225" t="s">
        <v>171</v>
      </c>
      <c r="H285" s="318" t="s">
        <v>355</v>
      </c>
      <c r="I285" s="536">
        <f>moroargintpts</f>
        <v>0</v>
      </c>
      <c r="J285" s="102">
        <f>SUM(H285:I285)</f>
        <v>0</v>
      </c>
    </row>
    <row r="286" spans="1:10" ht="14.95" customHeight="1" thickBot="1" x14ac:dyDescent="0.3">
      <c r="A286" s="26" t="s">
        <v>239</v>
      </c>
      <c r="B286" s="25" t="s">
        <v>166</v>
      </c>
      <c r="C286" s="316" t="s">
        <v>355</v>
      </c>
      <c r="D286" s="534"/>
      <c r="E286" s="101">
        <f>SUM(C286:D286)</f>
        <v>0</v>
      </c>
      <c r="F286" s="113" t="s">
        <v>235</v>
      </c>
      <c r="G286" s="225" t="s">
        <v>171</v>
      </c>
      <c r="H286" s="318" t="s">
        <v>355</v>
      </c>
      <c r="I286" s="536">
        <f>orlandoargintpts</f>
        <v>0</v>
      </c>
      <c r="J286" s="102">
        <f>SUM(H286:I286)</f>
        <v>0</v>
      </c>
    </row>
    <row r="287" spans="1:10" ht="14.95" customHeight="1" thickBot="1" x14ac:dyDescent="0.3">
      <c r="A287" s="26" t="s">
        <v>1306</v>
      </c>
      <c r="B287" s="25" t="s">
        <v>171</v>
      </c>
      <c r="C287" s="316" t="s">
        <v>355</v>
      </c>
      <c r="D287" s="534">
        <f>moyanoarginttries</f>
        <v>0</v>
      </c>
      <c r="E287" s="101">
        <f>SUM(C287:D287)</f>
        <v>0</v>
      </c>
      <c r="F287" s="113" t="s">
        <v>236</v>
      </c>
      <c r="G287" s="225" t="s">
        <v>170</v>
      </c>
      <c r="H287" s="318" t="s">
        <v>355</v>
      </c>
      <c r="I287" s="536">
        <f>Mostertrsaintptscorrect</f>
        <v>0</v>
      </c>
      <c r="J287" s="102">
        <f>SUM(H287:I287)</f>
        <v>0</v>
      </c>
    </row>
    <row r="288" spans="1:10" ht="14.95" customHeight="1" thickBot="1" x14ac:dyDescent="0.3">
      <c r="A288" s="26" t="s">
        <v>1172</v>
      </c>
      <c r="B288" s="25" t="s">
        <v>168</v>
      </c>
      <c r="C288" s="316">
        <f>murleyeng6ntries</f>
        <v>0</v>
      </c>
      <c r="D288" s="534">
        <f>MurleyENGINTTRIES</f>
        <v>0</v>
      </c>
      <c r="E288" s="101">
        <f>SUM(C288:D288)</f>
        <v>0</v>
      </c>
      <c r="F288" s="113" t="s">
        <v>239</v>
      </c>
      <c r="G288" s="225" t="s">
        <v>166</v>
      </c>
      <c r="H288" s="318" t="s">
        <v>355</v>
      </c>
      <c r="I288" s="536">
        <v>0</v>
      </c>
      <c r="J288" s="102">
        <f>SUM(H288:I288)</f>
        <v>0</v>
      </c>
    </row>
    <row r="289" spans="1:10" ht="14.95" customHeight="1" thickBot="1" x14ac:dyDescent="0.3">
      <c r="A289" s="26" t="s">
        <v>1266</v>
      </c>
      <c r="B289" s="25" t="s">
        <v>167</v>
      </c>
      <c r="C289" s="316"/>
      <c r="D289" s="534">
        <f>murphybenireinttries</f>
        <v>0</v>
      </c>
      <c r="E289" s="101">
        <f>SUM(C289:D289)</f>
        <v>0</v>
      </c>
      <c r="F289" s="113" t="s">
        <v>1306</v>
      </c>
      <c r="G289" s="225" t="s">
        <v>171</v>
      </c>
      <c r="H289" s="318" t="s">
        <v>355</v>
      </c>
      <c r="I289" s="536">
        <f>moyanoargintpts</f>
        <v>0</v>
      </c>
      <c r="J289" s="102">
        <f>SUM(H289:I289)</f>
        <v>0</v>
      </c>
    </row>
    <row r="290" spans="1:10" ht="14.95" customHeight="1" thickBot="1" x14ac:dyDescent="0.3">
      <c r="A290" s="26" t="s">
        <v>1120</v>
      </c>
      <c r="B290" s="25" t="s">
        <v>173</v>
      </c>
      <c r="C290" s="316">
        <f>OwensWAL6NTRIES</f>
        <v>0</v>
      </c>
      <c r="D290" s="534">
        <f>owenswalinttries</f>
        <v>0</v>
      </c>
      <c r="E290" s="101">
        <f>SUM(C290:D290)</f>
        <v>0</v>
      </c>
      <c r="F290" s="113" t="s">
        <v>1172</v>
      </c>
      <c r="G290" s="225" t="s">
        <v>168</v>
      </c>
      <c r="H290" s="318">
        <f>murleyeng6npts</f>
        <v>0</v>
      </c>
      <c r="I290" s="536">
        <f>MurleyENGINTPTS</f>
        <v>0</v>
      </c>
      <c r="J290" s="102">
        <f>SUM(H290:I290)</f>
        <v>0</v>
      </c>
    </row>
    <row r="291" spans="1:10" ht="14.95" customHeight="1" thickBot="1" x14ac:dyDescent="0.3">
      <c r="A291" s="26" t="s">
        <v>632</v>
      </c>
      <c r="B291" s="25" t="s">
        <v>166</v>
      </c>
      <c r="C291" s="316" t="s">
        <v>355</v>
      </c>
      <c r="D291" s="534">
        <f>tipuricwalinttries</f>
        <v>0</v>
      </c>
      <c r="E291" s="101">
        <f>SUM(C291:D291)</f>
        <v>0</v>
      </c>
      <c r="F291" s="113" t="s">
        <v>1266</v>
      </c>
      <c r="G291" s="225" t="s">
        <v>167</v>
      </c>
      <c r="H291" s="318"/>
      <c r="I291" s="536">
        <f>murphybenireintpts</f>
        <v>0</v>
      </c>
      <c r="J291" s="102">
        <f>SUM(H291:I291)</f>
        <v>0</v>
      </c>
    </row>
    <row r="292" spans="1:10" ht="14.95" customHeight="1" thickBot="1" x14ac:dyDescent="0.3">
      <c r="A292" s="26" t="s">
        <v>898</v>
      </c>
      <c r="B292" s="25" t="s">
        <v>167</v>
      </c>
      <c r="C292" s="316">
        <f>nashire6ntries</f>
        <v>0</v>
      </c>
      <c r="D292" s="534">
        <f>obrienireinttries</f>
        <v>0</v>
      </c>
      <c r="E292" s="101">
        <f>SUM(C292:D292)</f>
        <v>0</v>
      </c>
      <c r="F292" s="113" t="s">
        <v>1120</v>
      </c>
      <c r="G292" s="225" t="s">
        <v>173</v>
      </c>
      <c r="H292" s="318">
        <f>OwensWAL6NPTS</f>
        <v>0</v>
      </c>
      <c r="I292" s="536">
        <f>owesnwalintpts</f>
        <v>0</v>
      </c>
      <c r="J292" s="102">
        <f>SUM(H292:I292)</f>
        <v>0</v>
      </c>
    </row>
    <row r="293" spans="1:10" ht="14.95" customHeight="1" thickBot="1" x14ac:dyDescent="0.3">
      <c r="A293" s="26" t="s">
        <v>1433</v>
      </c>
      <c r="B293" s="25" t="s">
        <v>165</v>
      </c>
      <c r="C293" s="316" t="s">
        <v>355</v>
      </c>
      <c r="D293" s="534">
        <f>Nasserausinttries</f>
        <v>0</v>
      </c>
      <c r="E293" s="101">
        <f>SUM(C293:D293)</f>
        <v>0</v>
      </c>
      <c r="F293" s="113" t="s">
        <v>632</v>
      </c>
      <c r="G293" s="225" t="s">
        <v>166</v>
      </c>
      <c r="H293" s="318" t="s">
        <v>355</v>
      </c>
      <c r="I293" s="536">
        <f>tipuricwalintpts</f>
        <v>0</v>
      </c>
      <c r="J293" s="102">
        <f>SUM(H293:I293)</f>
        <v>0</v>
      </c>
    </row>
    <row r="294" spans="1:10" ht="14.95" customHeight="1" thickBot="1" x14ac:dyDescent="0.3">
      <c r="A294" s="26" t="s">
        <v>333</v>
      </c>
      <c r="B294" s="25" t="s">
        <v>172</v>
      </c>
      <c r="C294" s="316">
        <f>Negri6nitstries</f>
        <v>0</v>
      </c>
      <c r="D294" s="534">
        <f>NEGRIITAINTTRIES</f>
        <v>0</v>
      </c>
      <c r="E294" s="101">
        <f>SUM(C294:D294)</f>
        <v>0</v>
      </c>
      <c r="F294" s="113" t="s">
        <v>898</v>
      </c>
      <c r="G294" s="225" t="s">
        <v>167</v>
      </c>
      <c r="H294" s="318">
        <f>nashire6npts</f>
        <v>0</v>
      </c>
      <c r="I294" s="536">
        <f>obrienireintpts</f>
        <v>0</v>
      </c>
      <c r="J294" s="102">
        <f>SUM(H294:I294)</f>
        <v>0</v>
      </c>
    </row>
    <row r="295" spans="1:10" ht="14.95" customHeight="1" thickBot="1" x14ac:dyDescent="0.3">
      <c r="A295" s="26" t="s">
        <v>662</v>
      </c>
      <c r="B295" s="25" t="s">
        <v>166</v>
      </c>
      <c r="C295" s="316" t="s">
        <v>355</v>
      </c>
      <c r="D295" s="534">
        <f>Newellnzlinttries</f>
        <v>0</v>
      </c>
      <c r="E295" s="101">
        <f>SUM(C295:D295)</f>
        <v>0</v>
      </c>
      <c r="F295" s="113" t="s">
        <v>1433</v>
      </c>
      <c r="G295" s="225" t="s">
        <v>165</v>
      </c>
      <c r="H295" s="318" t="s">
        <v>355</v>
      </c>
      <c r="I295" s="536">
        <f>nasserausintpts</f>
        <v>0</v>
      </c>
      <c r="J295" s="102">
        <f>SUM(H295:I295)</f>
        <v>0</v>
      </c>
    </row>
    <row r="296" spans="1:10" ht="14.95" customHeight="1" thickBot="1" x14ac:dyDescent="0.3">
      <c r="A296" s="26" t="s">
        <v>1314</v>
      </c>
      <c r="B296" s="25" t="s">
        <v>168</v>
      </c>
      <c r="C296" s="316"/>
      <c r="D296" s="534">
        <f>Northmoreenginttries</f>
        <v>0</v>
      </c>
      <c r="E296" s="101">
        <f>SUM(C296:D296)</f>
        <v>0</v>
      </c>
      <c r="F296" s="113" t="s">
        <v>333</v>
      </c>
      <c r="G296" s="225" t="s">
        <v>172</v>
      </c>
      <c r="H296" s="318">
        <f>Negriita6npts</f>
        <v>0</v>
      </c>
      <c r="I296" s="536">
        <f>NEGRIITAINTPTS</f>
        <v>0</v>
      </c>
      <c r="J296" s="102">
        <f>SUM(H296:I296)</f>
        <v>0</v>
      </c>
    </row>
    <row r="297" spans="1:10" ht="14.95" customHeight="1" thickBot="1" x14ac:dyDescent="0.3">
      <c r="A297" s="26" t="s">
        <v>1445</v>
      </c>
      <c r="B297" s="25" t="s">
        <v>170</v>
      </c>
      <c r="C297" s="316" t="s">
        <v>355</v>
      </c>
      <c r="D297" s="534">
        <f>NortjeRSAinttries</f>
        <v>0</v>
      </c>
      <c r="E297" s="101">
        <f>SUM(C297:D297)</f>
        <v>0</v>
      </c>
      <c r="F297" s="113" t="s">
        <v>662</v>
      </c>
      <c r="G297" s="225" t="s">
        <v>166</v>
      </c>
      <c r="H297" s="318" t="s">
        <v>355</v>
      </c>
      <c r="I297" s="536">
        <f>Newellnzlintpts</f>
        <v>0</v>
      </c>
      <c r="J297" s="102">
        <f>SUM(H297:I297)</f>
        <v>0</v>
      </c>
    </row>
    <row r="298" spans="1:10" ht="14.95" customHeight="1" thickBot="1" x14ac:dyDescent="0.3">
      <c r="A298" s="26" t="s">
        <v>294</v>
      </c>
      <c r="B298" s="25" t="s">
        <v>182</v>
      </c>
      <c r="C298" s="316">
        <f>Ntamackfra6ntries</f>
        <v>0</v>
      </c>
      <c r="D298" s="534">
        <f>NTAMACKFRAINTTRIES</f>
        <v>0</v>
      </c>
      <c r="E298" s="101">
        <f>SUM(C298:D298)</f>
        <v>0</v>
      </c>
      <c r="F298" s="113" t="s">
        <v>1314</v>
      </c>
      <c r="G298" s="225" t="s">
        <v>168</v>
      </c>
      <c r="H298" s="318"/>
      <c r="I298" s="536">
        <f>Northmoreengintpts</f>
        <v>0</v>
      </c>
      <c r="J298" s="102">
        <f>SUM(H298:I298)</f>
        <v>0</v>
      </c>
    </row>
    <row r="299" spans="1:10" ht="14.95" customHeight="1" thickBot="1" x14ac:dyDescent="0.3">
      <c r="A299" s="26" t="s">
        <v>1334</v>
      </c>
      <c r="B299" s="25" t="s">
        <v>165</v>
      </c>
      <c r="C299" s="316" t="s">
        <v>355</v>
      </c>
      <c r="D299" s="534"/>
      <c r="E299" s="101">
        <f>SUM(C299:D299)</f>
        <v>0</v>
      </c>
      <c r="F299" s="113" t="s">
        <v>1445</v>
      </c>
      <c r="G299" s="225" t="s">
        <v>170</v>
      </c>
      <c r="H299" s="318" t="s">
        <v>355</v>
      </c>
      <c r="I299" s="536">
        <f>nortjeRSAintpts</f>
        <v>0</v>
      </c>
      <c r="J299" s="102">
        <f>SUM(H299:I299)</f>
        <v>0</v>
      </c>
    </row>
    <row r="300" spans="1:10" ht="14.95" customHeight="1" thickBot="1" x14ac:dyDescent="0.3">
      <c r="A300" s="26" t="s">
        <v>823</v>
      </c>
      <c r="B300" s="25" t="s">
        <v>172</v>
      </c>
      <c r="C300" s="316"/>
      <c r="D300" s="534">
        <f>odogwuitainttries</f>
        <v>0</v>
      </c>
      <c r="E300" s="101">
        <f>SUM(C300:D300)</f>
        <v>0</v>
      </c>
      <c r="F300" s="113" t="s">
        <v>294</v>
      </c>
      <c r="G300" s="225" t="s">
        <v>182</v>
      </c>
      <c r="H300" s="318">
        <f>Ntamackfra6npts</f>
        <v>0</v>
      </c>
      <c r="I300" s="536">
        <f>NTAMACKFRAINTPTS</f>
        <v>0</v>
      </c>
      <c r="J300" s="102">
        <f>SUM(H300:I300)</f>
        <v>0</v>
      </c>
    </row>
    <row r="301" spans="1:10" ht="14.95" customHeight="1" thickBot="1" x14ac:dyDescent="0.3">
      <c r="A301" s="26" t="s">
        <v>1316</v>
      </c>
      <c r="B301" s="25" t="s">
        <v>168</v>
      </c>
      <c r="C301" s="316"/>
      <c r="D301" s="534">
        <f>Oghreenginttries</f>
        <v>0</v>
      </c>
      <c r="E301" s="101">
        <f>SUM(C301:D301)</f>
        <v>0</v>
      </c>
      <c r="F301" s="113" t="s">
        <v>1334</v>
      </c>
      <c r="G301" s="225" t="s">
        <v>165</v>
      </c>
      <c r="H301" s="318" t="s">
        <v>355</v>
      </c>
      <c r="I301" s="536">
        <v>0</v>
      </c>
      <c r="J301" s="102">
        <f>SUM(H301:I301)</f>
        <v>0</v>
      </c>
    </row>
    <row r="302" spans="1:10" ht="14.95" customHeight="1" thickBot="1" x14ac:dyDescent="0.3">
      <c r="A302" s="26" t="s">
        <v>1438</v>
      </c>
      <c r="B302" s="25" t="s">
        <v>168</v>
      </c>
      <c r="C302" s="316">
        <f>Ojomoheng6ntriescorrect</f>
        <v>0</v>
      </c>
      <c r="D302" s="534">
        <f>Ojomohenginttries</f>
        <v>0</v>
      </c>
      <c r="E302" s="101">
        <f>SUM(C302:D302)</f>
        <v>0</v>
      </c>
      <c r="F302" s="113" t="s">
        <v>823</v>
      </c>
      <c r="G302" s="225" t="s">
        <v>172</v>
      </c>
      <c r="H302" s="318"/>
      <c r="I302" s="536">
        <f>odogwuitaintpts</f>
        <v>0</v>
      </c>
      <c r="J302" s="102">
        <f>SUM(H302:I302)</f>
        <v>0</v>
      </c>
    </row>
    <row r="303" spans="1:10" ht="14.95" customHeight="1" thickBot="1" x14ac:dyDescent="0.3">
      <c r="A303" s="26" t="s">
        <v>1034</v>
      </c>
      <c r="B303" s="25" t="s">
        <v>171</v>
      </c>
      <c r="C303" s="316" t="s">
        <v>355</v>
      </c>
      <c r="D303" s="534">
        <f>oviedoarginttries</f>
        <v>0</v>
      </c>
      <c r="E303" s="101">
        <f>SUM(C303:D303)</f>
        <v>0</v>
      </c>
      <c r="F303" s="113" t="s">
        <v>1316</v>
      </c>
      <c r="G303" s="225" t="s">
        <v>168</v>
      </c>
      <c r="H303" s="318"/>
      <c r="I303" s="536">
        <f>Oghreengintpts</f>
        <v>0</v>
      </c>
      <c r="J303" s="102">
        <f>SUM(H303:I303)</f>
        <v>0</v>
      </c>
    </row>
    <row r="304" spans="1:10" ht="14.95" customHeight="1" thickBot="1" x14ac:dyDescent="0.3">
      <c r="A304" s="26" t="s">
        <v>1339</v>
      </c>
      <c r="B304" s="25" t="s">
        <v>165</v>
      </c>
      <c r="C304" s="316" t="s">
        <v>355</v>
      </c>
      <c r="D304" s="534">
        <f>Paenga_Amosaausinttries</f>
        <v>0</v>
      </c>
      <c r="E304" s="101">
        <f>SUM(C304:D304)</f>
        <v>0</v>
      </c>
      <c r="F304" s="113" t="s">
        <v>1438</v>
      </c>
      <c r="G304" s="225" t="s">
        <v>168</v>
      </c>
      <c r="H304" s="318">
        <f>Ojomoheng6npts</f>
        <v>0</v>
      </c>
      <c r="I304" s="536">
        <f>Ojomohengintpts</f>
        <v>0</v>
      </c>
      <c r="J304" s="102">
        <f>SUM(H304:I304)</f>
        <v>0</v>
      </c>
    </row>
    <row r="305" spans="1:10" ht="14.95" customHeight="1" thickBot="1" x14ac:dyDescent="0.3">
      <c r="A305" s="26" t="s">
        <v>837</v>
      </c>
      <c r="B305" s="25" t="s">
        <v>172</v>
      </c>
      <c r="C305" s="316">
        <f>PadovaniITA6NTRIES</f>
        <v>0</v>
      </c>
      <c r="D305" s="534">
        <f>padovaniitainttries</f>
        <v>0</v>
      </c>
      <c r="E305" s="101">
        <f>SUM(C305:D305)</f>
        <v>0</v>
      </c>
      <c r="F305" s="113" t="s">
        <v>1034</v>
      </c>
      <c r="G305" s="225" t="s">
        <v>171</v>
      </c>
      <c r="H305" s="318" t="s">
        <v>355</v>
      </c>
      <c r="I305" s="536">
        <f>oviedoargintpts</f>
        <v>0</v>
      </c>
      <c r="J305" s="102">
        <f>SUM(H305:I305)</f>
        <v>0</v>
      </c>
    </row>
    <row r="306" spans="1:10" ht="14.95" customHeight="1" thickBot="1" x14ac:dyDescent="0.3">
      <c r="A306" s="26" t="s">
        <v>1016</v>
      </c>
      <c r="B306" s="25" t="s">
        <v>165</v>
      </c>
      <c r="C306" s="316" t="s">
        <v>355</v>
      </c>
      <c r="D306" s="534">
        <f>paisamiausinttries</f>
        <v>0</v>
      </c>
      <c r="E306" s="101">
        <f>SUM(C306:D306)</f>
        <v>0</v>
      </c>
      <c r="F306" s="113" t="s">
        <v>1339</v>
      </c>
      <c r="G306" s="225" t="s">
        <v>165</v>
      </c>
      <c r="H306" s="318" t="s">
        <v>355</v>
      </c>
      <c r="I306" s="536">
        <f>Paenga_Amosaausintpts</f>
        <v>0</v>
      </c>
      <c r="J306" s="102">
        <f>SUM(H306:I306)</f>
        <v>0</v>
      </c>
    </row>
    <row r="307" spans="1:10" ht="14.95" customHeight="1" thickBot="1" x14ac:dyDescent="0.3">
      <c r="A307" s="26" t="s">
        <v>741</v>
      </c>
      <c r="B307" s="25" t="s">
        <v>172</v>
      </c>
      <c r="C307" s="316">
        <f>paniita6ntries</f>
        <v>0</v>
      </c>
      <c r="D307" s="534">
        <f>paniitainttries</f>
        <v>0</v>
      </c>
      <c r="E307" s="101">
        <f>SUM(C307:D307)</f>
        <v>0</v>
      </c>
      <c r="F307" s="113" t="s">
        <v>837</v>
      </c>
      <c r="G307" s="225" t="s">
        <v>172</v>
      </c>
      <c r="H307" s="318">
        <f>PadovaniITA6NPTS</f>
        <v>0</v>
      </c>
      <c r="I307" s="536">
        <f>padovaniitaintpts</f>
        <v>0</v>
      </c>
      <c r="J307" s="102">
        <f>SUM(H307:I307)</f>
        <v>0</v>
      </c>
    </row>
    <row r="308" spans="1:10" ht="14.95" customHeight="1" thickBot="1" x14ac:dyDescent="0.3">
      <c r="A308" s="26" t="s">
        <v>398</v>
      </c>
      <c r="B308" s="25" t="s">
        <v>166</v>
      </c>
      <c r="C308" s="316" t="s">
        <v>355</v>
      </c>
      <c r="D308" s="534">
        <v>0</v>
      </c>
      <c r="E308" s="101">
        <f>SUM(C308:D308)</f>
        <v>0</v>
      </c>
      <c r="F308" s="113" t="s">
        <v>1016</v>
      </c>
      <c r="G308" s="225" t="s">
        <v>165</v>
      </c>
      <c r="H308" s="318" t="s">
        <v>355</v>
      </c>
      <c r="I308" s="536">
        <f>paisamiausintpts</f>
        <v>0</v>
      </c>
      <c r="J308" s="102">
        <f>SUM(H308:I308)</f>
        <v>0</v>
      </c>
    </row>
    <row r="309" spans="1:10" ht="14.95" customHeight="1" thickBot="1" x14ac:dyDescent="0.3">
      <c r="A309" s="26" t="s">
        <v>819</v>
      </c>
      <c r="B309" s="25" t="s">
        <v>173</v>
      </c>
      <c r="C309" s="316"/>
      <c r="D309" s="534">
        <f>parrywalinttries</f>
        <v>0</v>
      </c>
      <c r="E309" s="101">
        <f>SUM(C309:D309)</f>
        <v>0</v>
      </c>
      <c r="F309" s="113" t="s">
        <v>741</v>
      </c>
      <c r="G309" s="225" t="s">
        <v>172</v>
      </c>
      <c r="H309" s="318">
        <f>paniita6npts</f>
        <v>0</v>
      </c>
      <c r="I309" s="536">
        <f>paniitaintpts</f>
        <v>0</v>
      </c>
      <c r="J309" s="102">
        <f>SUM(H309:I309)</f>
        <v>0</v>
      </c>
    </row>
    <row r="310" spans="1:10" ht="14.95" customHeight="1" thickBot="1" x14ac:dyDescent="0.3">
      <c r="A310" s="26" t="s">
        <v>962</v>
      </c>
      <c r="B310" s="25" t="s">
        <v>169</v>
      </c>
      <c r="C310" s="316"/>
      <c r="D310" s="534">
        <f>patersonscointtries</f>
        <v>0</v>
      </c>
      <c r="E310" s="101">
        <f>SUM(C310:D310)</f>
        <v>0</v>
      </c>
      <c r="F310" s="113" t="s">
        <v>398</v>
      </c>
      <c r="G310" s="225" t="s">
        <v>166</v>
      </c>
      <c r="H310" s="318" t="s">
        <v>355</v>
      </c>
      <c r="I310" s="536">
        <v>0</v>
      </c>
      <c r="J310" s="102">
        <f>SUM(H310:I310)</f>
        <v>0</v>
      </c>
    </row>
    <row r="311" spans="1:10" ht="14.95" customHeight="1" thickBot="1" x14ac:dyDescent="0.3">
      <c r="A311" s="26" t="s">
        <v>175</v>
      </c>
      <c r="B311" s="25" t="s">
        <v>172</v>
      </c>
      <c r="C311" s="316">
        <f>Penalty_Triesita6ntries</f>
        <v>0</v>
      </c>
      <c r="D311" s="534">
        <f>penaltytriesitainttries</f>
        <v>0</v>
      </c>
      <c r="E311" s="101">
        <f>SUM(C311:D311)</f>
        <v>0</v>
      </c>
      <c r="F311" s="113" t="s">
        <v>819</v>
      </c>
      <c r="G311" s="225" t="s">
        <v>173</v>
      </c>
      <c r="H311" s="318"/>
      <c r="I311" s="536">
        <f>parrywalintpts</f>
        <v>0</v>
      </c>
      <c r="J311" s="102">
        <f>SUM(H311:I311)</f>
        <v>0</v>
      </c>
    </row>
    <row r="312" spans="1:10" ht="14.95" customHeight="1" thickBot="1" x14ac:dyDescent="0.3">
      <c r="A312" s="26" t="s">
        <v>175</v>
      </c>
      <c r="B312" s="25" t="s">
        <v>173</v>
      </c>
      <c r="C312" s="316">
        <f>Penalty_Trieswal6ntries</f>
        <v>0</v>
      </c>
      <c r="D312" s="534">
        <f>PENALTYTRIESWALINTTRIES</f>
        <v>0</v>
      </c>
      <c r="E312" s="101">
        <f>SUM(C312:D312)</f>
        <v>0</v>
      </c>
      <c r="F312" s="113" t="s">
        <v>962</v>
      </c>
      <c r="G312" s="225" t="s">
        <v>169</v>
      </c>
      <c r="H312" s="318"/>
      <c r="I312" s="536">
        <f>patersonscointpts</f>
        <v>0</v>
      </c>
      <c r="J312" s="102">
        <f>SUM(H312:I312)</f>
        <v>0</v>
      </c>
    </row>
    <row r="313" spans="1:10" ht="14.95" customHeight="1" thickBot="1" x14ac:dyDescent="0.3">
      <c r="A313" s="26" t="s">
        <v>175</v>
      </c>
      <c r="B313" s="25" t="s">
        <v>171</v>
      </c>
      <c r="C313" s="316" t="s">
        <v>355</v>
      </c>
      <c r="D313" s="534">
        <f>penaltytriesarginttries</f>
        <v>0</v>
      </c>
      <c r="E313" s="101">
        <f>SUM(C313:D313)</f>
        <v>0</v>
      </c>
      <c r="F313" s="113" t="s">
        <v>175</v>
      </c>
      <c r="G313" s="225" t="s">
        <v>172</v>
      </c>
      <c r="H313" s="318">
        <f>Penalty_Triesita6npts</f>
        <v>0</v>
      </c>
      <c r="I313" s="536">
        <f>penaltytriesitaintpts</f>
        <v>0</v>
      </c>
      <c r="J313" s="102">
        <f>SUM(H313:I313)</f>
        <v>0</v>
      </c>
    </row>
    <row r="314" spans="1:10" ht="14.95" customHeight="1" thickBot="1" x14ac:dyDescent="0.3">
      <c r="A314" s="26" t="s">
        <v>175</v>
      </c>
      <c r="B314" s="25" t="s">
        <v>170</v>
      </c>
      <c r="C314" s="316" t="s">
        <v>355</v>
      </c>
      <c r="D314" s="534">
        <f>Penalty_Triesrsainttries</f>
        <v>0</v>
      </c>
      <c r="E314" s="109">
        <f>SUM(C314:D314)</f>
        <v>0</v>
      </c>
      <c r="F314" s="113" t="s">
        <v>175</v>
      </c>
      <c r="G314" s="225" t="s">
        <v>173</v>
      </c>
      <c r="H314" s="318">
        <f>Penalty_trieswal6npts</f>
        <v>0</v>
      </c>
      <c r="I314" s="536">
        <f>PENALTYTRIESWALINTPTS</f>
        <v>0</v>
      </c>
      <c r="J314" s="102">
        <f>SUM(H314:I314)</f>
        <v>0</v>
      </c>
    </row>
    <row r="315" spans="1:10" ht="14.95" customHeight="1" thickBot="1" x14ac:dyDescent="0.3">
      <c r="A315" s="26" t="s">
        <v>175</v>
      </c>
      <c r="B315" s="25" t="s">
        <v>167</v>
      </c>
      <c r="C315" s="316"/>
      <c r="D315" s="534">
        <f>penaltytriesireinttries</f>
        <v>0</v>
      </c>
      <c r="E315" s="109">
        <f>SUM(C315:D315)</f>
        <v>0</v>
      </c>
      <c r="F315" s="113" t="s">
        <v>175</v>
      </c>
      <c r="G315" s="225" t="s">
        <v>171</v>
      </c>
      <c r="H315" s="318" t="s">
        <v>355</v>
      </c>
      <c r="I315" s="536">
        <f>penaltytriesargintpts</f>
        <v>0</v>
      </c>
      <c r="J315" s="102">
        <f>SUM(H315:I315)</f>
        <v>0</v>
      </c>
    </row>
    <row r="316" spans="1:10" ht="14.95" customHeight="1" thickBot="1" x14ac:dyDescent="0.3">
      <c r="A316" s="26" t="s">
        <v>175</v>
      </c>
      <c r="B316" s="25" t="s">
        <v>165</v>
      </c>
      <c r="C316" s="316" t="s">
        <v>355</v>
      </c>
      <c r="D316" s="534"/>
      <c r="E316" s="109">
        <f>SUM(C316:D316)</f>
        <v>0</v>
      </c>
      <c r="F316" s="113" t="s">
        <v>175</v>
      </c>
      <c r="G316" s="225" t="s">
        <v>170</v>
      </c>
      <c r="H316" s="318" t="s">
        <v>355</v>
      </c>
      <c r="I316" s="536">
        <f>Penalty_Triesrsaintpts</f>
        <v>0</v>
      </c>
      <c r="J316" s="102">
        <f>SUM(H316:I316)</f>
        <v>0</v>
      </c>
    </row>
    <row r="317" spans="1:10" ht="14.95" customHeight="1" thickBot="1" x14ac:dyDescent="0.3">
      <c r="A317" s="26" t="s">
        <v>175</v>
      </c>
      <c r="B317" s="25" t="s">
        <v>182</v>
      </c>
      <c r="C317" s="316"/>
      <c r="D317" s="534"/>
      <c r="E317" s="109">
        <f>SUM(C317:D317)</f>
        <v>0</v>
      </c>
      <c r="F317" s="113" t="s">
        <v>175</v>
      </c>
      <c r="G317" s="225" t="s">
        <v>167</v>
      </c>
      <c r="H317" s="318"/>
      <c r="I317" s="536">
        <f>penaltytriesireintpts</f>
        <v>0</v>
      </c>
      <c r="J317" s="102">
        <f>SUM(H317:I317)</f>
        <v>0</v>
      </c>
    </row>
    <row r="318" spans="1:10" ht="14.95" customHeight="1" thickBot="1" x14ac:dyDescent="0.3">
      <c r="A318" s="26" t="s">
        <v>175</v>
      </c>
      <c r="B318" s="25" t="s">
        <v>166</v>
      </c>
      <c r="C318" s="316" t="s">
        <v>355</v>
      </c>
      <c r="D318" s="534"/>
      <c r="E318" s="109">
        <f>SUM(C318:D318)</f>
        <v>0</v>
      </c>
      <c r="F318" s="113" t="s">
        <v>175</v>
      </c>
      <c r="G318" s="225" t="s">
        <v>169</v>
      </c>
      <c r="H318" s="318">
        <f>Penalty_Triessco6npts</f>
        <v>0</v>
      </c>
      <c r="I318" s="536">
        <f>penaltytriesscointpts</f>
        <v>0</v>
      </c>
      <c r="J318" s="102">
        <f>SUM(H318:I318)</f>
        <v>0</v>
      </c>
    </row>
    <row r="319" spans="1:10" ht="14.95" customHeight="1" thickBot="1" x14ac:dyDescent="0.3">
      <c r="A319" s="26" t="s">
        <v>175</v>
      </c>
      <c r="B319" s="25" t="s">
        <v>169</v>
      </c>
      <c r="C319" s="316">
        <f>Penalty_Triessco6ntries</f>
        <v>0</v>
      </c>
      <c r="D319" s="534">
        <f>penaltytriesscointtries</f>
        <v>0</v>
      </c>
      <c r="E319" s="109">
        <f>SUM(C319:D319)</f>
        <v>0</v>
      </c>
      <c r="F319" s="113" t="s">
        <v>175</v>
      </c>
      <c r="G319" s="225" t="s">
        <v>165</v>
      </c>
      <c r="H319" s="318" t="s">
        <v>355</v>
      </c>
      <c r="I319" s="536"/>
      <c r="J319" s="102">
        <f>SUM(H319:I319)</f>
        <v>0</v>
      </c>
    </row>
    <row r="320" spans="1:10" ht="14.95" customHeight="1" thickBot="1" x14ac:dyDescent="0.3">
      <c r="A320" s="26" t="s">
        <v>276</v>
      </c>
      <c r="B320" s="25" t="s">
        <v>182</v>
      </c>
      <c r="C320" s="316">
        <f>Penaudfra6ntries</f>
        <v>0</v>
      </c>
      <c r="D320" s="534">
        <f>penaudfrainttries</f>
        <v>0</v>
      </c>
      <c r="E320" s="109">
        <f>SUM(C320:D320)</f>
        <v>0</v>
      </c>
      <c r="F320" s="113" t="s">
        <v>175</v>
      </c>
      <c r="G320" s="225" t="s">
        <v>182</v>
      </c>
      <c r="H320" s="318"/>
      <c r="I320" s="536"/>
      <c r="J320" s="102">
        <f>SUM(H320:I320)</f>
        <v>0</v>
      </c>
    </row>
    <row r="321" spans="1:10" ht="14.95" customHeight="1" thickBot="1" x14ac:dyDescent="0.3">
      <c r="A321" s="26" t="s">
        <v>337</v>
      </c>
      <c r="B321" s="25" t="s">
        <v>165</v>
      </c>
      <c r="C321" s="316" t="s">
        <v>355</v>
      </c>
      <c r="D321" s="534">
        <f>petaiaausinttries</f>
        <v>0</v>
      </c>
      <c r="E321" s="109">
        <f>SUM(C321:D321)</f>
        <v>0</v>
      </c>
      <c r="F321" s="113" t="s">
        <v>175</v>
      </c>
      <c r="G321" s="225" t="s">
        <v>166</v>
      </c>
      <c r="H321" s="318" t="s">
        <v>355</v>
      </c>
      <c r="I321" s="536"/>
      <c r="J321" s="102">
        <f>SUM(H321:I321)</f>
        <v>0</v>
      </c>
    </row>
    <row r="322" spans="1:10" ht="14.95" customHeight="1" thickBot="1" x14ac:dyDescent="0.3">
      <c r="A322" s="26" t="s">
        <v>1424</v>
      </c>
      <c r="B322" s="25" t="s">
        <v>171</v>
      </c>
      <c r="C322" s="316" t="s">
        <v>355</v>
      </c>
      <c r="D322" s="534">
        <f>piccardoarginttries</f>
        <v>0</v>
      </c>
      <c r="E322" s="109">
        <f>SUM(C322:D322)</f>
        <v>0</v>
      </c>
      <c r="F322" s="113" t="s">
        <v>276</v>
      </c>
      <c r="G322" s="225" t="s">
        <v>182</v>
      </c>
      <c r="H322" s="318">
        <f>Penaudfra6npts</f>
        <v>0</v>
      </c>
      <c r="I322" s="536">
        <f>penaudfraintpts</f>
        <v>0</v>
      </c>
      <c r="J322" s="102">
        <f>SUM(H322:I322)</f>
        <v>0</v>
      </c>
    </row>
    <row r="323" spans="1:10" ht="14.95" customHeight="1" thickBot="1" x14ac:dyDescent="0.3">
      <c r="A323" s="26" t="s">
        <v>1329</v>
      </c>
      <c r="B323" s="25" t="s">
        <v>165</v>
      </c>
      <c r="C323" s="316" t="s">
        <v>355</v>
      </c>
      <c r="D323" s="534">
        <f>pietschausinttries</f>
        <v>0</v>
      </c>
      <c r="E323" s="109">
        <f>SUM(C323:D323)</f>
        <v>0</v>
      </c>
      <c r="F323" s="113" t="s">
        <v>337</v>
      </c>
      <c r="G323" s="225" t="s">
        <v>165</v>
      </c>
      <c r="H323" s="318" t="s">
        <v>355</v>
      </c>
      <c r="I323" s="536">
        <f>petaiaausintpts</f>
        <v>0</v>
      </c>
      <c r="J323" s="102">
        <f>SUM(H323:I323)</f>
        <v>0</v>
      </c>
    </row>
    <row r="324" spans="1:10" ht="14.95" customHeight="1" thickBot="1" x14ac:dyDescent="0.3">
      <c r="A324" s="26" t="s">
        <v>1382</v>
      </c>
      <c r="B324" s="25" t="s">
        <v>165</v>
      </c>
      <c r="C324" s="316" t="s">
        <v>355</v>
      </c>
      <c r="D324" s="534">
        <f>Pollardausinttries</f>
        <v>0</v>
      </c>
      <c r="E324" s="109">
        <f>SUM(C324:D324)</f>
        <v>0</v>
      </c>
      <c r="F324" s="113" t="s">
        <v>1424</v>
      </c>
      <c r="G324" s="225" t="s">
        <v>171</v>
      </c>
      <c r="H324" s="318" t="s">
        <v>355</v>
      </c>
      <c r="I324" s="536">
        <f>piccardoargintpts</f>
        <v>0</v>
      </c>
      <c r="J324" s="102">
        <f>SUM(H324:I324)</f>
        <v>0</v>
      </c>
    </row>
    <row r="325" spans="1:10" ht="14.95" customHeight="1" thickBot="1" x14ac:dyDescent="0.3">
      <c r="A325" s="26" t="s">
        <v>875</v>
      </c>
      <c r="B325" s="25" t="s">
        <v>170</v>
      </c>
      <c r="C325" s="316" t="s">
        <v>355</v>
      </c>
      <c r="D325" s="534">
        <f>Pollardrsainttriescorrect</f>
        <v>0</v>
      </c>
      <c r="E325" s="109">
        <f>SUM(C325:D325)</f>
        <v>0</v>
      </c>
      <c r="F325" s="113" t="s">
        <v>1329</v>
      </c>
      <c r="G325" s="225" t="s">
        <v>165</v>
      </c>
      <c r="H325" s="318" t="s">
        <v>355</v>
      </c>
      <c r="I325" s="536">
        <f>pietschausintpts</f>
        <v>0</v>
      </c>
      <c r="J325" s="102">
        <f>SUM(H325:I325)</f>
        <v>0</v>
      </c>
    </row>
    <row r="326" spans="1:10" ht="14.95" customHeight="1" thickBot="1" x14ac:dyDescent="0.3">
      <c r="A326" s="26" t="s">
        <v>1226</v>
      </c>
      <c r="B326" s="25" t="s">
        <v>168</v>
      </c>
      <c r="C326" s="316">
        <f>pollockeng6ntries</f>
        <v>0</v>
      </c>
      <c r="D326" s="534">
        <f>Pollockenginttries</f>
        <v>0</v>
      </c>
      <c r="E326" s="109">
        <f>SUM(C326:D326)</f>
        <v>0</v>
      </c>
      <c r="F326" s="113" t="s">
        <v>1382</v>
      </c>
      <c r="G326" s="225" t="s">
        <v>165</v>
      </c>
      <c r="H326" s="318" t="s">
        <v>355</v>
      </c>
      <c r="I326" s="536">
        <f>Pollardausintpts</f>
        <v>0</v>
      </c>
      <c r="J326" s="102">
        <f>SUM(H326:I326)</f>
        <v>0</v>
      </c>
    </row>
    <row r="327" spans="1:10" ht="14.95" customHeight="1" thickBot="1" x14ac:dyDescent="0.3">
      <c r="A327" s="26" t="s">
        <v>1253</v>
      </c>
      <c r="B327" s="25" t="s">
        <v>165</v>
      </c>
      <c r="C327" s="316" t="s">
        <v>355</v>
      </c>
      <c r="D327" s="534">
        <f>robertsonausinttries</f>
        <v>0</v>
      </c>
      <c r="E327" s="109">
        <f>SUM(C327:D327)</f>
        <v>0</v>
      </c>
      <c r="F327" s="113" t="s">
        <v>875</v>
      </c>
      <c r="G327" s="225" t="s">
        <v>170</v>
      </c>
      <c r="H327" s="318" t="s">
        <v>355</v>
      </c>
      <c r="I327" s="536">
        <f>pollardrsaintptscorrect</f>
        <v>0</v>
      </c>
      <c r="J327" s="102">
        <f>SUM(H327:I327)</f>
        <v>0</v>
      </c>
    </row>
    <row r="328" spans="1:10" ht="14.95" customHeight="1" thickBot="1" x14ac:dyDescent="0.3">
      <c r="A328" s="26" t="s">
        <v>351</v>
      </c>
      <c r="B328" s="25" t="s">
        <v>167</v>
      </c>
      <c r="C328" s="316">
        <f>Porterire6ntries</f>
        <v>0</v>
      </c>
      <c r="D328" s="534">
        <f>PORTERIREINTTRIES</f>
        <v>0</v>
      </c>
      <c r="E328" s="109">
        <f>SUM(C328:D328)</f>
        <v>0</v>
      </c>
      <c r="F328" s="113" t="s">
        <v>1226</v>
      </c>
      <c r="G328" s="225" t="s">
        <v>168</v>
      </c>
      <c r="H328" s="318">
        <f>pollockeng6npts</f>
        <v>0</v>
      </c>
      <c r="I328" s="536">
        <f>Pollockengintpts</f>
        <v>0</v>
      </c>
      <c r="J328" s="102">
        <f>SUM(H328:I328)</f>
        <v>0</v>
      </c>
    </row>
    <row r="329" spans="1:10" ht="14.95" customHeight="1" thickBot="1" x14ac:dyDescent="0.3">
      <c r="A329" s="26" t="s">
        <v>1143</v>
      </c>
      <c r="B329" s="25" t="s">
        <v>165</v>
      </c>
      <c r="C329" s="316" t="s">
        <v>355</v>
      </c>
      <c r="D329" s="534">
        <f>potterausinttries</f>
        <v>0</v>
      </c>
      <c r="E329" s="109">
        <f>SUM(C329:D329)</f>
        <v>0</v>
      </c>
      <c r="F329" s="113" t="s">
        <v>1253</v>
      </c>
      <c r="G329" s="225" t="s">
        <v>165</v>
      </c>
      <c r="H329" s="318" t="s">
        <v>355</v>
      </c>
      <c r="I329" s="536">
        <f>robertsonausintpts</f>
        <v>0</v>
      </c>
      <c r="J329" s="102">
        <f>SUM(H329:I329)</f>
        <v>0</v>
      </c>
    </row>
    <row r="330" spans="1:10" ht="14.95" customHeight="1" thickBot="1" x14ac:dyDescent="0.3">
      <c r="A330" s="26" t="s">
        <v>1263</v>
      </c>
      <c r="B330" s="25" t="s">
        <v>167</v>
      </c>
      <c r="C330" s="316"/>
      <c r="D330" s="534">
        <f>prendergastcianireinttries</f>
        <v>0</v>
      </c>
      <c r="E330" s="109">
        <f>SUM(C330:D330)</f>
        <v>0</v>
      </c>
      <c r="F330" s="113" t="s">
        <v>351</v>
      </c>
      <c r="G330" s="225" t="s">
        <v>167</v>
      </c>
      <c r="H330" s="318">
        <f>Porterire6npts</f>
        <v>0</v>
      </c>
      <c r="I330" s="536">
        <f>PORTERIREINTPTS</f>
        <v>0</v>
      </c>
      <c r="J330" s="102">
        <f>SUM(H330:I330)</f>
        <v>0</v>
      </c>
    </row>
    <row r="331" spans="1:10" ht="14.95" customHeight="1" thickBot="1" x14ac:dyDescent="0.3">
      <c r="A331" s="26" t="s">
        <v>1137</v>
      </c>
      <c r="B331" s="25" t="s">
        <v>167</v>
      </c>
      <c r="C331" s="316">
        <f>Prendergastire6ntries</f>
        <v>0</v>
      </c>
      <c r="D331" s="534">
        <f>prendergastireinttries</f>
        <v>0</v>
      </c>
      <c r="E331" s="101">
        <f>SUM(C331:D331)</f>
        <v>0</v>
      </c>
      <c r="F331" s="113" t="s">
        <v>1143</v>
      </c>
      <c r="G331" s="225" t="s">
        <v>165</v>
      </c>
      <c r="H331" s="318" t="s">
        <v>355</v>
      </c>
      <c r="I331" s="536">
        <f>potterausintpts</f>
        <v>0</v>
      </c>
      <c r="J331" s="102">
        <f>SUM(H331:I331)</f>
        <v>0</v>
      </c>
    </row>
    <row r="332" spans="1:10" ht="14.95" customHeight="1" thickBot="1" x14ac:dyDescent="0.3">
      <c r="A332" s="26" t="s">
        <v>285</v>
      </c>
      <c r="B332" s="25" t="s">
        <v>169</v>
      </c>
      <c r="C332" s="316"/>
      <c r="D332" s="534"/>
      <c r="E332" s="101">
        <f>SUM(C332:D332)</f>
        <v>0</v>
      </c>
      <c r="F332" s="113" t="s">
        <v>1263</v>
      </c>
      <c r="G332" s="225" t="s">
        <v>167</v>
      </c>
      <c r="H332" s="318"/>
      <c r="I332" s="536">
        <f>prendergastcianireintpts</f>
        <v>0</v>
      </c>
      <c r="J332" s="102">
        <f>SUM(H332:I332)</f>
        <v>0</v>
      </c>
    </row>
    <row r="333" spans="1:10" ht="14.95" customHeight="1" thickBot="1" x14ac:dyDescent="0.3">
      <c r="A333" s="26" t="s">
        <v>1413</v>
      </c>
      <c r="B333" s="25" t="s">
        <v>171</v>
      </c>
      <c r="C333" s="316" t="s">
        <v>355</v>
      </c>
      <c r="D333" s="534">
        <f>Prisciantelliarginttries</f>
        <v>0</v>
      </c>
      <c r="E333" s="101">
        <f>SUM(C333:D333)</f>
        <v>0</v>
      </c>
      <c r="F333" s="113" t="s">
        <v>285</v>
      </c>
      <c r="G333" s="225" t="s">
        <v>169</v>
      </c>
      <c r="H333" s="318"/>
      <c r="I333" s="536"/>
      <c r="J333" s="102">
        <f>SUM(H333:I333)</f>
        <v>0</v>
      </c>
    </row>
    <row r="334" spans="1:10" ht="14.95" customHeight="1" thickBot="1" x14ac:dyDescent="0.3">
      <c r="A334" s="26" t="s">
        <v>1010</v>
      </c>
      <c r="B334" s="25" t="s">
        <v>166</v>
      </c>
      <c r="C334" s="316" t="s">
        <v>355</v>
      </c>
      <c r="D334" s="534">
        <f>proctornzlinttries</f>
        <v>0</v>
      </c>
      <c r="E334" s="101">
        <f>SUM(C334:D334)</f>
        <v>0</v>
      </c>
      <c r="F334" s="113" t="s">
        <v>1413</v>
      </c>
      <c r="G334" s="225" t="s">
        <v>171</v>
      </c>
      <c r="H334" s="318" t="s">
        <v>355</v>
      </c>
      <c r="I334" s="536">
        <f>Prisciantelliargintpts</f>
        <v>0</v>
      </c>
      <c r="J334" s="102">
        <f>SUM(H334:I334)</f>
        <v>0</v>
      </c>
    </row>
    <row r="335" spans="1:10" ht="14.95" customHeight="1" thickBot="1" x14ac:dyDescent="0.3">
      <c r="A335" s="26" t="s">
        <v>942</v>
      </c>
      <c r="B335" s="25" t="s">
        <v>168</v>
      </c>
      <c r="C335" s="316"/>
      <c r="D335" s="534">
        <f>Randallenginttries</f>
        <v>0</v>
      </c>
      <c r="E335" s="101">
        <f>SUM(C335:D335)</f>
        <v>0</v>
      </c>
      <c r="F335" s="113" t="s">
        <v>1010</v>
      </c>
      <c r="G335" s="225" t="s">
        <v>166</v>
      </c>
      <c r="H335" s="318" t="s">
        <v>355</v>
      </c>
      <c r="I335" s="536">
        <f>Proctornzlintpts</f>
        <v>0</v>
      </c>
      <c r="J335" s="102">
        <f>SUM(H335:I335)</f>
        <v>0</v>
      </c>
    </row>
    <row r="336" spans="1:10" ht="14.95" customHeight="1" thickBot="1" x14ac:dyDescent="0.3">
      <c r="A336" s="26" t="s">
        <v>1008</v>
      </c>
      <c r="B336" s="25" t="s">
        <v>166</v>
      </c>
      <c r="C336" s="316" t="s">
        <v>355</v>
      </c>
      <c r="D336" s="534">
        <f>Ratimanzlinttries</f>
        <v>0</v>
      </c>
      <c r="E336" s="101">
        <f>SUM(C336:D336)</f>
        <v>0</v>
      </c>
      <c r="F336" s="113" t="s">
        <v>942</v>
      </c>
      <c r="G336" s="225" t="s">
        <v>168</v>
      </c>
      <c r="H336" s="318"/>
      <c r="I336" s="536">
        <f>Randallengintpts</f>
        <v>0</v>
      </c>
      <c r="J336" s="102">
        <f>SUM(H336:I336)</f>
        <v>0</v>
      </c>
    </row>
    <row r="337" spans="1:10" ht="14.95" customHeight="1" thickBot="1" x14ac:dyDescent="0.3">
      <c r="A337" s="26" t="s">
        <v>576</v>
      </c>
      <c r="B337" s="25" t="s">
        <v>169</v>
      </c>
      <c r="C337" s="316"/>
      <c r="D337" s="534">
        <f>redpathscointtries</f>
        <v>0</v>
      </c>
      <c r="E337" s="101">
        <f>SUM(C337:D337)</f>
        <v>0</v>
      </c>
      <c r="F337" s="113" t="s">
        <v>1008</v>
      </c>
      <c r="G337" s="225" t="s">
        <v>166</v>
      </c>
      <c r="H337" s="318" t="s">
        <v>355</v>
      </c>
      <c r="I337" s="536">
        <f>Ratimanzlintpts</f>
        <v>0</v>
      </c>
      <c r="J337" s="102">
        <f>SUM(H337:I337)</f>
        <v>0</v>
      </c>
    </row>
    <row r="338" spans="1:10" ht="14.95" customHeight="1" thickBot="1" x14ac:dyDescent="0.3">
      <c r="A338" s="26" t="s">
        <v>950</v>
      </c>
      <c r="B338" s="25" t="s">
        <v>166</v>
      </c>
      <c r="C338" s="316" t="s">
        <v>355</v>
      </c>
      <c r="D338" s="534">
        <f>Reecenzltries</f>
        <v>0</v>
      </c>
      <c r="E338" s="101">
        <f>SUM(C338:D338)</f>
        <v>0</v>
      </c>
      <c r="F338" s="113" t="s">
        <v>576</v>
      </c>
      <c r="G338" s="225" t="s">
        <v>169</v>
      </c>
      <c r="H338" s="318"/>
      <c r="I338" s="536">
        <f>redpathscointpts</f>
        <v>0</v>
      </c>
      <c r="J338" s="102">
        <f>SUM(H338:I338)</f>
        <v>0</v>
      </c>
    </row>
    <row r="339" spans="1:10" ht="14.95" customHeight="1" thickBot="1" x14ac:dyDescent="0.3">
      <c r="A339" s="26" t="s">
        <v>960</v>
      </c>
      <c r="B339" s="25" t="s">
        <v>169</v>
      </c>
      <c r="C339" s="316"/>
      <c r="D339" s="534">
        <f>reedscointtries</f>
        <v>0</v>
      </c>
      <c r="E339" s="101">
        <f>SUM(C339:D339)</f>
        <v>0</v>
      </c>
      <c r="F339" s="113" t="s">
        <v>950</v>
      </c>
      <c r="G339" s="225" t="s">
        <v>166</v>
      </c>
      <c r="H339" s="318" t="s">
        <v>355</v>
      </c>
      <c r="I339" s="536">
        <f>Reecenzlpts</f>
        <v>0</v>
      </c>
      <c r="J339" s="102">
        <f>SUM(H339:I339)</f>
        <v>0</v>
      </c>
    </row>
    <row r="340" spans="1:10" ht="14.95" customHeight="1" thickBot="1" x14ac:dyDescent="0.3">
      <c r="A340" s="26" t="s">
        <v>1420</v>
      </c>
      <c r="B340" s="25" t="s">
        <v>173</v>
      </c>
      <c r="C340" s="316">
        <f>Rees_Zammitwal6ntriescorrect</f>
        <v>0</v>
      </c>
      <c r="D340" s="534">
        <f>Rees_Zammitwalinttriescorrect</f>
        <v>0</v>
      </c>
      <c r="E340" s="101">
        <f>SUM(C340:D340)</f>
        <v>0</v>
      </c>
      <c r="F340" s="113" t="s">
        <v>960</v>
      </c>
      <c r="G340" s="225" t="s">
        <v>169</v>
      </c>
      <c r="H340" s="318"/>
      <c r="I340" s="536">
        <f>reedscointpts</f>
        <v>0</v>
      </c>
      <c r="J340" s="102">
        <f>SUM(H340:I340)</f>
        <v>0</v>
      </c>
    </row>
    <row r="341" spans="1:10" ht="14.95" customHeight="1" thickBot="1" x14ac:dyDescent="0.3">
      <c r="A341" s="26" t="s">
        <v>538</v>
      </c>
      <c r="B341" s="25" t="s">
        <v>173</v>
      </c>
      <c r="C341" s="316"/>
      <c r="D341" s="534">
        <f>reffellwalinttries</f>
        <v>0</v>
      </c>
      <c r="E341" s="101">
        <f>SUM(C341:D341)</f>
        <v>0</v>
      </c>
      <c r="F341" s="113" t="s">
        <v>1420</v>
      </c>
      <c r="G341" s="225" t="s">
        <v>173</v>
      </c>
      <c r="H341" s="318">
        <f>Rees_Zammitwal6nptscorrect</f>
        <v>0</v>
      </c>
      <c r="I341" s="536">
        <f>Rees_Zammitwalintptscorrect</f>
        <v>0</v>
      </c>
      <c r="J341" s="102">
        <f>SUM(H341:I341)</f>
        <v>0</v>
      </c>
    </row>
    <row r="342" spans="1:10" ht="14.95" customHeight="1" thickBot="1" x14ac:dyDescent="0.3">
      <c r="A342" s="26" t="s">
        <v>1095</v>
      </c>
      <c r="B342" s="25" t="s">
        <v>170</v>
      </c>
      <c r="C342" s="316" t="s">
        <v>355</v>
      </c>
      <c r="D342" s="534">
        <f>Reinachrsainttriescorrrect</f>
        <v>0</v>
      </c>
      <c r="E342" s="101">
        <f>SUM(C342:D342)</f>
        <v>0</v>
      </c>
      <c r="F342" s="113" t="s">
        <v>538</v>
      </c>
      <c r="G342" s="225" t="s">
        <v>173</v>
      </c>
      <c r="H342" s="318"/>
      <c r="I342" s="536">
        <f>reffellwalintpts</f>
        <v>0</v>
      </c>
      <c r="J342" s="102">
        <f>SUM(H342:I342)</f>
        <v>0</v>
      </c>
    </row>
    <row r="343" spans="1:10" ht="14.95" customHeight="1" thickBot="1" x14ac:dyDescent="0.3">
      <c r="A343" s="26" t="s">
        <v>603</v>
      </c>
      <c r="B343" s="25" t="s">
        <v>172</v>
      </c>
      <c r="C343" s="316">
        <f>Riccioniita6ntries</f>
        <v>0</v>
      </c>
      <c r="D343" s="534">
        <f>riccioniitainttries</f>
        <v>0</v>
      </c>
      <c r="E343" s="109">
        <f>SUM(C343:D343)</f>
        <v>0</v>
      </c>
      <c r="F343" s="113" t="s">
        <v>1095</v>
      </c>
      <c r="G343" s="225" t="s">
        <v>170</v>
      </c>
      <c r="H343" s="318" t="s">
        <v>355</v>
      </c>
      <c r="I343" s="536">
        <f>Reinachrsaintptscorrect</f>
        <v>0</v>
      </c>
      <c r="J343" s="102">
        <f>SUM(H343:I343)</f>
        <v>0</v>
      </c>
    </row>
    <row r="344" spans="1:10" ht="14.95" customHeight="1" thickBot="1" x14ac:dyDescent="0.3">
      <c r="A344" s="26" t="s">
        <v>958</v>
      </c>
      <c r="B344" s="25" t="s">
        <v>169</v>
      </c>
      <c r="C344" s="316" t="s">
        <v>20</v>
      </c>
      <c r="D344" s="534">
        <f>richardsonscointtries</f>
        <v>0</v>
      </c>
      <c r="E344" s="109">
        <f>SUM(C344:D344)</f>
        <v>0</v>
      </c>
      <c r="F344" s="113" t="s">
        <v>603</v>
      </c>
      <c r="G344" s="225" t="s">
        <v>172</v>
      </c>
      <c r="H344" s="318">
        <f>Riccioniita6npts</f>
        <v>0</v>
      </c>
      <c r="I344" s="536">
        <f>riccioniitaintpts</f>
        <v>0</v>
      </c>
      <c r="J344" s="102">
        <f>SUM(H344:I344)</f>
        <v>0</v>
      </c>
    </row>
    <row r="345" spans="1:10" ht="14.95" customHeight="1" thickBot="1" x14ac:dyDescent="0.3">
      <c r="A345" s="26" t="s">
        <v>241</v>
      </c>
      <c r="B345" s="25" t="s">
        <v>167</v>
      </c>
      <c r="C345" s="316">
        <f>Ringroseire6ntries</f>
        <v>0</v>
      </c>
      <c r="D345" s="534">
        <f>ringroseireinttries</f>
        <v>0</v>
      </c>
      <c r="E345" s="109">
        <f>SUM(C345:D345)</f>
        <v>0</v>
      </c>
      <c r="F345" s="113" t="s">
        <v>958</v>
      </c>
      <c r="G345" s="225" t="s">
        <v>169</v>
      </c>
      <c r="H345" s="318" t="s">
        <v>20</v>
      </c>
      <c r="I345" s="536">
        <f>richardsonscointpts</f>
        <v>0</v>
      </c>
      <c r="J345" s="102">
        <f>SUM(H345:I345)</f>
        <v>0</v>
      </c>
    </row>
    <row r="346" spans="1:10" ht="14.95" customHeight="1" thickBot="1" x14ac:dyDescent="0.3">
      <c r="A346" s="26" t="s">
        <v>661</v>
      </c>
      <c r="B346" s="25" t="s">
        <v>168</v>
      </c>
      <c r="C346" s="316"/>
      <c r="D346" s="534"/>
      <c r="E346" s="109">
        <f>SUM(C346:D346)</f>
        <v>0</v>
      </c>
      <c r="F346" s="113" t="s">
        <v>241</v>
      </c>
      <c r="G346" s="225" t="s">
        <v>167</v>
      </c>
      <c r="H346" s="318">
        <f>Ringroseire6npts</f>
        <v>0</v>
      </c>
      <c r="I346" s="536">
        <f>ringroseiireintpts</f>
        <v>0</v>
      </c>
      <c r="J346" s="102">
        <f>SUM(H346:I346)</f>
        <v>0</v>
      </c>
    </row>
    <row r="347" spans="1:10" ht="14.95" customHeight="1" thickBot="1" x14ac:dyDescent="0.3">
      <c r="A347" s="26" t="s">
        <v>1308</v>
      </c>
      <c r="B347" s="25" t="s">
        <v>171</v>
      </c>
      <c r="C347" s="316" t="s">
        <v>355</v>
      </c>
      <c r="D347" s="534">
        <f>rogerarginttries</f>
        <v>0</v>
      </c>
      <c r="E347" s="109">
        <f>SUM(C347:D347)</f>
        <v>0</v>
      </c>
      <c r="F347" s="113" t="s">
        <v>661</v>
      </c>
      <c r="G347" s="225" t="s">
        <v>168</v>
      </c>
      <c r="H347" s="318"/>
      <c r="I347" s="536"/>
      <c r="J347" s="102">
        <f>SUM(H347:I347)</f>
        <v>0</v>
      </c>
    </row>
    <row r="348" spans="1:10" ht="14.95" customHeight="1" thickBot="1" x14ac:dyDescent="0.3">
      <c r="A348" s="26" t="s">
        <v>1207</v>
      </c>
      <c r="B348" s="25" t="s">
        <v>173</v>
      </c>
      <c r="C348" s="316">
        <f>Rogerswal6ntries</f>
        <v>0</v>
      </c>
      <c r="D348" s="534">
        <f>rogerswalinttries</f>
        <v>0</v>
      </c>
      <c r="E348" s="109">
        <f>SUM(C348:D348)</f>
        <v>0</v>
      </c>
      <c r="F348" s="113" t="s">
        <v>1308</v>
      </c>
      <c r="G348" s="225" t="s">
        <v>171</v>
      </c>
      <c r="H348" s="318" t="s">
        <v>355</v>
      </c>
      <c r="I348" s="536">
        <f>rogerargintpts</f>
        <v>0</v>
      </c>
      <c r="J348" s="102">
        <f>SUM(H348:I348)</f>
        <v>0</v>
      </c>
    </row>
    <row r="349" spans="1:10" ht="14.95" customHeight="1" thickBot="1" x14ac:dyDescent="0.3">
      <c r="A349" s="26" t="s">
        <v>663</v>
      </c>
      <c r="B349" s="25" t="s">
        <v>166</v>
      </c>
      <c r="C349" s="316" t="s">
        <v>355</v>
      </c>
      <c r="D349" s="534">
        <f>Roigardnzlinttriescorrect</f>
        <v>0</v>
      </c>
      <c r="E349" s="109">
        <f>SUM(C349:D349)</f>
        <v>0</v>
      </c>
      <c r="F349" s="113" t="s">
        <v>1207</v>
      </c>
      <c r="G349" s="225" t="s">
        <v>173</v>
      </c>
      <c r="H349" s="318">
        <f>Rogerswal6npts</f>
        <v>0</v>
      </c>
      <c r="I349" s="536">
        <f>rogerswalintpts</f>
        <v>0</v>
      </c>
      <c r="J349" s="102">
        <f>SUM(H349:I349)</f>
        <v>0</v>
      </c>
    </row>
    <row r="350" spans="1:10" ht="14.95" customHeight="1" thickBot="1" x14ac:dyDescent="0.3">
      <c r="A350" s="26" t="s">
        <v>1118</v>
      </c>
      <c r="B350" s="25" t="s">
        <v>182</v>
      </c>
      <c r="C350" s="316"/>
      <c r="D350" s="534">
        <f>roumatfrainttries</f>
        <v>0</v>
      </c>
      <c r="E350" s="109">
        <f>SUM(C350:D350)</f>
        <v>0</v>
      </c>
      <c r="F350" s="113" t="s">
        <v>663</v>
      </c>
      <c r="G350" s="225" t="s">
        <v>166</v>
      </c>
      <c r="H350" s="318" t="s">
        <v>355</v>
      </c>
      <c r="I350" s="536">
        <f>Roigardnzlintptscorrect</f>
        <v>0</v>
      </c>
      <c r="J350" s="102">
        <f>SUM(H350:I350)</f>
        <v>0</v>
      </c>
    </row>
    <row r="351" spans="1:10" ht="14.95" customHeight="1" thickBot="1" x14ac:dyDescent="0.3">
      <c r="A351" s="26" t="s">
        <v>1040</v>
      </c>
      <c r="B351" s="25" t="s">
        <v>169</v>
      </c>
      <c r="C351" s="316">
        <f>Rowesco6ntries</f>
        <v>0</v>
      </c>
      <c r="D351" s="534">
        <f>rowescointtries</f>
        <v>0</v>
      </c>
      <c r="E351" s="109">
        <f>SUM(C351:D351)</f>
        <v>0</v>
      </c>
      <c r="F351" s="113" t="s">
        <v>1118</v>
      </c>
      <c r="G351" s="225" t="s">
        <v>182</v>
      </c>
      <c r="H351" s="318"/>
      <c r="I351" s="536">
        <f>roumatfraintpts</f>
        <v>0</v>
      </c>
      <c r="J351" s="102">
        <f>SUM(H351:I351)</f>
        <v>0</v>
      </c>
    </row>
    <row r="352" spans="1:10" ht="14.95" customHeight="1" thickBot="1" x14ac:dyDescent="0.3">
      <c r="A352" s="26" t="s">
        <v>393</v>
      </c>
      <c r="B352" s="25" t="s">
        <v>173</v>
      </c>
      <c r="C352" s="316">
        <f>rowlandswal6ntries</f>
        <v>0</v>
      </c>
      <c r="D352" s="534"/>
      <c r="E352" s="109">
        <f>SUM(C352:D352)</f>
        <v>0</v>
      </c>
      <c r="F352" s="113" t="s">
        <v>1040</v>
      </c>
      <c r="G352" s="225" t="s">
        <v>169</v>
      </c>
      <c r="H352" s="318">
        <f>Rowesco6npts</f>
        <v>0</v>
      </c>
      <c r="I352" s="536">
        <f>rowescointpts</f>
        <v>0</v>
      </c>
      <c r="J352" s="102">
        <f>SUM(H352:I352)</f>
        <v>0</v>
      </c>
    </row>
    <row r="353" spans="1:10" ht="14.95" customHeight="1" thickBot="1" x14ac:dyDescent="0.3">
      <c r="A353" s="26" t="s">
        <v>1248</v>
      </c>
      <c r="B353" s="25" t="s">
        <v>171</v>
      </c>
      <c r="C353" s="316" t="s">
        <v>355</v>
      </c>
      <c r="D353" s="534">
        <f>rubioloarginttries</f>
        <v>0</v>
      </c>
      <c r="E353" s="109">
        <f>SUM(C353:D353)</f>
        <v>0</v>
      </c>
      <c r="F353" s="113" t="s">
        <v>393</v>
      </c>
      <c r="G353" s="225" t="s">
        <v>173</v>
      </c>
      <c r="H353" s="318">
        <f>rowlandswal6npts</f>
        <v>0</v>
      </c>
      <c r="I353" s="536"/>
      <c r="J353" s="102">
        <f>SUM(H353:I353)</f>
        <v>0</v>
      </c>
    </row>
    <row r="354" spans="1:10" ht="14.95" customHeight="1" thickBot="1" x14ac:dyDescent="0.3">
      <c r="A354" s="26" t="s">
        <v>578</v>
      </c>
      <c r="B354" s="25" t="s">
        <v>171</v>
      </c>
      <c r="C354" s="316" t="s">
        <v>355</v>
      </c>
      <c r="D354" s="534">
        <f>ruizarginttries</f>
        <v>0</v>
      </c>
      <c r="E354" s="109">
        <f>SUM(C354:D354)</f>
        <v>0</v>
      </c>
      <c r="F354" s="113" t="s">
        <v>1248</v>
      </c>
      <c r="G354" s="225" t="s">
        <v>171</v>
      </c>
      <c r="H354" s="318" t="s">
        <v>355</v>
      </c>
      <c r="I354" s="536">
        <f>rubioloargintpts</f>
        <v>0</v>
      </c>
      <c r="J354" s="102">
        <f>SUM(H354:I354)</f>
        <v>0</v>
      </c>
    </row>
    <row r="355" spans="1:10" ht="14.95" customHeight="1" thickBot="1" x14ac:dyDescent="0.3">
      <c r="A355" s="26" t="s">
        <v>465</v>
      </c>
      <c r="B355" s="25" t="s">
        <v>167</v>
      </c>
      <c r="C355" s="316">
        <f>RyanIRE6NTRIES</f>
        <v>0</v>
      </c>
      <c r="D355" s="534">
        <f>ryanireinttries</f>
        <v>0</v>
      </c>
      <c r="E355" s="109">
        <f>SUM(C355:D355)</f>
        <v>0</v>
      </c>
      <c r="F355" s="113" t="s">
        <v>578</v>
      </c>
      <c r="G355" s="225" t="s">
        <v>171</v>
      </c>
      <c r="H355" s="318" t="s">
        <v>355</v>
      </c>
      <c r="I355" s="536">
        <f>ruizargintpts</f>
        <v>0</v>
      </c>
      <c r="J355" s="102">
        <f>SUM(H355:I355)</f>
        <v>0</v>
      </c>
    </row>
    <row r="356" spans="1:10" ht="14.95" customHeight="1" thickBot="1" x14ac:dyDescent="0.3">
      <c r="A356" s="26" t="s">
        <v>179</v>
      </c>
      <c r="B356" s="25" t="s">
        <v>166</v>
      </c>
      <c r="C356" s="316" t="s">
        <v>355</v>
      </c>
      <c r="D356" s="534">
        <f>Saveaardienzltries</f>
        <v>0</v>
      </c>
      <c r="E356" s="109">
        <f>SUM(C356:D356)</f>
        <v>0</v>
      </c>
      <c r="F356" s="113" t="s">
        <v>465</v>
      </c>
      <c r="G356" s="225" t="s">
        <v>167</v>
      </c>
      <c r="H356" s="318">
        <f>RyanIRE6NPTS</f>
        <v>0</v>
      </c>
      <c r="I356" s="536">
        <f>ryanireintpts</f>
        <v>0</v>
      </c>
      <c r="J356" s="102">
        <f>SUM(H356:I356)</f>
        <v>0</v>
      </c>
    </row>
    <row r="357" spans="1:10" ht="14.95" customHeight="1" thickBot="1" x14ac:dyDescent="0.3">
      <c r="A357" s="26" t="s">
        <v>695</v>
      </c>
      <c r="B357" s="25" t="s">
        <v>171</v>
      </c>
      <c r="C357" s="316" t="s">
        <v>355</v>
      </c>
      <c r="D357" s="534">
        <f>sclaviarginttriescorrect</f>
        <v>0</v>
      </c>
      <c r="E357" s="109">
        <f>SUM(C357:D357)</f>
        <v>0</v>
      </c>
      <c r="F357" s="113" t="s">
        <v>179</v>
      </c>
      <c r="G357" s="225" t="s">
        <v>166</v>
      </c>
      <c r="H357" s="318" t="s">
        <v>355</v>
      </c>
      <c r="I357" s="537">
        <f>Saveaardienzlpts</f>
        <v>0</v>
      </c>
      <c r="J357" s="102">
        <f>SUM(H357:I357)</f>
        <v>0</v>
      </c>
    </row>
    <row r="358" spans="1:10" ht="14.95" customHeight="1" thickBot="1" x14ac:dyDescent="0.3">
      <c r="A358" s="26" t="s">
        <v>985</v>
      </c>
      <c r="B358" s="25" t="s">
        <v>182</v>
      </c>
      <c r="C358" s="316"/>
      <c r="D358" s="534">
        <f>segondsfrainttries</f>
        <v>0</v>
      </c>
      <c r="E358" s="109">
        <f>SUM(C358:D358)</f>
        <v>0</v>
      </c>
      <c r="F358" s="113" t="s">
        <v>695</v>
      </c>
      <c r="G358" s="225" t="s">
        <v>171</v>
      </c>
      <c r="H358" s="318" t="s">
        <v>355</v>
      </c>
      <c r="I358" s="537">
        <f>sclaviargintpts</f>
        <v>0</v>
      </c>
      <c r="J358" s="102">
        <f>SUM(H358:I358)</f>
        <v>0</v>
      </c>
    </row>
    <row r="359" spans="1:10" ht="14.95" customHeight="1" thickBot="1" x14ac:dyDescent="0.3">
      <c r="A359" s="26" t="s">
        <v>227</v>
      </c>
      <c r="B359" s="25" t="s">
        <v>182</v>
      </c>
      <c r="C359" s="316"/>
      <c r="D359" s="534">
        <f>serinfrainttries</f>
        <v>0</v>
      </c>
      <c r="E359" s="109">
        <f>SUM(C359:D359)</f>
        <v>0</v>
      </c>
      <c r="F359" s="113" t="s">
        <v>985</v>
      </c>
      <c r="G359" s="225" t="s">
        <v>182</v>
      </c>
      <c r="H359" s="318"/>
      <c r="I359" s="536">
        <f>segondsfraintpts</f>
        <v>0</v>
      </c>
      <c r="J359" s="102">
        <f>SUM(H359:I359)</f>
        <v>0</v>
      </c>
    </row>
    <row r="360" spans="1:10" ht="14.95" customHeight="1" thickBot="1" x14ac:dyDescent="0.3">
      <c r="A360" s="26" t="s">
        <v>1394</v>
      </c>
      <c r="B360" s="25" t="s">
        <v>166</v>
      </c>
      <c r="C360" s="316" t="s">
        <v>355</v>
      </c>
      <c r="D360" s="534">
        <f>Sititinzlinttries</f>
        <v>0</v>
      </c>
      <c r="E360" s="109">
        <f>SUM(C360:D360)</f>
        <v>0</v>
      </c>
      <c r="F360" s="113" t="s">
        <v>227</v>
      </c>
      <c r="G360" s="225" t="s">
        <v>182</v>
      </c>
      <c r="H360" s="318"/>
      <c r="I360" s="536">
        <f>serinfraintpts</f>
        <v>0</v>
      </c>
      <c r="J360" s="102">
        <f>SUM(H360:I360)</f>
        <v>0</v>
      </c>
    </row>
    <row r="361" spans="1:10" ht="14.95" customHeight="1" thickBot="1" x14ac:dyDescent="0.3">
      <c r="A361" s="26" t="s">
        <v>913</v>
      </c>
      <c r="B361" s="25" t="s">
        <v>169</v>
      </c>
      <c r="C361" s="316">
        <f>Skinnersco6ntfries</f>
        <v>0</v>
      </c>
      <c r="D361" s="534"/>
      <c r="E361" s="109">
        <f>SUM(C361:D361)</f>
        <v>0</v>
      </c>
      <c r="F361" s="113" t="s">
        <v>1394</v>
      </c>
      <c r="G361" s="225" t="s">
        <v>166</v>
      </c>
      <c r="H361" s="318" t="s">
        <v>355</v>
      </c>
      <c r="I361" s="536">
        <f>Sititinzlintpts</f>
        <v>0</v>
      </c>
      <c r="J361" s="102">
        <f>SUM(H361:I361)</f>
        <v>0</v>
      </c>
    </row>
    <row r="362" spans="1:10" ht="14.95" customHeight="1" thickBot="1" x14ac:dyDescent="0.3">
      <c r="A362" s="26" t="s">
        <v>274</v>
      </c>
      <c r="B362" s="25" t="s">
        <v>168</v>
      </c>
      <c r="C362" s="316">
        <f>Sincklereng6ntries</f>
        <v>0</v>
      </c>
      <c r="D362" s="534">
        <f>Sladeenginttries</f>
        <v>0</v>
      </c>
      <c r="E362" s="109">
        <f>SUM(C362:D362)</f>
        <v>0</v>
      </c>
      <c r="F362" s="113" t="s">
        <v>913</v>
      </c>
      <c r="G362" s="225" t="s">
        <v>169</v>
      </c>
      <c r="H362" s="318">
        <f>skinnersco6npts</f>
        <v>0</v>
      </c>
      <c r="I362" s="536"/>
      <c r="J362" s="102">
        <f>SUM(H362:I362)</f>
        <v>0</v>
      </c>
    </row>
    <row r="363" spans="1:10" ht="14.95" customHeight="1" thickBot="1" x14ac:dyDescent="0.3">
      <c r="A363" s="26" t="s">
        <v>1109</v>
      </c>
      <c r="B363" s="25" t="s">
        <v>168</v>
      </c>
      <c r="C363" s="316">
        <f>slieghtholmeeng6ntries</f>
        <v>0</v>
      </c>
      <c r="D363" s="534">
        <f>Sleightholmeenginttries</f>
        <v>0</v>
      </c>
      <c r="E363" s="109">
        <f>SUM(C363:D363)</f>
        <v>0</v>
      </c>
      <c r="F363" s="113" t="s">
        <v>274</v>
      </c>
      <c r="G363" s="225" t="s">
        <v>168</v>
      </c>
      <c r="H363" s="318">
        <f>Sincklereng6npts</f>
        <v>0</v>
      </c>
      <c r="I363" s="536">
        <f>Sladeengintpts</f>
        <v>0</v>
      </c>
      <c r="J363" s="102">
        <f>SUM(H363:I363)</f>
        <v>0</v>
      </c>
    </row>
    <row r="364" spans="1:10" ht="14.95" customHeight="1" thickBot="1" x14ac:dyDescent="0.3">
      <c r="A364" s="26" t="s">
        <v>1318</v>
      </c>
      <c r="B364" s="25" t="s">
        <v>165</v>
      </c>
      <c r="C364" s="316" t="s">
        <v>355</v>
      </c>
      <c r="D364" s="534">
        <f>slipperausinttriescorrect</f>
        <v>0</v>
      </c>
      <c r="E364" s="109">
        <f>SUM(C364:D364)</f>
        <v>0</v>
      </c>
      <c r="F364" s="113" t="s">
        <v>1109</v>
      </c>
      <c r="G364" s="225" t="s">
        <v>168</v>
      </c>
      <c r="H364" s="318">
        <f>slieghtholmeeng6npts</f>
        <v>0</v>
      </c>
      <c r="I364" s="536">
        <f>Sleightholmeengintpts</f>
        <v>0</v>
      </c>
      <c r="J364" s="102">
        <f>SUM(H364:I364)</f>
        <v>0</v>
      </c>
    </row>
    <row r="365" spans="1:10" ht="14.95" thickBot="1" x14ac:dyDescent="0.3">
      <c r="A365" s="26" t="s">
        <v>910</v>
      </c>
      <c r="B365" s="25" t="s">
        <v>168</v>
      </c>
      <c r="C365" s="316">
        <f>Smith_Feng6ntries</f>
        <v>0</v>
      </c>
      <c r="D365" s="534">
        <f>Smith_Fenginttries</f>
        <v>0</v>
      </c>
      <c r="E365" s="109">
        <f>SUM(C365:D365)</f>
        <v>0</v>
      </c>
      <c r="F365" s="113" t="s">
        <v>1318</v>
      </c>
      <c r="G365" s="225" t="s">
        <v>165</v>
      </c>
      <c r="H365" s="318" t="s">
        <v>355</v>
      </c>
      <c r="I365" s="536">
        <f>slipperausintptscorrect</f>
        <v>0</v>
      </c>
      <c r="J365" s="102">
        <f>SUM(H365:I365)</f>
        <v>0</v>
      </c>
    </row>
    <row r="366" spans="1:10" ht="14.95" thickBot="1" x14ac:dyDescent="0.3">
      <c r="A366" s="26" t="s">
        <v>386</v>
      </c>
      <c r="B366" s="25" t="s">
        <v>170</v>
      </c>
      <c r="C366" s="316" t="s">
        <v>355</v>
      </c>
      <c r="D366" s="534"/>
      <c r="E366" s="109">
        <f>SUM(C366:D366)</f>
        <v>0</v>
      </c>
      <c r="F366" s="113" t="s">
        <v>386</v>
      </c>
      <c r="G366" s="225" t="s">
        <v>170</v>
      </c>
      <c r="H366" s="318" t="s">
        <v>355</v>
      </c>
      <c r="I366" s="536"/>
      <c r="J366" s="102">
        <f>SUM(H366:I366)</f>
        <v>0</v>
      </c>
    </row>
    <row r="367" spans="1:10" ht="14.95" thickBot="1" x14ac:dyDescent="0.3">
      <c r="A367" s="26" t="s">
        <v>1392</v>
      </c>
      <c r="B367" s="25" t="s">
        <v>169</v>
      </c>
      <c r="C367" s="316"/>
      <c r="D367" s="534">
        <f>smithscointtries</f>
        <v>0</v>
      </c>
      <c r="E367" s="109">
        <f>SUM(C367:D367)</f>
        <v>0</v>
      </c>
      <c r="F367" s="113" t="s">
        <v>1392</v>
      </c>
      <c r="G367" s="225" t="s">
        <v>169</v>
      </c>
      <c r="H367" s="318"/>
      <c r="I367" s="536">
        <f>smithscointpts</f>
        <v>0</v>
      </c>
      <c r="J367" s="102">
        <f>SUM(H367:I367)</f>
        <v>0</v>
      </c>
    </row>
    <row r="368" spans="1:10" ht="14.95" thickBot="1" x14ac:dyDescent="0.3">
      <c r="A368" s="26" t="s">
        <v>400</v>
      </c>
      <c r="B368" s="25" t="s">
        <v>168</v>
      </c>
      <c r="C368" s="316">
        <f>Smitheng6ntries</f>
        <v>0</v>
      </c>
      <c r="D368" s="534">
        <f>Smithmarcusrnginttries</f>
        <v>0</v>
      </c>
      <c r="E368" s="109">
        <f>SUM(C368:D368)</f>
        <v>0</v>
      </c>
      <c r="F368" s="113" t="s">
        <v>400</v>
      </c>
      <c r="G368" s="225" t="s">
        <v>168</v>
      </c>
      <c r="H368" s="318">
        <f>Smitheng6npts</f>
        <v>0</v>
      </c>
      <c r="I368" s="536">
        <f>Smithmarchusengintpts</f>
        <v>0</v>
      </c>
      <c r="J368" s="102">
        <f>SUM(H368:I368)</f>
        <v>0</v>
      </c>
    </row>
    <row r="369" spans="1:10" ht="14.95" thickBot="1" x14ac:dyDescent="0.3">
      <c r="A369" s="26" t="s">
        <v>706</v>
      </c>
      <c r="B369" s="25" t="s">
        <v>170</v>
      </c>
      <c r="C369" s="316" t="s">
        <v>355</v>
      </c>
      <c r="D369" s="534"/>
      <c r="E369" s="109">
        <f>SUM(C369:D369)</f>
        <v>0</v>
      </c>
      <c r="F369" s="113" t="s">
        <v>706</v>
      </c>
      <c r="G369" s="225" t="s">
        <v>170</v>
      </c>
      <c r="H369" s="318" t="s">
        <v>355</v>
      </c>
      <c r="I369" s="536"/>
      <c r="J369" s="102">
        <f>SUM(H369:I369)</f>
        <v>0</v>
      </c>
    </row>
    <row r="370" spans="1:10" ht="14.95" thickBot="1" x14ac:dyDescent="0.3">
      <c r="A370" s="26" t="s">
        <v>628</v>
      </c>
      <c r="B370" s="25" t="s">
        <v>171</v>
      </c>
      <c r="C370" s="316" t="s">
        <v>355</v>
      </c>
      <c r="D370" s="534"/>
      <c r="E370" s="109">
        <f>SUM(C370:D370)</f>
        <v>0</v>
      </c>
      <c r="F370" s="113" t="s">
        <v>628</v>
      </c>
      <c r="G370" s="225" t="s">
        <v>171</v>
      </c>
      <c r="H370" s="318" t="s">
        <v>355</v>
      </c>
      <c r="I370" s="536"/>
      <c r="J370" s="102">
        <f>SUM(H370:I370)</f>
        <v>0</v>
      </c>
    </row>
    <row r="371" spans="1:10" ht="14.95" thickBot="1" x14ac:dyDescent="0.3">
      <c r="A371" s="26" t="s">
        <v>1235</v>
      </c>
      <c r="B371" s="25" t="s">
        <v>172</v>
      </c>
      <c r="C371" s="316">
        <f>Spagnoloita6ntries</f>
        <v>0</v>
      </c>
      <c r="D371" s="534">
        <f>spagnoloitainttries</f>
        <v>0</v>
      </c>
      <c r="E371" s="109">
        <f>SUM(C371:D371)</f>
        <v>0</v>
      </c>
      <c r="F371" s="113" t="s">
        <v>1235</v>
      </c>
      <c r="G371" s="225" t="s">
        <v>172</v>
      </c>
      <c r="H371" s="318">
        <f>Spagnoloita6npts</f>
        <v>0</v>
      </c>
      <c r="I371" s="536">
        <f>spagnoloitaintpts</f>
        <v>0</v>
      </c>
      <c r="J371" s="102">
        <f>SUM(H371:I371)</f>
        <v>0</v>
      </c>
    </row>
    <row r="372" spans="1:10" ht="14.95" thickBot="1" x14ac:dyDescent="0.3">
      <c r="A372" s="26" t="s">
        <v>1141</v>
      </c>
      <c r="B372" s="25" t="s">
        <v>170</v>
      </c>
      <c r="C372" s="316" t="s">
        <v>355</v>
      </c>
      <c r="D372" s="534">
        <f>Steenekamprsainttries</f>
        <v>0</v>
      </c>
      <c r="E372" s="109">
        <f>SUM(C372:D372)</f>
        <v>0</v>
      </c>
      <c r="F372" s="113" t="s">
        <v>1141</v>
      </c>
      <c r="G372" s="225" t="s">
        <v>170</v>
      </c>
      <c r="H372" s="318" t="s">
        <v>355</v>
      </c>
      <c r="I372" s="536">
        <f>Steenekamprsaintpts</f>
        <v>0</v>
      </c>
      <c r="J372" s="102">
        <f>SUM(H372:I372)</f>
        <v>0</v>
      </c>
    </row>
    <row r="373" spans="1:10" ht="14.95" thickBot="1" x14ac:dyDescent="0.3">
      <c r="A373" s="26" t="s">
        <v>460</v>
      </c>
      <c r="B373" s="25" t="s">
        <v>168</v>
      </c>
      <c r="C373" s="316">
        <f>StewardENG6NTRIES</f>
        <v>0</v>
      </c>
      <c r="D373" s="534">
        <f>StewardENGINTTRIESCORRECT</f>
        <v>0</v>
      </c>
      <c r="E373" s="109">
        <f>SUM(C373:D373)</f>
        <v>0</v>
      </c>
      <c r="F373" s="113" t="s">
        <v>460</v>
      </c>
      <c r="G373" s="225" t="s">
        <v>168</v>
      </c>
      <c r="H373" s="318">
        <f>StewardENG6NPTS</f>
        <v>0</v>
      </c>
      <c r="I373" s="536">
        <f>StewardENGINTPTSCORRECT</f>
        <v>0</v>
      </c>
      <c r="J373" s="102">
        <f>SUM(H373:I373)</f>
        <v>0</v>
      </c>
    </row>
    <row r="374" spans="1:10" ht="14.95" thickBot="1" x14ac:dyDescent="0.3">
      <c r="A374" s="26" t="s">
        <v>580</v>
      </c>
      <c r="B374" s="25" t="s">
        <v>168</v>
      </c>
      <c r="C374" s="316">
        <f>stuarteng6ntries</f>
        <v>0</v>
      </c>
      <c r="D374" s="534">
        <f>Stuartenginttriescorrect</f>
        <v>0</v>
      </c>
      <c r="E374" s="109">
        <f>SUM(C374:D374)</f>
        <v>0</v>
      </c>
      <c r="F374" s="113" t="s">
        <v>580</v>
      </c>
      <c r="G374" s="225" t="s">
        <v>168</v>
      </c>
      <c r="H374" s="318">
        <f>stuarteng6npts</f>
        <v>0</v>
      </c>
      <c r="I374" s="536">
        <f>Stuartengintptscorrect</f>
        <v>0</v>
      </c>
      <c r="J374" s="102">
        <f>SUM(H374:I374)</f>
        <v>0</v>
      </c>
    </row>
    <row r="375" spans="1:10" ht="14.95" thickBot="1" x14ac:dyDescent="0.3">
      <c r="A375" s="26" t="s">
        <v>1332</v>
      </c>
      <c r="B375" s="25" t="s">
        <v>165</v>
      </c>
      <c r="C375" s="316" t="s">
        <v>355</v>
      </c>
      <c r="D375" s="534">
        <v>0</v>
      </c>
      <c r="E375" s="109">
        <f>SUM(C375:D375)</f>
        <v>0</v>
      </c>
      <c r="F375" s="113" t="s">
        <v>1332</v>
      </c>
      <c r="G375" s="225" t="s">
        <v>165</v>
      </c>
      <c r="H375" s="318" t="s">
        <v>355</v>
      </c>
      <c r="I375" s="536">
        <v>0</v>
      </c>
      <c r="J375" s="102">
        <f>SUM(H375:I375)</f>
        <v>0</v>
      </c>
    </row>
    <row r="376" spans="1:10" ht="14.95" thickBot="1" x14ac:dyDescent="0.3">
      <c r="A376" s="26" t="s">
        <v>415</v>
      </c>
      <c r="B376" s="25" t="s">
        <v>169</v>
      </c>
      <c r="C376" s="316" t="s">
        <v>20</v>
      </c>
      <c r="D376" s="535"/>
      <c r="E376" s="109">
        <f>SUM(C376:D376)</f>
        <v>0</v>
      </c>
      <c r="F376" s="113" t="s">
        <v>415</v>
      </c>
      <c r="G376" s="225" t="s">
        <v>169</v>
      </c>
      <c r="H376" s="318" t="s">
        <v>20</v>
      </c>
      <c r="I376" s="536"/>
      <c r="J376" s="102">
        <f>SUM(H376:I376)</f>
        <v>0</v>
      </c>
    </row>
    <row r="377" spans="1:10" ht="14.95" thickBot="1" x14ac:dyDescent="0.3">
      <c r="A377" s="26" t="s">
        <v>385</v>
      </c>
      <c r="B377" s="25" t="s">
        <v>182</v>
      </c>
      <c r="C377" s="316">
        <f>taofifenuafra6ntries</f>
        <v>0</v>
      </c>
      <c r="D377" s="534"/>
      <c r="E377" s="109">
        <f>SUM(C377:D377)</f>
        <v>0</v>
      </c>
      <c r="F377" s="113" t="s">
        <v>385</v>
      </c>
      <c r="G377" s="225" t="s">
        <v>182</v>
      </c>
      <c r="H377" s="318">
        <f>taofifenuafra6npts</f>
        <v>0</v>
      </c>
      <c r="I377" s="536"/>
      <c r="J377" s="117">
        <f>SUM(H377:I377)</f>
        <v>0</v>
      </c>
    </row>
    <row r="378" spans="1:10" ht="14.95" thickBot="1" x14ac:dyDescent="0.3">
      <c r="A378" s="26" t="s">
        <v>412</v>
      </c>
      <c r="B378" s="25" t="s">
        <v>166</v>
      </c>
      <c r="C378" s="316" t="s">
        <v>355</v>
      </c>
      <c r="D378" s="534">
        <v>0</v>
      </c>
      <c r="E378" s="109">
        <f>SUM(C378:D378)</f>
        <v>0</v>
      </c>
      <c r="F378" s="113" t="s">
        <v>412</v>
      </c>
      <c r="G378" s="225" t="s">
        <v>166</v>
      </c>
      <c r="H378" s="318" t="s">
        <v>355</v>
      </c>
      <c r="I378" s="538">
        <v>0</v>
      </c>
      <c r="J378" s="117">
        <f>SUM(H378:I378)</f>
        <v>0</v>
      </c>
    </row>
    <row r="379" spans="1:10" ht="14.95" thickBot="1" x14ac:dyDescent="0.3">
      <c r="A379" s="26" t="s">
        <v>185</v>
      </c>
      <c r="B379" s="25" t="s">
        <v>166</v>
      </c>
      <c r="C379" s="316" t="s">
        <v>355</v>
      </c>
      <c r="D379" s="534">
        <f>Taylornzlinttries</f>
        <v>0</v>
      </c>
      <c r="E379" s="109">
        <f>SUM(C379:D379)</f>
        <v>0</v>
      </c>
      <c r="F379" s="113" t="s">
        <v>185</v>
      </c>
      <c r="G379" s="225" t="s">
        <v>166</v>
      </c>
      <c r="H379" s="318" t="s">
        <v>355</v>
      </c>
      <c r="I379" s="536">
        <f>Taylornzlintptscorrect</f>
        <v>0</v>
      </c>
      <c r="J379" s="102">
        <f>SUM(H379:I379)</f>
        <v>0</v>
      </c>
    </row>
    <row r="380" spans="1:10" ht="14.95" thickBot="1" x14ac:dyDescent="0.3">
      <c r="A380" s="26" t="s">
        <v>996</v>
      </c>
      <c r="B380" s="25" t="s">
        <v>166</v>
      </c>
      <c r="C380" s="316" t="s">
        <v>355</v>
      </c>
      <c r="D380" s="535">
        <f>Tele_anzlinttries</f>
        <v>0</v>
      </c>
      <c r="E380" s="109">
        <f>SUM(C380:D380)</f>
        <v>0</v>
      </c>
      <c r="F380" s="113" t="s">
        <v>996</v>
      </c>
      <c r="G380" s="225" t="s">
        <v>166</v>
      </c>
      <c r="H380" s="318" t="s">
        <v>355</v>
      </c>
      <c r="I380" s="536">
        <f>Tele_anzlintpts</f>
        <v>0</v>
      </c>
      <c r="J380" s="102">
        <f>SUM(H380:I380)</f>
        <v>0</v>
      </c>
    </row>
    <row r="381" spans="1:10" ht="14.95" thickBot="1" x14ac:dyDescent="0.3">
      <c r="A381" s="26" t="s">
        <v>522</v>
      </c>
      <c r="B381" s="25" t="s">
        <v>171</v>
      </c>
      <c r="C381" s="316" t="s">
        <v>355</v>
      </c>
      <c r="D381" s="534">
        <f>tetazchaparroarginttries</f>
        <v>0</v>
      </c>
      <c r="E381" s="109">
        <f>SUM(C381:D381)</f>
        <v>0</v>
      </c>
      <c r="F381" s="113" t="s">
        <v>522</v>
      </c>
      <c r="G381" s="225" t="s">
        <v>171</v>
      </c>
      <c r="H381" s="318" t="s">
        <v>355</v>
      </c>
      <c r="I381" s="536">
        <f>tetazchaparroargintpts</f>
        <v>0</v>
      </c>
      <c r="J381" s="102">
        <f>SUM(H381:I381)</f>
        <v>0</v>
      </c>
    </row>
    <row r="382" spans="1:10" ht="14.95" thickBot="1" x14ac:dyDescent="0.3">
      <c r="A382" s="26" t="s">
        <v>969</v>
      </c>
      <c r="B382" s="25" t="s">
        <v>173</v>
      </c>
      <c r="C382" s="316">
        <f>Thomas_Bwaltries</f>
        <v>0</v>
      </c>
      <c r="D382" s="534">
        <f>thomasbwalinttries</f>
        <v>0</v>
      </c>
      <c r="E382" s="109">
        <f>SUM(C382:D382)</f>
        <v>0</v>
      </c>
      <c r="F382" s="113" t="s">
        <v>969</v>
      </c>
      <c r="G382" s="225" t="s">
        <v>173</v>
      </c>
      <c r="H382" s="318">
        <f>Thomas_Bwalpts</f>
        <v>0</v>
      </c>
      <c r="I382" s="536">
        <f>thomasbwalintpts</f>
        <v>0</v>
      </c>
      <c r="J382" s="102">
        <f>SUM(H382:I382)</f>
        <v>0</v>
      </c>
    </row>
    <row r="383" spans="1:10" ht="14.95" thickBot="1" x14ac:dyDescent="0.3">
      <c r="A383" s="26" t="s">
        <v>253</v>
      </c>
      <c r="B383" s="25" t="s">
        <v>182</v>
      </c>
      <c r="C383" s="316"/>
      <c r="D383" s="534"/>
      <c r="E383" s="109">
        <f>SUM(C383:D383)</f>
        <v>0</v>
      </c>
      <c r="F383" s="113" t="s">
        <v>253</v>
      </c>
      <c r="G383" s="225" t="s">
        <v>182</v>
      </c>
      <c r="H383" s="318"/>
      <c r="I383" s="536"/>
      <c r="J383" s="102">
        <f>SUM(H383:I383)</f>
        <v>0</v>
      </c>
    </row>
    <row r="384" spans="1:10" ht="14.95" thickBot="1" x14ac:dyDescent="0.3">
      <c r="A384" s="26" t="s">
        <v>963</v>
      </c>
      <c r="B384" s="25" t="s">
        <v>169</v>
      </c>
      <c r="C384" s="316" t="s">
        <v>20</v>
      </c>
      <c r="D384" s="534">
        <f>thompsonscointtries</f>
        <v>0</v>
      </c>
      <c r="E384" s="109">
        <f>SUM(C384:D384)</f>
        <v>0</v>
      </c>
      <c r="F384" s="113" t="s">
        <v>963</v>
      </c>
      <c r="G384" s="225" t="s">
        <v>169</v>
      </c>
      <c r="H384" s="318" t="s">
        <v>20</v>
      </c>
      <c r="I384" s="536">
        <f>thompsonscointptsscorrect</f>
        <v>0</v>
      </c>
      <c r="J384" s="102">
        <f>SUM(H384:I384)</f>
        <v>0</v>
      </c>
    </row>
    <row r="385" spans="1:10" ht="14.95" thickBot="1" x14ac:dyDescent="0.3">
      <c r="A385" s="26" t="s">
        <v>1085</v>
      </c>
      <c r="B385" s="25" t="s">
        <v>165</v>
      </c>
      <c r="C385" s="316" t="s">
        <v>355</v>
      </c>
      <c r="D385" s="534">
        <f>slipperausinttries</f>
        <v>0</v>
      </c>
      <c r="E385" s="109">
        <f>SUM(C385:D385)</f>
        <v>0</v>
      </c>
      <c r="F385" s="113" t="s">
        <v>1085</v>
      </c>
      <c r="G385" s="225" t="s">
        <v>165</v>
      </c>
      <c r="H385" s="318" t="s">
        <v>355</v>
      </c>
      <c r="I385" s="536">
        <f>slipperausintpts</f>
        <v>0</v>
      </c>
      <c r="J385" s="102">
        <f>SUM(H385:I385)</f>
        <v>0</v>
      </c>
    </row>
    <row r="386" spans="1:10" ht="14.95" thickBot="1" x14ac:dyDescent="0.3">
      <c r="A386" s="26" t="s">
        <v>345</v>
      </c>
      <c r="B386" s="25" t="s">
        <v>173</v>
      </c>
      <c r="C386" s="316">
        <f>TompkinsWAL6NTRIES</f>
        <v>0</v>
      </c>
      <c r="D386" s="534">
        <f>tompkinswalinttries</f>
        <v>0</v>
      </c>
      <c r="E386" s="109">
        <f>SUM(C386:D386)</f>
        <v>0</v>
      </c>
      <c r="F386" s="113" t="s">
        <v>345</v>
      </c>
      <c r="G386" s="225" t="s">
        <v>173</v>
      </c>
      <c r="H386" s="318">
        <f>TompkinsWAL6NPTS</f>
        <v>0</v>
      </c>
      <c r="I386" s="536">
        <f>tompkinswalintpts</f>
        <v>0</v>
      </c>
      <c r="J386" s="102">
        <f>SUM(H386:I386)</f>
        <v>0</v>
      </c>
    </row>
    <row r="387" spans="1:10" ht="14.95" thickBot="1" x14ac:dyDescent="0.3">
      <c r="A387" s="26" t="s">
        <v>1337</v>
      </c>
      <c r="B387" s="25" t="s">
        <v>165</v>
      </c>
      <c r="C387" s="316" t="s">
        <v>355</v>
      </c>
      <c r="D387" s="534">
        <f>Tooleausinttries</f>
        <v>0</v>
      </c>
      <c r="E387" s="109">
        <f>SUM(C387:D387)</f>
        <v>0</v>
      </c>
      <c r="F387" s="113" t="s">
        <v>1337</v>
      </c>
      <c r="G387" s="225" t="s">
        <v>165</v>
      </c>
      <c r="H387" s="318" t="s">
        <v>355</v>
      </c>
      <c r="I387" s="536">
        <f>Tooleausintpts</f>
        <v>0</v>
      </c>
      <c r="J387" s="102">
        <f>SUM(H387:I387)</f>
        <v>0</v>
      </c>
    </row>
    <row r="388" spans="1:10" ht="14.95" thickBot="1" x14ac:dyDescent="0.3">
      <c r="A388" s="26" t="s">
        <v>1104</v>
      </c>
      <c r="B388" s="25" t="s">
        <v>166</v>
      </c>
      <c r="C388" s="316" t="s">
        <v>355</v>
      </c>
      <c r="D388" s="534">
        <f>Tosinzlinttries</f>
        <v>0</v>
      </c>
      <c r="E388" s="109">
        <f>SUM(C388:D388)</f>
        <v>0</v>
      </c>
      <c r="F388" s="113" t="s">
        <v>1104</v>
      </c>
      <c r="G388" s="225" t="s">
        <v>166</v>
      </c>
      <c r="H388" s="318" t="s">
        <v>355</v>
      </c>
      <c r="I388" s="536">
        <f>Tosinzlintpts</f>
        <v>0</v>
      </c>
      <c r="J388" s="102">
        <f>SUM(H388:I388)</f>
        <v>0</v>
      </c>
    </row>
    <row r="389" spans="1:10" ht="14.95" thickBot="1" x14ac:dyDescent="0.3">
      <c r="A389" s="26" t="s">
        <v>990</v>
      </c>
      <c r="B389" s="25" t="s">
        <v>172</v>
      </c>
      <c r="C389" s="316">
        <f>Trullaita6ntries</f>
        <v>0</v>
      </c>
      <c r="D389" s="534">
        <f>trullaitainttries</f>
        <v>0</v>
      </c>
      <c r="E389" s="109">
        <f>SUM(C389:D389)</f>
        <v>0</v>
      </c>
      <c r="F389" s="113" t="s">
        <v>990</v>
      </c>
      <c r="G389" s="225" t="s">
        <v>172</v>
      </c>
      <c r="H389" s="318">
        <f>Trullaita6npts</f>
        <v>0</v>
      </c>
      <c r="I389" s="536">
        <f>trullaitaintpts</f>
        <v>0</v>
      </c>
      <c r="J389" s="102">
        <f>SUM(H389:I389)</f>
        <v>0</v>
      </c>
    </row>
    <row r="390" spans="1:10" ht="14.95" thickBot="1" x14ac:dyDescent="0.3">
      <c r="A390" s="26" t="s">
        <v>983</v>
      </c>
      <c r="B390" s="25" t="s">
        <v>182</v>
      </c>
      <c r="C390" s="316"/>
      <c r="D390" s="534">
        <f>tuilagifrainttries</f>
        <v>0</v>
      </c>
      <c r="E390" s="109">
        <f>SUM(C390:D390)</f>
        <v>0</v>
      </c>
      <c r="F390" s="113" t="s">
        <v>983</v>
      </c>
      <c r="G390" s="225" t="s">
        <v>182</v>
      </c>
      <c r="H390" s="318"/>
      <c r="I390" s="536">
        <f>tuilagifraintpts</f>
        <v>0</v>
      </c>
      <c r="J390" s="102">
        <f>SUM(H390:I390)</f>
        <v>0</v>
      </c>
    </row>
    <row r="391" spans="1:10" ht="14.95" thickBot="1" x14ac:dyDescent="0.3">
      <c r="A391" s="26" t="s">
        <v>1105</v>
      </c>
      <c r="B391" s="25" t="s">
        <v>166</v>
      </c>
      <c r="C391" s="316" t="s">
        <v>355</v>
      </c>
      <c r="D391" s="534">
        <f>Tuipulotunzlinttries</f>
        <v>0</v>
      </c>
      <c r="E391" s="109">
        <f>SUM(C391:D391)</f>
        <v>0</v>
      </c>
      <c r="F391" s="113" t="s">
        <v>1105</v>
      </c>
      <c r="G391" s="225" t="s">
        <v>166</v>
      </c>
      <c r="H391" s="318" t="s">
        <v>355</v>
      </c>
      <c r="I391" s="536">
        <f>Tuipulotunzlintpts</f>
        <v>0</v>
      </c>
      <c r="J391" s="102">
        <f>SUM(H391:I391)</f>
        <v>0</v>
      </c>
    </row>
    <row r="392" spans="1:10" ht="14.95" customHeight="1" thickBot="1" x14ac:dyDescent="0.3">
      <c r="A392" s="26" t="s">
        <v>574</v>
      </c>
      <c r="B392" s="25" t="s">
        <v>169</v>
      </c>
      <c r="C392" s="316" t="s">
        <v>20</v>
      </c>
      <c r="D392" s="534">
        <f>tuipulotuscointtries</f>
        <v>0</v>
      </c>
      <c r="E392" s="109">
        <f>SUM(C392:D392)</f>
        <v>0</v>
      </c>
      <c r="F392" s="113" t="s">
        <v>574</v>
      </c>
      <c r="G392" s="225" t="s">
        <v>169</v>
      </c>
      <c r="H392" s="318" t="s">
        <v>20</v>
      </c>
      <c r="I392" s="536">
        <f>tuipulotuscointpts</f>
        <v>0</v>
      </c>
      <c r="J392" s="102">
        <f>SUM(H392:I392)</f>
        <v>0</v>
      </c>
    </row>
    <row r="393" spans="1:10" ht="14.95" thickBot="1" x14ac:dyDescent="0.3">
      <c r="A393" s="112" t="s">
        <v>1357</v>
      </c>
      <c r="B393" s="25" t="s">
        <v>166</v>
      </c>
      <c r="C393" s="317" t="s">
        <v>355</v>
      </c>
      <c r="D393" s="535">
        <f>Tupaeanzlinttriescorrect</f>
        <v>0</v>
      </c>
      <c r="E393" s="109">
        <f>SUM(C393:D393)</f>
        <v>0</v>
      </c>
      <c r="F393" s="113" t="s">
        <v>1357</v>
      </c>
      <c r="G393" s="225" t="s">
        <v>166</v>
      </c>
      <c r="H393" s="318" t="s">
        <v>355</v>
      </c>
      <c r="I393" s="536">
        <f>Tupaeaintptscorrect</f>
        <v>0</v>
      </c>
      <c r="J393" s="102">
        <f>SUM(H393:I393)</f>
        <v>0</v>
      </c>
    </row>
    <row r="394" spans="1:10" ht="14.95" thickBot="1" x14ac:dyDescent="0.3">
      <c r="A394" s="112" t="s">
        <v>266</v>
      </c>
      <c r="B394" s="25" t="s">
        <v>165</v>
      </c>
      <c r="C394" s="317" t="s">
        <v>355</v>
      </c>
      <c r="D394" s="535">
        <f>tupouausinttries</f>
        <v>0</v>
      </c>
      <c r="E394" s="109">
        <f>SUM(C394:D394)</f>
        <v>0</v>
      </c>
      <c r="F394" s="113" t="s">
        <v>266</v>
      </c>
      <c r="G394" s="225" t="s">
        <v>165</v>
      </c>
      <c r="H394" s="318" t="s">
        <v>355</v>
      </c>
      <c r="I394" s="536">
        <f>tupouausintpts</f>
        <v>0</v>
      </c>
      <c r="J394" s="102">
        <f>SUM(H394:I394)</f>
        <v>0</v>
      </c>
    </row>
    <row r="395" spans="1:10" ht="14.95" thickBot="1" x14ac:dyDescent="0.3">
      <c r="A395" s="112" t="s">
        <v>429</v>
      </c>
      <c r="B395" s="112" t="s">
        <v>166</v>
      </c>
      <c r="C395" s="317" t="s">
        <v>355</v>
      </c>
      <c r="D395" s="535">
        <f>Vaa_Inzlinttries</f>
        <v>0</v>
      </c>
      <c r="E395" s="109">
        <f>SUM(C395:D395)</f>
        <v>0</v>
      </c>
      <c r="F395" s="113" t="s">
        <v>429</v>
      </c>
      <c r="G395" s="225" t="s">
        <v>166</v>
      </c>
      <c r="H395" s="318" t="s">
        <v>355</v>
      </c>
      <c r="I395" s="536">
        <f>Vaa_Inzlintpts</f>
        <v>0</v>
      </c>
      <c r="J395" s="102">
        <f>SUM(H395:I395)</f>
        <v>0</v>
      </c>
    </row>
    <row r="396" spans="1:10" ht="14.95" thickBot="1" x14ac:dyDescent="0.3">
      <c r="A396" s="112" t="s">
        <v>535</v>
      </c>
      <c r="B396" s="25" t="s">
        <v>165</v>
      </c>
      <c r="C396" s="317" t="s">
        <v>355</v>
      </c>
      <c r="D396" s="535">
        <f>valetiniausinttries</f>
        <v>0</v>
      </c>
      <c r="E396" s="109">
        <f>SUM(C396:D396)</f>
        <v>0</v>
      </c>
      <c r="F396" s="113" t="s">
        <v>535</v>
      </c>
      <c r="G396" s="225" t="s">
        <v>165</v>
      </c>
      <c r="H396" s="318" t="s">
        <v>355</v>
      </c>
      <c r="I396" s="536">
        <f>valetiniausintpts</f>
        <v>0</v>
      </c>
      <c r="J396" s="102">
        <f>SUM(H396:I396)</f>
        <v>0</v>
      </c>
    </row>
    <row r="397" spans="1:10" ht="14.95" thickBot="1" x14ac:dyDescent="0.3">
      <c r="A397" s="112" t="s">
        <v>1106</v>
      </c>
      <c r="B397" s="25" t="s">
        <v>169</v>
      </c>
      <c r="C397" s="317">
        <f>van_der_Merwesco6ntries</f>
        <v>0</v>
      </c>
      <c r="D397" s="535">
        <f>vandermerwescointtries</f>
        <v>0</v>
      </c>
      <c r="E397" s="109">
        <f>SUM(C397:D397)</f>
        <v>0</v>
      </c>
      <c r="F397" s="113" t="s">
        <v>1106</v>
      </c>
      <c r="G397" s="225" t="s">
        <v>169</v>
      </c>
      <c r="H397" s="318">
        <f>van_der_Merwe6nscopts</f>
        <v>0</v>
      </c>
      <c r="I397" s="536">
        <f>vandermerwescointpts</f>
        <v>0</v>
      </c>
      <c r="J397" s="102">
        <f>SUM(H397:I397)</f>
        <v>0</v>
      </c>
    </row>
    <row r="398" spans="1:10" ht="14.95" thickBot="1" x14ac:dyDescent="0.3">
      <c r="A398" s="112" t="s">
        <v>1239</v>
      </c>
      <c r="B398" s="25" t="s">
        <v>170</v>
      </c>
      <c r="C398" s="317" t="s">
        <v>355</v>
      </c>
      <c r="D398" s="535">
        <f>van_den_Bergrsainttries</f>
        <v>0</v>
      </c>
      <c r="E398" s="109">
        <f>SUM(C398:D398)</f>
        <v>0</v>
      </c>
      <c r="F398" s="113" t="s">
        <v>1239</v>
      </c>
      <c r="G398" s="225" t="s">
        <v>170</v>
      </c>
      <c r="H398" s="318" t="s">
        <v>355</v>
      </c>
      <c r="I398" s="536">
        <f>van_den_Bergrsaintpts</f>
        <v>0</v>
      </c>
      <c r="J398" s="102">
        <f>SUM(H398:I398)</f>
        <v>0</v>
      </c>
    </row>
    <row r="399" spans="1:10" ht="14.95" thickBot="1" x14ac:dyDescent="0.3">
      <c r="A399" s="112" t="s">
        <v>279</v>
      </c>
      <c r="B399" s="25" t="s">
        <v>167</v>
      </c>
      <c r="C399" s="317">
        <f>van_der_Flierire6ntries</f>
        <v>0</v>
      </c>
      <c r="D399" s="535">
        <f>VANDERFLIERIREINTTRIES</f>
        <v>0</v>
      </c>
      <c r="E399" s="109">
        <f>SUM(C399:D399)</f>
        <v>0</v>
      </c>
      <c r="F399" s="114" t="s">
        <v>279</v>
      </c>
      <c r="G399" s="114" t="s">
        <v>167</v>
      </c>
      <c r="H399" s="319">
        <f>van_der_Flierire6npts</f>
        <v>0</v>
      </c>
      <c r="I399" s="536">
        <f>VANDERFLIERIREINTPTS</f>
        <v>0</v>
      </c>
      <c r="J399" s="117">
        <f>SUM(H399:I399)</f>
        <v>0</v>
      </c>
    </row>
    <row r="400" spans="1:10" ht="14.95" thickBot="1" x14ac:dyDescent="0.3">
      <c r="A400" s="112" t="s">
        <v>944</v>
      </c>
      <c r="B400" s="25" t="s">
        <v>170</v>
      </c>
      <c r="C400" s="317" t="s">
        <v>355</v>
      </c>
      <c r="D400" s="535">
        <f>van_der_Merwersainttries</f>
        <v>0</v>
      </c>
      <c r="E400" s="109">
        <f>SUM(C400:D400)</f>
        <v>0</v>
      </c>
      <c r="F400" s="113" t="s">
        <v>944</v>
      </c>
      <c r="G400" s="225" t="s">
        <v>170</v>
      </c>
      <c r="H400" s="318" t="s">
        <v>355</v>
      </c>
      <c r="I400" s="536">
        <f>van_der_Merwersaintpts</f>
        <v>0</v>
      </c>
      <c r="J400" s="102">
        <f>SUM(H400:I400)</f>
        <v>0</v>
      </c>
    </row>
    <row r="401" spans="1:10" ht="14.95" thickBot="1" x14ac:dyDescent="0.3">
      <c r="A401" s="112" t="s">
        <v>1302</v>
      </c>
      <c r="B401" s="25" t="s">
        <v>170</v>
      </c>
      <c r="C401" s="317" t="s">
        <v>355</v>
      </c>
      <c r="D401" s="535">
        <f>van_der_Merwe_Mrsainttries</f>
        <v>0</v>
      </c>
      <c r="E401" s="109">
        <f>SUM(C401:D401)</f>
        <v>0</v>
      </c>
      <c r="F401" s="113" t="s">
        <v>1302</v>
      </c>
      <c r="G401" s="225" t="s">
        <v>170</v>
      </c>
      <c r="H401" s="318" t="s">
        <v>355</v>
      </c>
      <c r="I401" s="536">
        <f>van_der_Merwe_Mrsaintpts</f>
        <v>0</v>
      </c>
      <c r="J401" s="102">
        <f>SUM(H401:I401)</f>
        <v>0</v>
      </c>
    </row>
    <row r="402" spans="1:10" ht="14.95" thickBot="1" x14ac:dyDescent="0.3">
      <c r="A402" s="112" t="s">
        <v>1275</v>
      </c>
      <c r="B402" s="25" t="s">
        <v>168</v>
      </c>
      <c r="C402" s="317"/>
      <c r="D402" s="535">
        <f>van_Poortvlietenginttries</f>
        <v>0</v>
      </c>
      <c r="E402" s="109">
        <f>SUM(C402:D402)</f>
        <v>0</v>
      </c>
      <c r="F402" s="113" t="s">
        <v>1275</v>
      </c>
      <c r="G402" s="225" t="s">
        <v>168</v>
      </c>
      <c r="H402" s="318"/>
      <c r="I402" s="536">
        <f>van_Poortvlietengintpts</f>
        <v>0</v>
      </c>
      <c r="J402" s="102">
        <f>SUM(H402:I402)</f>
        <v>0</v>
      </c>
    </row>
    <row r="403" spans="1:10" ht="14.95" thickBot="1" x14ac:dyDescent="0.3">
      <c r="A403" s="112" t="s">
        <v>707</v>
      </c>
      <c r="B403" s="25" t="s">
        <v>170</v>
      </c>
      <c r="C403" s="317" t="s">
        <v>355</v>
      </c>
      <c r="D403" s="535">
        <f>van_Stadenrsainttries</f>
        <v>0</v>
      </c>
      <c r="E403" s="109">
        <f>SUM(C403:D403)</f>
        <v>0</v>
      </c>
      <c r="F403" s="113" t="s">
        <v>707</v>
      </c>
      <c r="G403" s="225" t="s">
        <v>170</v>
      </c>
      <c r="H403" s="318" t="s">
        <v>355</v>
      </c>
      <c r="I403" s="536">
        <f>van_Stadenrsaintpts</f>
        <v>0</v>
      </c>
      <c r="J403" s="102">
        <f>SUM(H403:I403)</f>
        <v>0</v>
      </c>
    </row>
    <row r="404" spans="1:10" ht="14.95" thickBot="1" x14ac:dyDescent="0.3">
      <c r="A404" s="112" t="s">
        <v>455</v>
      </c>
      <c r="B404" s="25" t="s">
        <v>172</v>
      </c>
      <c r="C404" s="317">
        <f>Varneyita6ntries</f>
        <v>0</v>
      </c>
      <c r="D404" s="535">
        <f>VARNEYITAINTTRIES</f>
        <v>0</v>
      </c>
      <c r="E404" s="109">
        <f>SUM(C404:D404)</f>
        <v>0</v>
      </c>
      <c r="F404" s="113" t="s">
        <v>455</v>
      </c>
      <c r="G404" s="225" t="s">
        <v>172</v>
      </c>
      <c r="H404" s="318">
        <f>Varneyita6npts</f>
        <v>0</v>
      </c>
      <c r="I404" s="536">
        <f>VARNEYITAINTPTS</f>
        <v>0</v>
      </c>
      <c r="J404" s="102">
        <f>SUM(H404:I404)</f>
        <v>0</v>
      </c>
    </row>
    <row r="405" spans="1:10" ht="14.95" thickBot="1" x14ac:dyDescent="0.3">
      <c r="A405" s="112" t="s">
        <v>1024</v>
      </c>
      <c r="B405" s="25" t="s">
        <v>170</v>
      </c>
      <c r="C405" s="317" t="s">
        <v>355</v>
      </c>
      <c r="D405" s="535">
        <f>Venterrsainttries</f>
        <v>0</v>
      </c>
      <c r="E405" s="109">
        <f>SUM(C405:D405)</f>
        <v>0</v>
      </c>
      <c r="F405" s="113" t="s">
        <v>1024</v>
      </c>
      <c r="G405" s="225" t="s">
        <v>170</v>
      </c>
      <c r="H405" s="318" t="s">
        <v>355</v>
      </c>
      <c r="I405" s="536">
        <f>Venterrsaintpts</f>
        <v>0</v>
      </c>
      <c r="J405" s="102">
        <f>SUM(H405:I405)</f>
        <v>0</v>
      </c>
    </row>
    <row r="406" spans="1:10" ht="14.95" thickBot="1" x14ac:dyDescent="0.3">
      <c r="A406" s="112" t="s">
        <v>1301</v>
      </c>
      <c r="B406" s="25" t="s">
        <v>170</v>
      </c>
      <c r="C406" s="317" t="s">
        <v>355</v>
      </c>
      <c r="D406" s="535">
        <f>Venter_Brsainttries</f>
        <v>0</v>
      </c>
      <c r="E406" s="109">
        <f>SUM(C406:D406)</f>
        <v>0</v>
      </c>
      <c r="F406" s="113" t="s">
        <v>1301</v>
      </c>
      <c r="G406" s="225" t="s">
        <v>170</v>
      </c>
      <c r="H406" s="318" t="s">
        <v>355</v>
      </c>
      <c r="I406" s="536">
        <f>Venter_Brsaintpts</f>
        <v>0</v>
      </c>
      <c r="J406" s="102">
        <f>SUM(H406:I406)</f>
        <v>0</v>
      </c>
    </row>
    <row r="407" spans="1:10" ht="14.95" thickBot="1" x14ac:dyDescent="0.3">
      <c r="A407" s="112" t="s">
        <v>375</v>
      </c>
      <c r="B407" s="25" t="s">
        <v>182</v>
      </c>
      <c r="C407" s="317">
        <f>Villierefra6ntries</f>
        <v>0</v>
      </c>
      <c r="D407" s="535">
        <f>villierefrainttries</f>
        <v>0</v>
      </c>
      <c r="E407" s="109">
        <f>SUM(C407:D407)</f>
        <v>0</v>
      </c>
      <c r="F407" s="113" t="s">
        <v>375</v>
      </c>
      <c r="G407" s="225" t="s">
        <v>182</v>
      </c>
      <c r="H407" s="318">
        <f>Villierefra6npts</f>
        <v>0</v>
      </c>
      <c r="I407" s="536">
        <f>villierefraintpts</f>
        <v>0</v>
      </c>
      <c r="J407" s="102">
        <f>SUM(H407:I407)</f>
        <v>0</v>
      </c>
    </row>
    <row r="408" spans="1:10" ht="14.95" thickBot="1" x14ac:dyDescent="0.3">
      <c r="A408" s="112" t="s">
        <v>379</v>
      </c>
      <c r="B408" s="25" t="s">
        <v>182</v>
      </c>
      <c r="C408" s="317"/>
      <c r="D408" s="535"/>
      <c r="E408" s="109">
        <f>SUM(C408:D408)</f>
        <v>0</v>
      </c>
      <c r="F408" s="113" t="s">
        <v>379</v>
      </c>
      <c r="G408" s="225" t="s">
        <v>182</v>
      </c>
      <c r="H408" s="318"/>
      <c r="I408" s="536"/>
      <c r="J408" s="102">
        <f>SUM(H408:I408)</f>
        <v>0</v>
      </c>
    </row>
    <row r="409" spans="1:10" ht="14.95" thickBot="1" x14ac:dyDescent="0.3">
      <c r="A409" s="112" t="s">
        <v>1046</v>
      </c>
      <c r="B409" s="25" t="s">
        <v>172</v>
      </c>
      <c r="C409" s="317">
        <f>Vintcentita6ntries</f>
        <v>0</v>
      </c>
      <c r="D409" s="535">
        <f>vintcentitainttries</f>
        <v>0</v>
      </c>
      <c r="E409" s="109">
        <f>SUM(C409:D409)</f>
        <v>0</v>
      </c>
      <c r="F409" s="113" t="s">
        <v>1046</v>
      </c>
      <c r="G409" s="225" t="s">
        <v>172</v>
      </c>
      <c r="H409" s="318">
        <f>Vintcentita6npts</f>
        <v>0</v>
      </c>
      <c r="I409" s="536">
        <f>vintcentitaintpts</f>
        <v>0</v>
      </c>
      <c r="J409" s="102">
        <f>SUM(H409:I409)</f>
        <v>0</v>
      </c>
    </row>
    <row r="410" spans="1:10" ht="14.95" thickBot="1" x14ac:dyDescent="0.3">
      <c r="A410" s="112" t="s">
        <v>343</v>
      </c>
      <c r="B410" s="25" t="s">
        <v>173</v>
      </c>
      <c r="C410" s="317">
        <f>wainwrightwal6ntries</f>
        <v>0</v>
      </c>
      <c r="D410" s="535">
        <f>wainwrightwalinttries</f>
        <v>0</v>
      </c>
      <c r="E410" s="109">
        <f>SUM(C410:D410)</f>
        <v>0</v>
      </c>
      <c r="F410" s="113" t="s">
        <v>343</v>
      </c>
      <c r="G410" s="225" t="s">
        <v>173</v>
      </c>
      <c r="H410" s="318">
        <f>wainwrightwal6npts</f>
        <v>0</v>
      </c>
      <c r="I410" s="536">
        <f>wainwrightwalintpts</f>
        <v>0</v>
      </c>
      <c r="J410" s="102">
        <f>SUM(H410:I410)</f>
        <v>0</v>
      </c>
    </row>
    <row r="411" spans="1:10" ht="14.95" thickBot="1" x14ac:dyDescent="0.3">
      <c r="A411" s="112" t="s">
        <v>959</v>
      </c>
      <c r="B411" s="25" t="s">
        <v>169</v>
      </c>
      <c r="C411" s="317"/>
      <c r="D411" s="535">
        <f>warrscointtries</f>
        <v>0</v>
      </c>
      <c r="E411" s="109">
        <f>SUM(C411:D411)</f>
        <v>0</v>
      </c>
      <c r="F411" s="113" t="s">
        <v>959</v>
      </c>
      <c r="G411" s="225" t="s">
        <v>169</v>
      </c>
      <c r="H411" s="318"/>
      <c r="I411" s="536">
        <f>warrscointpts</f>
        <v>0</v>
      </c>
      <c r="J411" s="102">
        <f>SUM(H411:I411)</f>
        <v>0</v>
      </c>
    </row>
    <row r="412" spans="1:10" ht="14.95" thickBot="1" x14ac:dyDescent="0.3">
      <c r="A412" s="112" t="s">
        <v>288</v>
      </c>
      <c r="B412" s="25" t="s">
        <v>173</v>
      </c>
      <c r="C412" s="317">
        <f>Watkinwal6ntries</f>
        <v>0</v>
      </c>
      <c r="D412" s="535"/>
      <c r="E412" s="109">
        <f>SUM(C412:D412)</f>
        <v>0</v>
      </c>
      <c r="F412" s="113" t="s">
        <v>288</v>
      </c>
      <c r="G412" s="225" t="s">
        <v>173</v>
      </c>
      <c r="H412" s="318">
        <f>Watkinwal6npts</f>
        <v>0</v>
      </c>
      <c r="I412" s="536"/>
      <c r="J412" s="102">
        <f>SUM(H412:I412)</f>
        <v>0</v>
      </c>
    </row>
    <row r="413" spans="1:10" ht="14.95" thickBot="1" x14ac:dyDescent="0.3">
      <c r="A413" s="112" t="s">
        <v>186</v>
      </c>
      <c r="B413" s="25" t="s">
        <v>169</v>
      </c>
      <c r="C413" s="317"/>
      <c r="D413" s="535">
        <f>watsonscointtries</f>
        <v>0</v>
      </c>
      <c r="E413" s="109">
        <f>SUM(C413:D413)</f>
        <v>0</v>
      </c>
      <c r="F413" s="113" t="s">
        <v>186</v>
      </c>
      <c r="G413" s="225" t="s">
        <v>169</v>
      </c>
      <c r="H413" s="318"/>
      <c r="I413" s="536">
        <f>watsonscointpts</f>
        <v>0</v>
      </c>
      <c r="J413" s="102">
        <f>SUM(H413:I413)</f>
        <v>0</v>
      </c>
    </row>
    <row r="414" spans="1:10" ht="14.95" thickBot="1" x14ac:dyDescent="0.3">
      <c r="A414" s="112" t="s">
        <v>1027</v>
      </c>
      <c r="B414" s="25" t="s">
        <v>170</v>
      </c>
      <c r="C414" s="317" t="s">
        <v>355</v>
      </c>
      <c r="D414" s="535">
        <f>Wesselsrsainttries</f>
        <v>0</v>
      </c>
      <c r="E414" s="109">
        <f>SUM(C414:D414)</f>
        <v>0</v>
      </c>
      <c r="F414" s="113" t="s">
        <v>1027</v>
      </c>
      <c r="G414" s="225" t="s">
        <v>170</v>
      </c>
      <c r="H414" s="318" t="s">
        <v>355</v>
      </c>
      <c r="I414" s="536">
        <f>Wesselsrsaintpts</f>
        <v>0</v>
      </c>
      <c r="J414" s="102">
        <f>SUM(H414:I414)</f>
        <v>0</v>
      </c>
    </row>
    <row r="415" spans="1:10" ht="14.95" thickBot="1" x14ac:dyDescent="0.3">
      <c r="A415" s="112" t="s">
        <v>1355</v>
      </c>
      <c r="B415" s="25" t="s">
        <v>165</v>
      </c>
      <c r="C415" s="317" t="s">
        <v>355</v>
      </c>
      <c r="D415" s="535"/>
      <c r="E415" s="109">
        <f>SUM(C415:D415)</f>
        <v>0</v>
      </c>
      <c r="F415" s="113" t="s">
        <v>1355</v>
      </c>
      <c r="G415" s="225" t="s">
        <v>165</v>
      </c>
      <c r="H415" s="318" t="s">
        <v>355</v>
      </c>
      <c r="I415" s="536"/>
      <c r="J415" s="102">
        <f>SUM(H415:I415)</f>
        <v>0</v>
      </c>
    </row>
    <row r="416" spans="1:10" ht="14.95" thickBot="1" x14ac:dyDescent="0.3">
      <c r="A416" s="112" t="s">
        <v>537</v>
      </c>
      <c r="B416" s="25" t="s">
        <v>170</v>
      </c>
      <c r="C416" s="317" t="s">
        <v>355</v>
      </c>
      <c r="D416" s="535"/>
      <c r="E416" s="109">
        <f>SUM(C416:D416)</f>
        <v>0</v>
      </c>
      <c r="F416" s="113" t="s">
        <v>537</v>
      </c>
      <c r="G416" s="225" t="s">
        <v>170</v>
      </c>
      <c r="H416" s="318" t="s">
        <v>355</v>
      </c>
      <c r="I416" s="536"/>
      <c r="J416" s="102">
        <f>SUM(H416:I416)</f>
        <v>0</v>
      </c>
    </row>
    <row r="417" spans="1:10" ht="14.95" thickBot="1" x14ac:dyDescent="0.3">
      <c r="A417" s="112" t="s">
        <v>512</v>
      </c>
      <c r="B417" s="25" t="s">
        <v>170</v>
      </c>
      <c r="C417" s="317" t="s">
        <v>355</v>
      </c>
      <c r="D417" s="535">
        <f>Willemsersainttries</f>
        <v>0</v>
      </c>
      <c r="E417" s="109">
        <f>SUM(C417:D417)</f>
        <v>0</v>
      </c>
      <c r="F417" s="113" t="s">
        <v>512</v>
      </c>
      <c r="G417" s="225" t="s">
        <v>170</v>
      </c>
      <c r="H417" s="318" t="s">
        <v>355</v>
      </c>
      <c r="I417" s="536">
        <f>Willemsersaintptscorrect</f>
        <v>0</v>
      </c>
      <c r="J417" s="102">
        <f>SUM(H417:I417)</f>
        <v>0</v>
      </c>
    </row>
    <row r="418" spans="1:10" ht="14.95" thickBot="1" x14ac:dyDescent="0.3">
      <c r="A418" s="26" t="s">
        <v>349</v>
      </c>
      <c r="B418" s="25" t="s">
        <v>182</v>
      </c>
      <c r="C418" s="316">
        <f>Willemsefra6ntries</f>
        <v>0</v>
      </c>
      <c r="D418" s="535"/>
      <c r="E418" s="109">
        <f>SUM(C418:D418)</f>
        <v>0</v>
      </c>
      <c r="F418" s="113" t="s">
        <v>349</v>
      </c>
      <c r="G418" s="225" t="s">
        <v>182</v>
      </c>
      <c r="H418" s="318">
        <f>Willemsefra6npts</f>
        <v>0</v>
      </c>
      <c r="I418" s="536"/>
      <c r="J418" s="102">
        <f>SUM(H418:I418)</f>
        <v>0</v>
      </c>
    </row>
    <row r="419" spans="1:10" ht="14.95" thickBot="1" x14ac:dyDescent="0.3">
      <c r="A419" s="26" t="s">
        <v>708</v>
      </c>
      <c r="B419" s="25" t="s">
        <v>170</v>
      </c>
      <c r="C419" s="316" t="s">
        <v>355</v>
      </c>
      <c r="D419" s="535">
        <f>Williamsrsainttries</f>
        <v>0</v>
      </c>
      <c r="E419" s="109">
        <f>SUM(C419:D419)</f>
        <v>0</v>
      </c>
      <c r="F419" s="113" t="s">
        <v>708</v>
      </c>
      <c r="G419" s="225" t="s">
        <v>170</v>
      </c>
      <c r="H419" s="318" t="s">
        <v>355</v>
      </c>
      <c r="I419" s="536">
        <f>Williamsrsaintpts</f>
        <v>0</v>
      </c>
      <c r="J419" s="102">
        <f>SUM(H419:I419)</f>
        <v>0</v>
      </c>
    </row>
    <row r="420" spans="1:10" ht="14.95" thickBot="1" x14ac:dyDescent="0.3">
      <c r="A420" s="26" t="s">
        <v>796</v>
      </c>
      <c r="B420" s="25" t="s">
        <v>165</v>
      </c>
      <c r="C420" s="316" t="s">
        <v>355</v>
      </c>
      <c r="D420" s="535">
        <f>vunivaluausinttries</f>
        <v>0</v>
      </c>
      <c r="E420" s="109">
        <f>SUM(C420:D420)</f>
        <v>0</v>
      </c>
      <c r="F420" s="113" t="s">
        <v>796</v>
      </c>
      <c r="G420" s="225" t="s">
        <v>165</v>
      </c>
      <c r="H420" s="318" t="s">
        <v>355</v>
      </c>
      <c r="I420" s="536">
        <f>vunivaluausintpts</f>
        <v>0</v>
      </c>
      <c r="J420" s="102">
        <f>SUM(H420:I420)</f>
        <v>0</v>
      </c>
    </row>
    <row r="421" spans="1:10" ht="14.95" thickBot="1" x14ac:dyDescent="0.3">
      <c r="A421" s="26" t="s">
        <v>565</v>
      </c>
      <c r="B421" s="25" t="s">
        <v>173</v>
      </c>
      <c r="C421" s="316">
        <f>Williams_Lwal6Ntries</f>
        <v>0</v>
      </c>
      <c r="D421" s="535">
        <f>williamslwalinttries</f>
        <v>0</v>
      </c>
      <c r="E421" s="109">
        <f>SUM(C421:D421)</f>
        <v>0</v>
      </c>
      <c r="F421" s="113" t="s">
        <v>565</v>
      </c>
      <c r="G421" s="225" t="s">
        <v>173</v>
      </c>
      <c r="H421" s="318">
        <f>Williams_Lwal6npts</f>
        <v>0</v>
      </c>
      <c r="I421" s="536">
        <f>williamslwalintpts</f>
        <v>0</v>
      </c>
      <c r="J421" s="102">
        <f>SUM(H421:I421)</f>
        <v>0</v>
      </c>
    </row>
    <row r="422" spans="1:10" ht="14.95" thickBot="1" x14ac:dyDescent="0.3">
      <c r="A422" s="26" t="s">
        <v>617</v>
      </c>
      <c r="B422" s="25" t="s">
        <v>173</v>
      </c>
      <c r="C422" s="316">
        <f>Williams_Owal6ntries</f>
        <v>0</v>
      </c>
      <c r="D422" s="535">
        <f>williamsowalinttries</f>
        <v>0</v>
      </c>
      <c r="E422" s="109">
        <f>SUM(C422:D422)</f>
        <v>0</v>
      </c>
      <c r="F422" s="113" t="s">
        <v>617</v>
      </c>
      <c r="G422" s="225" t="s">
        <v>173</v>
      </c>
      <c r="H422" s="318">
        <f>Williams_Owal6npts</f>
        <v>0</v>
      </c>
      <c r="I422" s="536">
        <f>williamsowalintpts</f>
        <v>0</v>
      </c>
      <c r="J422" s="102">
        <f>SUM(H422:I422)</f>
        <v>0</v>
      </c>
    </row>
    <row r="423" spans="1:10" ht="14.95" thickBot="1" x14ac:dyDescent="0.3">
      <c r="A423" s="26" t="s">
        <v>564</v>
      </c>
      <c r="B423" s="25" t="s">
        <v>173</v>
      </c>
      <c r="C423" s="316">
        <f>Williams_Twal6ntries</f>
        <v>0</v>
      </c>
      <c r="D423" s="535">
        <f>williamstwalinttries</f>
        <v>0</v>
      </c>
      <c r="E423" s="109">
        <f>SUM(C423:D423)</f>
        <v>0</v>
      </c>
      <c r="F423" s="113" t="s">
        <v>564</v>
      </c>
      <c r="G423" s="225" t="s">
        <v>173</v>
      </c>
      <c r="H423" s="318">
        <f>williamstwal6npts</f>
        <v>0</v>
      </c>
      <c r="I423" s="536">
        <f>williamstwalintpts</f>
        <v>0</v>
      </c>
      <c r="J423" s="102">
        <f>SUM(H423:I423)</f>
        <v>0</v>
      </c>
    </row>
    <row r="424" spans="1:10" ht="14.95" thickBot="1" x14ac:dyDescent="0.3">
      <c r="A424" s="26" t="s">
        <v>564</v>
      </c>
      <c r="B424" s="25" t="s">
        <v>166</v>
      </c>
      <c r="C424" s="316" t="s">
        <v>355</v>
      </c>
      <c r="D424" s="535">
        <f>Williamstnzlinttries</f>
        <v>0</v>
      </c>
      <c r="E424" s="109">
        <f>SUM(C424:D424)</f>
        <v>0</v>
      </c>
      <c r="F424" s="113" t="s">
        <v>564</v>
      </c>
      <c r="G424" s="225" t="s">
        <v>166</v>
      </c>
      <c r="H424" s="318" t="s">
        <v>355</v>
      </c>
      <c r="I424" s="536">
        <f>Williamstnzlintpts</f>
        <v>0</v>
      </c>
      <c r="J424" s="102">
        <f>SUM(H424:I424)</f>
        <v>0</v>
      </c>
    </row>
    <row r="425" spans="1:10" ht="14.95" thickBot="1" x14ac:dyDescent="0.3">
      <c r="A425" s="26" t="s">
        <v>1435</v>
      </c>
      <c r="B425" s="25" t="s">
        <v>169</v>
      </c>
      <c r="C425" s="316">
        <f>Williamsonsco6ntries</f>
        <v>0</v>
      </c>
      <c r="D425" s="535">
        <f>Williamsonscointtries</f>
        <v>0</v>
      </c>
      <c r="E425" s="109">
        <f>SUM(C425:D425)</f>
        <v>0</v>
      </c>
      <c r="F425" s="113" t="s">
        <v>1435</v>
      </c>
      <c r="G425" s="225" t="s">
        <v>169</v>
      </c>
      <c r="H425" s="318">
        <f>Williamsonsco6npts</f>
        <v>0</v>
      </c>
      <c r="I425" s="536">
        <f>Williamsonscointpts</f>
        <v>0</v>
      </c>
      <c r="J425" s="102">
        <f>SUM(H425:I425)</f>
        <v>0</v>
      </c>
    </row>
    <row r="426" spans="1:10" ht="14.95" thickBot="1" x14ac:dyDescent="0.3">
      <c r="A426" s="26" t="s">
        <v>1110</v>
      </c>
      <c r="B426" s="25" t="s">
        <v>165</v>
      </c>
      <c r="C426" s="316" t="s">
        <v>355</v>
      </c>
      <c r="D426" s="535">
        <f>wilsonausinttries</f>
        <v>0</v>
      </c>
      <c r="E426" s="109">
        <f>SUM(C426:D426)</f>
        <v>0</v>
      </c>
      <c r="F426" s="114" t="s">
        <v>1110</v>
      </c>
      <c r="G426" s="225" t="s">
        <v>165</v>
      </c>
      <c r="H426" s="319" t="s">
        <v>355</v>
      </c>
      <c r="I426" s="536">
        <f>wilsonausintpts</f>
        <v>0</v>
      </c>
      <c r="J426" s="102">
        <f>SUM(H426:I426)</f>
        <v>0</v>
      </c>
    </row>
    <row r="427" spans="1:10" ht="14.95" thickBot="1" x14ac:dyDescent="0.3">
      <c r="A427" s="26" t="s">
        <v>410</v>
      </c>
      <c r="B427" s="25" t="s">
        <v>182</v>
      </c>
      <c r="C427" s="316"/>
      <c r="D427" s="535">
        <f>wokifrainttries</f>
        <v>0</v>
      </c>
      <c r="E427" s="109">
        <f>SUM(C427:D427)</f>
        <v>0</v>
      </c>
      <c r="F427" s="113" t="s">
        <v>410</v>
      </c>
      <c r="G427" s="225" t="s">
        <v>182</v>
      </c>
      <c r="H427" s="318"/>
      <c r="I427" s="536">
        <f>wokifraintpts</f>
        <v>0</v>
      </c>
      <c r="J427" s="102">
        <f>SUM(H427:I427)</f>
        <v>0</v>
      </c>
    </row>
    <row r="428" spans="1:10" ht="14.95" thickBot="1" x14ac:dyDescent="0.3">
      <c r="A428" s="26" t="s">
        <v>966</v>
      </c>
      <c r="B428" s="25" t="s">
        <v>165</v>
      </c>
      <c r="C428" s="316" t="s">
        <v>355</v>
      </c>
      <c r="D428" s="535">
        <f>wrightaustries</f>
        <v>0</v>
      </c>
      <c r="E428" s="109">
        <f>SUM(C428:D428)</f>
        <v>0</v>
      </c>
      <c r="F428" s="113" t="s">
        <v>966</v>
      </c>
      <c r="G428" s="225" t="s">
        <v>165</v>
      </c>
      <c r="H428" s="318" t="s">
        <v>355</v>
      </c>
      <c r="I428" s="536">
        <f>wrightauspts</f>
        <v>0</v>
      </c>
      <c r="J428" s="102">
        <f>SUM(H428:I428)</f>
        <v>0</v>
      </c>
    </row>
    <row r="429" spans="1:10" ht="14.95" thickBot="1" x14ac:dyDescent="0.3">
      <c r="A429" s="26" t="s">
        <v>1044</v>
      </c>
      <c r="B429" s="25" t="s">
        <v>172</v>
      </c>
      <c r="C429" s="316"/>
      <c r="D429" s="535">
        <f>zamboninitainttries</f>
        <v>0</v>
      </c>
      <c r="E429" s="109">
        <f>SUM(C429:D429)</f>
        <v>0</v>
      </c>
      <c r="F429" s="113" t="s">
        <v>1044</v>
      </c>
      <c r="G429" s="225" t="s">
        <v>172</v>
      </c>
      <c r="H429" s="318"/>
      <c r="I429" s="536">
        <f>zamboninitaintpts</f>
        <v>0</v>
      </c>
      <c r="J429" s="102">
        <f>SUM(H429:I429)</f>
        <v>0</v>
      </c>
    </row>
    <row r="430" spans="1:10" ht="14.95" thickBot="1" x14ac:dyDescent="0.3">
      <c r="A430" s="26" t="s">
        <v>838</v>
      </c>
      <c r="B430" s="25" t="s">
        <v>172</v>
      </c>
      <c r="C430" s="316"/>
      <c r="D430" s="535">
        <f>zanonitainttries</f>
        <v>0</v>
      </c>
      <c r="E430" s="109">
        <f>SUM(C430:D430)</f>
        <v>0</v>
      </c>
      <c r="F430" s="113" t="s">
        <v>838</v>
      </c>
      <c r="G430" s="225" t="s">
        <v>172</v>
      </c>
      <c r="H430" s="318"/>
      <c r="I430" s="536">
        <f>zanonitaintpts</f>
        <v>0</v>
      </c>
      <c r="J430" s="102">
        <f>SUM(H430:I430)</f>
        <v>0</v>
      </c>
    </row>
    <row r="431" spans="1:10" ht="14.95" thickBot="1" x14ac:dyDescent="0.3">
      <c r="A431" s="108" t="s">
        <v>110</v>
      </c>
      <c r="B431" s="108"/>
      <c r="C431" s="132">
        <f>SUM(C4:C430)</f>
        <v>82</v>
      </c>
      <c r="D431" s="227">
        <f>SUM(D4:D430)</f>
        <v>0</v>
      </c>
      <c r="E431" s="133">
        <f t="shared" ref="E431" si="0">SUM(C431:D431)</f>
        <v>82</v>
      </c>
      <c r="F431" s="108" t="s">
        <v>110</v>
      </c>
      <c r="G431" s="108"/>
      <c r="H431" s="132">
        <f>SUM(H4:H430)</f>
        <v>616</v>
      </c>
      <c r="I431" s="227">
        <f>SUM(I4:I430)</f>
        <v>0</v>
      </c>
      <c r="J431" s="227">
        <f t="shared" ref="J431" si="1">SUM(H431:I431)</f>
        <v>616</v>
      </c>
    </row>
    <row r="432" spans="1:10" ht="16.3" x14ac:dyDescent="0.3">
      <c r="A432" s="487" t="s">
        <v>28</v>
      </c>
    </row>
    <row r="441" spans="1:2" x14ac:dyDescent="0.25">
      <c r="A441" s="99"/>
      <c r="B441" s="99"/>
    </row>
    <row r="447" spans="1:2" x14ac:dyDescent="0.25">
      <c r="A447" s="99"/>
      <c r="B447" s="99"/>
    </row>
    <row r="452" spans="1:2" x14ac:dyDescent="0.25">
      <c r="A452" s="116" t="s">
        <v>20</v>
      </c>
      <c r="B452" s="116"/>
    </row>
    <row r="453" spans="1:2" x14ac:dyDescent="0.25">
      <c r="A453" s="116"/>
      <c r="B453" s="116"/>
    </row>
  </sheetData>
  <sortState xmlns:xlrd2="http://schemas.microsoft.com/office/spreadsheetml/2017/richdata2" ref="K4:O42">
    <sortCondition sortBy="fontColor" ref="N4:N42" dxfId="4"/>
    <sortCondition descending="1" ref="O4:O42"/>
    <sortCondition ref="N4:N42" customList="Largest to Smallest"/>
    <sortCondition ref="K4:K42"/>
  </sortState>
  <pageMargins left="0.7" right="0.7" top="0.75" bottom="0.75" header="0.3" footer="0.3"/>
  <pageSetup paperSize="9" orientation="portrait" horizontalDpi="0" verticalDpi="0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V56"/>
  <sheetViews>
    <sheetView workbookViewId="0">
      <selection activeCell="M53" sqref="M53"/>
    </sheetView>
  </sheetViews>
  <sheetFormatPr defaultRowHeight="14.3" x14ac:dyDescent="0.25"/>
  <cols>
    <col min="1" max="1" width="16.5" customWidth="1"/>
    <col min="2" max="4" width="4.5" customWidth="1"/>
    <col min="5" max="5" width="17.5" bestFit="1" customWidth="1"/>
    <col min="6" max="8" width="4.5" customWidth="1"/>
    <col min="9" max="9" width="16.25" bestFit="1" customWidth="1"/>
    <col min="10" max="24" width="5.5" customWidth="1"/>
    <col min="25" max="45" width="5.625" customWidth="1"/>
  </cols>
  <sheetData>
    <row r="1" spans="1:48" ht="16" customHeight="1" thickBot="1" x14ac:dyDescent="0.35">
      <c r="A1" s="753" t="s">
        <v>1452</v>
      </c>
      <c r="B1" s="754"/>
      <c r="C1" s="754"/>
      <c r="D1" s="754"/>
      <c r="E1" s="754"/>
      <c r="F1" s="754"/>
      <c r="G1" s="754"/>
      <c r="H1" s="755"/>
      <c r="I1" s="762" t="s">
        <v>112</v>
      </c>
      <c r="J1" s="743">
        <v>2026</v>
      </c>
      <c r="K1" s="744"/>
      <c r="L1" s="745"/>
      <c r="M1" s="743" t="s">
        <v>32</v>
      </c>
      <c r="N1" s="744"/>
      <c r="O1" s="745"/>
      <c r="P1" s="749" t="s">
        <v>121</v>
      </c>
      <c r="Q1" s="737">
        <v>2025</v>
      </c>
      <c r="R1" s="738"/>
      <c r="S1" s="739"/>
      <c r="T1" s="737">
        <v>2024</v>
      </c>
      <c r="U1" s="738"/>
      <c r="V1" s="739"/>
      <c r="W1" s="345"/>
      <c r="X1" s="288"/>
      <c r="Y1" s="737">
        <v>2023</v>
      </c>
      <c r="Z1" s="738"/>
      <c r="AA1" s="739"/>
      <c r="AB1" s="737">
        <v>2022</v>
      </c>
      <c r="AC1" s="738"/>
      <c r="AD1" s="739"/>
      <c r="AE1" s="737">
        <v>2021</v>
      </c>
      <c r="AF1" s="738"/>
      <c r="AG1" s="739"/>
      <c r="AH1" s="731">
        <v>2020</v>
      </c>
      <c r="AI1" s="732"/>
      <c r="AJ1" s="733"/>
      <c r="AK1" s="731">
        <v>2019</v>
      </c>
      <c r="AL1" s="732"/>
      <c r="AM1" s="733"/>
      <c r="AN1" s="731">
        <v>2018</v>
      </c>
      <c r="AO1" s="732"/>
      <c r="AP1" s="733"/>
      <c r="AQ1" s="731">
        <v>2017</v>
      </c>
      <c r="AR1" s="732"/>
      <c r="AS1" s="733"/>
      <c r="AT1" s="731">
        <v>2016</v>
      </c>
      <c r="AU1" s="732"/>
      <c r="AV1" s="733"/>
    </row>
    <row r="2" spans="1:48" ht="14.95" customHeight="1" thickBot="1" x14ac:dyDescent="0.3">
      <c r="A2" s="173" t="s">
        <v>0</v>
      </c>
      <c r="B2" s="477" t="s">
        <v>31</v>
      </c>
      <c r="C2" s="445" t="s">
        <v>1354</v>
      </c>
      <c r="D2" s="174" t="s">
        <v>1</v>
      </c>
      <c r="E2" s="491" t="s">
        <v>2</v>
      </c>
      <c r="F2" s="201" t="s">
        <v>31</v>
      </c>
      <c r="G2" s="465" t="s">
        <v>1354</v>
      </c>
      <c r="H2" s="336" t="s">
        <v>1</v>
      </c>
      <c r="I2" s="763"/>
      <c r="J2" s="746"/>
      <c r="K2" s="747"/>
      <c r="L2" s="748"/>
      <c r="M2" s="746"/>
      <c r="N2" s="747"/>
      <c r="O2" s="748"/>
      <c r="P2" s="750"/>
      <c r="Q2" s="740"/>
      <c r="R2" s="741"/>
      <c r="S2" s="742"/>
      <c r="T2" s="740"/>
      <c r="U2" s="741"/>
      <c r="V2" s="742"/>
      <c r="W2" s="344"/>
      <c r="X2" s="288"/>
      <c r="Y2" s="740"/>
      <c r="Z2" s="741"/>
      <c r="AA2" s="742"/>
      <c r="AB2" s="740"/>
      <c r="AC2" s="741"/>
      <c r="AD2" s="742"/>
      <c r="AE2" s="740"/>
      <c r="AF2" s="741"/>
      <c r="AG2" s="742"/>
      <c r="AH2" s="734"/>
      <c r="AI2" s="735"/>
      <c r="AJ2" s="736"/>
      <c r="AK2" s="734"/>
      <c r="AL2" s="735"/>
      <c r="AM2" s="736"/>
      <c r="AN2" s="734"/>
      <c r="AO2" s="735"/>
      <c r="AP2" s="736"/>
      <c r="AQ2" s="734"/>
      <c r="AR2" s="735"/>
      <c r="AS2" s="736"/>
      <c r="AT2" s="734"/>
      <c r="AU2" s="735"/>
      <c r="AV2" s="736"/>
    </row>
    <row r="3" spans="1:48" ht="14.95" customHeight="1" thickBot="1" x14ac:dyDescent="0.3">
      <c r="A3" s="69" t="s">
        <v>1022</v>
      </c>
      <c r="B3" s="478">
        <v>0</v>
      </c>
      <c r="C3" s="446">
        <v>0</v>
      </c>
      <c r="D3" s="70">
        <f t="shared" ref="D3" si="0">SUM(B3:C3)</f>
        <v>0</v>
      </c>
      <c r="E3" s="492" t="s">
        <v>1022</v>
      </c>
      <c r="F3" s="53">
        <v>0</v>
      </c>
      <c r="G3" s="466">
        <v>0</v>
      </c>
      <c r="H3" s="338">
        <f t="shared" ref="H3:H52" si="1">SUM(F3:G3)</f>
        <v>0</v>
      </c>
      <c r="I3" s="115"/>
      <c r="J3" s="53" t="s">
        <v>152</v>
      </c>
      <c r="K3" s="53" t="s">
        <v>12</v>
      </c>
      <c r="L3" s="53" t="s">
        <v>13</v>
      </c>
      <c r="M3" s="181" t="s">
        <v>152</v>
      </c>
      <c r="N3" s="53" t="s">
        <v>12</v>
      </c>
      <c r="O3" s="53" t="s">
        <v>13</v>
      </c>
      <c r="P3" s="1"/>
      <c r="Q3" s="128" t="s">
        <v>152</v>
      </c>
      <c r="R3" s="128" t="s">
        <v>12</v>
      </c>
      <c r="S3" s="128" t="s">
        <v>13</v>
      </c>
      <c r="T3" s="128" t="s">
        <v>152</v>
      </c>
      <c r="U3" s="128" t="s">
        <v>12</v>
      </c>
      <c r="V3" s="128" t="s">
        <v>13</v>
      </c>
      <c r="W3" s="344"/>
      <c r="X3" s="288"/>
      <c r="Y3" s="128" t="s">
        <v>152</v>
      </c>
      <c r="Z3" s="128" t="s">
        <v>12</v>
      </c>
      <c r="AA3" s="128" t="s">
        <v>13</v>
      </c>
      <c r="AB3" s="228" t="s">
        <v>152</v>
      </c>
      <c r="AC3" s="128" t="s">
        <v>12</v>
      </c>
      <c r="AD3" s="128" t="s">
        <v>13</v>
      </c>
      <c r="AE3" s="128" t="s">
        <v>152</v>
      </c>
      <c r="AF3" s="128" t="s">
        <v>12</v>
      </c>
      <c r="AG3" s="128" t="s">
        <v>13</v>
      </c>
      <c r="AH3" s="228" t="s">
        <v>152</v>
      </c>
      <c r="AI3" s="128" t="s">
        <v>12</v>
      </c>
      <c r="AJ3" s="128" t="s">
        <v>13</v>
      </c>
      <c r="AK3" s="228" t="s">
        <v>152</v>
      </c>
      <c r="AL3" s="128" t="s">
        <v>12</v>
      </c>
      <c r="AM3" s="128" t="s">
        <v>13</v>
      </c>
      <c r="AN3" s="228" t="s">
        <v>152</v>
      </c>
      <c r="AO3" s="128" t="s">
        <v>12</v>
      </c>
      <c r="AP3" s="128" t="s">
        <v>13</v>
      </c>
      <c r="AQ3" s="228" t="s">
        <v>152</v>
      </c>
      <c r="AR3" s="128" t="s">
        <v>12</v>
      </c>
      <c r="AS3" s="128" t="s">
        <v>13</v>
      </c>
      <c r="AT3" s="228" t="s">
        <v>152</v>
      </c>
      <c r="AU3" s="128" t="s">
        <v>12</v>
      </c>
      <c r="AV3" s="128" t="s">
        <v>13</v>
      </c>
    </row>
    <row r="4" spans="1:48" ht="14.95" customHeight="1" thickBot="1" x14ac:dyDescent="0.3">
      <c r="A4" s="69" t="s">
        <v>525</v>
      </c>
      <c r="B4" s="479">
        <v>0</v>
      </c>
      <c r="C4" s="447">
        <v>0</v>
      </c>
      <c r="D4" s="70">
        <f t="shared" ref="D4:D52" si="2">SUM(B4:C4)</f>
        <v>0</v>
      </c>
      <c r="E4" s="493" t="s">
        <v>525</v>
      </c>
      <c r="F4" s="339">
        <v>0</v>
      </c>
      <c r="G4" s="490">
        <v>0</v>
      </c>
      <c r="H4" s="338">
        <f t="shared" si="1"/>
        <v>0</v>
      </c>
      <c r="I4" s="69" t="s">
        <v>206</v>
      </c>
      <c r="J4" s="70" t="s">
        <v>17</v>
      </c>
      <c r="K4" s="70" t="s">
        <v>17</v>
      </c>
      <c r="L4" s="71" t="s">
        <v>17</v>
      </c>
      <c r="M4" s="70" t="s">
        <v>17</v>
      </c>
      <c r="N4" s="70" t="s">
        <v>17</v>
      </c>
      <c r="O4" s="71" t="s">
        <v>17</v>
      </c>
      <c r="P4" s="70">
        <v>-3</v>
      </c>
      <c r="Q4" s="128" t="s">
        <v>17</v>
      </c>
      <c r="R4" s="128" t="s">
        <v>17</v>
      </c>
      <c r="S4" s="231" t="s">
        <v>17</v>
      </c>
      <c r="T4" s="128" t="s">
        <v>17</v>
      </c>
      <c r="U4" s="128" t="s">
        <v>17</v>
      </c>
      <c r="V4" s="231" t="s">
        <v>17</v>
      </c>
      <c r="W4" s="344"/>
      <c r="X4" s="288"/>
      <c r="Y4" s="128">
        <v>4</v>
      </c>
      <c r="Z4" s="128">
        <v>9</v>
      </c>
      <c r="AA4" s="231">
        <f>SUM(Y4/Z4)*100</f>
        <v>44.444444444444443</v>
      </c>
      <c r="AB4" s="228">
        <v>6</v>
      </c>
      <c r="AC4" s="128">
        <v>9</v>
      </c>
      <c r="AD4" s="231">
        <v>66.666666666666657</v>
      </c>
      <c r="AE4" s="228" t="s">
        <v>17</v>
      </c>
      <c r="AF4" s="128" t="s">
        <v>17</v>
      </c>
      <c r="AG4" s="231" t="s">
        <v>17</v>
      </c>
      <c r="AH4" s="228" t="s">
        <v>17</v>
      </c>
      <c r="AI4" s="128" t="s">
        <v>17</v>
      </c>
      <c r="AJ4" s="231" t="s">
        <v>17</v>
      </c>
      <c r="AK4" s="228" t="s">
        <v>17</v>
      </c>
      <c r="AL4" s="128" t="s">
        <v>17</v>
      </c>
      <c r="AM4" s="231" t="s">
        <v>17</v>
      </c>
      <c r="AN4" s="228" t="s">
        <v>17</v>
      </c>
      <c r="AO4" s="128" t="s">
        <v>17</v>
      </c>
      <c r="AP4" s="128" t="s">
        <v>17</v>
      </c>
      <c r="AQ4" s="228" t="s">
        <v>17</v>
      </c>
      <c r="AR4" s="128" t="s">
        <v>17</v>
      </c>
      <c r="AS4" s="128" t="s">
        <v>17</v>
      </c>
      <c r="AT4" s="228" t="s">
        <v>17</v>
      </c>
      <c r="AU4" s="128" t="s">
        <v>17</v>
      </c>
      <c r="AV4" s="128" t="s">
        <v>17</v>
      </c>
    </row>
    <row r="5" spans="1:48" ht="14.95" customHeight="1" thickBot="1" x14ac:dyDescent="0.3">
      <c r="A5" s="69" t="s">
        <v>1018</v>
      </c>
      <c r="B5" s="479">
        <v>0</v>
      </c>
      <c r="C5" s="447">
        <v>0</v>
      </c>
      <c r="D5" s="70">
        <f t="shared" si="2"/>
        <v>0</v>
      </c>
      <c r="E5" s="493" t="s">
        <v>1018</v>
      </c>
      <c r="F5" s="339">
        <v>0</v>
      </c>
      <c r="G5" s="490">
        <v>0</v>
      </c>
      <c r="H5" s="338">
        <f t="shared" si="1"/>
        <v>0</v>
      </c>
      <c r="I5" s="69" t="s">
        <v>945</v>
      </c>
      <c r="J5" s="70" t="s">
        <v>17</v>
      </c>
      <c r="K5" s="70" t="s">
        <v>17</v>
      </c>
      <c r="L5" s="71" t="s">
        <v>17</v>
      </c>
      <c r="M5" s="70">
        <v>9</v>
      </c>
      <c r="N5" s="70">
        <v>11</v>
      </c>
      <c r="O5" s="71">
        <f t="shared" ref="O5" si="3">SUM(M5/N5)*100</f>
        <v>81.818181818181827</v>
      </c>
      <c r="P5" s="70">
        <v>-1</v>
      </c>
      <c r="Q5" s="128">
        <v>35</v>
      </c>
      <c r="R5" s="128">
        <v>49</v>
      </c>
      <c r="S5" s="231">
        <v>71.428571428571431</v>
      </c>
      <c r="T5" s="128">
        <v>22</v>
      </c>
      <c r="U5" s="128">
        <v>29</v>
      </c>
      <c r="V5" s="231">
        <f>SUM(T5/U5)*100</f>
        <v>75.862068965517238</v>
      </c>
      <c r="W5" s="344"/>
      <c r="X5" s="288"/>
      <c r="Y5" s="128" t="s">
        <v>17</v>
      </c>
      <c r="Z5" s="128" t="s">
        <v>17</v>
      </c>
      <c r="AA5" s="231" t="s">
        <v>17</v>
      </c>
      <c r="AB5" s="128" t="s">
        <v>17</v>
      </c>
      <c r="AC5" s="128" t="s">
        <v>17</v>
      </c>
      <c r="AD5" s="231" t="s">
        <v>17</v>
      </c>
      <c r="AE5" s="128" t="s">
        <v>17</v>
      </c>
      <c r="AF5" s="128" t="s">
        <v>17</v>
      </c>
      <c r="AG5" s="231" t="s">
        <v>17</v>
      </c>
      <c r="AH5" s="128" t="s">
        <v>17</v>
      </c>
      <c r="AI5" s="128" t="s">
        <v>17</v>
      </c>
      <c r="AJ5" s="231" t="s">
        <v>17</v>
      </c>
      <c r="AK5" s="128" t="s">
        <v>17</v>
      </c>
      <c r="AL5" s="128" t="s">
        <v>17</v>
      </c>
      <c r="AM5" s="231" t="s">
        <v>17</v>
      </c>
      <c r="AN5" s="128" t="s">
        <v>17</v>
      </c>
      <c r="AO5" s="128" t="s">
        <v>17</v>
      </c>
      <c r="AP5" s="231" t="s">
        <v>17</v>
      </c>
      <c r="AQ5" s="128" t="s">
        <v>17</v>
      </c>
      <c r="AR5" s="128" t="s">
        <v>17</v>
      </c>
      <c r="AS5" s="231" t="s">
        <v>17</v>
      </c>
      <c r="AT5" s="128" t="s">
        <v>17</v>
      </c>
      <c r="AU5" s="128" t="s">
        <v>17</v>
      </c>
      <c r="AV5" s="231" t="s">
        <v>17</v>
      </c>
    </row>
    <row r="6" spans="1:48" ht="14.95" customHeight="1" thickBot="1" x14ac:dyDescent="0.3">
      <c r="A6" s="69" t="s">
        <v>207</v>
      </c>
      <c r="B6" s="479">
        <v>0</v>
      </c>
      <c r="C6" s="447">
        <v>0</v>
      </c>
      <c r="D6" s="70">
        <f t="shared" si="2"/>
        <v>0</v>
      </c>
      <c r="E6" s="493" t="s">
        <v>207</v>
      </c>
      <c r="F6" s="339">
        <v>0</v>
      </c>
      <c r="G6" s="490">
        <v>0</v>
      </c>
      <c r="H6" s="338">
        <f t="shared" si="1"/>
        <v>0</v>
      </c>
      <c r="I6" s="173" t="s">
        <v>1124</v>
      </c>
      <c r="J6" s="70" t="s">
        <v>17</v>
      </c>
      <c r="K6" s="70" t="s">
        <v>17</v>
      </c>
      <c r="L6" s="71" t="s">
        <v>17</v>
      </c>
      <c r="M6" s="70" t="s">
        <v>17</v>
      </c>
      <c r="N6" s="70" t="s">
        <v>17</v>
      </c>
      <c r="O6" s="71" t="s">
        <v>17</v>
      </c>
      <c r="P6" s="70">
        <v>-2</v>
      </c>
      <c r="Q6" s="128" t="s">
        <v>17</v>
      </c>
      <c r="R6" s="128" t="s">
        <v>17</v>
      </c>
      <c r="S6" s="231" t="s">
        <v>17</v>
      </c>
      <c r="T6" s="128">
        <v>3</v>
      </c>
      <c r="U6" s="128">
        <v>6</v>
      </c>
      <c r="V6" s="231">
        <f>SUM(T6/U6)*100</f>
        <v>50</v>
      </c>
      <c r="W6" s="344"/>
      <c r="X6" s="288"/>
      <c r="Y6" s="128" t="s">
        <v>17</v>
      </c>
      <c r="Z6" s="128" t="s">
        <v>17</v>
      </c>
      <c r="AA6" s="231" t="s">
        <v>17</v>
      </c>
      <c r="AB6" s="128" t="s">
        <v>17</v>
      </c>
      <c r="AC6" s="128" t="s">
        <v>17</v>
      </c>
      <c r="AD6" s="231" t="s">
        <v>17</v>
      </c>
      <c r="AE6" s="128" t="s">
        <v>17</v>
      </c>
      <c r="AF6" s="128" t="s">
        <v>17</v>
      </c>
      <c r="AG6" s="231" t="s">
        <v>17</v>
      </c>
      <c r="AH6" s="128" t="s">
        <v>17</v>
      </c>
      <c r="AI6" s="128" t="s">
        <v>17</v>
      </c>
      <c r="AJ6" s="231" t="s">
        <v>17</v>
      </c>
      <c r="AK6" s="128" t="s">
        <v>17</v>
      </c>
      <c r="AL6" s="128" t="s">
        <v>17</v>
      </c>
      <c r="AM6" s="231" t="s">
        <v>17</v>
      </c>
      <c r="AN6" s="128" t="s">
        <v>17</v>
      </c>
      <c r="AO6" s="128" t="s">
        <v>17</v>
      </c>
      <c r="AP6" s="231" t="s">
        <v>17</v>
      </c>
      <c r="AQ6" s="128" t="s">
        <v>17</v>
      </c>
      <c r="AR6" s="128" t="s">
        <v>17</v>
      </c>
      <c r="AS6" s="231" t="s">
        <v>17</v>
      </c>
      <c r="AT6" s="128" t="s">
        <v>17</v>
      </c>
      <c r="AU6" s="128" t="s">
        <v>17</v>
      </c>
      <c r="AV6" s="231" t="s">
        <v>17</v>
      </c>
    </row>
    <row r="7" spans="1:48" ht="14.95" customHeight="1" thickBot="1" x14ac:dyDescent="0.3">
      <c r="A7" s="69" t="s">
        <v>206</v>
      </c>
      <c r="B7" s="479">
        <v>0</v>
      </c>
      <c r="C7" s="447">
        <v>0</v>
      </c>
      <c r="D7" s="70">
        <f t="shared" si="2"/>
        <v>0</v>
      </c>
      <c r="E7" s="493" t="s">
        <v>206</v>
      </c>
      <c r="F7" s="339">
        <v>0</v>
      </c>
      <c r="G7" s="490">
        <v>0</v>
      </c>
      <c r="H7" s="338">
        <f t="shared" si="1"/>
        <v>0</v>
      </c>
      <c r="I7" s="173" t="s">
        <v>1125</v>
      </c>
      <c r="J7" s="70" t="s">
        <v>17</v>
      </c>
      <c r="K7" s="70" t="s">
        <v>17</v>
      </c>
      <c r="L7" s="71" t="s">
        <v>17</v>
      </c>
      <c r="M7" s="70" t="s">
        <v>17</v>
      </c>
      <c r="N7" s="70" t="s">
        <v>17</v>
      </c>
      <c r="O7" s="71" t="s">
        <v>17</v>
      </c>
      <c r="P7" s="174">
        <v>2</v>
      </c>
      <c r="Q7" s="128" t="s">
        <v>17</v>
      </c>
      <c r="R7" s="128" t="s">
        <v>17</v>
      </c>
      <c r="S7" s="231" t="s">
        <v>17</v>
      </c>
      <c r="T7" s="128">
        <v>8</v>
      </c>
      <c r="U7" s="128">
        <v>11</v>
      </c>
      <c r="V7" s="231">
        <f>SUM(T7/U7)*100</f>
        <v>72.727272727272734</v>
      </c>
      <c r="W7" s="344"/>
      <c r="X7" s="288"/>
      <c r="Y7" s="128" t="s">
        <v>17</v>
      </c>
      <c r="Z7" s="128" t="s">
        <v>17</v>
      </c>
      <c r="AA7" s="231" t="s">
        <v>17</v>
      </c>
      <c r="AB7" s="128" t="s">
        <v>17</v>
      </c>
      <c r="AC7" s="128" t="s">
        <v>17</v>
      </c>
      <c r="AD7" s="231" t="s">
        <v>17</v>
      </c>
      <c r="AE7" s="128" t="s">
        <v>17</v>
      </c>
      <c r="AF7" s="128" t="s">
        <v>17</v>
      </c>
      <c r="AG7" s="231" t="s">
        <v>17</v>
      </c>
      <c r="AH7" s="128" t="s">
        <v>17</v>
      </c>
      <c r="AI7" s="128" t="s">
        <v>17</v>
      </c>
      <c r="AJ7" s="231" t="s">
        <v>17</v>
      </c>
      <c r="AK7" s="128" t="s">
        <v>17</v>
      </c>
      <c r="AL7" s="128" t="s">
        <v>17</v>
      </c>
      <c r="AM7" s="231" t="s">
        <v>17</v>
      </c>
      <c r="AN7" s="128" t="s">
        <v>17</v>
      </c>
      <c r="AO7" s="128" t="s">
        <v>17</v>
      </c>
      <c r="AP7" s="231" t="s">
        <v>17</v>
      </c>
      <c r="AQ7" s="128" t="s">
        <v>17</v>
      </c>
      <c r="AR7" s="128" t="s">
        <v>17</v>
      </c>
      <c r="AS7" s="231" t="s">
        <v>17</v>
      </c>
      <c r="AT7" s="128" t="s">
        <v>17</v>
      </c>
      <c r="AU7" s="128" t="s">
        <v>17</v>
      </c>
      <c r="AV7" s="231" t="s">
        <v>17</v>
      </c>
    </row>
    <row r="8" spans="1:48" ht="14.95" customHeight="1" thickBot="1" x14ac:dyDescent="0.3">
      <c r="A8" s="69" t="s">
        <v>1020</v>
      </c>
      <c r="B8" s="479">
        <v>0</v>
      </c>
      <c r="C8" s="447">
        <v>0</v>
      </c>
      <c r="D8" s="70">
        <f t="shared" si="2"/>
        <v>0</v>
      </c>
      <c r="E8" s="493" t="s">
        <v>1020</v>
      </c>
      <c r="F8" s="339">
        <v>0</v>
      </c>
      <c r="G8" s="490">
        <v>0</v>
      </c>
      <c r="H8" s="338">
        <f t="shared" si="1"/>
        <v>0</v>
      </c>
      <c r="I8" s="69" t="s">
        <v>243</v>
      </c>
      <c r="J8" s="70" t="s">
        <v>17</v>
      </c>
      <c r="K8" s="70" t="s">
        <v>17</v>
      </c>
      <c r="L8" s="71" t="s">
        <v>17</v>
      </c>
      <c r="M8" s="70" t="s">
        <v>17</v>
      </c>
      <c r="N8" s="70" t="s">
        <v>17</v>
      </c>
      <c r="O8" s="71" t="s">
        <v>17</v>
      </c>
      <c r="P8" s="70">
        <v>-1</v>
      </c>
      <c r="Q8" s="128" t="s">
        <v>17</v>
      </c>
      <c r="R8" s="128" t="s">
        <v>17</v>
      </c>
      <c r="S8" s="231" t="s">
        <v>17</v>
      </c>
      <c r="T8" s="128" t="s">
        <v>17</v>
      </c>
      <c r="U8" s="128" t="s">
        <v>17</v>
      </c>
      <c r="V8" s="231" t="s">
        <v>17</v>
      </c>
      <c r="W8" s="344"/>
      <c r="X8" s="288"/>
      <c r="Y8" s="128">
        <v>1</v>
      </c>
      <c r="Z8" s="128">
        <v>2</v>
      </c>
      <c r="AA8" s="231">
        <f>SUM(Y8/Z8)*100</f>
        <v>50</v>
      </c>
      <c r="AB8" s="228">
        <v>7</v>
      </c>
      <c r="AC8" s="128">
        <v>10</v>
      </c>
      <c r="AD8" s="231">
        <v>70</v>
      </c>
      <c r="AE8" s="228" t="s">
        <v>17</v>
      </c>
      <c r="AF8" s="128" t="s">
        <v>17</v>
      </c>
      <c r="AG8" s="231" t="s">
        <v>17</v>
      </c>
      <c r="AH8" s="228" t="s">
        <v>17</v>
      </c>
      <c r="AI8" s="128" t="s">
        <v>17</v>
      </c>
      <c r="AJ8" s="231" t="s">
        <v>17</v>
      </c>
      <c r="AK8" s="228" t="s">
        <v>17</v>
      </c>
      <c r="AL8" s="128" t="s">
        <v>17</v>
      </c>
      <c r="AM8" s="231" t="s">
        <v>17</v>
      </c>
      <c r="AN8" s="228" t="s">
        <v>17</v>
      </c>
      <c r="AO8" s="128" t="s">
        <v>17</v>
      </c>
      <c r="AP8" s="128" t="s">
        <v>17</v>
      </c>
      <c r="AQ8" s="228" t="s">
        <v>17</v>
      </c>
      <c r="AR8" s="128" t="s">
        <v>17</v>
      </c>
      <c r="AS8" s="128" t="s">
        <v>17</v>
      </c>
      <c r="AT8" s="228" t="s">
        <v>17</v>
      </c>
      <c r="AU8" s="128" t="s">
        <v>17</v>
      </c>
      <c r="AV8" s="128" t="s">
        <v>17</v>
      </c>
    </row>
    <row r="9" spans="1:48" ht="14.95" customHeight="1" thickBot="1" x14ac:dyDescent="0.3">
      <c r="A9" s="69" t="s">
        <v>283</v>
      </c>
      <c r="B9" s="479">
        <v>0</v>
      </c>
      <c r="C9" s="447">
        <v>0</v>
      </c>
      <c r="D9" s="70">
        <f t="shared" si="2"/>
        <v>0</v>
      </c>
      <c r="E9" s="493" t="s">
        <v>283</v>
      </c>
      <c r="F9" s="339">
        <v>0</v>
      </c>
      <c r="G9" s="490">
        <v>0</v>
      </c>
      <c r="H9" s="338">
        <f t="shared" si="1"/>
        <v>0</v>
      </c>
      <c r="I9" s="69" t="s">
        <v>571</v>
      </c>
      <c r="J9" s="70" t="s">
        <v>17</v>
      </c>
      <c r="K9" s="70" t="s">
        <v>17</v>
      </c>
      <c r="L9" s="71" t="s">
        <v>17</v>
      </c>
      <c r="M9" s="70" t="s">
        <v>17</v>
      </c>
      <c r="N9" s="70" t="s">
        <v>17</v>
      </c>
      <c r="O9" s="71" t="s">
        <v>17</v>
      </c>
      <c r="P9" s="70">
        <v>7</v>
      </c>
      <c r="Q9" s="128">
        <v>19</v>
      </c>
      <c r="R9" s="128">
        <v>23</v>
      </c>
      <c r="S9" s="231">
        <v>82.608695652173907</v>
      </c>
      <c r="T9" s="128">
        <v>5</v>
      </c>
      <c r="U9" s="128">
        <v>11</v>
      </c>
      <c r="V9" s="231">
        <f>SUM(T9/U9)*100</f>
        <v>45.454545454545453</v>
      </c>
      <c r="W9" s="344"/>
      <c r="X9" s="288"/>
      <c r="Y9" s="128">
        <v>31</v>
      </c>
      <c r="Z9" s="128">
        <v>48</v>
      </c>
      <c r="AA9" s="231">
        <f>SUM(Y9/Z9)*100</f>
        <v>64.583333333333343</v>
      </c>
      <c r="AB9" s="228">
        <v>5</v>
      </c>
      <c r="AC9" s="128">
        <v>6</v>
      </c>
      <c r="AD9" s="231">
        <v>83.333333333333343</v>
      </c>
      <c r="AE9" s="228" t="s">
        <v>17</v>
      </c>
      <c r="AF9" s="128" t="s">
        <v>17</v>
      </c>
      <c r="AG9" s="231" t="s">
        <v>17</v>
      </c>
      <c r="AH9" s="228" t="s">
        <v>17</v>
      </c>
      <c r="AI9" s="128" t="s">
        <v>17</v>
      </c>
      <c r="AJ9" s="231" t="s">
        <v>17</v>
      </c>
      <c r="AK9" s="228" t="s">
        <v>17</v>
      </c>
      <c r="AL9" s="128" t="s">
        <v>17</v>
      </c>
      <c r="AM9" s="231" t="s">
        <v>17</v>
      </c>
      <c r="AN9" s="228" t="s">
        <v>17</v>
      </c>
      <c r="AO9" s="128" t="s">
        <v>17</v>
      </c>
      <c r="AP9" s="128" t="s">
        <v>17</v>
      </c>
      <c r="AQ9" s="228" t="s">
        <v>17</v>
      </c>
      <c r="AR9" s="128" t="s">
        <v>17</v>
      </c>
      <c r="AS9" s="128" t="s">
        <v>17</v>
      </c>
      <c r="AT9" s="228" t="s">
        <v>17</v>
      </c>
      <c r="AU9" s="128" t="s">
        <v>17</v>
      </c>
      <c r="AV9" s="128" t="s">
        <v>17</v>
      </c>
    </row>
    <row r="10" spans="1:48" ht="14.95" customHeight="1" thickBot="1" x14ac:dyDescent="0.3">
      <c r="A10" s="69" t="s">
        <v>1123</v>
      </c>
      <c r="B10" s="479">
        <v>0</v>
      </c>
      <c r="C10" s="447">
        <v>0</v>
      </c>
      <c r="D10" s="70">
        <f t="shared" si="2"/>
        <v>0</v>
      </c>
      <c r="E10" s="493" t="s">
        <v>1123</v>
      </c>
      <c r="F10" s="339">
        <v>0</v>
      </c>
      <c r="G10" s="490">
        <v>0</v>
      </c>
      <c r="H10" s="338">
        <f t="shared" si="1"/>
        <v>0</v>
      </c>
      <c r="I10" s="69" t="s">
        <v>81</v>
      </c>
      <c r="J10" s="70" t="s">
        <v>17</v>
      </c>
      <c r="K10" s="70" t="s">
        <v>17</v>
      </c>
      <c r="L10" s="71" t="s">
        <v>17</v>
      </c>
      <c r="M10" s="70" t="s">
        <v>17</v>
      </c>
      <c r="N10" s="70" t="s">
        <v>17</v>
      </c>
      <c r="O10" s="71" t="s">
        <v>17</v>
      </c>
      <c r="P10" s="70">
        <v>4</v>
      </c>
      <c r="Q10" s="128">
        <v>21</v>
      </c>
      <c r="R10" s="128">
        <v>22</v>
      </c>
      <c r="S10" s="231">
        <v>95.454545454545453</v>
      </c>
      <c r="T10" s="128">
        <v>29</v>
      </c>
      <c r="U10" s="128">
        <v>35</v>
      </c>
      <c r="V10" s="231">
        <f>SUM(T10/U10)*100</f>
        <v>82.857142857142861</v>
      </c>
      <c r="W10" s="344"/>
      <c r="X10" s="288"/>
      <c r="Y10" s="128">
        <v>13</v>
      </c>
      <c r="Z10" s="128">
        <v>13</v>
      </c>
      <c r="AA10" s="231">
        <f>SUM(Y10/Z10)*100</f>
        <v>100</v>
      </c>
      <c r="AB10" s="228">
        <v>21</v>
      </c>
      <c r="AC10" s="128">
        <v>25</v>
      </c>
      <c r="AD10" s="164">
        <v>84</v>
      </c>
      <c r="AE10" s="128">
        <v>51</v>
      </c>
      <c r="AF10" s="128">
        <v>68</v>
      </c>
      <c r="AG10" s="164">
        <f>SUM(AE10/AF10)*100</f>
        <v>75</v>
      </c>
      <c r="AH10" s="228" t="s">
        <v>17</v>
      </c>
      <c r="AI10" s="128" t="s">
        <v>17</v>
      </c>
      <c r="AJ10" s="231" t="s">
        <v>17</v>
      </c>
      <c r="AK10" s="228">
        <v>40</v>
      </c>
      <c r="AL10" s="128">
        <v>54</v>
      </c>
      <c r="AM10" s="164">
        <f>SUM(AK10/AL10)*100</f>
        <v>74.074074074074076</v>
      </c>
      <c r="AN10" s="228">
        <v>46</v>
      </c>
      <c r="AO10" s="128">
        <v>63</v>
      </c>
      <c r="AP10" s="231">
        <f>SUM(AN10/AO10)*100</f>
        <v>73.015873015873012</v>
      </c>
      <c r="AQ10" s="228">
        <v>11</v>
      </c>
      <c r="AR10" s="128">
        <v>16</v>
      </c>
      <c r="AS10" s="231">
        <f>SUM(AQ10/AR10)*100</f>
        <v>68.75</v>
      </c>
      <c r="AT10" s="228" t="s">
        <v>17</v>
      </c>
      <c r="AU10" s="128" t="s">
        <v>17</v>
      </c>
      <c r="AV10" s="128" t="s">
        <v>17</v>
      </c>
    </row>
    <row r="11" spans="1:48" ht="14.95" customHeight="1" thickBot="1" x14ac:dyDescent="0.3">
      <c r="A11" s="69" t="s">
        <v>702</v>
      </c>
      <c r="B11" s="479">
        <v>0</v>
      </c>
      <c r="C11" s="447">
        <v>0</v>
      </c>
      <c r="D11" s="70">
        <f t="shared" si="2"/>
        <v>0</v>
      </c>
      <c r="E11" s="493" t="s">
        <v>702</v>
      </c>
      <c r="F11" s="339">
        <v>0</v>
      </c>
      <c r="G11" s="490">
        <v>0</v>
      </c>
      <c r="H11" s="338">
        <f t="shared" si="1"/>
        <v>0</v>
      </c>
      <c r="I11" s="69" t="s">
        <v>338</v>
      </c>
      <c r="J11" s="70" t="s">
        <v>17</v>
      </c>
      <c r="K11" s="70" t="s">
        <v>17</v>
      </c>
      <c r="L11" s="71" t="s">
        <v>17</v>
      </c>
      <c r="M11" s="70" t="s">
        <v>17</v>
      </c>
      <c r="N11" s="70" t="s">
        <v>17</v>
      </c>
      <c r="O11" s="71" t="s">
        <v>17</v>
      </c>
      <c r="P11" s="70">
        <v>1</v>
      </c>
      <c r="Q11" s="128" t="s">
        <v>17</v>
      </c>
      <c r="R11" s="128" t="s">
        <v>17</v>
      </c>
      <c r="S11" s="231" t="s">
        <v>17</v>
      </c>
      <c r="T11" s="128" t="s">
        <v>17</v>
      </c>
      <c r="U11" s="128" t="s">
        <v>17</v>
      </c>
      <c r="V11" s="231" t="s">
        <v>17</v>
      </c>
      <c r="W11" s="344"/>
      <c r="X11" s="288"/>
      <c r="Y11" s="128">
        <v>5</v>
      </c>
      <c r="Z11" s="128">
        <v>7</v>
      </c>
      <c r="AA11" s="231">
        <f>SUM(Y11/Z11)*100</f>
        <v>71.428571428571431</v>
      </c>
      <c r="AB11" s="228">
        <v>8</v>
      </c>
      <c r="AC11" s="128">
        <v>14</v>
      </c>
      <c r="AD11" s="231">
        <v>57.142857142857139</v>
      </c>
      <c r="AE11" s="128">
        <v>0</v>
      </c>
      <c r="AF11" s="128">
        <v>1</v>
      </c>
      <c r="AG11" s="231">
        <f>SUM(AE11/AF11)*100</f>
        <v>0</v>
      </c>
      <c r="AH11" s="228" t="s">
        <v>17</v>
      </c>
      <c r="AI11" s="128" t="s">
        <v>17</v>
      </c>
      <c r="AJ11" s="231" t="s">
        <v>17</v>
      </c>
      <c r="AK11" s="228" t="s">
        <v>17</v>
      </c>
      <c r="AL11" s="128" t="s">
        <v>17</v>
      </c>
      <c r="AM11" s="231" t="s">
        <v>17</v>
      </c>
      <c r="AN11" s="228" t="s">
        <v>17</v>
      </c>
      <c r="AO11" s="128" t="s">
        <v>17</v>
      </c>
      <c r="AP11" s="128" t="s">
        <v>17</v>
      </c>
      <c r="AQ11" s="228" t="s">
        <v>17</v>
      </c>
      <c r="AR11" s="128" t="s">
        <v>17</v>
      </c>
      <c r="AS11" s="128" t="s">
        <v>17</v>
      </c>
      <c r="AT11" s="243">
        <v>2</v>
      </c>
      <c r="AU11" s="232">
        <v>2</v>
      </c>
      <c r="AV11" s="231">
        <f>SUM(AT11/AU11)*100</f>
        <v>100</v>
      </c>
    </row>
    <row r="12" spans="1:48" ht="14.95" customHeight="1" thickBot="1" x14ac:dyDescent="0.3">
      <c r="A12" s="69" t="s">
        <v>79</v>
      </c>
      <c r="B12" s="479">
        <v>0</v>
      </c>
      <c r="C12" s="447">
        <v>0</v>
      </c>
      <c r="D12" s="70">
        <f t="shared" si="2"/>
        <v>0</v>
      </c>
      <c r="E12" s="493" t="s">
        <v>79</v>
      </c>
      <c r="F12" s="339">
        <v>0</v>
      </c>
      <c r="G12" s="490">
        <v>0</v>
      </c>
      <c r="H12" s="338">
        <f t="shared" si="1"/>
        <v>0</v>
      </c>
      <c r="I12" s="122"/>
      <c r="J12" s="179"/>
      <c r="K12" s="179"/>
      <c r="L12" s="11"/>
      <c r="M12" s="11"/>
      <c r="N12" s="11"/>
    </row>
    <row r="13" spans="1:48" ht="14.95" customHeight="1" thickBot="1" x14ac:dyDescent="0.3">
      <c r="A13" s="69" t="s">
        <v>1061</v>
      </c>
      <c r="B13" s="479">
        <v>0</v>
      </c>
      <c r="C13" s="447">
        <v>0</v>
      </c>
      <c r="D13" s="70">
        <f t="shared" si="2"/>
        <v>0</v>
      </c>
      <c r="E13" s="493" t="s">
        <v>1061</v>
      </c>
      <c r="F13" s="339">
        <v>0</v>
      </c>
      <c r="G13" s="490">
        <v>0</v>
      </c>
      <c r="H13" s="338">
        <f t="shared" si="1"/>
        <v>0</v>
      </c>
      <c r="I13" s="607" t="s">
        <v>34</v>
      </c>
      <c r="J13" s="756">
        <v>2025</v>
      </c>
      <c r="K13" s="757"/>
      <c r="L13" s="758"/>
      <c r="M13" s="737">
        <v>2024</v>
      </c>
      <c r="N13" s="660"/>
      <c r="O13" s="661"/>
      <c r="P13" s="737">
        <v>2023</v>
      </c>
      <c r="Q13" s="660"/>
      <c r="R13" s="661"/>
      <c r="S13" s="737">
        <v>2022</v>
      </c>
      <c r="T13" s="660"/>
      <c r="U13" s="661"/>
      <c r="V13" s="751"/>
      <c r="Y13" s="737">
        <v>2021</v>
      </c>
      <c r="Z13" s="660"/>
      <c r="AA13" s="661"/>
      <c r="AB13" s="737">
        <v>2020</v>
      </c>
      <c r="AC13" s="617"/>
      <c r="AD13" s="618"/>
      <c r="AE13" s="737">
        <v>2019</v>
      </c>
      <c r="AF13" s="617"/>
      <c r="AG13" s="618"/>
      <c r="AH13" s="737">
        <v>2018</v>
      </c>
      <c r="AI13" s="660"/>
      <c r="AJ13" s="661"/>
      <c r="AK13" s="737">
        <v>2017</v>
      </c>
      <c r="AL13" s="660"/>
      <c r="AM13" s="661"/>
      <c r="AN13" s="737">
        <v>2016</v>
      </c>
      <c r="AO13" s="660"/>
      <c r="AP13" s="661"/>
      <c r="AQ13" s="737">
        <v>2015</v>
      </c>
      <c r="AR13" s="738"/>
      <c r="AS13" s="739"/>
      <c r="AT13" s="737">
        <v>2014</v>
      </c>
      <c r="AU13" s="660"/>
      <c r="AV13" s="661"/>
    </row>
    <row r="14" spans="1:48" ht="14.95" customHeight="1" thickBot="1" x14ac:dyDescent="0.3">
      <c r="A14" s="69" t="s">
        <v>945</v>
      </c>
      <c r="B14" s="479">
        <v>0</v>
      </c>
      <c r="C14" s="447">
        <v>0</v>
      </c>
      <c r="D14" s="70">
        <f t="shared" si="2"/>
        <v>0</v>
      </c>
      <c r="E14" s="493" t="s">
        <v>945</v>
      </c>
      <c r="F14" s="339">
        <v>0</v>
      </c>
      <c r="G14" s="490">
        <v>0</v>
      </c>
      <c r="H14" s="338">
        <f t="shared" si="1"/>
        <v>0</v>
      </c>
      <c r="I14" s="608"/>
      <c r="J14" s="759"/>
      <c r="K14" s="760"/>
      <c r="L14" s="761"/>
      <c r="M14" s="662"/>
      <c r="N14" s="663"/>
      <c r="O14" s="664"/>
      <c r="P14" s="662"/>
      <c r="Q14" s="663"/>
      <c r="R14" s="664"/>
      <c r="S14" s="662"/>
      <c r="T14" s="663"/>
      <c r="U14" s="664"/>
      <c r="V14" s="752"/>
      <c r="Y14" s="662"/>
      <c r="Z14" s="663"/>
      <c r="AA14" s="664"/>
      <c r="AB14" s="619"/>
      <c r="AC14" s="620"/>
      <c r="AD14" s="621"/>
      <c r="AE14" s="619"/>
      <c r="AF14" s="620"/>
      <c r="AG14" s="621"/>
      <c r="AH14" s="662"/>
      <c r="AI14" s="663"/>
      <c r="AJ14" s="664"/>
      <c r="AK14" s="662"/>
      <c r="AL14" s="663"/>
      <c r="AM14" s="664"/>
      <c r="AN14" s="662"/>
      <c r="AO14" s="663"/>
      <c r="AP14" s="664"/>
      <c r="AQ14" s="740"/>
      <c r="AR14" s="741"/>
      <c r="AS14" s="742"/>
      <c r="AT14" s="662"/>
      <c r="AU14" s="663"/>
      <c r="AV14" s="664"/>
    </row>
    <row r="15" spans="1:48" ht="14.95" thickBot="1" x14ac:dyDescent="0.3">
      <c r="A15" s="69" t="s">
        <v>1096</v>
      </c>
      <c r="B15" s="479">
        <v>0</v>
      </c>
      <c r="C15" s="447">
        <v>0</v>
      </c>
      <c r="D15" s="70">
        <f t="shared" si="2"/>
        <v>0</v>
      </c>
      <c r="E15" s="493" t="s">
        <v>1096</v>
      </c>
      <c r="F15" s="339">
        <v>0</v>
      </c>
      <c r="G15" s="490">
        <v>0</v>
      </c>
      <c r="H15" s="338">
        <f t="shared" si="1"/>
        <v>0</v>
      </c>
      <c r="I15" s="4"/>
      <c r="J15" s="53" t="s">
        <v>152</v>
      </c>
      <c r="K15" s="53" t="s">
        <v>12</v>
      </c>
      <c r="L15" s="53" t="s">
        <v>13</v>
      </c>
      <c r="M15" s="128" t="s">
        <v>152</v>
      </c>
      <c r="N15" s="128" t="s">
        <v>12</v>
      </c>
      <c r="O15" s="128" t="s">
        <v>13</v>
      </c>
      <c r="P15" s="128" t="s">
        <v>152</v>
      </c>
      <c r="Q15" s="128" t="s">
        <v>12</v>
      </c>
      <c r="R15" s="128" t="s">
        <v>13</v>
      </c>
      <c r="S15" s="228" t="s">
        <v>152</v>
      </c>
      <c r="T15" s="128" t="s">
        <v>12</v>
      </c>
      <c r="U15" s="128" t="s">
        <v>13</v>
      </c>
      <c r="V15" s="41"/>
      <c r="Y15" s="228" t="s">
        <v>152</v>
      </c>
      <c r="Z15" s="128" t="s">
        <v>12</v>
      </c>
      <c r="AA15" s="128" t="s">
        <v>13</v>
      </c>
      <c r="AB15" s="228" t="s">
        <v>152</v>
      </c>
      <c r="AC15" s="128" t="s">
        <v>12</v>
      </c>
      <c r="AD15" s="128" t="s">
        <v>13</v>
      </c>
      <c r="AE15" s="228" t="s">
        <v>152</v>
      </c>
      <c r="AF15" s="128" t="s">
        <v>12</v>
      </c>
      <c r="AG15" s="128" t="s">
        <v>13</v>
      </c>
      <c r="AH15" s="228" t="s">
        <v>152</v>
      </c>
      <c r="AI15" s="128" t="s">
        <v>12</v>
      </c>
      <c r="AJ15" s="128" t="s">
        <v>13</v>
      </c>
      <c r="AK15" s="228" t="s">
        <v>152</v>
      </c>
      <c r="AL15" s="128" t="s">
        <v>12</v>
      </c>
      <c r="AM15" s="128" t="s">
        <v>13</v>
      </c>
      <c r="AN15" s="228" t="s">
        <v>152</v>
      </c>
      <c r="AO15" s="128" t="s">
        <v>12</v>
      </c>
      <c r="AP15" s="128" t="s">
        <v>13</v>
      </c>
      <c r="AQ15" s="228" t="s">
        <v>152</v>
      </c>
      <c r="AR15" s="128" t="s">
        <v>12</v>
      </c>
      <c r="AS15" s="128" t="s">
        <v>13</v>
      </c>
      <c r="AT15" s="228" t="s">
        <v>152</v>
      </c>
      <c r="AU15" s="128" t="s">
        <v>12</v>
      </c>
      <c r="AV15" s="128" t="s">
        <v>13</v>
      </c>
    </row>
    <row r="16" spans="1:48" ht="14.95" thickBot="1" x14ac:dyDescent="0.3">
      <c r="A16" s="69" t="s">
        <v>943</v>
      </c>
      <c r="B16" s="479">
        <v>0</v>
      </c>
      <c r="C16" s="447">
        <v>0</v>
      </c>
      <c r="D16" s="70">
        <f t="shared" si="2"/>
        <v>0</v>
      </c>
      <c r="E16" s="493" t="s">
        <v>943</v>
      </c>
      <c r="F16" s="339">
        <v>0</v>
      </c>
      <c r="G16" s="490">
        <v>0</v>
      </c>
      <c r="H16" s="338">
        <f t="shared" si="1"/>
        <v>0</v>
      </c>
      <c r="I16" s="69" t="s">
        <v>206</v>
      </c>
      <c r="J16" s="70" t="s">
        <v>17</v>
      </c>
      <c r="K16" s="70" t="s">
        <v>17</v>
      </c>
      <c r="L16" s="71" t="s">
        <v>17</v>
      </c>
      <c r="M16" s="128" t="s">
        <v>17</v>
      </c>
      <c r="N16" s="128" t="s">
        <v>17</v>
      </c>
      <c r="O16" s="128" t="s">
        <v>17</v>
      </c>
      <c r="P16" s="128">
        <v>1</v>
      </c>
      <c r="Q16" s="128">
        <v>1</v>
      </c>
      <c r="R16" s="231">
        <f>SUM(P16/Q16)*100</f>
        <v>100</v>
      </c>
      <c r="S16" s="228" t="s">
        <v>17</v>
      </c>
      <c r="T16" s="128" t="s">
        <v>17</v>
      </c>
      <c r="U16" s="128" t="s">
        <v>17</v>
      </c>
      <c r="V16" s="41"/>
      <c r="Y16" s="228" t="s">
        <v>17</v>
      </c>
      <c r="Z16" s="128" t="s">
        <v>17</v>
      </c>
      <c r="AA16" s="128" t="s">
        <v>17</v>
      </c>
      <c r="AB16" s="228" t="s">
        <v>17</v>
      </c>
      <c r="AC16" s="128" t="s">
        <v>17</v>
      </c>
      <c r="AD16" s="128" t="s">
        <v>17</v>
      </c>
      <c r="AE16" s="228" t="s">
        <v>17</v>
      </c>
      <c r="AF16" s="128" t="s">
        <v>17</v>
      </c>
      <c r="AG16" s="128" t="s">
        <v>17</v>
      </c>
      <c r="AH16" s="228" t="s">
        <v>17</v>
      </c>
      <c r="AI16" s="128" t="s">
        <v>17</v>
      </c>
      <c r="AJ16" s="128" t="s">
        <v>17</v>
      </c>
      <c r="AK16" s="228" t="s">
        <v>17</v>
      </c>
      <c r="AL16" s="128" t="s">
        <v>17</v>
      </c>
      <c r="AM16" s="128" t="s">
        <v>17</v>
      </c>
      <c r="AN16" s="228" t="s">
        <v>17</v>
      </c>
      <c r="AO16" s="128" t="s">
        <v>17</v>
      </c>
      <c r="AP16" s="128" t="s">
        <v>17</v>
      </c>
      <c r="AQ16" s="228" t="s">
        <v>17</v>
      </c>
      <c r="AR16" s="128" t="s">
        <v>17</v>
      </c>
      <c r="AS16" s="128" t="s">
        <v>17</v>
      </c>
      <c r="AT16" s="228" t="s">
        <v>17</v>
      </c>
      <c r="AU16" s="128" t="s">
        <v>17</v>
      </c>
      <c r="AV16" s="128" t="s">
        <v>17</v>
      </c>
    </row>
    <row r="17" spans="1:48" ht="14.95" thickBot="1" x14ac:dyDescent="0.3">
      <c r="A17" s="69" t="s">
        <v>1417</v>
      </c>
      <c r="B17" s="479">
        <v>0</v>
      </c>
      <c r="C17" s="447">
        <v>0</v>
      </c>
      <c r="D17" s="70">
        <f t="shared" si="2"/>
        <v>0</v>
      </c>
      <c r="E17" s="493" t="s">
        <v>1417</v>
      </c>
      <c r="F17" s="339">
        <v>0</v>
      </c>
      <c r="G17" s="490">
        <v>0</v>
      </c>
      <c r="H17" s="338">
        <f t="shared" si="1"/>
        <v>0</v>
      </c>
      <c r="I17" s="69" t="s">
        <v>945</v>
      </c>
      <c r="J17" s="70">
        <v>16</v>
      </c>
      <c r="K17" s="70">
        <v>18</v>
      </c>
      <c r="L17" s="71">
        <f>SUM(J17/K17)*100</f>
        <v>88.888888888888886</v>
      </c>
      <c r="M17" s="128">
        <v>14</v>
      </c>
      <c r="N17" s="128">
        <v>21</v>
      </c>
      <c r="O17" s="231">
        <f>SUM(M17/N17)*100</f>
        <v>66.666666666666657</v>
      </c>
      <c r="P17" s="128" t="s">
        <v>17</v>
      </c>
      <c r="Q17" s="128" t="s">
        <v>17</v>
      </c>
      <c r="R17" s="231" t="s">
        <v>17</v>
      </c>
      <c r="S17" s="128" t="s">
        <v>17</v>
      </c>
      <c r="T17" s="128" t="s">
        <v>17</v>
      </c>
      <c r="U17" s="231" t="s">
        <v>17</v>
      </c>
      <c r="V17" s="41"/>
      <c r="Y17" s="232" t="s">
        <v>17</v>
      </c>
      <c r="Z17" s="128" t="s">
        <v>17</v>
      </c>
      <c r="AA17" s="231" t="s">
        <v>17</v>
      </c>
      <c r="AB17" s="228" t="s">
        <v>17</v>
      </c>
      <c r="AC17" s="128" t="s">
        <v>17</v>
      </c>
      <c r="AD17" s="128" t="s">
        <v>17</v>
      </c>
      <c r="AE17" s="128" t="s">
        <v>17</v>
      </c>
      <c r="AF17" s="128" t="s">
        <v>17</v>
      </c>
      <c r="AG17" s="231" t="s">
        <v>17</v>
      </c>
      <c r="AH17" s="128" t="s">
        <v>17</v>
      </c>
      <c r="AI17" s="128" t="s">
        <v>17</v>
      </c>
      <c r="AJ17" s="231" t="s">
        <v>17</v>
      </c>
      <c r="AK17" s="128" t="s">
        <v>17</v>
      </c>
      <c r="AL17" s="128" t="s">
        <v>17</v>
      </c>
      <c r="AM17" s="231" t="s">
        <v>17</v>
      </c>
      <c r="AN17" s="128" t="s">
        <v>17</v>
      </c>
      <c r="AO17" s="128" t="s">
        <v>17</v>
      </c>
      <c r="AP17" s="231" t="s">
        <v>17</v>
      </c>
      <c r="AQ17" s="128" t="s">
        <v>17</v>
      </c>
      <c r="AR17" s="128" t="s">
        <v>17</v>
      </c>
      <c r="AS17" s="231" t="s">
        <v>17</v>
      </c>
      <c r="AT17" s="128" t="s">
        <v>17</v>
      </c>
      <c r="AU17" s="128" t="s">
        <v>17</v>
      </c>
      <c r="AV17" s="231" t="s">
        <v>17</v>
      </c>
    </row>
    <row r="18" spans="1:48" ht="14.95" thickBot="1" x14ac:dyDescent="0.3">
      <c r="A18" s="69" t="s">
        <v>1025</v>
      </c>
      <c r="B18" s="479">
        <v>0</v>
      </c>
      <c r="C18" s="447">
        <v>0</v>
      </c>
      <c r="D18" s="70">
        <f t="shared" si="2"/>
        <v>0</v>
      </c>
      <c r="E18" s="493" t="s">
        <v>1025</v>
      </c>
      <c r="F18" s="339">
        <v>0</v>
      </c>
      <c r="G18" s="490">
        <v>0</v>
      </c>
      <c r="H18" s="338">
        <f t="shared" si="1"/>
        <v>0</v>
      </c>
      <c r="I18" s="173" t="s">
        <v>1124</v>
      </c>
      <c r="J18" s="70" t="s">
        <v>17</v>
      </c>
      <c r="K18" s="70" t="s">
        <v>17</v>
      </c>
      <c r="L18" s="71" t="s">
        <v>17</v>
      </c>
      <c r="M18" s="128">
        <v>3</v>
      </c>
      <c r="N18" s="128">
        <v>6</v>
      </c>
      <c r="O18" s="231">
        <f>SUM(M18/N18)*100</f>
        <v>50</v>
      </c>
      <c r="P18" s="128" t="s">
        <v>17</v>
      </c>
      <c r="Q18" s="128" t="s">
        <v>17</v>
      </c>
      <c r="R18" s="231" t="s">
        <v>17</v>
      </c>
      <c r="S18" s="128" t="s">
        <v>17</v>
      </c>
      <c r="T18" s="128" t="s">
        <v>17</v>
      </c>
      <c r="U18" s="231" t="s">
        <v>17</v>
      </c>
      <c r="V18" s="41"/>
      <c r="Y18" s="228" t="s">
        <v>17</v>
      </c>
      <c r="Z18" s="128" t="s">
        <v>17</v>
      </c>
      <c r="AA18" s="231" t="s">
        <v>17</v>
      </c>
      <c r="AB18" s="228" t="s">
        <v>17</v>
      </c>
      <c r="AC18" s="128" t="s">
        <v>17</v>
      </c>
      <c r="AD18" s="128" t="s">
        <v>17</v>
      </c>
      <c r="AE18" s="128" t="s">
        <v>17</v>
      </c>
      <c r="AF18" s="128" t="s">
        <v>17</v>
      </c>
      <c r="AG18" s="231" t="s">
        <v>17</v>
      </c>
      <c r="AH18" s="128" t="s">
        <v>17</v>
      </c>
      <c r="AI18" s="128" t="s">
        <v>17</v>
      </c>
      <c r="AJ18" s="231" t="s">
        <v>17</v>
      </c>
      <c r="AK18" s="128" t="s">
        <v>17</v>
      </c>
      <c r="AL18" s="128" t="s">
        <v>17</v>
      </c>
      <c r="AM18" s="231" t="s">
        <v>17</v>
      </c>
      <c r="AN18" s="128" t="s">
        <v>17</v>
      </c>
      <c r="AO18" s="128" t="s">
        <v>17</v>
      </c>
      <c r="AP18" s="231" t="s">
        <v>17</v>
      </c>
      <c r="AQ18" s="128" t="s">
        <v>17</v>
      </c>
      <c r="AR18" s="128" t="s">
        <v>17</v>
      </c>
      <c r="AS18" s="231" t="s">
        <v>17</v>
      </c>
      <c r="AT18" s="128" t="s">
        <v>17</v>
      </c>
      <c r="AU18" s="128" t="s">
        <v>17</v>
      </c>
      <c r="AV18" s="231" t="s">
        <v>17</v>
      </c>
    </row>
    <row r="19" spans="1:48" ht="14.95" customHeight="1" thickBot="1" x14ac:dyDescent="0.3">
      <c r="A19" s="69" t="s">
        <v>70</v>
      </c>
      <c r="B19" s="479">
        <v>0</v>
      </c>
      <c r="C19" s="447">
        <v>0</v>
      </c>
      <c r="D19" s="70">
        <f t="shared" si="2"/>
        <v>0</v>
      </c>
      <c r="E19" s="493" t="s">
        <v>70</v>
      </c>
      <c r="F19" s="339">
        <v>0</v>
      </c>
      <c r="G19" s="490">
        <v>0</v>
      </c>
      <c r="H19" s="338">
        <f t="shared" si="1"/>
        <v>0</v>
      </c>
      <c r="I19" s="69" t="s">
        <v>243</v>
      </c>
      <c r="J19" s="70" t="s">
        <v>17</v>
      </c>
      <c r="K19" s="70" t="s">
        <v>17</v>
      </c>
      <c r="L19" s="71" t="s">
        <v>17</v>
      </c>
      <c r="M19" s="128" t="s">
        <v>17</v>
      </c>
      <c r="N19" s="128" t="s">
        <v>17</v>
      </c>
      <c r="O19" s="231" t="s">
        <v>17</v>
      </c>
      <c r="P19" s="128">
        <v>1</v>
      </c>
      <c r="Q19" s="128">
        <v>2</v>
      </c>
      <c r="R19" s="231">
        <f>SUM(P19/Q19)*100</f>
        <v>50</v>
      </c>
      <c r="S19" s="228" t="s">
        <v>17</v>
      </c>
      <c r="T19" s="128" t="s">
        <v>17</v>
      </c>
      <c r="U19" s="128" t="s">
        <v>17</v>
      </c>
      <c r="V19" s="41"/>
      <c r="Y19" s="228" t="s">
        <v>17</v>
      </c>
      <c r="Z19" s="128" t="s">
        <v>17</v>
      </c>
      <c r="AA19" s="128" t="s">
        <v>17</v>
      </c>
      <c r="AB19" s="228" t="s">
        <v>17</v>
      </c>
      <c r="AC19" s="128" t="s">
        <v>17</v>
      </c>
      <c r="AD19" s="128" t="s">
        <v>17</v>
      </c>
      <c r="AE19" s="228" t="s">
        <v>17</v>
      </c>
      <c r="AF19" s="128" t="s">
        <v>17</v>
      </c>
      <c r="AG19" s="128" t="s">
        <v>17</v>
      </c>
      <c r="AH19" s="228" t="s">
        <v>17</v>
      </c>
      <c r="AI19" s="128" t="s">
        <v>17</v>
      </c>
      <c r="AJ19" s="128" t="s">
        <v>17</v>
      </c>
      <c r="AK19" s="228" t="s">
        <v>17</v>
      </c>
      <c r="AL19" s="128" t="s">
        <v>17</v>
      </c>
      <c r="AM19" s="128" t="s">
        <v>17</v>
      </c>
      <c r="AN19" s="228" t="s">
        <v>17</v>
      </c>
      <c r="AO19" s="128" t="s">
        <v>17</v>
      </c>
      <c r="AP19" s="128" t="s">
        <v>17</v>
      </c>
      <c r="AQ19" s="228" t="s">
        <v>17</v>
      </c>
      <c r="AR19" s="128" t="s">
        <v>17</v>
      </c>
      <c r="AS19" s="128" t="s">
        <v>17</v>
      </c>
      <c r="AT19" s="228" t="s">
        <v>17</v>
      </c>
      <c r="AU19" s="128" t="s">
        <v>17</v>
      </c>
      <c r="AV19" s="128" t="s">
        <v>17</v>
      </c>
    </row>
    <row r="20" spans="1:48" ht="14.95" thickBot="1" x14ac:dyDescent="0.3">
      <c r="A20" s="69" t="s">
        <v>698</v>
      </c>
      <c r="B20" s="479">
        <v>0</v>
      </c>
      <c r="C20" s="447">
        <v>0</v>
      </c>
      <c r="D20" s="70">
        <f t="shared" si="2"/>
        <v>0</v>
      </c>
      <c r="E20" s="493" t="s">
        <v>698</v>
      </c>
      <c r="F20" s="339">
        <v>0</v>
      </c>
      <c r="G20" s="490">
        <v>0</v>
      </c>
      <c r="H20" s="338">
        <f t="shared" si="1"/>
        <v>0</v>
      </c>
      <c r="I20" s="69" t="s">
        <v>571</v>
      </c>
      <c r="J20" s="70">
        <v>9</v>
      </c>
      <c r="K20" s="70">
        <v>11</v>
      </c>
      <c r="L20" s="71">
        <f>SUM(J20/K20)*100</f>
        <v>81.818181818181827</v>
      </c>
      <c r="M20" s="128">
        <v>1</v>
      </c>
      <c r="N20" s="128">
        <v>2</v>
      </c>
      <c r="O20" s="231">
        <f>SUM(M20/N20)*100</f>
        <v>50</v>
      </c>
      <c r="P20" s="128">
        <v>7</v>
      </c>
      <c r="Q20" s="128">
        <v>11</v>
      </c>
      <c r="R20" s="231">
        <f>SUM(P20/Q20)*100</f>
        <v>63.636363636363633</v>
      </c>
      <c r="S20" s="228" t="s">
        <v>17</v>
      </c>
      <c r="T20" s="128" t="s">
        <v>17</v>
      </c>
      <c r="U20" s="128" t="s">
        <v>17</v>
      </c>
      <c r="V20" s="41"/>
      <c r="Y20" s="228" t="s">
        <v>17</v>
      </c>
      <c r="Z20" s="128" t="s">
        <v>17</v>
      </c>
      <c r="AA20" s="128" t="s">
        <v>17</v>
      </c>
      <c r="AB20" s="228" t="s">
        <v>17</v>
      </c>
      <c r="AC20" s="128" t="s">
        <v>17</v>
      </c>
      <c r="AD20" s="128" t="s">
        <v>17</v>
      </c>
      <c r="AE20" s="228" t="s">
        <v>17</v>
      </c>
      <c r="AF20" s="128" t="s">
        <v>17</v>
      </c>
      <c r="AG20" s="128" t="s">
        <v>17</v>
      </c>
      <c r="AH20" s="228" t="s">
        <v>17</v>
      </c>
      <c r="AI20" s="128" t="s">
        <v>17</v>
      </c>
      <c r="AJ20" s="128" t="s">
        <v>17</v>
      </c>
      <c r="AK20" s="228" t="s">
        <v>17</v>
      </c>
      <c r="AL20" s="128" t="s">
        <v>17</v>
      </c>
      <c r="AM20" s="128" t="s">
        <v>17</v>
      </c>
      <c r="AN20" s="228" t="s">
        <v>17</v>
      </c>
      <c r="AO20" s="128" t="s">
        <v>17</v>
      </c>
      <c r="AP20" s="128" t="s">
        <v>17</v>
      </c>
      <c r="AQ20" s="228" t="s">
        <v>17</v>
      </c>
      <c r="AR20" s="128" t="s">
        <v>17</v>
      </c>
      <c r="AS20" s="128" t="s">
        <v>17</v>
      </c>
      <c r="AT20" s="228" t="s">
        <v>17</v>
      </c>
      <c r="AU20" s="128" t="s">
        <v>17</v>
      </c>
      <c r="AV20" s="128" t="s">
        <v>17</v>
      </c>
    </row>
    <row r="21" spans="1:48" ht="14.95" thickBot="1" x14ac:dyDescent="0.3">
      <c r="A21" s="69" t="s">
        <v>696</v>
      </c>
      <c r="B21" s="479">
        <v>0</v>
      </c>
      <c r="C21" s="447">
        <v>0</v>
      </c>
      <c r="D21" s="70">
        <f t="shared" si="2"/>
        <v>0</v>
      </c>
      <c r="E21" s="493" t="s">
        <v>696</v>
      </c>
      <c r="F21" s="339">
        <v>0</v>
      </c>
      <c r="G21" s="490">
        <v>0</v>
      </c>
      <c r="H21" s="338">
        <f t="shared" si="1"/>
        <v>0</v>
      </c>
      <c r="I21" s="69" t="s">
        <v>81</v>
      </c>
      <c r="J21" s="70">
        <v>7</v>
      </c>
      <c r="K21" s="70">
        <v>8</v>
      </c>
      <c r="L21" s="71">
        <f>SUM(J21/K21)*100</f>
        <v>87.5</v>
      </c>
      <c r="M21" s="128">
        <v>10</v>
      </c>
      <c r="N21" s="128">
        <v>12</v>
      </c>
      <c r="O21" s="231">
        <f>SUM(M21/N21)*100</f>
        <v>83.333333333333343</v>
      </c>
      <c r="P21" s="128" t="s">
        <v>17</v>
      </c>
      <c r="Q21" s="128" t="s">
        <v>17</v>
      </c>
      <c r="R21" s="164" t="s">
        <v>17</v>
      </c>
      <c r="S21" s="228">
        <v>10</v>
      </c>
      <c r="T21" s="128">
        <v>10</v>
      </c>
      <c r="U21" s="164">
        <v>100</v>
      </c>
      <c r="V21" s="41"/>
      <c r="Y21" s="228">
        <v>23</v>
      </c>
      <c r="Z21" s="128">
        <v>31</v>
      </c>
      <c r="AA21" s="164">
        <f>SUM(Y21/Z21)*100</f>
        <v>74.193548387096769</v>
      </c>
      <c r="AB21" s="228" t="s">
        <v>17</v>
      </c>
      <c r="AC21" s="128" t="s">
        <v>17</v>
      </c>
      <c r="AD21" s="128" t="s">
        <v>17</v>
      </c>
      <c r="AE21" s="228">
        <v>12</v>
      </c>
      <c r="AF21" s="128">
        <v>15</v>
      </c>
      <c r="AG21" s="164">
        <f>SUM(AE21/AF21)*100</f>
        <v>80</v>
      </c>
      <c r="AH21" s="228">
        <v>19</v>
      </c>
      <c r="AI21" s="128">
        <v>26</v>
      </c>
      <c r="AJ21" s="231">
        <f>SUM(AH21/AI21)*100</f>
        <v>73.076923076923066</v>
      </c>
      <c r="AK21" s="228">
        <v>1</v>
      </c>
      <c r="AL21" s="128">
        <v>1</v>
      </c>
      <c r="AM21" s="231">
        <f>SUM(AK21/AL21)*100</f>
        <v>100</v>
      </c>
      <c r="AN21" s="228" t="s">
        <v>17</v>
      </c>
      <c r="AO21" s="128" t="s">
        <v>17</v>
      </c>
      <c r="AP21" s="128" t="s">
        <v>17</v>
      </c>
      <c r="AQ21" s="228">
        <v>12</v>
      </c>
      <c r="AR21" s="128">
        <v>14</v>
      </c>
      <c r="AS21" s="231">
        <f>SUM(AQ21/AR21)*100</f>
        <v>85.714285714285708</v>
      </c>
      <c r="AT21" s="228">
        <v>12</v>
      </c>
      <c r="AU21" s="128">
        <v>15</v>
      </c>
      <c r="AV21" s="231">
        <f>SUM(AT21/AU21)*100</f>
        <v>80</v>
      </c>
    </row>
    <row r="22" spans="1:48" ht="14.95" thickBot="1" x14ac:dyDescent="0.3">
      <c r="A22" s="69" t="s">
        <v>243</v>
      </c>
      <c r="B22" s="479">
        <v>0</v>
      </c>
      <c r="C22" s="447">
        <v>0</v>
      </c>
      <c r="D22" s="70">
        <f t="shared" si="2"/>
        <v>0</v>
      </c>
      <c r="E22" s="493" t="s">
        <v>243</v>
      </c>
      <c r="F22" s="339">
        <v>0</v>
      </c>
      <c r="G22" s="490">
        <v>0</v>
      </c>
      <c r="H22" s="338">
        <f t="shared" si="1"/>
        <v>0</v>
      </c>
      <c r="I22" s="173" t="s">
        <v>338</v>
      </c>
      <c r="J22" s="70" t="s">
        <v>17</v>
      </c>
      <c r="K22" s="70" t="s">
        <v>17</v>
      </c>
      <c r="L22" s="71" t="s">
        <v>17</v>
      </c>
      <c r="M22" s="128" t="s">
        <v>17</v>
      </c>
      <c r="N22" s="128" t="s">
        <v>17</v>
      </c>
      <c r="O22" s="231" t="s">
        <v>17</v>
      </c>
      <c r="P22" s="128" t="s">
        <v>17</v>
      </c>
      <c r="Q22" s="128" t="s">
        <v>17</v>
      </c>
      <c r="R22" s="231" t="s">
        <v>17</v>
      </c>
      <c r="S22" s="228">
        <v>3</v>
      </c>
      <c r="T22" s="128">
        <v>7</v>
      </c>
      <c r="U22" s="128">
        <v>43</v>
      </c>
      <c r="V22" s="41"/>
      <c r="Y22" s="228">
        <v>0</v>
      </c>
      <c r="Z22" s="128">
        <v>1</v>
      </c>
      <c r="AA22" s="128">
        <f>SUM(Y22/Z22)*100</f>
        <v>0</v>
      </c>
      <c r="AB22" s="228" t="s">
        <v>17</v>
      </c>
      <c r="AC22" s="128" t="s">
        <v>17</v>
      </c>
      <c r="AD22" s="128" t="s">
        <v>17</v>
      </c>
      <c r="AE22" s="228" t="s">
        <v>17</v>
      </c>
      <c r="AF22" s="128" t="s">
        <v>17</v>
      </c>
      <c r="AG22" s="128" t="s">
        <v>17</v>
      </c>
      <c r="AH22" s="228" t="s">
        <v>17</v>
      </c>
      <c r="AI22" s="128" t="s">
        <v>17</v>
      </c>
      <c r="AJ22" s="128" t="s">
        <v>17</v>
      </c>
      <c r="AK22" s="228" t="s">
        <v>17</v>
      </c>
      <c r="AL22" s="128" t="s">
        <v>17</v>
      </c>
      <c r="AM22" s="128" t="s">
        <v>17</v>
      </c>
      <c r="AN22" s="228" t="s">
        <v>17</v>
      </c>
      <c r="AO22" s="128" t="s">
        <v>17</v>
      </c>
      <c r="AP22" s="128" t="s">
        <v>17</v>
      </c>
      <c r="AQ22" s="228" t="s">
        <v>17</v>
      </c>
      <c r="AR22" s="128" t="s">
        <v>17</v>
      </c>
      <c r="AS22" s="128" t="s">
        <v>17</v>
      </c>
      <c r="AT22" s="228" t="s">
        <v>17</v>
      </c>
      <c r="AU22" s="128" t="s">
        <v>17</v>
      </c>
      <c r="AV22" s="128" t="s">
        <v>17</v>
      </c>
    </row>
    <row r="23" spans="1:48" ht="14.95" thickBot="1" x14ac:dyDescent="0.3">
      <c r="A23" s="69" t="s">
        <v>80</v>
      </c>
      <c r="B23" s="479">
        <v>0</v>
      </c>
      <c r="C23" s="447">
        <v>0</v>
      </c>
      <c r="D23" s="70">
        <f t="shared" si="2"/>
        <v>0</v>
      </c>
      <c r="E23" s="493" t="s">
        <v>80</v>
      </c>
      <c r="F23" s="339">
        <v>0</v>
      </c>
      <c r="G23" s="490">
        <v>0</v>
      </c>
      <c r="H23" s="338">
        <f t="shared" si="1"/>
        <v>0</v>
      </c>
      <c r="I23" s="40"/>
      <c r="J23" s="121"/>
      <c r="K23" s="121"/>
      <c r="L23" s="121"/>
      <c r="M23" s="121"/>
      <c r="N23" s="121"/>
      <c r="O23" s="121"/>
    </row>
    <row r="24" spans="1:48" ht="14.95" thickBot="1" x14ac:dyDescent="0.3">
      <c r="A24" s="69" t="s">
        <v>703</v>
      </c>
      <c r="B24" s="479">
        <v>0</v>
      </c>
      <c r="C24" s="447">
        <v>0</v>
      </c>
      <c r="D24" s="70">
        <f t="shared" si="2"/>
        <v>0</v>
      </c>
      <c r="E24" s="493" t="s">
        <v>703</v>
      </c>
      <c r="F24" s="339">
        <v>0</v>
      </c>
      <c r="G24" s="490">
        <v>0</v>
      </c>
      <c r="H24" s="338">
        <f t="shared" si="1"/>
        <v>0</v>
      </c>
      <c r="I24" s="577" t="s">
        <v>33</v>
      </c>
      <c r="J24" s="737">
        <v>2023</v>
      </c>
      <c r="K24" s="738"/>
      <c r="L24" s="739"/>
      <c r="M24" s="737">
        <v>2019</v>
      </c>
      <c r="N24" s="738"/>
      <c r="O24" s="739"/>
      <c r="P24" s="737">
        <v>2015</v>
      </c>
      <c r="Q24" s="738"/>
      <c r="R24" s="739"/>
    </row>
    <row r="25" spans="1:48" ht="14.95" thickBot="1" x14ac:dyDescent="0.3">
      <c r="A25" s="69" t="s">
        <v>208</v>
      </c>
      <c r="B25" s="479">
        <v>0</v>
      </c>
      <c r="C25" s="447">
        <v>0</v>
      </c>
      <c r="D25" s="70">
        <f t="shared" si="2"/>
        <v>0</v>
      </c>
      <c r="E25" s="493" t="s">
        <v>208</v>
      </c>
      <c r="F25" s="339">
        <v>0</v>
      </c>
      <c r="G25" s="490">
        <v>0</v>
      </c>
      <c r="H25" s="338">
        <f t="shared" si="1"/>
        <v>0</v>
      </c>
      <c r="I25" s="578"/>
      <c r="J25" s="740"/>
      <c r="K25" s="741"/>
      <c r="L25" s="742"/>
      <c r="M25" s="740"/>
      <c r="N25" s="741"/>
      <c r="O25" s="742"/>
      <c r="P25" s="740"/>
      <c r="Q25" s="741"/>
      <c r="R25" s="742"/>
    </row>
    <row r="26" spans="1:48" ht="14.95" thickBot="1" x14ac:dyDescent="0.3">
      <c r="A26" s="69" t="s">
        <v>571</v>
      </c>
      <c r="B26" s="479">
        <v>0</v>
      </c>
      <c r="C26" s="447">
        <v>0</v>
      </c>
      <c r="D26" s="70">
        <f t="shared" si="2"/>
        <v>0</v>
      </c>
      <c r="E26" s="493" t="s">
        <v>571</v>
      </c>
      <c r="F26" s="339">
        <v>0</v>
      </c>
      <c r="G26" s="490">
        <v>0</v>
      </c>
      <c r="H26" s="338">
        <f t="shared" si="1"/>
        <v>0</v>
      </c>
      <c r="I26" s="4"/>
      <c r="J26" s="128" t="s">
        <v>152</v>
      </c>
      <c r="K26" s="128" t="s">
        <v>12</v>
      </c>
      <c r="L26" s="128" t="s">
        <v>13</v>
      </c>
      <c r="M26" s="128" t="s">
        <v>152</v>
      </c>
      <c r="N26" s="128" t="s">
        <v>12</v>
      </c>
      <c r="O26" s="128" t="s">
        <v>13</v>
      </c>
      <c r="P26" s="128" t="s">
        <v>152</v>
      </c>
      <c r="Q26" s="128" t="s">
        <v>12</v>
      </c>
      <c r="R26" s="128" t="s">
        <v>13</v>
      </c>
    </row>
    <row r="27" spans="1:48" ht="14.95" thickBot="1" x14ac:dyDescent="0.3">
      <c r="A27" s="69" t="s">
        <v>1139</v>
      </c>
      <c r="B27" s="479">
        <v>0</v>
      </c>
      <c r="C27" s="447">
        <v>0</v>
      </c>
      <c r="D27" s="70">
        <f t="shared" si="2"/>
        <v>0</v>
      </c>
      <c r="E27" s="493" t="s">
        <v>1139</v>
      </c>
      <c r="F27" s="339">
        <v>0</v>
      </c>
      <c r="G27" s="490">
        <v>0</v>
      </c>
      <c r="H27" s="338">
        <f t="shared" si="1"/>
        <v>0</v>
      </c>
      <c r="I27" s="69" t="s">
        <v>206</v>
      </c>
      <c r="J27" s="128">
        <v>3</v>
      </c>
      <c r="K27" s="128">
        <v>8</v>
      </c>
      <c r="L27" s="231">
        <f>SUM(J27/K27)*100</f>
        <v>37.5</v>
      </c>
      <c r="M27" s="165" t="s">
        <v>17</v>
      </c>
      <c r="N27" s="165" t="s">
        <v>17</v>
      </c>
      <c r="O27" s="164" t="s">
        <v>17</v>
      </c>
      <c r="P27" s="165" t="s">
        <v>17</v>
      </c>
      <c r="Q27" s="165" t="s">
        <v>17</v>
      </c>
      <c r="R27" s="164" t="s">
        <v>17</v>
      </c>
    </row>
    <row r="28" spans="1:48" ht="14.95" thickBot="1" x14ac:dyDescent="0.3">
      <c r="A28" s="69" t="s">
        <v>1390</v>
      </c>
      <c r="B28" s="479">
        <v>0</v>
      </c>
      <c r="C28" s="447">
        <v>0</v>
      </c>
      <c r="D28" s="70">
        <f t="shared" si="2"/>
        <v>0</v>
      </c>
      <c r="E28" s="493" t="s">
        <v>1390</v>
      </c>
      <c r="F28" s="339">
        <v>0</v>
      </c>
      <c r="G28" s="490">
        <v>0</v>
      </c>
      <c r="H28" s="338">
        <f t="shared" si="1"/>
        <v>0</v>
      </c>
      <c r="I28" s="69" t="s">
        <v>243</v>
      </c>
      <c r="J28" s="128" t="s">
        <v>17</v>
      </c>
      <c r="K28" s="128" t="s">
        <v>17</v>
      </c>
      <c r="L28" s="231" t="s">
        <v>17</v>
      </c>
      <c r="M28" s="165" t="s">
        <v>17</v>
      </c>
      <c r="N28" s="165" t="s">
        <v>17</v>
      </c>
      <c r="O28" s="164" t="s">
        <v>17</v>
      </c>
      <c r="P28" s="165" t="s">
        <v>17</v>
      </c>
      <c r="Q28" s="165" t="s">
        <v>17</v>
      </c>
      <c r="R28" s="164" t="s">
        <v>17</v>
      </c>
    </row>
    <row r="29" spans="1:48" ht="14.95" thickBot="1" x14ac:dyDescent="0.3">
      <c r="A29" s="69" t="s">
        <v>202</v>
      </c>
      <c r="B29" s="479">
        <v>0</v>
      </c>
      <c r="C29" s="447">
        <v>0</v>
      </c>
      <c r="D29" s="70">
        <f t="shared" si="2"/>
        <v>0</v>
      </c>
      <c r="E29" s="493" t="s">
        <v>202</v>
      </c>
      <c r="F29" s="339">
        <v>0</v>
      </c>
      <c r="G29" s="490">
        <v>0</v>
      </c>
      <c r="H29" s="338">
        <f t="shared" si="1"/>
        <v>0</v>
      </c>
      <c r="I29" s="69" t="s">
        <v>571</v>
      </c>
      <c r="J29" s="128">
        <v>9</v>
      </c>
      <c r="K29" s="128">
        <v>14</v>
      </c>
      <c r="L29" s="231">
        <f>SUM(J29/K29)*100</f>
        <v>64.285714285714292</v>
      </c>
      <c r="M29" s="165" t="s">
        <v>17</v>
      </c>
      <c r="N29" s="165" t="s">
        <v>17</v>
      </c>
      <c r="O29" s="164" t="s">
        <v>17</v>
      </c>
      <c r="P29" s="165" t="s">
        <v>17</v>
      </c>
      <c r="Q29" s="165" t="s">
        <v>17</v>
      </c>
      <c r="R29" s="164" t="s">
        <v>17</v>
      </c>
    </row>
    <row r="30" spans="1:48" ht="14.95" thickBot="1" x14ac:dyDescent="0.3">
      <c r="A30" s="69" t="s">
        <v>147</v>
      </c>
      <c r="B30" s="479">
        <v>0</v>
      </c>
      <c r="C30" s="447">
        <v>0</v>
      </c>
      <c r="D30" s="70">
        <f t="shared" si="2"/>
        <v>0</v>
      </c>
      <c r="E30" s="493" t="s">
        <v>147</v>
      </c>
      <c r="F30" s="339">
        <v>0</v>
      </c>
      <c r="G30" s="490">
        <v>0</v>
      </c>
      <c r="H30" s="338">
        <f t="shared" si="1"/>
        <v>0</v>
      </c>
      <c r="I30" s="173" t="s">
        <v>81</v>
      </c>
      <c r="J30" s="128">
        <v>13</v>
      </c>
      <c r="K30" s="128">
        <v>13</v>
      </c>
      <c r="L30" s="231">
        <f>SUM(J30/K30)*100</f>
        <v>100</v>
      </c>
      <c r="M30" s="165">
        <v>25</v>
      </c>
      <c r="N30" s="165">
        <v>34</v>
      </c>
      <c r="O30" s="164">
        <f>SUM(M30/N30)*100</f>
        <v>73.529411764705884</v>
      </c>
      <c r="P30" s="165">
        <v>32</v>
      </c>
      <c r="Q30" s="165">
        <v>42</v>
      </c>
      <c r="R30" s="164">
        <f>SUM(P30/Q30)*100</f>
        <v>76.19047619047619</v>
      </c>
    </row>
    <row r="31" spans="1:48" ht="14.95" thickBot="1" x14ac:dyDescent="0.3">
      <c r="A31" s="69" t="s">
        <v>161</v>
      </c>
      <c r="B31" s="479">
        <v>0</v>
      </c>
      <c r="C31" s="447">
        <v>0</v>
      </c>
      <c r="D31" s="70">
        <f t="shared" si="2"/>
        <v>0</v>
      </c>
      <c r="E31" s="493" t="s">
        <v>161</v>
      </c>
      <c r="F31" s="339">
        <v>0</v>
      </c>
      <c r="G31" s="490">
        <v>0</v>
      </c>
      <c r="H31" s="338">
        <f t="shared" si="1"/>
        <v>0</v>
      </c>
      <c r="I31" s="173" t="s">
        <v>338</v>
      </c>
      <c r="J31" s="128">
        <v>5</v>
      </c>
      <c r="K31" s="128">
        <v>7</v>
      </c>
      <c r="L31" s="231">
        <f>SUM(J31/K31)*100</f>
        <v>71.428571428571431</v>
      </c>
      <c r="M31" s="165" t="s">
        <v>17</v>
      </c>
      <c r="N31" s="165" t="s">
        <v>17</v>
      </c>
      <c r="O31" s="164" t="s">
        <v>17</v>
      </c>
      <c r="P31" s="165" t="s">
        <v>17</v>
      </c>
      <c r="Q31" s="165" t="s">
        <v>17</v>
      </c>
      <c r="R31" s="164" t="s">
        <v>17</v>
      </c>
      <c r="T31" s="123"/>
      <c r="U31" s="123"/>
    </row>
    <row r="32" spans="1:48" ht="14.95" thickBot="1" x14ac:dyDescent="0.3">
      <c r="A32" s="69" t="s">
        <v>532</v>
      </c>
      <c r="B32" s="479">
        <v>0</v>
      </c>
      <c r="C32" s="447">
        <v>0</v>
      </c>
      <c r="D32" s="70">
        <f t="shared" si="2"/>
        <v>0</v>
      </c>
      <c r="E32" s="493" t="s">
        <v>532</v>
      </c>
      <c r="F32" s="339">
        <v>0</v>
      </c>
      <c r="G32" s="490">
        <v>0</v>
      </c>
      <c r="H32" s="338">
        <f t="shared" si="1"/>
        <v>0</v>
      </c>
    </row>
    <row r="33" spans="1:48" ht="14.95" thickBot="1" x14ac:dyDescent="0.3">
      <c r="A33" s="69" t="s">
        <v>162</v>
      </c>
      <c r="B33" s="479">
        <v>0</v>
      </c>
      <c r="C33" s="447">
        <v>0</v>
      </c>
      <c r="D33" s="70">
        <f t="shared" si="2"/>
        <v>0</v>
      </c>
      <c r="E33" s="493" t="s">
        <v>162</v>
      </c>
      <c r="F33" s="339">
        <v>0</v>
      </c>
      <c r="G33" s="490">
        <v>0</v>
      </c>
      <c r="H33" s="338">
        <f t="shared" si="1"/>
        <v>0</v>
      </c>
      <c r="I33" s="658" t="s">
        <v>1358</v>
      </c>
      <c r="J33" s="635"/>
      <c r="K33" s="635"/>
      <c r="L33" s="635"/>
      <c r="M33" s="635"/>
      <c r="N33" s="635"/>
      <c r="O33" s="635"/>
      <c r="P33" s="635"/>
      <c r="Q33" s="635"/>
      <c r="R33" s="635"/>
      <c r="S33" s="86"/>
      <c r="T33" s="86"/>
      <c r="U33" s="86"/>
      <c r="V33" s="86"/>
      <c r="W33" s="86"/>
      <c r="X33" s="86"/>
      <c r="Y33" s="86"/>
      <c r="Z33" s="86"/>
      <c r="AA33" s="86"/>
      <c r="AB33" s="86"/>
      <c r="AC33" s="86"/>
      <c r="AD33" s="86"/>
      <c r="AE33" s="86"/>
      <c r="AF33" s="86"/>
      <c r="AG33" s="86"/>
      <c r="AH33" s="86"/>
      <c r="AI33" s="86"/>
      <c r="AJ33" s="86"/>
      <c r="AK33" s="86"/>
      <c r="AL33" s="86"/>
      <c r="AM33" s="86"/>
      <c r="AN33" s="86"/>
      <c r="AO33" s="86"/>
      <c r="AP33" s="86"/>
      <c r="AQ33" s="86"/>
      <c r="AR33" s="86"/>
      <c r="AS33" s="86"/>
      <c r="AT33" s="86"/>
      <c r="AU33" s="86"/>
      <c r="AV33" s="86"/>
    </row>
    <row r="34" spans="1:48" ht="14.95" thickBot="1" x14ac:dyDescent="0.3">
      <c r="A34" s="69" t="s">
        <v>697</v>
      </c>
      <c r="B34" s="479">
        <v>0</v>
      </c>
      <c r="C34" s="447">
        <v>0</v>
      </c>
      <c r="D34" s="70">
        <f t="shared" si="2"/>
        <v>0</v>
      </c>
      <c r="E34" s="493" t="s">
        <v>697</v>
      </c>
      <c r="F34" s="339">
        <v>0</v>
      </c>
      <c r="G34" s="490">
        <v>0</v>
      </c>
      <c r="H34" s="338">
        <f t="shared" si="1"/>
        <v>0</v>
      </c>
    </row>
    <row r="35" spans="1:48" ht="14.95" thickBot="1" x14ac:dyDescent="0.3">
      <c r="A35" s="69" t="s">
        <v>1444</v>
      </c>
      <c r="B35" s="479">
        <v>0</v>
      </c>
      <c r="C35" s="447">
        <v>0</v>
      </c>
      <c r="D35" s="70">
        <f t="shared" si="2"/>
        <v>0</v>
      </c>
      <c r="E35" s="493" t="s">
        <v>1444</v>
      </c>
      <c r="F35" s="339">
        <v>0</v>
      </c>
      <c r="G35" s="490">
        <v>0</v>
      </c>
      <c r="H35" s="338">
        <f t="shared" si="1"/>
        <v>0</v>
      </c>
    </row>
    <row r="36" spans="1:48" ht="14.95" thickBot="1" x14ac:dyDescent="0.3">
      <c r="A36" s="69" t="s">
        <v>699</v>
      </c>
      <c r="B36" s="479">
        <v>0</v>
      </c>
      <c r="C36" s="447">
        <v>0</v>
      </c>
      <c r="D36" s="70">
        <f t="shared" si="2"/>
        <v>0</v>
      </c>
      <c r="E36" s="493" t="s">
        <v>699</v>
      </c>
      <c r="F36" s="339">
        <v>0</v>
      </c>
      <c r="G36" s="490">
        <v>0</v>
      </c>
      <c r="H36" s="338">
        <f t="shared" si="1"/>
        <v>0</v>
      </c>
    </row>
    <row r="37" spans="1:48" ht="14.95" thickBot="1" x14ac:dyDescent="0.3">
      <c r="A37" s="69" t="s">
        <v>4</v>
      </c>
      <c r="B37" s="479">
        <v>0</v>
      </c>
      <c r="C37" s="447">
        <v>0</v>
      </c>
      <c r="D37" s="70">
        <f t="shared" si="2"/>
        <v>0</v>
      </c>
      <c r="E37" s="493" t="s">
        <v>4</v>
      </c>
      <c r="F37" s="339">
        <v>0</v>
      </c>
      <c r="G37" s="490">
        <v>0</v>
      </c>
      <c r="H37" s="338">
        <f t="shared" si="1"/>
        <v>0</v>
      </c>
    </row>
    <row r="38" spans="1:48" ht="14.95" thickBot="1" x14ac:dyDescent="0.3">
      <c r="A38" s="69" t="s">
        <v>81</v>
      </c>
      <c r="B38" s="479">
        <v>0</v>
      </c>
      <c r="C38" s="447">
        <v>0</v>
      </c>
      <c r="D38" s="70">
        <f t="shared" si="2"/>
        <v>0</v>
      </c>
      <c r="E38" s="493" t="s">
        <v>81</v>
      </c>
      <c r="F38" s="339">
        <v>0</v>
      </c>
      <c r="G38" s="490">
        <v>0</v>
      </c>
      <c r="H38" s="338">
        <f t="shared" si="1"/>
        <v>0</v>
      </c>
    </row>
    <row r="39" spans="1:48" ht="14.95" customHeight="1" thickBot="1" x14ac:dyDescent="0.3">
      <c r="A39" s="69" t="s">
        <v>311</v>
      </c>
      <c r="B39" s="479">
        <v>0</v>
      </c>
      <c r="C39" s="447">
        <v>0</v>
      </c>
      <c r="D39" s="70">
        <f t="shared" si="2"/>
        <v>0</v>
      </c>
      <c r="E39" s="493" t="s">
        <v>311</v>
      </c>
      <c r="F39" s="339">
        <v>0</v>
      </c>
      <c r="G39" s="490">
        <v>0</v>
      </c>
      <c r="H39" s="338">
        <f t="shared" si="1"/>
        <v>0</v>
      </c>
    </row>
    <row r="40" spans="1:48" ht="14.95" thickBot="1" x14ac:dyDescent="0.3">
      <c r="A40" s="69" t="s">
        <v>21</v>
      </c>
      <c r="B40" s="479">
        <v>0</v>
      </c>
      <c r="C40" s="447">
        <v>0</v>
      </c>
      <c r="D40" s="70">
        <f>SUM(B40:C40)</f>
        <v>0</v>
      </c>
      <c r="E40" s="493" t="s">
        <v>21</v>
      </c>
      <c r="F40" s="339">
        <v>0</v>
      </c>
      <c r="G40" s="490">
        <v>0</v>
      </c>
      <c r="H40" s="338">
        <f t="shared" si="1"/>
        <v>0</v>
      </c>
    </row>
    <row r="41" spans="1:48" ht="14.95" thickBot="1" x14ac:dyDescent="0.3">
      <c r="A41" s="69" t="s">
        <v>700</v>
      </c>
      <c r="B41" s="479">
        <v>0</v>
      </c>
      <c r="C41" s="447">
        <v>0</v>
      </c>
      <c r="D41" s="70">
        <f t="shared" si="2"/>
        <v>0</v>
      </c>
      <c r="E41" s="493" t="s">
        <v>700</v>
      </c>
      <c r="F41" s="339">
        <v>0</v>
      </c>
      <c r="G41" s="490">
        <v>0</v>
      </c>
      <c r="H41" s="338">
        <f t="shared" si="1"/>
        <v>0</v>
      </c>
    </row>
    <row r="42" spans="1:48" ht="14.95" thickBot="1" x14ac:dyDescent="0.3">
      <c r="A42" s="69" t="s">
        <v>1140</v>
      </c>
      <c r="B42" s="479">
        <v>0</v>
      </c>
      <c r="C42" s="447">
        <v>0</v>
      </c>
      <c r="D42" s="70">
        <f t="shared" si="2"/>
        <v>0</v>
      </c>
      <c r="E42" s="493" t="s">
        <v>220</v>
      </c>
      <c r="F42" s="339">
        <v>0</v>
      </c>
      <c r="G42" s="490">
        <v>0</v>
      </c>
      <c r="H42" s="338">
        <f t="shared" si="1"/>
        <v>0</v>
      </c>
    </row>
    <row r="43" spans="1:48" ht="14.95" thickBot="1" x14ac:dyDescent="0.3">
      <c r="A43" s="69" t="s">
        <v>1238</v>
      </c>
      <c r="B43" s="479">
        <v>0</v>
      </c>
      <c r="C43" s="447">
        <v>0</v>
      </c>
      <c r="D43" s="70">
        <f t="shared" si="2"/>
        <v>0</v>
      </c>
      <c r="E43" s="493" t="s">
        <v>1238</v>
      </c>
      <c r="F43" s="339">
        <v>0</v>
      </c>
      <c r="G43" s="490">
        <v>0</v>
      </c>
      <c r="H43" s="338">
        <f t="shared" si="1"/>
        <v>0</v>
      </c>
    </row>
    <row r="44" spans="1:48" ht="14.95" thickBot="1" x14ac:dyDescent="0.3">
      <c r="A44" s="69" t="s">
        <v>944</v>
      </c>
      <c r="B44" s="479">
        <v>0</v>
      </c>
      <c r="C44" s="447">
        <v>0</v>
      </c>
      <c r="D44" s="70">
        <f t="shared" si="2"/>
        <v>0</v>
      </c>
      <c r="E44" s="493" t="s">
        <v>944</v>
      </c>
      <c r="F44" s="339">
        <v>0</v>
      </c>
      <c r="G44" s="490">
        <v>0</v>
      </c>
      <c r="H44" s="338">
        <f t="shared" si="1"/>
        <v>0</v>
      </c>
    </row>
    <row r="45" spans="1:48" ht="14.95" thickBot="1" x14ac:dyDescent="0.3">
      <c r="A45" s="69" t="s">
        <v>1302</v>
      </c>
      <c r="B45" s="479">
        <v>0</v>
      </c>
      <c r="C45" s="447">
        <v>0</v>
      </c>
      <c r="D45" s="70">
        <f t="shared" si="2"/>
        <v>0</v>
      </c>
      <c r="E45" s="493" t="s">
        <v>1302</v>
      </c>
      <c r="F45" s="339">
        <v>0</v>
      </c>
      <c r="G45" s="490">
        <v>0</v>
      </c>
      <c r="H45" s="338">
        <f t="shared" si="1"/>
        <v>0</v>
      </c>
    </row>
    <row r="46" spans="1:48" ht="14.95" thickBot="1" x14ac:dyDescent="0.3">
      <c r="A46" s="69" t="s">
        <v>701</v>
      </c>
      <c r="B46" s="479">
        <v>0</v>
      </c>
      <c r="C46" s="447">
        <v>0</v>
      </c>
      <c r="D46" s="70">
        <f t="shared" si="2"/>
        <v>0</v>
      </c>
      <c r="E46" s="493" t="s">
        <v>701</v>
      </c>
      <c r="F46" s="339">
        <v>0</v>
      </c>
      <c r="G46" s="490">
        <v>0</v>
      </c>
      <c r="H46" s="338">
        <f t="shared" si="1"/>
        <v>0</v>
      </c>
    </row>
    <row r="47" spans="1:48" ht="14.95" thickBot="1" x14ac:dyDescent="0.3">
      <c r="A47" s="69" t="s">
        <v>1024</v>
      </c>
      <c r="B47" s="479">
        <v>0</v>
      </c>
      <c r="C47" s="447">
        <v>0</v>
      </c>
      <c r="D47" s="70">
        <f t="shared" si="2"/>
        <v>0</v>
      </c>
      <c r="E47" s="493" t="s">
        <v>1024</v>
      </c>
      <c r="F47" s="339">
        <v>0</v>
      </c>
      <c r="G47" s="490">
        <v>0</v>
      </c>
      <c r="H47" s="338">
        <f t="shared" si="1"/>
        <v>0</v>
      </c>
    </row>
    <row r="48" spans="1:48" ht="14.95" thickBot="1" x14ac:dyDescent="0.3">
      <c r="A48" s="69" t="s">
        <v>1301</v>
      </c>
      <c r="B48" s="479">
        <v>0</v>
      </c>
      <c r="C48" s="447">
        <v>0</v>
      </c>
      <c r="D48" s="70">
        <f t="shared" si="2"/>
        <v>0</v>
      </c>
      <c r="E48" s="493" t="s">
        <v>1301</v>
      </c>
      <c r="F48" s="339">
        <v>0</v>
      </c>
      <c r="G48" s="490">
        <v>0</v>
      </c>
      <c r="H48" s="338">
        <f t="shared" si="1"/>
        <v>0</v>
      </c>
    </row>
    <row r="49" spans="1:8" ht="14.95" thickBot="1" x14ac:dyDescent="0.3">
      <c r="A49" s="69" t="s">
        <v>1017</v>
      </c>
      <c r="B49" s="479">
        <v>0</v>
      </c>
      <c r="C49" s="447">
        <v>0</v>
      </c>
      <c r="D49" s="70">
        <f t="shared" si="2"/>
        <v>0</v>
      </c>
      <c r="E49" s="493" t="s">
        <v>1017</v>
      </c>
      <c r="F49" s="339">
        <v>0</v>
      </c>
      <c r="G49" s="490">
        <v>0</v>
      </c>
      <c r="H49" s="338">
        <f t="shared" si="1"/>
        <v>0</v>
      </c>
    </row>
    <row r="50" spans="1:8" ht="14.95" thickBot="1" x14ac:dyDescent="0.3">
      <c r="A50" s="69" t="s">
        <v>536</v>
      </c>
      <c r="B50" s="479">
        <v>0</v>
      </c>
      <c r="C50" s="447">
        <v>0</v>
      </c>
      <c r="D50" s="70">
        <f t="shared" si="2"/>
        <v>0</v>
      </c>
      <c r="E50" s="493" t="s">
        <v>536</v>
      </c>
      <c r="F50" s="339">
        <v>0</v>
      </c>
      <c r="G50" s="490">
        <v>0</v>
      </c>
      <c r="H50" s="338">
        <f t="shared" si="1"/>
        <v>0</v>
      </c>
    </row>
    <row r="51" spans="1:8" ht="14.95" thickBot="1" x14ac:dyDescent="0.3">
      <c r="A51" s="69" t="s">
        <v>655</v>
      </c>
      <c r="B51" s="479">
        <v>0</v>
      </c>
      <c r="C51" s="447">
        <v>0</v>
      </c>
      <c r="D51" s="70">
        <f t="shared" si="2"/>
        <v>0</v>
      </c>
      <c r="E51" s="493" t="s">
        <v>655</v>
      </c>
      <c r="F51" s="339">
        <v>0</v>
      </c>
      <c r="G51" s="490">
        <v>0</v>
      </c>
      <c r="H51" s="338">
        <f t="shared" si="1"/>
        <v>0</v>
      </c>
    </row>
    <row r="52" spans="1:8" ht="14.95" thickBot="1" x14ac:dyDescent="0.3">
      <c r="A52" s="69" t="s">
        <v>338</v>
      </c>
      <c r="B52" s="479">
        <v>0</v>
      </c>
      <c r="C52" s="447">
        <v>0</v>
      </c>
      <c r="D52" s="70">
        <f t="shared" si="2"/>
        <v>0</v>
      </c>
      <c r="E52" s="493" t="s">
        <v>338</v>
      </c>
      <c r="F52" s="339">
        <v>0</v>
      </c>
      <c r="G52" s="490">
        <v>0</v>
      </c>
      <c r="H52" s="338">
        <f t="shared" si="1"/>
        <v>0</v>
      </c>
    </row>
    <row r="53" spans="1:8" ht="14.95" thickBot="1" x14ac:dyDescent="0.3">
      <c r="A53" s="69" t="s">
        <v>3</v>
      </c>
      <c r="B53" s="479">
        <f>SUM(B3:B52)</f>
        <v>0</v>
      </c>
      <c r="C53" s="447">
        <f>SUM(C3:C52)</f>
        <v>0</v>
      </c>
      <c r="D53" s="70">
        <f>SUM(D3:D52)</f>
        <v>0</v>
      </c>
      <c r="E53" s="492" t="s">
        <v>3</v>
      </c>
      <c r="F53" s="339">
        <f>SUM(F3:F52)</f>
        <v>0</v>
      </c>
      <c r="G53" s="490">
        <f>SUM(G3:G52)</f>
        <v>0</v>
      </c>
      <c r="H53" s="338">
        <f>SUM(H3:H52)</f>
        <v>0</v>
      </c>
    </row>
    <row r="54" spans="1:8" x14ac:dyDescent="0.25">
      <c r="E54" s="11"/>
      <c r="F54" s="11"/>
      <c r="G54" s="11"/>
      <c r="H54" s="11"/>
    </row>
    <row r="55" spans="1:8" x14ac:dyDescent="0.25">
      <c r="A55" t="s">
        <v>15</v>
      </c>
      <c r="E55" s="9"/>
      <c r="F55" s="9"/>
      <c r="G55" s="9"/>
      <c r="H55" s="9"/>
    </row>
    <row r="56" spans="1:8" ht="16.3" x14ac:dyDescent="0.3">
      <c r="A56" s="487" t="s">
        <v>28</v>
      </c>
      <c r="C56" s="390"/>
      <c r="E56" s="390"/>
      <c r="G56" s="390"/>
    </row>
  </sheetData>
  <mergeCells count="34">
    <mergeCell ref="A1:H1"/>
    <mergeCell ref="AE13:AG14"/>
    <mergeCell ref="M13:O14"/>
    <mergeCell ref="I24:I25"/>
    <mergeCell ref="J24:L25"/>
    <mergeCell ref="M24:O25"/>
    <mergeCell ref="P24:R25"/>
    <mergeCell ref="I13:I14"/>
    <mergeCell ref="J13:L14"/>
    <mergeCell ref="I1:I2"/>
    <mergeCell ref="J1:L2"/>
    <mergeCell ref="Y1:AA2"/>
    <mergeCell ref="AT13:AV14"/>
    <mergeCell ref="S13:U14"/>
    <mergeCell ref="V13:V14"/>
    <mergeCell ref="AN13:AP14"/>
    <mergeCell ref="AB13:AD14"/>
    <mergeCell ref="Y13:AA14"/>
    <mergeCell ref="I33:R33"/>
    <mergeCell ref="AT1:AV2"/>
    <mergeCell ref="AQ13:AS14"/>
    <mergeCell ref="AH13:AJ14"/>
    <mergeCell ref="M1:O2"/>
    <mergeCell ref="P1:P2"/>
    <mergeCell ref="AQ1:AS2"/>
    <mergeCell ref="AN1:AP2"/>
    <mergeCell ref="T1:V2"/>
    <mergeCell ref="AK1:AM2"/>
    <mergeCell ref="AK13:AM14"/>
    <mergeCell ref="P13:R14"/>
    <mergeCell ref="AH1:AJ2"/>
    <mergeCell ref="AE1:AG2"/>
    <mergeCell ref="Q1:S2"/>
    <mergeCell ref="AB1:AD2"/>
  </mergeCells>
  <pageMargins left="0.7" right="0.7" top="0.75" bottom="0.75" header="0.3" footer="0.3"/>
  <pageSetup orientation="portrait" horizontalDpi="360" verticalDpi="360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A68B03-BA16-4F5E-95CA-E3ADDD759FEB}">
  <dimension ref="A1:P45"/>
  <sheetViews>
    <sheetView workbookViewId="0">
      <selection activeCell="I16" sqref="I16:I17"/>
    </sheetView>
  </sheetViews>
  <sheetFormatPr defaultRowHeight="14.3" x14ac:dyDescent="0.25"/>
  <cols>
    <col min="1" max="1" width="17.875" customWidth="1"/>
    <col min="2" max="4" width="5.625" customWidth="1"/>
    <col min="5" max="5" width="17.875" customWidth="1"/>
    <col min="6" max="8" width="5.625" customWidth="1"/>
    <col min="9" max="9" width="18.125" customWidth="1"/>
    <col min="10" max="19" width="5.625" customWidth="1"/>
  </cols>
  <sheetData>
    <row r="1" spans="1:16" ht="14.95" customHeight="1" thickBot="1" x14ac:dyDescent="0.3">
      <c r="A1" s="764" t="s">
        <v>1184</v>
      </c>
      <c r="B1" s="765"/>
      <c r="C1" s="765"/>
      <c r="D1" s="765"/>
      <c r="E1" s="765"/>
      <c r="F1" s="765"/>
      <c r="G1" s="765"/>
      <c r="H1" s="766"/>
      <c r="I1" s="767" t="s">
        <v>112</v>
      </c>
      <c r="J1" s="583">
        <v>2025</v>
      </c>
      <c r="K1" s="584"/>
      <c r="L1" s="585"/>
      <c r="M1" s="583" t="s">
        <v>32</v>
      </c>
      <c r="N1" s="584"/>
      <c r="O1" s="585"/>
      <c r="P1" s="579" t="s">
        <v>121</v>
      </c>
    </row>
    <row r="2" spans="1:16" ht="14.95" customHeight="1" thickBot="1" x14ac:dyDescent="0.3">
      <c r="A2" s="359" t="s">
        <v>0</v>
      </c>
      <c r="B2" s="355" t="s">
        <v>134</v>
      </c>
      <c r="C2" s="356" t="s">
        <v>31</v>
      </c>
      <c r="D2" s="360" t="s">
        <v>1</v>
      </c>
      <c r="E2" s="369" t="s">
        <v>2</v>
      </c>
      <c r="F2" s="364" t="s">
        <v>134</v>
      </c>
      <c r="G2" s="366" t="s">
        <v>31</v>
      </c>
      <c r="H2" s="196" t="s">
        <v>1</v>
      </c>
      <c r="I2" s="768"/>
      <c r="J2" s="586"/>
      <c r="K2" s="587"/>
      <c r="L2" s="588"/>
      <c r="M2" s="586"/>
      <c r="N2" s="587"/>
      <c r="O2" s="588"/>
      <c r="P2" s="580"/>
    </row>
    <row r="3" spans="1:16" ht="14.95" customHeight="1" thickBot="1" x14ac:dyDescent="0.3">
      <c r="A3" s="362" t="s">
        <v>1294</v>
      </c>
      <c r="B3" s="357">
        <v>0</v>
      </c>
      <c r="C3" s="358">
        <v>1</v>
      </c>
      <c r="D3" s="361">
        <f t="shared" ref="D3:D21" si="0">SUM(B3:C3)</f>
        <v>1</v>
      </c>
      <c r="E3" s="370" t="s">
        <v>1294</v>
      </c>
      <c r="F3" s="363">
        <v>0</v>
      </c>
      <c r="G3" s="367">
        <v>5</v>
      </c>
      <c r="H3" s="154">
        <f t="shared" ref="H3:H21" si="1">SUM(F3:G3)</f>
        <v>5</v>
      </c>
      <c r="I3" s="376"/>
      <c r="J3" s="53" t="s">
        <v>152</v>
      </c>
      <c r="K3" s="53" t="s">
        <v>12</v>
      </c>
      <c r="L3" s="53" t="s">
        <v>13</v>
      </c>
      <c r="M3" s="181" t="s">
        <v>152</v>
      </c>
      <c r="N3" s="53" t="s">
        <v>12</v>
      </c>
      <c r="O3" s="53" t="s">
        <v>13</v>
      </c>
      <c r="P3" s="1"/>
    </row>
    <row r="4" spans="1:16" ht="14.95" customHeight="1" thickBot="1" x14ac:dyDescent="0.3">
      <c r="A4" s="362" t="s">
        <v>1193</v>
      </c>
      <c r="B4" s="357">
        <v>2</v>
      </c>
      <c r="C4" s="358">
        <v>0</v>
      </c>
      <c r="D4" s="361">
        <f t="shared" ref="D4:D6" si="2">SUM(B4:C4)</f>
        <v>2</v>
      </c>
      <c r="E4" s="370" t="s">
        <v>1193</v>
      </c>
      <c r="F4" s="363">
        <v>10</v>
      </c>
      <c r="G4" s="367">
        <v>0</v>
      </c>
      <c r="H4" s="154">
        <f t="shared" ref="H4:H6" si="3">SUM(F4:G4)</f>
        <v>10</v>
      </c>
      <c r="I4" s="362" t="s">
        <v>1295</v>
      </c>
      <c r="J4" s="361">
        <v>40</v>
      </c>
      <c r="K4" s="361">
        <v>55</v>
      </c>
      <c r="L4" s="368">
        <f>SUM(J4/K4)*100</f>
        <v>72.727272727272734</v>
      </c>
      <c r="M4" s="361">
        <v>5</v>
      </c>
      <c r="N4" s="361">
        <v>9</v>
      </c>
      <c r="O4" s="368">
        <f>SUM(M4/N4)*100</f>
        <v>55.555555555555557</v>
      </c>
      <c r="P4" s="361">
        <v>-1</v>
      </c>
    </row>
    <row r="5" spans="1:16" ht="14.95" customHeight="1" thickBot="1" x14ac:dyDescent="0.3">
      <c r="A5" s="362" t="s">
        <v>1185</v>
      </c>
      <c r="B5" s="357">
        <v>4</v>
      </c>
      <c r="C5" s="358">
        <v>3</v>
      </c>
      <c r="D5" s="361">
        <f t="shared" si="2"/>
        <v>7</v>
      </c>
      <c r="E5" s="370" t="s">
        <v>1185</v>
      </c>
      <c r="F5" s="363">
        <v>20</v>
      </c>
      <c r="G5" s="367">
        <v>15</v>
      </c>
      <c r="H5" s="154">
        <f t="shared" si="3"/>
        <v>35</v>
      </c>
      <c r="I5" s="362" t="s">
        <v>1187</v>
      </c>
      <c r="J5" s="361">
        <v>2</v>
      </c>
      <c r="K5" s="361">
        <v>2</v>
      </c>
      <c r="L5" s="368">
        <f>SUM(J5/K5)*100</f>
        <v>100</v>
      </c>
      <c r="M5" s="361" t="s">
        <v>17</v>
      </c>
      <c r="N5" s="361" t="s">
        <v>17</v>
      </c>
      <c r="O5" s="368" t="s">
        <v>17</v>
      </c>
      <c r="P5" s="361">
        <v>2</v>
      </c>
    </row>
    <row r="6" spans="1:16" ht="14.95" customHeight="1" thickBot="1" x14ac:dyDescent="0.3">
      <c r="A6" s="362" t="s">
        <v>711</v>
      </c>
      <c r="B6" s="357">
        <v>0</v>
      </c>
      <c r="C6" s="358">
        <v>0</v>
      </c>
      <c r="D6" s="361">
        <f t="shared" si="2"/>
        <v>0</v>
      </c>
      <c r="E6" s="365" t="s">
        <v>711</v>
      </c>
      <c r="F6" s="363">
        <v>0</v>
      </c>
      <c r="G6" s="367">
        <v>0</v>
      </c>
      <c r="H6" s="154">
        <f t="shared" si="3"/>
        <v>0</v>
      </c>
      <c r="I6" s="362" t="s">
        <v>1201</v>
      </c>
      <c r="J6" s="361">
        <v>3</v>
      </c>
      <c r="K6" s="361">
        <v>4</v>
      </c>
      <c r="L6" s="368">
        <f>SUM(J6/K6)*100</f>
        <v>75</v>
      </c>
      <c r="M6" s="361" t="s">
        <v>17</v>
      </c>
      <c r="N6" s="361" t="s">
        <v>17</v>
      </c>
      <c r="O6" s="368" t="s">
        <v>17</v>
      </c>
      <c r="P6" s="361">
        <v>-1</v>
      </c>
    </row>
    <row r="7" spans="1:16" ht="14.95" customHeight="1" thickBot="1" x14ac:dyDescent="0.3">
      <c r="A7" s="362" t="s">
        <v>1200</v>
      </c>
      <c r="B7" s="357">
        <v>1</v>
      </c>
      <c r="C7" s="358">
        <v>1</v>
      </c>
      <c r="D7" s="361">
        <f t="shared" si="0"/>
        <v>2</v>
      </c>
      <c r="E7" s="365" t="s">
        <v>1200</v>
      </c>
      <c r="F7" s="363">
        <v>5</v>
      </c>
      <c r="G7" s="367">
        <v>5</v>
      </c>
      <c r="H7" s="154">
        <f t="shared" si="1"/>
        <v>10</v>
      </c>
      <c r="I7" s="137"/>
      <c r="J7" s="138"/>
      <c r="K7" s="38"/>
      <c r="L7" s="139"/>
      <c r="M7" s="38"/>
      <c r="N7" s="38"/>
      <c r="O7" s="24"/>
      <c r="P7" s="140"/>
    </row>
    <row r="8" spans="1:16" ht="14.95" customHeight="1" thickBot="1" x14ac:dyDescent="0.3">
      <c r="A8" s="362" t="s">
        <v>1195</v>
      </c>
      <c r="B8" s="357">
        <v>1</v>
      </c>
      <c r="C8" s="358">
        <v>0</v>
      </c>
      <c r="D8" s="361">
        <f t="shared" si="0"/>
        <v>1</v>
      </c>
      <c r="E8" s="365" t="s">
        <v>1195</v>
      </c>
      <c r="F8" s="363">
        <v>5</v>
      </c>
      <c r="G8" s="367">
        <v>0</v>
      </c>
      <c r="H8" s="154">
        <f t="shared" si="1"/>
        <v>5</v>
      </c>
      <c r="I8" s="680" t="s">
        <v>1296</v>
      </c>
      <c r="J8" s="596">
        <v>2025</v>
      </c>
      <c r="K8" s="597"/>
      <c r="L8" s="598"/>
    </row>
    <row r="9" spans="1:16" ht="14.95" customHeight="1" thickBot="1" x14ac:dyDescent="0.3">
      <c r="A9" s="362" t="s">
        <v>1194</v>
      </c>
      <c r="B9" s="357">
        <v>3</v>
      </c>
      <c r="C9" s="358">
        <v>1</v>
      </c>
      <c r="D9" s="361">
        <f t="shared" si="0"/>
        <v>4</v>
      </c>
      <c r="E9" s="365" t="s">
        <v>1194</v>
      </c>
      <c r="F9" s="363">
        <v>15</v>
      </c>
      <c r="G9" s="367">
        <v>5</v>
      </c>
      <c r="H9" s="154">
        <f t="shared" si="1"/>
        <v>20</v>
      </c>
      <c r="I9" s="681"/>
      <c r="J9" s="599"/>
      <c r="K9" s="600"/>
      <c r="L9" s="601"/>
    </row>
    <row r="10" spans="1:16" ht="14.95" customHeight="1" thickBot="1" x14ac:dyDescent="0.3">
      <c r="A10" s="362" t="s">
        <v>1199</v>
      </c>
      <c r="B10" s="357">
        <v>1</v>
      </c>
      <c r="C10" s="358">
        <v>0</v>
      </c>
      <c r="D10" s="361">
        <f t="shared" si="0"/>
        <v>1</v>
      </c>
      <c r="E10" s="365" t="s">
        <v>1199</v>
      </c>
      <c r="F10" s="363">
        <v>5</v>
      </c>
      <c r="G10" s="367">
        <v>0</v>
      </c>
      <c r="H10" s="154">
        <f t="shared" si="1"/>
        <v>5</v>
      </c>
      <c r="I10" s="377"/>
      <c r="J10" s="188" t="s">
        <v>152</v>
      </c>
      <c r="K10" s="188" t="s">
        <v>12</v>
      </c>
      <c r="L10" s="188" t="s">
        <v>13</v>
      </c>
    </row>
    <row r="11" spans="1:16" ht="14.95" customHeight="1" thickBot="1" x14ac:dyDescent="0.3">
      <c r="A11" s="362" t="s">
        <v>1186</v>
      </c>
      <c r="B11" s="357">
        <v>1</v>
      </c>
      <c r="C11" s="358">
        <v>0</v>
      </c>
      <c r="D11" s="361">
        <f t="shared" si="0"/>
        <v>1</v>
      </c>
      <c r="E11" s="365" t="s">
        <v>1186</v>
      </c>
      <c r="F11" s="363">
        <v>5</v>
      </c>
      <c r="G11" s="367">
        <v>0</v>
      </c>
      <c r="H11" s="154">
        <f t="shared" si="1"/>
        <v>5</v>
      </c>
      <c r="I11" s="362" t="s">
        <v>1295</v>
      </c>
      <c r="J11" s="361">
        <v>26</v>
      </c>
      <c r="K11" s="361">
        <v>35</v>
      </c>
      <c r="L11" s="368">
        <f>SUM(J11/K11)*100</f>
        <v>74.285714285714292</v>
      </c>
    </row>
    <row r="12" spans="1:16" ht="14.95" customHeight="1" thickBot="1" x14ac:dyDescent="0.3">
      <c r="A12" s="362" t="s">
        <v>1196</v>
      </c>
      <c r="B12" s="357">
        <v>1</v>
      </c>
      <c r="C12" s="358">
        <v>0</v>
      </c>
      <c r="D12" s="361">
        <f t="shared" si="0"/>
        <v>1</v>
      </c>
      <c r="E12" s="365" t="s">
        <v>1196</v>
      </c>
      <c r="F12" s="363">
        <v>5</v>
      </c>
      <c r="G12" s="367">
        <v>0</v>
      </c>
      <c r="H12" s="154">
        <f t="shared" si="1"/>
        <v>5</v>
      </c>
      <c r="I12" s="362" t="s">
        <v>1187</v>
      </c>
      <c r="J12" s="361">
        <v>2</v>
      </c>
      <c r="K12" s="361">
        <v>2</v>
      </c>
      <c r="L12" s="368">
        <f>SUM(J12/K12)*100</f>
        <v>100</v>
      </c>
    </row>
    <row r="13" spans="1:16" ht="14.95" customHeight="1" thickBot="1" x14ac:dyDescent="0.3">
      <c r="A13" s="362" t="s">
        <v>1442</v>
      </c>
      <c r="B13" s="357">
        <v>0</v>
      </c>
      <c r="C13" s="358">
        <v>1</v>
      </c>
      <c r="D13" s="361">
        <f t="shared" si="0"/>
        <v>1</v>
      </c>
      <c r="E13" s="365" t="s">
        <v>1442</v>
      </c>
      <c r="F13" s="363">
        <v>0</v>
      </c>
      <c r="G13" s="367">
        <v>5</v>
      </c>
      <c r="H13" s="154">
        <f t="shared" si="1"/>
        <v>5</v>
      </c>
      <c r="I13" s="362" t="s">
        <v>1201</v>
      </c>
      <c r="J13" s="361">
        <v>3</v>
      </c>
      <c r="K13" s="361">
        <v>4</v>
      </c>
      <c r="L13" s="368">
        <f>SUM(J13/K13)*100</f>
        <v>75</v>
      </c>
    </row>
    <row r="14" spans="1:16" ht="14.95" customHeight="1" thickBot="1" x14ac:dyDescent="0.3">
      <c r="A14" s="362" t="s">
        <v>1295</v>
      </c>
      <c r="B14" s="357">
        <v>1</v>
      </c>
      <c r="C14" s="358">
        <v>1</v>
      </c>
      <c r="D14" s="361">
        <f t="shared" si="0"/>
        <v>2</v>
      </c>
      <c r="E14" s="365" t="s">
        <v>1295</v>
      </c>
      <c r="F14" s="363">
        <v>69</v>
      </c>
      <c r="G14" s="367">
        <v>41</v>
      </c>
      <c r="H14" s="154">
        <f t="shared" si="1"/>
        <v>110</v>
      </c>
      <c r="I14" s="46"/>
      <c r="J14" s="36"/>
      <c r="K14" s="36"/>
      <c r="L14" s="37"/>
    </row>
    <row r="15" spans="1:16" ht="14.95" customHeight="1" thickBot="1" x14ac:dyDescent="0.3">
      <c r="A15" s="362" t="s">
        <v>1187</v>
      </c>
      <c r="B15" s="357">
        <v>1</v>
      </c>
      <c r="C15" s="358">
        <v>0</v>
      </c>
      <c r="D15" s="361">
        <f t="shared" si="0"/>
        <v>1</v>
      </c>
      <c r="E15" s="365" t="s">
        <v>1187</v>
      </c>
      <c r="F15" s="363">
        <v>9</v>
      </c>
      <c r="G15" s="367">
        <v>0</v>
      </c>
      <c r="H15" s="154">
        <f t="shared" si="1"/>
        <v>9</v>
      </c>
      <c r="I15" s="9"/>
      <c r="J15" s="9"/>
      <c r="K15" s="9"/>
      <c r="L15" s="9"/>
    </row>
    <row r="16" spans="1:16" ht="14.95" customHeight="1" thickBot="1" x14ac:dyDescent="0.3">
      <c r="A16" s="362" t="s">
        <v>1217</v>
      </c>
      <c r="B16" s="357">
        <v>2</v>
      </c>
      <c r="C16" s="358">
        <v>0</v>
      </c>
      <c r="D16" s="361">
        <f t="shared" si="0"/>
        <v>2</v>
      </c>
      <c r="E16" s="365" t="s">
        <v>1217</v>
      </c>
      <c r="F16" s="363">
        <v>10</v>
      </c>
      <c r="G16" s="367">
        <v>0</v>
      </c>
      <c r="H16" s="154">
        <f t="shared" si="1"/>
        <v>10</v>
      </c>
      <c r="I16" s="716"/>
      <c r="J16" s="616"/>
      <c r="K16" s="616"/>
      <c r="L16" s="616"/>
    </row>
    <row r="17" spans="1:12" ht="14.95" customHeight="1" thickBot="1" x14ac:dyDescent="0.3">
      <c r="A17" s="362" t="s">
        <v>1189</v>
      </c>
      <c r="B17" s="357">
        <v>2</v>
      </c>
      <c r="C17" s="358">
        <v>1</v>
      </c>
      <c r="D17" s="361">
        <f t="shared" si="0"/>
        <v>3</v>
      </c>
      <c r="E17" s="365" t="s">
        <v>1189</v>
      </c>
      <c r="F17" s="363">
        <v>10</v>
      </c>
      <c r="G17" s="367">
        <v>5</v>
      </c>
      <c r="H17" s="154">
        <f t="shared" si="1"/>
        <v>15</v>
      </c>
      <c r="I17" s="716"/>
      <c r="J17" s="616"/>
      <c r="K17" s="616"/>
      <c r="L17" s="616"/>
    </row>
    <row r="18" spans="1:12" ht="14.95" customHeight="1" thickBot="1" x14ac:dyDescent="0.3">
      <c r="A18" s="362" t="s">
        <v>1188</v>
      </c>
      <c r="B18" s="357">
        <v>1</v>
      </c>
      <c r="C18" s="358">
        <v>0</v>
      </c>
      <c r="D18" s="361">
        <f t="shared" si="0"/>
        <v>1</v>
      </c>
      <c r="E18" s="365" t="s">
        <v>1188</v>
      </c>
      <c r="F18" s="363">
        <v>5</v>
      </c>
      <c r="G18" s="367">
        <v>0</v>
      </c>
      <c r="H18" s="154">
        <f t="shared" si="1"/>
        <v>5</v>
      </c>
      <c r="I18" s="46"/>
      <c r="J18" s="36"/>
      <c r="K18" s="36"/>
      <c r="L18" s="36"/>
    </row>
    <row r="19" spans="1:12" ht="14.95" customHeight="1" thickBot="1" x14ac:dyDescent="0.3">
      <c r="A19" s="362" t="s">
        <v>4</v>
      </c>
      <c r="B19" s="357">
        <v>1</v>
      </c>
      <c r="C19" s="358">
        <v>1</v>
      </c>
      <c r="D19" s="361">
        <f t="shared" si="0"/>
        <v>2</v>
      </c>
      <c r="E19" s="365" t="s">
        <v>4</v>
      </c>
      <c r="F19" s="363">
        <v>7</v>
      </c>
      <c r="G19" s="367">
        <v>7</v>
      </c>
      <c r="H19" s="154">
        <f t="shared" si="1"/>
        <v>14</v>
      </c>
      <c r="I19" s="46"/>
      <c r="J19" s="36"/>
      <c r="K19" s="36"/>
      <c r="L19" s="36"/>
    </row>
    <row r="20" spans="1:12" ht="14.95" customHeight="1" thickBot="1" x14ac:dyDescent="0.3">
      <c r="A20" s="362" t="s">
        <v>1192</v>
      </c>
      <c r="B20" s="357">
        <v>2</v>
      </c>
      <c r="C20" s="358">
        <v>0</v>
      </c>
      <c r="D20" s="361">
        <f t="shared" si="0"/>
        <v>2</v>
      </c>
      <c r="E20" s="365" t="s">
        <v>1192</v>
      </c>
      <c r="F20" s="363">
        <v>10</v>
      </c>
      <c r="G20" s="367">
        <v>0</v>
      </c>
      <c r="H20" s="154">
        <f t="shared" si="1"/>
        <v>10</v>
      </c>
    </row>
    <row r="21" spans="1:12" ht="14.95" customHeight="1" thickBot="1" x14ac:dyDescent="0.3">
      <c r="A21" s="362" t="s">
        <v>1201</v>
      </c>
      <c r="B21" s="357">
        <v>0</v>
      </c>
      <c r="C21" s="358">
        <v>0</v>
      </c>
      <c r="D21" s="361">
        <f t="shared" si="0"/>
        <v>0</v>
      </c>
      <c r="E21" s="365" t="s">
        <v>1202</v>
      </c>
      <c r="F21" s="363">
        <v>8</v>
      </c>
      <c r="G21" s="367">
        <v>0</v>
      </c>
      <c r="H21" s="154">
        <f t="shared" si="1"/>
        <v>8</v>
      </c>
    </row>
    <row r="22" spans="1:12" ht="14.95" customHeight="1" thickBot="1" x14ac:dyDescent="0.3">
      <c r="A22" s="362" t="s">
        <v>3</v>
      </c>
      <c r="B22" s="357">
        <f>SUM(B3:B21)</f>
        <v>24</v>
      </c>
      <c r="C22" s="358">
        <f>SUM(C3:C21)</f>
        <v>10</v>
      </c>
      <c r="D22" s="361">
        <f>SUM(D3:D21)</f>
        <v>34</v>
      </c>
      <c r="E22" s="365" t="s">
        <v>3</v>
      </c>
      <c r="F22" s="363">
        <f>SUM(F3:F21)</f>
        <v>198</v>
      </c>
      <c r="G22" s="367">
        <f>SUM(G3:G21)</f>
        <v>88</v>
      </c>
      <c r="H22" s="154">
        <f>SUM(H3:H21)</f>
        <v>286</v>
      </c>
    </row>
    <row r="23" spans="1:12" ht="14.95" customHeight="1" x14ac:dyDescent="0.25">
      <c r="E23" s="21"/>
      <c r="F23" s="20"/>
      <c r="G23" s="35"/>
      <c r="H23" s="19"/>
    </row>
    <row r="24" spans="1:12" ht="14.95" customHeight="1" thickBot="1" x14ac:dyDescent="0.3">
      <c r="A24" s="30" t="s">
        <v>15</v>
      </c>
      <c r="E24" s="16"/>
      <c r="F24" s="17"/>
      <c r="G24" s="35"/>
      <c r="H24" s="18"/>
    </row>
    <row r="25" spans="1:12" ht="14.95" customHeight="1" thickBot="1" x14ac:dyDescent="0.3">
      <c r="A25" s="359" t="s">
        <v>0</v>
      </c>
      <c r="B25" s="355" t="s">
        <v>134</v>
      </c>
      <c r="C25" s="356" t="s">
        <v>31</v>
      </c>
      <c r="D25" s="360" t="s">
        <v>1</v>
      </c>
      <c r="E25" s="369" t="s">
        <v>2</v>
      </c>
      <c r="F25" s="364" t="s">
        <v>134</v>
      </c>
      <c r="G25" s="366" t="s">
        <v>31</v>
      </c>
      <c r="H25" s="196" t="s">
        <v>1</v>
      </c>
    </row>
    <row r="26" spans="1:12" ht="14.95" customHeight="1" thickBot="1" x14ac:dyDescent="0.3">
      <c r="A26" s="362" t="s">
        <v>1185</v>
      </c>
      <c r="B26" s="357">
        <v>4</v>
      </c>
      <c r="C26" s="358">
        <v>3</v>
      </c>
      <c r="D26" s="361">
        <f t="shared" ref="D26:D44" si="4">SUM(B26:C26)</f>
        <v>7</v>
      </c>
      <c r="E26" s="370" t="s">
        <v>1295</v>
      </c>
      <c r="F26" s="363">
        <v>69</v>
      </c>
      <c r="G26" s="367">
        <v>41</v>
      </c>
      <c r="H26" s="154">
        <f t="shared" ref="H26:H44" si="5">SUM(F26:G26)</f>
        <v>110</v>
      </c>
    </row>
    <row r="27" spans="1:12" ht="14.95" customHeight="1" thickBot="1" x14ac:dyDescent="0.3">
      <c r="A27" s="362" t="s">
        <v>1194</v>
      </c>
      <c r="B27" s="357">
        <v>3</v>
      </c>
      <c r="C27" s="358">
        <v>1</v>
      </c>
      <c r="D27" s="361">
        <f t="shared" si="4"/>
        <v>4</v>
      </c>
      <c r="E27" s="370" t="s">
        <v>1185</v>
      </c>
      <c r="F27" s="363">
        <v>20</v>
      </c>
      <c r="G27" s="367">
        <v>15</v>
      </c>
      <c r="H27" s="154">
        <f t="shared" si="5"/>
        <v>35</v>
      </c>
    </row>
    <row r="28" spans="1:12" ht="14.95" customHeight="1" thickBot="1" x14ac:dyDescent="0.3">
      <c r="A28" s="362" t="s">
        <v>1189</v>
      </c>
      <c r="B28" s="357">
        <v>2</v>
      </c>
      <c r="C28" s="358">
        <v>1</v>
      </c>
      <c r="D28" s="361">
        <f t="shared" si="4"/>
        <v>3</v>
      </c>
      <c r="E28" s="370" t="s">
        <v>1194</v>
      </c>
      <c r="F28" s="363">
        <v>15</v>
      </c>
      <c r="G28" s="367">
        <v>5</v>
      </c>
      <c r="H28" s="154">
        <f t="shared" si="5"/>
        <v>20</v>
      </c>
    </row>
    <row r="29" spans="1:12" ht="14.95" customHeight="1" thickBot="1" x14ac:dyDescent="0.3">
      <c r="A29" s="362" t="s">
        <v>1193</v>
      </c>
      <c r="B29" s="357">
        <v>2</v>
      </c>
      <c r="C29" s="358">
        <v>0</v>
      </c>
      <c r="D29" s="361">
        <f t="shared" si="4"/>
        <v>2</v>
      </c>
      <c r="E29" s="365" t="s">
        <v>1189</v>
      </c>
      <c r="F29" s="363">
        <v>10</v>
      </c>
      <c r="G29" s="367">
        <v>5</v>
      </c>
      <c r="H29" s="154">
        <f t="shared" si="5"/>
        <v>15</v>
      </c>
    </row>
    <row r="30" spans="1:12" ht="14.95" customHeight="1" thickBot="1" x14ac:dyDescent="0.3">
      <c r="A30" s="362" t="s">
        <v>1200</v>
      </c>
      <c r="B30" s="357">
        <v>1</v>
      </c>
      <c r="C30" s="358">
        <v>1</v>
      </c>
      <c r="D30" s="361">
        <f t="shared" si="4"/>
        <v>2</v>
      </c>
      <c r="E30" s="365" t="s">
        <v>4</v>
      </c>
      <c r="F30" s="363">
        <v>7</v>
      </c>
      <c r="G30" s="367">
        <v>7</v>
      </c>
      <c r="H30" s="154">
        <f t="shared" si="5"/>
        <v>14</v>
      </c>
    </row>
    <row r="31" spans="1:12" ht="14.95" customHeight="1" thickBot="1" x14ac:dyDescent="0.3">
      <c r="A31" s="362" t="s">
        <v>1295</v>
      </c>
      <c r="B31" s="357">
        <v>1</v>
      </c>
      <c r="C31" s="358">
        <v>1</v>
      </c>
      <c r="D31" s="361">
        <f t="shared" si="4"/>
        <v>2</v>
      </c>
      <c r="E31" s="365" t="s">
        <v>1193</v>
      </c>
      <c r="F31" s="363">
        <v>10</v>
      </c>
      <c r="G31" s="367">
        <v>0</v>
      </c>
      <c r="H31" s="154">
        <f t="shared" si="5"/>
        <v>10</v>
      </c>
    </row>
    <row r="32" spans="1:12" ht="14.95" customHeight="1" thickBot="1" x14ac:dyDescent="0.3">
      <c r="A32" s="362" t="s">
        <v>1217</v>
      </c>
      <c r="B32" s="357">
        <v>2</v>
      </c>
      <c r="C32" s="358">
        <v>0</v>
      </c>
      <c r="D32" s="361">
        <f t="shared" si="4"/>
        <v>2</v>
      </c>
      <c r="E32" s="365" t="s">
        <v>1200</v>
      </c>
      <c r="F32" s="363">
        <v>5</v>
      </c>
      <c r="G32" s="367">
        <v>5</v>
      </c>
      <c r="H32" s="154">
        <f t="shared" si="5"/>
        <v>10</v>
      </c>
    </row>
    <row r="33" spans="1:8" ht="14.95" customHeight="1" thickBot="1" x14ac:dyDescent="0.3">
      <c r="A33" s="362" t="s">
        <v>4</v>
      </c>
      <c r="B33" s="357">
        <v>1</v>
      </c>
      <c r="C33" s="358">
        <v>1</v>
      </c>
      <c r="D33" s="361">
        <f t="shared" si="4"/>
        <v>2</v>
      </c>
      <c r="E33" s="365" t="s">
        <v>1217</v>
      </c>
      <c r="F33" s="363">
        <v>10</v>
      </c>
      <c r="G33" s="367">
        <v>0</v>
      </c>
      <c r="H33" s="154">
        <f t="shared" si="5"/>
        <v>10</v>
      </c>
    </row>
    <row r="34" spans="1:8" ht="14.95" thickBot="1" x14ac:dyDescent="0.3">
      <c r="A34" s="362" t="s">
        <v>1192</v>
      </c>
      <c r="B34" s="357">
        <v>2</v>
      </c>
      <c r="C34" s="358">
        <v>0</v>
      </c>
      <c r="D34" s="361">
        <f t="shared" si="4"/>
        <v>2</v>
      </c>
      <c r="E34" s="365" t="s">
        <v>1192</v>
      </c>
      <c r="F34" s="363">
        <v>10</v>
      </c>
      <c r="G34" s="367">
        <v>0</v>
      </c>
      <c r="H34" s="154">
        <f t="shared" si="5"/>
        <v>10</v>
      </c>
    </row>
    <row r="35" spans="1:8" ht="14.95" thickBot="1" x14ac:dyDescent="0.3">
      <c r="A35" s="362" t="s">
        <v>1294</v>
      </c>
      <c r="B35" s="357">
        <v>0</v>
      </c>
      <c r="C35" s="358">
        <v>1</v>
      </c>
      <c r="D35" s="361">
        <f t="shared" si="4"/>
        <v>1</v>
      </c>
      <c r="E35" s="365" t="s">
        <v>1187</v>
      </c>
      <c r="F35" s="363">
        <v>9</v>
      </c>
      <c r="G35" s="367">
        <v>0</v>
      </c>
      <c r="H35" s="154">
        <f t="shared" si="5"/>
        <v>9</v>
      </c>
    </row>
    <row r="36" spans="1:8" ht="14.95" thickBot="1" x14ac:dyDescent="0.3">
      <c r="A36" s="362" t="s">
        <v>1195</v>
      </c>
      <c r="B36" s="357">
        <v>1</v>
      </c>
      <c r="C36" s="358">
        <v>0</v>
      </c>
      <c r="D36" s="361">
        <f t="shared" si="4"/>
        <v>1</v>
      </c>
      <c r="E36" s="365" t="s">
        <v>1202</v>
      </c>
      <c r="F36" s="363">
        <v>8</v>
      </c>
      <c r="G36" s="367">
        <v>0</v>
      </c>
      <c r="H36" s="154">
        <f t="shared" si="5"/>
        <v>8</v>
      </c>
    </row>
    <row r="37" spans="1:8" ht="14.95" thickBot="1" x14ac:dyDescent="0.3">
      <c r="A37" s="362" t="s">
        <v>1199</v>
      </c>
      <c r="B37" s="357">
        <v>1</v>
      </c>
      <c r="C37" s="358">
        <v>0</v>
      </c>
      <c r="D37" s="361">
        <f t="shared" si="4"/>
        <v>1</v>
      </c>
      <c r="E37" s="365" t="s">
        <v>1294</v>
      </c>
      <c r="F37" s="363">
        <v>0</v>
      </c>
      <c r="G37" s="367">
        <v>5</v>
      </c>
      <c r="H37" s="154">
        <f t="shared" si="5"/>
        <v>5</v>
      </c>
    </row>
    <row r="38" spans="1:8" ht="14.95" thickBot="1" x14ac:dyDescent="0.3">
      <c r="A38" s="362" t="s">
        <v>1186</v>
      </c>
      <c r="B38" s="357">
        <v>1</v>
      </c>
      <c r="C38" s="358">
        <v>0</v>
      </c>
      <c r="D38" s="361">
        <f t="shared" si="4"/>
        <v>1</v>
      </c>
      <c r="E38" s="365" t="s">
        <v>1195</v>
      </c>
      <c r="F38" s="363">
        <v>5</v>
      </c>
      <c r="G38" s="367">
        <v>0</v>
      </c>
      <c r="H38" s="154">
        <f t="shared" si="5"/>
        <v>5</v>
      </c>
    </row>
    <row r="39" spans="1:8" ht="14.95" thickBot="1" x14ac:dyDescent="0.3">
      <c r="A39" s="362" t="s">
        <v>1196</v>
      </c>
      <c r="B39" s="357">
        <v>1</v>
      </c>
      <c r="C39" s="358">
        <v>0</v>
      </c>
      <c r="D39" s="361">
        <f t="shared" si="4"/>
        <v>1</v>
      </c>
      <c r="E39" s="365" t="s">
        <v>1199</v>
      </c>
      <c r="F39" s="363">
        <v>5</v>
      </c>
      <c r="G39" s="367">
        <v>0</v>
      </c>
      <c r="H39" s="154">
        <f t="shared" si="5"/>
        <v>5</v>
      </c>
    </row>
    <row r="40" spans="1:8" ht="14.95" thickBot="1" x14ac:dyDescent="0.3">
      <c r="A40" s="362" t="s">
        <v>1442</v>
      </c>
      <c r="B40" s="357">
        <v>0</v>
      </c>
      <c r="C40" s="358">
        <v>1</v>
      </c>
      <c r="D40" s="361">
        <f t="shared" si="4"/>
        <v>1</v>
      </c>
      <c r="E40" s="365" t="s">
        <v>1186</v>
      </c>
      <c r="F40" s="363">
        <v>5</v>
      </c>
      <c r="G40" s="367">
        <v>0</v>
      </c>
      <c r="H40" s="154">
        <f t="shared" si="5"/>
        <v>5</v>
      </c>
    </row>
    <row r="41" spans="1:8" ht="14.95" thickBot="1" x14ac:dyDescent="0.3">
      <c r="A41" s="362" t="s">
        <v>1187</v>
      </c>
      <c r="B41" s="357">
        <v>1</v>
      </c>
      <c r="C41" s="358">
        <v>0</v>
      </c>
      <c r="D41" s="361">
        <f t="shared" si="4"/>
        <v>1</v>
      </c>
      <c r="E41" s="365" t="s">
        <v>1196</v>
      </c>
      <c r="F41" s="363">
        <v>5</v>
      </c>
      <c r="G41" s="367">
        <v>0</v>
      </c>
      <c r="H41" s="154">
        <f t="shared" si="5"/>
        <v>5</v>
      </c>
    </row>
    <row r="42" spans="1:8" ht="14.95" thickBot="1" x14ac:dyDescent="0.3">
      <c r="A42" s="362" t="s">
        <v>1188</v>
      </c>
      <c r="B42" s="357">
        <v>1</v>
      </c>
      <c r="C42" s="358">
        <v>0</v>
      </c>
      <c r="D42" s="361">
        <f t="shared" si="4"/>
        <v>1</v>
      </c>
      <c r="E42" s="365" t="s">
        <v>1442</v>
      </c>
      <c r="F42" s="363">
        <v>0</v>
      </c>
      <c r="G42" s="367">
        <v>5</v>
      </c>
      <c r="H42" s="154">
        <f t="shared" si="5"/>
        <v>5</v>
      </c>
    </row>
    <row r="43" spans="1:8" ht="14.95" thickBot="1" x14ac:dyDescent="0.3">
      <c r="A43" s="362" t="s">
        <v>711</v>
      </c>
      <c r="B43" s="357">
        <v>0</v>
      </c>
      <c r="C43" s="358">
        <v>0</v>
      </c>
      <c r="D43" s="361">
        <f t="shared" si="4"/>
        <v>0</v>
      </c>
      <c r="E43" s="365" t="s">
        <v>1188</v>
      </c>
      <c r="F43" s="363">
        <v>5</v>
      </c>
      <c r="G43" s="367">
        <v>0</v>
      </c>
      <c r="H43" s="154">
        <f t="shared" si="5"/>
        <v>5</v>
      </c>
    </row>
    <row r="44" spans="1:8" ht="14.95" thickBot="1" x14ac:dyDescent="0.3">
      <c r="A44" s="362"/>
      <c r="B44" s="357">
        <v>0</v>
      </c>
      <c r="C44" s="358">
        <v>0</v>
      </c>
      <c r="D44" s="361">
        <f t="shared" si="4"/>
        <v>0</v>
      </c>
      <c r="E44" s="365" t="s">
        <v>711</v>
      </c>
      <c r="F44" s="363">
        <v>0</v>
      </c>
      <c r="G44" s="367">
        <v>0</v>
      </c>
      <c r="H44" s="154">
        <f t="shared" si="5"/>
        <v>0</v>
      </c>
    </row>
    <row r="45" spans="1:8" ht="14.95" thickBot="1" x14ac:dyDescent="0.3">
      <c r="A45" s="362" t="s">
        <v>3</v>
      </c>
      <c r="B45" s="357">
        <f>SUM(B26:B44)</f>
        <v>24</v>
      </c>
      <c r="C45" s="358">
        <f>SUM(C26:C44)</f>
        <v>10</v>
      </c>
      <c r="D45" s="361">
        <f>SUM(D26:D44)</f>
        <v>34</v>
      </c>
      <c r="E45" s="365" t="s">
        <v>3</v>
      </c>
      <c r="F45" s="363">
        <f>SUM(F26:F44)</f>
        <v>198</v>
      </c>
      <c r="G45" s="367">
        <f>SUM(G26:G44)</f>
        <v>88</v>
      </c>
      <c r="H45" s="154">
        <f>SUM(H26:H44)</f>
        <v>286</v>
      </c>
    </row>
  </sheetData>
  <sortState xmlns:xlrd2="http://schemas.microsoft.com/office/spreadsheetml/2017/richdata2" ref="E26:H44">
    <sortCondition descending="1" ref="H26:H44"/>
  </sortState>
  <mergeCells count="9">
    <mergeCell ref="A1:H1"/>
    <mergeCell ref="I1:I2"/>
    <mergeCell ref="J1:L2"/>
    <mergeCell ref="M1:O2"/>
    <mergeCell ref="P1:P2"/>
    <mergeCell ref="I16:I17"/>
    <mergeCell ref="J16:L17"/>
    <mergeCell ref="I8:I9"/>
    <mergeCell ref="J8:L9"/>
  </mergeCells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AQ90"/>
  <sheetViews>
    <sheetView workbookViewId="0">
      <selection activeCell="Y16" sqref="Y16"/>
    </sheetView>
  </sheetViews>
  <sheetFormatPr defaultRowHeight="14.3" x14ac:dyDescent="0.25"/>
  <cols>
    <col min="1" max="1" width="16.5" customWidth="1"/>
    <col min="2" max="2" width="4.375" bestFit="1" customWidth="1"/>
    <col min="3" max="4" width="4.5" customWidth="1"/>
    <col min="5" max="5" width="16.5" customWidth="1"/>
    <col min="6" max="6" width="4.375" bestFit="1" customWidth="1"/>
    <col min="7" max="8" width="4.5" customWidth="1"/>
    <col min="9" max="9" width="15.5" customWidth="1"/>
    <col min="10" max="22" width="5.5" customWidth="1"/>
    <col min="23" max="23" width="5.625" customWidth="1"/>
    <col min="24" max="29" width="5.5" customWidth="1"/>
    <col min="30" max="43" width="5.625" customWidth="1"/>
  </cols>
  <sheetData>
    <row r="1" spans="1:43" ht="14.95" customHeight="1" thickBot="1" x14ac:dyDescent="0.35">
      <c r="A1" s="772" t="s">
        <v>1165</v>
      </c>
      <c r="B1" s="773"/>
      <c r="C1" s="773"/>
      <c r="D1" s="773"/>
      <c r="E1" s="773"/>
      <c r="F1" s="773"/>
      <c r="G1" s="773"/>
      <c r="H1" s="774"/>
      <c r="I1" s="639" t="s">
        <v>112</v>
      </c>
      <c r="J1" s="583">
        <v>2025</v>
      </c>
      <c r="K1" s="584"/>
      <c r="L1" s="585"/>
      <c r="M1" s="583" t="s">
        <v>32</v>
      </c>
      <c r="N1" s="584"/>
      <c r="O1" s="585"/>
      <c r="P1" s="579" t="s">
        <v>121</v>
      </c>
      <c r="Q1" s="568">
        <v>2024</v>
      </c>
      <c r="R1" s="569"/>
      <c r="S1" s="570"/>
      <c r="T1" s="568">
        <v>2023</v>
      </c>
      <c r="U1" s="569"/>
      <c r="V1" s="570"/>
      <c r="W1" s="614"/>
      <c r="X1" s="614"/>
      <c r="Y1" s="614"/>
      <c r="Z1" s="568">
        <v>2022</v>
      </c>
      <c r="AA1" s="569"/>
      <c r="AB1" s="570"/>
      <c r="AC1" s="568">
        <v>2021</v>
      </c>
      <c r="AD1" s="569"/>
      <c r="AE1" s="570"/>
      <c r="AF1" s="568">
        <v>2020</v>
      </c>
      <c r="AG1" s="569"/>
      <c r="AH1" s="570"/>
      <c r="AI1" s="568">
        <v>2019</v>
      </c>
      <c r="AJ1" s="569"/>
      <c r="AK1" s="570"/>
      <c r="AL1" s="568">
        <v>2018</v>
      </c>
      <c r="AM1" s="569"/>
      <c r="AN1" s="570"/>
      <c r="AO1" s="568">
        <v>2017</v>
      </c>
      <c r="AP1" s="569"/>
      <c r="AQ1" s="570"/>
    </row>
    <row r="2" spans="1:43" ht="14.95" customHeight="1" thickBot="1" x14ac:dyDescent="0.3">
      <c r="A2" s="186" t="s">
        <v>0</v>
      </c>
      <c r="B2" s="219" t="s">
        <v>1361</v>
      </c>
      <c r="C2" s="187" t="s">
        <v>31</v>
      </c>
      <c r="D2" s="187" t="s">
        <v>1</v>
      </c>
      <c r="E2" s="175" t="s">
        <v>2</v>
      </c>
      <c r="F2" s="177" t="s">
        <v>1361</v>
      </c>
      <c r="G2" s="178" t="s">
        <v>31</v>
      </c>
      <c r="H2" s="178" t="s">
        <v>1</v>
      </c>
      <c r="I2" s="640"/>
      <c r="J2" s="586"/>
      <c r="K2" s="587"/>
      <c r="L2" s="588"/>
      <c r="M2" s="586"/>
      <c r="N2" s="587"/>
      <c r="O2" s="588"/>
      <c r="P2" s="580"/>
      <c r="Q2" s="571"/>
      <c r="R2" s="572"/>
      <c r="S2" s="573"/>
      <c r="T2" s="571"/>
      <c r="U2" s="572"/>
      <c r="V2" s="573"/>
      <c r="W2" s="614"/>
      <c r="X2" s="614"/>
      <c r="Y2" s="614"/>
      <c r="Z2" s="571"/>
      <c r="AA2" s="572"/>
      <c r="AB2" s="573"/>
      <c r="AC2" s="571"/>
      <c r="AD2" s="572"/>
      <c r="AE2" s="573"/>
      <c r="AF2" s="571"/>
      <c r="AG2" s="572"/>
      <c r="AH2" s="573"/>
      <c r="AI2" s="571"/>
      <c r="AJ2" s="572"/>
      <c r="AK2" s="573"/>
      <c r="AL2" s="571"/>
      <c r="AM2" s="572"/>
      <c r="AN2" s="573"/>
      <c r="AO2" s="571"/>
      <c r="AP2" s="572"/>
      <c r="AQ2" s="573"/>
    </row>
    <row r="3" spans="1:43" ht="14.95" customHeight="1" thickBot="1" x14ac:dyDescent="0.3">
      <c r="A3" s="72" t="s">
        <v>1376</v>
      </c>
      <c r="B3" s="352">
        <v>1</v>
      </c>
      <c r="C3" s="73">
        <v>0</v>
      </c>
      <c r="D3" s="73">
        <f>SUM(B3:C3)</f>
        <v>1</v>
      </c>
      <c r="E3" s="25" t="s">
        <v>1376</v>
      </c>
      <c r="F3" s="306">
        <v>5</v>
      </c>
      <c r="G3" s="27">
        <v>0</v>
      </c>
      <c r="H3" s="27">
        <f>SUM(F3:G3)</f>
        <v>5</v>
      </c>
      <c r="I3" s="376"/>
      <c r="J3" s="53" t="s">
        <v>152</v>
      </c>
      <c r="K3" s="53" t="s">
        <v>12</v>
      </c>
      <c r="L3" s="53" t="s">
        <v>13</v>
      </c>
      <c r="M3" s="181" t="s">
        <v>152</v>
      </c>
      <c r="N3" s="53" t="s">
        <v>12</v>
      </c>
      <c r="O3" s="53" t="s">
        <v>13</v>
      </c>
      <c r="P3" s="1"/>
      <c r="Q3" s="128" t="s">
        <v>152</v>
      </c>
      <c r="R3" s="128" t="s">
        <v>12</v>
      </c>
      <c r="S3" s="128" t="s">
        <v>13</v>
      </c>
      <c r="T3" s="128" t="s">
        <v>152</v>
      </c>
      <c r="U3" s="128" t="s">
        <v>12</v>
      </c>
      <c r="V3" s="128" t="s">
        <v>13</v>
      </c>
      <c r="W3" s="41"/>
      <c r="X3" s="41"/>
      <c r="Y3" s="41"/>
      <c r="Z3" s="228" t="s">
        <v>152</v>
      </c>
      <c r="AA3" s="128" t="s">
        <v>12</v>
      </c>
      <c r="AB3" s="128" t="s">
        <v>13</v>
      </c>
      <c r="AC3" s="228" t="s">
        <v>152</v>
      </c>
      <c r="AD3" s="128" t="s">
        <v>12</v>
      </c>
      <c r="AE3" s="128" t="s">
        <v>13</v>
      </c>
      <c r="AF3" s="228" t="s">
        <v>152</v>
      </c>
      <c r="AG3" s="128" t="s">
        <v>12</v>
      </c>
      <c r="AH3" s="128" t="s">
        <v>13</v>
      </c>
      <c r="AI3" s="228" t="s">
        <v>152</v>
      </c>
      <c r="AJ3" s="128" t="s">
        <v>12</v>
      </c>
      <c r="AK3" s="128" t="s">
        <v>13</v>
      </c>
      <c r="AL3" s="228" t="s">
        <v>152</v>
      </c>
      <c r="AM3" s="128" t="s">
        <v>12</v>
      </c>
      <c r="AN3" s="128" t="s">
        <v>13</v>
      </c>
      <c r="AO3" s="128" t="s">
        <v>152</v>
      </c>
      <c r="AP3" s="128" t="s">
        <v>12</v>
      </c>
      <c r="AQ3" s="128" t="s">
        <v>13</v>
      </c>
    </row>
    <row r="4" spans="1:43" ht="14.95" customHeight="1" thickBot="1" x14ac:dyDescent="0.3">
      <c r="A4" s="72" t="s">
        <v>1154</v>
      </c>
      <c r="B4" s="352">
        <v>0</v>
      </c>
      <c r="C4" s="73">
        <v>0</v>
      </c>
      <c r="D4" s="73">
        <f t="shared" ref="D4:D44" si="0">SUM(B4:C4)</f>
        <v>0</v>
      </c>
      <c r="E4" s="25" t="s">
        <v>1154</v>
      </c>
      <c r="F4" s="306">
        <v>0</v>
      </c>
      <c r="G4" s="27">
        <v>0</v>
      </c>
      <c r="H4" s="27">
        <f t="shared" ref="H4:H44" si="1">SUM(F4:G4)</f>
        <v>0</v>
      </c>
      <c r="I4" s="419" t="s">
        <v>317</v>
      </c>
      <c r="J4" s="73" t="s">
        <v>17</v>
      </c>
      <c r="K4" s="73" t="s">
        <v>17</v>
      </c>
      <c r="L4" s="80" t="s">
        <v>17</v>
      </c>
      <c r="M4" s="73" t="s">
        <v>17</v>
      </c>
      <c r="N4" s="73" t="s">
        <v>17</v>
      </c>
      <c r="O4" s="80" t="s">
        <v>17</v>
      </c>
      <c r="P4" s="73">
        <v>-1</v>
      </c>
      <c r="Q4" s="128">
        <v>3</v>
      </c>
      <c r="R4" s="128">
        <v>5</v>
      </c>
      <c r="S4" s="231">
        <v>60</v>
      </c>
      <c r="T4" s="128" t="s">
        <v>17</v>
      </c>
      <c r="U4" s="128" t="s">
        <v>17</v>
      </c>
      <c r="V4" s="231" t="s">
        <v>17</v>
      </c>
      <c r="W4" s="41"/>
      <c r="X4" s="41"/>
      <c r="Y4" s="43"/>
      <c r="Z4" s="228">
        <v>3</v>
      </c>
      <c r="AA4" s="128">
        <v>4</v>
      </c>
      <c r="AB4" s="231">
        <f>SUM(Z4/AA4)*100</f>
        <v>75</v>
      </c>
      <c r="AC4" s="228">
        <v>16</v>
      </c>
      <c r="AD4" s="128">
        <v>19</v>
      </c>
      <c r="AE4" s="231">
        <f>SUM(AC4/AD4)*100</f>
        <v>84.210526315789465</v>
      </c>
      <c r="AF4" s="228" t="s">
        <v>17</v>
      </c>
      <c r="AG4" s="128" t="s">
        <v>17</v>
      </c>
      <c r="AH4" s="128" t="s">
        <v>17</v>
      </c>
      <c r="AI4" s="228">
        <v>2</v>
      </c>
      <c r="AJ4" s="128">
        <v>5</v>
      </c>
      <c r="AK4" s="231">
        <f>SUM(AI4/AJ4)*100</f>
        <v>40</v>
      </c>
      <c r="AL4" s="228" t="s">
        <v>17</v>
      </c>
      <c r="AM4" s="128" t="s">
        <v>17</v>
      </c>
      <c r="AN4" s="128" t="s">
        <v>17</v>
      </c>
      <c r="AO4" s="128" t="s">
        <v>17</v>
      </c>
      <c r="AP4" s="128" t="s">
        <v>17</v>
      </c>
      <c r="AQ4" s="128" t="s">
        <v>17</v>
      </c>
    </row>
    <row r="5" spans="1:43" ht="14.95" customHeight="1" thickBot="1" x14ac:dyDescent="0.3">
      <c r="A5" s="72" t="s">
        <v>555</v>
      </c>
      <c r="B5" s="352">
        <v>0</v>
      </c>
      <c r="C5" s="73">
        <v>0</v>
      </c>
      <c r="D5" s="73">
        <f t="shared" si="0"/>
        <v>0</v>
      </c>
      <c r="E5" s="26" t="s">
        <v>555</v>
      </c>
      <c r="F5" s="306">
        <v>0</v>
      </c>
      <c r="G5" s="27">
        <v>0</v>
      </c>
      <c r="H5" s="27">
        <f t="shared" si="1"/>
        <v>0</v>
      </c>
      <c r="I5" s="419" t="s">
        <v>404</v>
      </c>
      <c r="J5" s="73" t="s">
        <v>17</v>
      </c>
      <c r="K5" s="73" t="s">
        <v>17</v>
      </c>
      <c r="L5" s="80" t="s">
        <v>17</v>
      </c>
      <c r="M5" s="73" t="s">
        <v>17</v>
      </c>
      <c r="N5" s="73" t="s">
        <v>17</v>
      </c>
      <c r="O5" s="80" t="s">
        <v>17</v>
      </c>
      <c r="P5" s="73">
        <v>-2</v>
      </c>
      <c r="Q5" s="128" t="s">
        <v>17</v>
      </c>
      <c r="R5" s="128" t="s">
        <v>17</v>
      </c>
      <c r="S5" s="231" t="s">
        <v>17</v>
      </c>
      <c r="T5" s="128">
        <v>16</v>
      </c>
      <c r="U5" s="128">
        <v>22</v>
      </c>
      <c r="V5" s="231">
        <f>SUM(T5/U5)*100</f>
        <v>72.727272727272734</v>
      </c>
      <c r="W5" s="41"/>
      <c r="X5" s="41"/>
      <c r="Y5" s="43"/>
      <c r="Z5" s="228">
        <v>22</v>
      </c>
      <c r="AA5" s="128">
        <v>31</v>
      </c>
      <c r="AB5" s="231">
        <f>SUM(Z5/AA5)*100</f>
        <v>70.967741935483872</v>
      </c>
      <c r="AC5" s="228" t="s">
        <v>17</v>
      </c>
      <c r="AD5" s="128" t="s">
        <v>17</v>
      </c>
      <c r="AE5" s="231" t="s">
        <v>17</v>
      </c>
      <c r="AF5" s="228" t="s">
        <v>17</v>
      </c>
      <c r="AG5" s="128" t="s">
        <v>17</v>
      </c>
      <c r="AH5" s="128" t="s">
        <v>17</v>
      </c>
      <c r="AI5" s="228">
        <v>1</v>
      </c>
      <c r="AJ5" s="128">
        <v>1</v>
      </c>
      <c r="AK5" s="231">
        <f>SUM(AI5/AJ5)*100</f>
        <v>100</v>
      </c>
      <c r="AL5" s="228" t="s">
        <v>17</v>
      </c>
      <c r="AM5" s="128" t="s">
        <v>17</v>
      </c>
      <c r="AN5" s="128" t="s">
        <v>17</v>
      </c>
      <c r="AO5" s="128" t="s">
        <v>17</v>
      </c>
      <c r="AP5" s="128" t="s">
        <v>17</v>
      </c>
      <c r="AQ5" s="128" t="s">
        <v>17</v>
      </c>
    </row>
    <row r="6" spans="1:43" ht="14.95" customHeight="1" thickBot="1" x14ac:dyDescent="0.3">
      <c r="A6" s="72" t="s">
        <v>317</v>
      </c>
      <c r="B6" s="352">
        <v>0</v>
      </c>
      <c r="C6" s="73">
        <v>0</v>
      </c>
      <c r="D6" s="73">
        <f t="shared" si="0"/>
        <v>0</v>
      </c>
      <c r="E6" s="26" t="s">
        <v>317</v>
      </c>
      <c r="F6" s="306">
        <v>0</v>
      </c>
      <c r="G6" s="27">
        <v>0</v>
      </c>
      <c r="H6" s="27">
        <f t="shared" si="1"/>
        <v>0</v>
      </c>
      <c r="I6" s="419" t="s">
        <v>542</v>
      </c>
      <c r="J6" s="73" t="s">
        <v>17</v>
      </c>
      <c r="K6" s="73" t="s">
        <v>17</v>
      </c>
      <c r="L6" s="80" t="s">
        <v>17</v>
      </c>
      <c r="M6" s="73" t="s">
        <v>17</v>
      </c>
      <c r="N6" s="73" t="s">
        <v>17</v>
      </c>
      <c r="O6" s="80" t="s">
        <v>17</v>
      </c>
      <c r="P6" s="73">
        <v>-1</v>
      </c>
      <c r="Q6" s="128" t="s">
        <v>17</v>
      </c>
      <c r="R6" s="128" t="s">
        <v>17</v>
      </c>
      <c r="S6" s="231" t="s">
        <v>17</v>
      </c>
      <c r="T6" s="128">
        <v>4</v>
      </c>
      <c r="U6" s="128">
        <v>7</v>
      </c>
      <c r="V6" s="231">
        <f>SUM(T6/U6)*100</f>
        <v>57.142857142857139</v>
      </c>
      <c r="W6" s="41"/>
      <c r="X6" s="41"/>
      <c r="Y6" s="43"/>
      <c r="Z6" s="228">
        <v>3</v>
      </c>
      <c r="AA6" s="128">
        <v>5</v>
      </c>
      <c r="AB6" s="231">
        <f>SUM(Z6/AA6)*100</f>
        <v>60</v>
      </c>
      <c r="AC6" s="228" t="s">
        <v>17</v>
      </c>
      <c r="AD6" s="128" t="s">
        <v>17</v>
      </c>
      <c r="AE6" s="231" t="s">
        <v>17</v>
      </c>
      <c r="AF6" s="228" t="s">
        <v>17</v>
      </c>
      <c r="AG6" s="128" t="s">
        <v>17</v>
      </c>
      <c r="AH6" s="128" t="s">
        <v>17</v>
      </c>
      <c r="AI6" s="228" t="s">
        <v>17</v>
      </c>
      <c r="AJ6" s="128" t="s">
        <v>17</v>
      </c>
      <c r="AK6" s="128" t="s">
        <v>17</v>
      </c>
      <c r="AL6" s="228" t="s">
        <v>17</v>
      </c>
      <c r="AM6" s="128" t="s">
        <v>17</v>
      </c>
      <c r="AN6" s="128" t="s">
        <v>17</v>
      </c>
      <c r="AO6" s="228" t="s">
        <v>17</v>
      </c>
      <c r="AP6" s="128" t="s">
        <v>17</v>
      </c>
      <c r="AQ6" s="128" t="s">
        <v>17</v>
      </c>
    </row>
    <row r="7" spans="1:43" ht="14.95" customHeight="1" thickBot="1" x14ac:dyDescent="0.3">
      <c r="A7" s="72" t="s">
        <v>814</v>
      </c>
      <c r="B7" s="352">
        <v>0</v>
      </c>
      <c r="C7" s="73">
        <v>0</v>
      </c>
      <c r="D7" s="73">
        <f t="shared" si="0"/>
        <v>0</v>
      </c>
      <c r="E7" s="26" t="s">
        <v>814</v>
      </c>
      <c r="F7" s="306">
        <v>0</v>
      </c>
      <c r="G7" s="27">
        <v>0</v>
      </c>
      <c r="H7" s="27">
        <f t="shared" si="1"/>
        <v>0</v>
      </c>
      <c r="I7" s="419" t="s">
        <v>892</v>
      </c>
      <c r="J7" s="73">
        <v>15</v>
      </c>
      <c r="K7" s="73">
        <v>18</v>
      </c>
      <c r="L7" s="80">
        <f>SUM(J7/K7)*100</f>
        <v>83.333333333333343</v>
      </c>
      <c r="M7" s="73" t="s">
        <v>17</v>
      </c>
      <c r="N7" s="73" t="s">
        <v>17</v>
      </c>
      <c r="O7" s="80" t="s">
        <v>17</v>
      </c>
      <c r="P7" s="73">
        <v>4</v>
      </c>
      <c r="Q7" s="128">
        <v>13</v>
      </c>
      <c r="R7" s="128">
        <v>18</v>
      </c>
      <c r="S7" s="231">
        <v>72.222222222222214</v>
      </c>
      <c r="T7" s="128" t="s">
        <v>17</v>
      </c>
      <c r="U7" s="128" t="s">
        <v>17</v>
      </c>
      <c r="V7" s="231" t="s">
        <v>17</v>
      </c>
      <c r="W7" s="41"/>
      <c r="X7" s="41"/>
      <c r="Y7" s="43"/>
      <c r="Z7" s="228" t="s">
        <v>17</v>
      </c>
      <c r="AA7" s="128" t="s">
        <v>17</v>
      </c>
      <c r="AB7" s="231" t="s">
        <v>17</v>
      </c>
      <c r="AC7" s="232" t="s">
        <v>17</v>
      </c>
      <c r="AD7" s="128" t="s">
        <v>17</v>
      </c>
      <c r="AE7" s="231" t="s">
        <v>17</v>
      </c>
      <c r="AF7" s="128" t="s">
        <v>17</v>
      </c>
      <c r="AG7" s="128" t="s">
        <v>17</v>
      </c>
      <c r="AH7" s="231" t="s">
        <v>17</v>
      </c>
      <c r="AI7" s="128" t="s">
        <v>17</v>
      </c>
      <c r="AJ7" s="128" t="s">
        <v>17</v>
      </c>
      <c r="AK7" s="231" t="s">
        <v>17</v>
      </c>
      <c r="AL7" s="128" t="s">
        <v>17</v>
      </c>
      <c r="AM7" s="128" t="s">
        <v>17</v>
      </c>
      <c r="AN7" s="231" t="s">
        <v>17</v>
      </c>
      <c r="AO7" s="128" t="s">
        <v>17</v>
      </c>
      <c r="AP7" s="128" t="s">
        <v>17</v>
      </c>
      <c r="AQ7" s="231" t="s">
        <v>17</v>
      </c>
    </row>
    <row r="8" spans="1:43" ht="14.95" customHeight="1" thickBot="1" x14ac:dyDescent="0.3">
      <c r="A8" s="72" t="s">
        <v>543</v>
      </c>
      <c r="B8" s="352">
        <v>0</v>
      </c>
      <c r="C8" s="73">
        <v>0</v>
      </c>
      <c r="D8" s="73">
        <f t="shared" si="0"/>
        <v>0</v>
      </c>
      <c r="E8" s="26" t="s">
        <v>543</v>
      </c>
      <c r="F8" s="306">
        <v>0</v>
      </c>
      <c r="G8" s="27">
        <v>0</v>
      </c>
      <c r="H8" s="27">
        <f t="shared" si="1"/>
        <v>0</v>
      </c>
      <c r="I8" s="419" t="s">
        <v>1006</v>
      </c>
      <c r="J8" s="73" t="s">
        <v>17</v>
      </c>
      <c r="K8" s="73" t="s">
        <v>17</v>
      </c>
      <c r="L8" s="80" t="s">
        <v>17</v>
      </c>
      <c r="M8" s="73" t="s">
        <v>17</v>
      </c>
      <c r="N8" s="73" t="s">
        <v>17</v>
      </c>
      <c r="O8" s="80" t="s">
        <v>17</v>
      </c>
      <c r="P8" s="73">
        <v>1</v>
      </c>
      <c r="Q8" s="128">
        <v>1</v>
      </c>
      <c r="R8" s="128">
        <v>1</v>
      </c>
      <c r="S8" s="231">
        <v>100</v>
      </c>
      <c r="T8" s="128" t="s">
        <v>17</v>
      </c>
      <c r="U8" s="128" t="s">
        <v>17</v>
      </c>
      <c r="V8" s="231" t="s">
        <v>17</v>
      </c>
      <c r="W8" s="41"/>
      <c r="X8" s="41"/>
      <c r="Y8" s="43"/>
      <c r="Z8" s="228" t="s">
        <v>17</v>
      </c>
      <c r="AA8" s="128" t="s">
        <v>17</v>
      </c>
      <c r="AB8" s="231" t="s">
        <v>17</v>
      </c>
      <c r="AC8" s="228" t="s">
        <v>17</v>
      </c>
      <c r="AD8" s="128" t="s">
        <v>17</v>
      </c>
      <c r="AE8" s="231" t="s">
        <v>17</v>
      </c>
      <c r="AF8" s="128" t="s">
        <v>17</v>
      </c>
      <c r="AG8" s="128" t="s">
        <v>17</v>
      </c>
      <c r="AH8" s="231" t="s">
        <v>17</v>
      </c>
      <c r="AI8" s="128" t="s">
        <v>17</v>
      </c>
      <c r="AJ8" s="128" t="s">
        <v>17</v>
      </c>
      <c r="AK8" s="231" t="s">
        <v>17</v>
      </c>
      <c r="AL8" s="128" t="s">
        <v>17</v>
      </c>
      <c r="AM8" s="128" t="s">
        <v>17</v>
      </c>
      <c r="AN8" s="231" t="s">
        <v>17</v>
      </c>
      <c r="AO8" s="128" t="s">
        <v>17</v>
      </c>
      <c r="AP8" s="128" t="s">
        <v>17</v>
      </c>
      <c r="AQ8" s="231" t="s">
        <v>17</v>
      </c>
    </row>
    <row r="9" spans="1:43" ht="14.95" customHeight="1" thickBot="1" x14ac:dyDescent="0.3">
      <c r="A9" s="72" t="s">
        <v>581</v>
      </c>
      <c r="B9" s="352">
        <v>0</v>
      </c>
      <c r="C9" s="73">
        <v>0</v>
      </c>
      <c r="D9" s="73">
        <f t="shared" si="0"/>
        <v>0</v>
      </c>
      <c r="E9" s="26" t="s">
        <v>581</v>
      </c>
      <c r="F9" s="306">
        <v>0</v>
      </c>
      <c r="G9" s="27">
        <v>0</v>
      </c>
      <c r="H9" s="27">
        <f t="shared" si="1"/>
        <v>0</v>
      </c>
      <c r="I9" s="72" t="s">
        <v>87</v>
      </c>
      <c r="J9" s="73" t="s">
        <v>17</v>
      </c>
      <c r="K9" s="73" t="s">
        <v>17</v>
      </c>
      <c r="L9" s="80" t="s">
        <v>17</v>
      </c>
      <c r="M9" s="73" t="s">
        <v>17</v>
      </c>
      <c r="N9" s="73" t="s">
        <v>17</v>
      </c>
      <c r="O9" s="80" t="s">
        <v>17</v>
      </c>
      <c r="P9" s="73">
        <v>-1</v>
      </c>
      <c r="Q9" s="128" t="s">
        <v>17</v>
      </c>
      <c r="R9" s="128" t="s">
        <v>17</v>
      </c>
      <c r="S9" s="231" t="s">
        <v>17</v>
      </c>
      <c r="T9" s="128">
        <v>7</v>
      </c>
      <c r="U9" s="128">
        <v>9</v>
      </c>
      <c r="V9" s="231">
        <f>SUM(T9/U9)*100</f>
        <v>77.777777777777786</v>
      </c>
      <c r="W9" s="41"/>
      <c r="X9" s="41"/>
      <c r="Y9" s="43"/>
      <c r="Z9" s="228" t="s">
        <v>17</v>
      </c>
      <c r="AA9" s="128" t="s">
        <v>17</v>
      </c>
      <c r="AB9" s="231" t="s">
        <v>17</v>
      </c>
      <c r="AC9" s="228">
        <v>4</v>
      </c>
      <c r="AD9" s="128">
        <v>6</v>
      </c>
      <c r="AE9" s="231">
        <f>SUM(AC9/AD9)*100</f>
        <v>66.666666666666657</v>
      </c>
      <c r="AF9" s="228" t="s">
        <v>17</v>
      </c>
      <c r="AG9" s="128" t="s">
        <v>17</v>
      </c>
      <c r="AH9" s="128" t="s">
        <v>17</v>
      </c>
      <c r="AI9" s="228">
        <v>14</v>
      </c>
      <c r="AJ9" s="128">
        <v>18</v>
      </c>
      <c r="AK9" s="231">
        <f>SUM(AI9/AJ9)*100</f>
        <v>77.777777777777786</v>
      </c>
      <c r="AL9" s="228">
        <v>18</v>
      </c>
      <c r="AM9" s="128">
        <v>22</v>
      </c>
      <c r="AN9" s="231">
        <f>SUM(AL9/AM9)*100</f>
        <v>81.818181818181827</v>
      </c>
      <c r="AO9" s="128">
        <v>16</v>
      </c>
      <c r="AP9" s="128">
        <v>20</v>
      </c>
      <c r="AQ9" s="231">
        <f>SUM(AO9/AP9)*100</f>
        <v>80</v>
      </c>
    </row>
    <row r="10" spans="1:43" ht="14.95" customHeight="1" thickBot="1" x14ac:dyDescent="0.3">
      <c r="A10" s="72" t="s">
        <v>1113</v>
      </c>
      <c r="B10" s="352">
        <v>0</v>
      </c>
      <c r="C10" s="73">
        <v>0</v>
      </c>
      <c r="D10" s="73">
        <f t="shared" si="0"/>
        <v>0</v>
      </c>
      <c r="E10" s="26" t="s">
        <v>1113</v>
      </c>
      <c r="F10" s="306">
        <v>0</v>
      </c>
      <c r="G10" s="27">
        <v>0</v>
      </c>
      <c r="H10" s="27">
        <f t="shared" si="1"/>
        <v>0</v>
      </c>
      <c r="I10" s="419" t="s">
        <v>1152</v>
      </c>
      <c r="J10" s="73" t="s">
        <v>17</v>
      </c>
      <c r="K10" s="73" t="s">
        <v>17</v>
      </c>
      <c r="L10" s="80" t="s">
        <v>17</v>
      </c>
      <c r="M10" s="73" t="s">
        <v>17</v>
      </c>
      <c r="N10" s="73" t="s">
        <v>17</v>
      </c>
      <c r="O10" s="80" t="s">
        <v>17</v>
      </c>
      <c r="P10" s="73">
        <v>-1</v>
      </c>
      <c r="Q10" s="128">
        <v>0</v>
      </c>
      <c r="R10" s="128">
        <v>1</v>
      </c>
      <c r="S10" s="231">
        <v>0</v>
      </c>
      <c r="T10" s="128" t="s">
        <v>17</v>
      </c>
      <c r="U10" s="128" t="s">
        <v>17</v>
      </c>
      <c r="V10" s="231" t="s">
        <v>17</v>
      </c>
      <c r="W10" s="41"/>
      <c r="X10" s="41"/>
      <c r="Y10" s="43"/>
      <c r="Z10" s="228" t="s">
        <v>17</v>
      </c>
      <c r="AA10" s="128" t="s">
        <v>17</v>
      </c>
      <c r="AB10" s="231" t="s">
        <v>17</v>
      </c>
      <c r="AC10" s="232" t="s">
        <v>17</v>
      </c>
      <c r="AD10" s="128" t="s">
        <v>17</v>
      </c>
      <c r="AE10" s="231" t="s">
        <v>17</v>
      </c>
      <c r="AF10" s="128" t="s">
        <v>17</v>
      </c>
      <c r="AG10" s="128" t="s">
        <v>17</v>
      </c>
      <c r="AH10" s="231" t="s">
        <v>17</v>
      </c>
      <c r="AI10" s="128" t="s">
        <v>17</v>
      </c>
      <c r="AJ10" s="128" t="s">
        <v>17</v>
      </c>
      <c r="AK10" s="231" t="s">
        <v>17</v>
      </c>
      <c r="AL10" s="128" t="s">
        <v>17</v>
      </c>
      <c r="AM10" s="128" t="s">
        <v>17</v>
      </c>
      <c r="AN10" s="231" t="s">
        <v>17</v>
      </c>
      <c r="AO10" s="128" t="s">
        <v>17</v>
      </c>
      <c r="AP10" s="128" t="s">
        <v>17</v>
      </c>
      <c r="AQ10" s="231" t="s">
        <v>17</v>
      </c>
    </row>
    <row r="11" spans="1:43" ht="14.95" customHeight="1" thickBot="1" x14ac:dyDescent="0.3">
      <c r="A11" s="72" t="s">
        <v>1377</v>
      </c>
      <c r="B11" s="352">
        <v>1</v>
      </c>
      <c r="C11" s="73">
        <v>0</v>
      </c>
      <c r="D11" s="73">
        <f t="shared" si="0"/>
        <v>1</v>
      </c>
      <c r="E11" s="26" t="s">
        <v>1377</v>
      </c>
      <c r="F11" s="306">
        <v>5</v>
      </c>
      <c r="G11" s="27">
        <v>0</v>
      </c>
      <c r="H11" s="27">
        <f t="shared" si="1"/>
        <v>5</v>
      </c>
      <c r="I11" s="40"/>
      <c r="J11" s="135"/>
      <c r="K11" s="41"/>
      <c r="L11" s="43"/>
      <c r="M11" s="118"/>
      <c r="N11" s="41"/>
      <c r="O11" s="43"/>
      <c r="P11" s="118"/>
    </row>
    <row r="12" spans="1:43" ht="14.95" customHeight="1" thickBot="1" x14ac:dyDescent="0.3">
      <c r="A12" s="72" t="s">
        <v>808</v>
      </c>
      <c r="B12" s="352">
        <v>0</v>
      </c>
      <c r="C12" s="73">
        <v>0</v>
      </c>
      <c r="D12" s="73">
        <f t="shared" si="0"/>
        <v>0</v>
      </c>
      <c r="E12" s="26" t="s">
        <v>808</v>
      </c>
      <c r="F12" s="306">
        <v>0</v>
      </c>
      <c r="G12" s="27">
        <v>0</v>
      </c>
      <c r="H12" s="27">
        <f t="shared" si="1"/>
        <v>0</v>
      </c>
      <c r="I12" s="577" t="s">
        <v>33</v>
      </c>
      <c r="J12" s="568">
        <v>2023</v>
      </c>
      <c r="K12" s="569"/>
      <c r="L12" s="570"/>
      <c r="M12" s="568">
        <v>2019</v>
      </c>
      <c r="N12" s="569"/>
      <c r="O12" s="570"/>
      <c r="P12" s="568">
        <v>2015</v>
      </c>
      <c r="Q12" s="569"/>
      <c r="R12" s="570"/>
    </row>
    <row r="13" spans="1:43" ht="14.95" customHeight="1" thickBot="1" x14ac:dyDescent="0.3">
      <c r="A13" s="72" t="s">
        <v>812</v>
      </c>
      <c r="B13" s="352">
        <v>0</v>
      </c>
      <c r="C13" s="73">
        <v>0</v>
      </c>
      <c r="D13" s="73">
        <f t="shared" si="0"/>
        <v>0</v>
      </c>
      <c r="E13" s="26" t="s">
        <v>812</v>
      </c>
      <c r="F13" s="306">
        <v>0</v>
      </c>
      <c r="G13" s="27">
        <v>0</v>
      </c>
      <c r="H13" s="27">
        <f t="shared" si="1"/>
        <v>0</v>
      </c>
      <c r="I13" s="578"/>
      <c r="J13" s="571"/>
      <c r="K13" s="572"/>
      <c r="L13" s="573"/>
      <c r="M13" s="571"/>
      <c r="N13" s="572"/>
      <c r="O13" s="573"/>
      <c r="P13" s="571"/>
      <c r="Q13" s="572"/>
      <c r="R13" s="573"/>
    </row>
    <row r="14" spans="1:43" ht="14.95" customHeight="1" thickBot="1" x14ac:dyDescent="0.3">
      <c r="A14" s="72" t="s">
        <v>84</v>
      </c>
      <c r="B14" s="352">
        <v>0</v>
      </c>
      <c r="C14" s="73">
        <v>0</v>
      </c>
      <c r="D14" s="73">
        <f t="shared" si="0"/>
        <v>0</v>
      </c>
      <c r="E14" s="26" t="s">
        <v>84</v>
      </c>
      <c r="F14" s="306">
        <v>0</v>
      </c>
      <c r="G14" s="27">
        <v>0</v>
      </c>
      <c r="H14" s="27">
        <f t="shared" si="1"/>
        <v>0</v>
      </c>
      <c r="I14" s="380"/>
      <c r="J14" s="128" t="s">
        <v>152</v>
      </c>
      <c r="K14" s="128" t="s">
        <v>12</v>
      </c>
      <c r="L14" s="128" t="s">
        <v>13</v>
      </c>
      <c r="M14" s="128" t="s">
        <v>152</v>
      </c>
      <c r="N14" s="128" t="s">
        <v>12</v>
      </c>
      <c r="O14" s="128" t="s">
        <v>13</v>
      </c>
      <c r="P14" s="128" t="s">
        <v>152</v>
      </c>
      <c r="Q14" s="128" t="s">
        <v>12</v>
      </c>
      <c r="R14" s="128" t="s">
        <v>13</v>
      </c>
    </row>
    <row r="15" spans="1:43" ht="14.95" customHeight="1" thickBot="1" x14ac:dyDescent="0.3">
      <c r="A15" s="72" t="s">
        <v>404</v>
      </c>
      <c r="B15" s="352">
        <v>0</v>
      </c>
      <c r="C15" s="73">
        <v>0</v>
      </c>
      <c r="D15" s="73">
        <f t="shared" si="0"/>
        <v>0</v>
      </c>
      <c r="E15" s="26" t="s">
        <v>404</v>
      </c>
      <c r="F15" s="306">
        <v>0</v>
      </c>
      <c r="G15" s="27">
        <v>0</v>
      </c>
      <c r="H15" s="27">
        <f t="shared" si="1"/>
        <v>0</v>
      </c>
      <c r="I15" s="419" t="s">
        <v>317</v>
      </c>
      <c r="J15" s="128" t="s">
        <v>17</v>
      </c>
      <c r="K15" s="128" t="s">
        <v>17</v>
      </c>
      <c r="L15" s="231" t="s">
        <v>17</v>
      </c>
      <c r="M15" s="128">
        <v>1</v>
      </c>
      <c r="N15" s="128">
        <v>2</v>
      </c>
      <c r="O15" s="231">
        <f>SUM(M15/N15)*100</f>
        <v>50</v>
      </c>
      <c r="P15" s="128" t="s">
        <v>17</v>
      </c>
      <c r="Q15" s="128" t="s">
        <v>17</v>
      </c>
      <c r="R15" s="128" t="s">
        <v>17</v>
      </c>
    </row>
    <row r="16" spans="1:43" ht="14.95" customHeight="1" thickBot="1" x14ac:dyDescent="0.3">
      <c r="A16" s="72" t="s">
        <v>816</v>
      </c>
      <c r="B16" s="352">
        <v>0</v>
      </c>
      <c r="C16" s="73">
        <v>0</v>
      </c>
      <c r="D16" s="73">
        <f t="shared" si="0"/>
        <v>0</v>
      </c>
      <c r="E16" s="26" t="s">
        <v>816</v>
      </c>
      <c r="F16" s="306">
        <v>0</v>
      </c>
      <c r="G16" s="27">
        <v>0</v>
      </c>
      <c r="H16" s="27">
        <f t="shared" si="1"/>
        <v>0</v>
      </c>
      <c r="I16" s="419" t="s">
        <v>83</v>
      </c>
      <c r="J16" s="128" t="s">
        <v>17</v>
      </c>
      <c r="K16" s="128" t="s">
        <v>17</v>
      </c>
      <c r="L16" s="231" t="s">
        <v>17</v>
      </c>
      <c r="M16" s="128">
        <v>1</v>
      </c>
      <c r="N16" s="128">
        <v>1</v>
      </c>
      <c r="O16" s="231">
        <f>SUM(M16/N16)*100</f>
        <v>100</v>
      </c>
      <c r="P16" s="128" t="s">
        <v>17</v>
      </c>
      <c r="Q16" s="128" t="s">
        <v>17</v>
      </c>
      <c r="R16" s="128" t="s">
        <v>17</v>
      </c>
    </row>
    <row r="17" spans="1:37" ht="14.95" customHeight="1" thickBot="1" x14ac:dyDescent="0.3">
      <c r="A17" s="72" t="s">
        <v>464</v>
      </c>
      <c r="B17" s="352">
        <v>0</v>
      </c>
      <c r="C17" s="73">
        <v>0</v>
      </c>
      <c r="D17" s="73">
        <f t="shared" si="0"/>
        <v>0</v>
      </c>
      <c r="E17" s="26" t="s">
        <v>464</v>
      </c>
      <c r="F17" s="306">
        <v>0</v>
      </c>
      <c r="G17" s="27">
        <v>0</v>
      </c>
      <c r="H17" s="27">
        <f t="shared" si="1"/>
        <v>0</v>
      </c>
      <c r="I17" s="419" t="s">
        <v>404</v>
      </c>
      <c r="J17" s="128">
        <v>13</v>
      </c>
      <c r="K17" s="128">
        <v>17</v>
      </c>
      <c r="L17" s="231">
        <f>SUM(J17/K17)*100</f>
        <v>76.470588235294116</v>
      </c>
      <c r="M17" s="128" t="s">
        <v>17</v>
      </c>
      <c r="N17" s="128" t="s">
        <v>17</v>
      </c>
      <c r="O17" s="128" t="s">
        <v>17</v>
      </c>
      <c r="P17" s="128" t="s">
        <v>17</v>
      </c>
      <c r="Q17" s="128" t="s">
        <v>17</v>
      </c>
      <c r="R17" s="128" t="s">
        <v>17</v>
      </c>
    </row>
    <row r="18" spans="1:37" ht="14.95" customHeight="1" thickBot="1" x14ac:dyDescent="0.3">
      <c r="A18" s="72" t="s">
        <v>809</v>
      </c>
      <c r="B18" s="352">
        <v>0</v>
      </c>
      <c r="C18" s="73">
        <v>0</v>
      </c>
      <c r="D18" s="73">
        <f t="shared" si="0"/>
        <v>0</v>
      </c>
      <c r="E18" s="26" t="s">
        <v>809</v>
      </c>
      <c r="F18" s="306">
        <v>0</v>
      </c>
      <c r="G18" s="27">
        <v>0</v>
      </c>
      <c r="H18" s="27">
        <f t="shared" si="1"/>
        <v>0</v>
      </c>
      <c r="I18" s="72" t="s">
        <v>85</v>
      </c>
      <c r="J18" s="128" t="s">
        <v>17</v>
      </c>
      <c r="K18" s="128" t="s">
        <v>17</v>
      </c>
      <c r="L18" s="231" t="s">
        <v>17</v>
      </c>
      <c r="M18" s="128" t="s">
        <v>17</v>
      </c>
      <c r="N18" s="128" t="s">
        <v>17</v>
      </c>
      <c r="O18" s="128" t="s">
        <v>17</v>
      </c>
      <c r="P18" s="128">
        <v>3</v>
      </c>
      <c r="Q18" s="128">
        <v>7</v>
      </c>
      <c r="R18" s="231">
        <f>SUM(P18/Q18)*100</f>
        <v>42.857142857142854</v>
      </c>
    </row>
    <row r="19" spans="1:37" ht="14.95" customHeight="1" thickBot="1" x14ac:dyDescent="0.3">
      <c r="A19" s="72" t="s">
        <v>1369</v>
      </c>
      <c r="B19" s="352">
        <v>1</v>
      </c>
      <c r="C19" s="73">
        <v>0</v>
      </c>
      <c r="D19" s="73">
        <f t="shared" si="0"/>
        <v>1</v>
      </c>
      <c r="E19" s="26" t="s">
        <v>1369</v>
      </c>
      <c r="F19" s="306">
        <v>5</v>
      </c>
      <c r="G19" s="27">
        <v>0</v>
      </c>
      <c r="H19" s="27">
        <f t="shared" si="1"/>
        <v>5</v>
      </c>
      <c r="I19" s="72" t="s">
        <v>86</v>
      </c>
      <c r="J19" s="128" t="s">
        <v>17</v>
      </c>
      <c r="K19" s="128" t="s">
        <v>17</v>
      </c>
      <c r="L19" s="231" t="s">
        <v>17</v>
      </c>
      <c r="M19" s="128" t="s">
        <v>17</v>
      </c>
      <c r="N19" s="128" t="s">
        <v>17</v>
      </c>
      <c r="O19" s="128" t="s">
        <v>17</v>
      </c>
      <c r="P19" s="128">
        <v>8</v>
      </c>
      <c r="Q19" s="128">
        <v>12</v>
      </c>
      <c r="R19" s="231">
        <f>SUM(P19/Q19)*100</f>
        <v>66.666666666666657</v>
      </c>
    </row>
    <row r="20" spans="1:37" ht="14.95" customHeight="1" thickBot="1" x14ac:dyDescent="0.3">
      <c r="A20" s="72" t="s">
        <v>554</v>
      </c>
      <c r="B20" s="352">
        <v>0</v>
      </c>
      <c r="C20" s="73">
        <v>0</v>
      </c>
      <c r="D20" s="73">
        <f t="shared" si="0"/>
        <v>0</v>
      </c>
      <c r="E20" s="26" t="s">
        <v>554</v>
      </c>
      <c r="F20" s="306">
        <v>0</v>
      </c>
      <c r="G20" s="27">
        <v>0</v>
      </c>
      <c r="H20" s="27">
        <f t="shared" si="1"/>
        <v>0</v>
      </c>
      <c r="I20" s="419" t="s">
        <v>892</v>
      </c>
      <c r="J20" s="128">
        <v>0</v>
      </c>
      <c r="K20" s="128">
        <v>1</v>
      </c>
      <c r="L20" s="231">
        <f>SUM(J20/K20)*100</f>
        <v>0</v>
      </c>
      <c r="M20" s="128" t="s">
        <v>17</v>
      </c>
      <c r="N20" s="128" t="s">
        <v>17</v>
      </c>
      <c r="O20" s="128" t="s">
        <v>17</v>
      </c>
      <c r="P20" s="128" t="s">
        <v>17</v>
      </c>
      <c r="Q20" s="128" t="s">
        <v>17</v>
      </c>
      <c r="R20" s="128" t="s">
        <v>17</v>
      </c>
    </row>
    <row r="21" spans="1:37" ht="14.95" customHeight="1" thickBot="1" x14ac:dyDescent="0.3">
      <c r="A21" s="72" t="s">
        <v>810</v>
      </c>
      <c r="B21" s="352">
        <v>0</v>
      </c>
      <c r="C21" s="73">
        <v>0</v>
      </c>
      <c r="D21" s="73">
        <f t="shared" si="0"/>
        <v>0</v>
      </c>
      <c r="E21" s="26" t="s">
        <v>810</v>
      </c>
      <c r="F21" s="306">
        <v>0</v>
      </c>
      <c r="G21" s="27">
        <v>0</v>
      </c>
      <c r="H21" s="27">
        <f t="shared" si="1"/>
        <v>0</v>
      </c>
      <c r="I21" s="419" t="s">
        <v>329</v>
      </c>
      <c r="J21" s="128" t="s">
        <v>17</v>
      </c>
      <c r="K21" s="128" t="s">
        <v>17</v>
      </c>
      <c r="L21" s="231" t="s">
        <v>17</v>
      </c>
      <c r="M21" s="128">
        <v>1</v>
      </c>
      <c r="N21" s="128">
        <v>1</v>
      </c>
      <c r="O21" s="231">
        <f>SUM(M21/N21)*100</f>
        <v>100</v>
      </c>
      <c r="P21" s="128" t="s">
        <v>17</v>
      </c>
      <c r="Q21" s="128" t="s">
        <v>17</v>
      </c>
      <c r="R21" s="128" t="s">
        <v>17</v>
      </c>
    </row>
    <row r="22" spans="1:37" ht="14.95" customHeight="1" thickBot="1" x14ac:dyDescent="0.3">
      <c r="A22" s="72" t="s">
        <v>637</v>
      </c>
      <c r="B22" s="352">
        <v>0</v>
      </c>
      <c r="C22" s="73">
        <v>0</v>
      </c>
      <c r="D22" s="73">
        <f t="shared" si="0"/>
        <v>0</v>
      </c>
      <c r="E22" s="26" t="s">
        <v>637</v>
      </c>
      <c r="F22" s="306">
        <v>0</v>
      </c>
      <c r="G22" s="27">
        <v>0</v>
      </c>
      <c r="H22" s="27">
        <f t="shared" si="1"/>
        <v>0</v>
      </c>
      <c r="I22" s="72" t="s">
        <v>87</v>
      </c>
      <c r="J22" s="128" t="s">
        <v>17</v>
      </c>
      <c r="K22" s="128" t="s">
        <v>17</v>
      </c>
      <c r="L22" s="231" t="s">
        <v>17</v>
      </c>
      <c r="M22" s="128">
        <v>7</v>
      </c>
      <c r="N22" s="128">
        <v>8</v>
      </c>
      <c r="O22" s="231">
        <f>SUM(M22/N22)*100</f>
        <v>87.5</v>
      </c>
      <c r="P22" s="128">
        <v>8</v>
      </c>
      <c r="Q22" s="128">
        <v>12</v>
      </c>
      <c r="R22" s="231">
        <f>SUM(P22/Q22)*100</f>
        <v>66.666666666666657</v>
      </c>
    </row>
    <row r="23" spans="1:37" ht="14.95" customHeight="1" thickBot="1" x14ac:dyDescent="0.3">
      <c r="A23" s="72" t="s">
        <v>542</v>
      </c>
      <c r="B23" s="352">
        <v>0</v>
      </c>
      <c r="C23" s="73">
        <v>0</v>
      </c>
      <c r="D23" s="73">
        <f t="shared" si="0"/>
        <v>0</v>
      </c>
      <c r="E23" s="26" t="s">
        <v>542</v>
      </c>
      <c r="F23" s="306">
        <v>0</v>
      </c>
      <c r="G23" s="27">
        <v>0</v>
      </c>
      <c r="H23" s="27">
        <f t="shared" si="1"/>
        <v>0</v>
      </c>
    </row>
    <row r="24" spans="1:37" ht="14.95" customHeight="1" thickBot="1" x14ac:dyDescent="0.3">
      <c r="A24" s="72" t="s">
        <v>815</v>
      </c>
      <c r="B24" s="352">
        <v>1</v>
      </c>
      <c r="C24" s="73">
        <v>0</v>
      </c>
      <c r="D24" s="73">
        <f t="shared" si="0"/>
        <v>1</v>
      </c>
      <c r="E24" s="26" t="s">
        <v>815</v>
      </c>
      <c r="F24" s="306">
        <v>5</v>
      </c>
      <c r="G24" s="27">
        <v>0</v>
      </c>
      <c r="H24" s="27">
        <f t="shared" si="1"/>
        <v>5</v>
      </c>
      <c r="I24" s="667" t="s">
        <v>636</v>
      </c>
      <c r="J24" s="583">
        <v>2025</v>
      </c>
      <c r="K24" s="584"/>
      <c r="L24" s="585"/>
      <c r="M24" s="568">
        <v>2024</v>
      </c>
      <c r="N24" s="569"/>
      <c r="O24" s="570"/>
      <c r="P24" s="568">
        <v>2022</v>
      </c>
      <c r="Q24" s="569"/>
      <c r="R24" s="570"/>
      <c r="S24" s="568">
        <v>2019</v>
      </c>
      <c r="T24" s="558"/>
      <c r="U24" s="559"/>
      <c r="V24" s="125"/>
      <c r="W24" s="125"/>
      <c r="X24" s="125"/>
      <c r="Y24" s="125"/>
      <c r="Z24" s="568">
        <v>2018</v>
      </c>
      <c r="AA24" s="558"/>
      <c r="AB24" s="559"/>
      <c r="AC24" s="568">
        <v>2017</v>
      </c>
      <c r="AD24" s="602"/>
      <c r="AE24" s="603"/>
      <c r="AF24" s="568">
        <v>2015</v>
      </c>
      <c r="AG24" s="569"/>
      <c r="AH24" s="570"/>
      <c r="AI24" s="568">
        <v>2014</v>
      </c>
      <c r="AJ24" s="569"/>
      <c r="AK24" s="570"/>
    </row>
    <row r="25" spans="1:37" ht="14.95" customHeight="1" thickBot="1" x14ac:dyDescent="0.3">
      <c r="A25" s="72" t="s">
        <v>1342</v>
      </c>
      <c r="B25" s="352">
        <v>1</v>
      </c>
      <c r="C25" s="73">
        <v>0</v>
      </c>
      <c r="D25" s="73">
        <f t="shared" si="0"/>
        <v>1</v>
      </c>
      <c r="E25" s="26" t="s">
        <v>1342</v>
      </c>
      <c r="F25" s="306">
        <v>5</v>
      </c>
      <c r="G25" s="27">
        <v>0</v>
      </c>
      <c r="H25" s="27">
        <f t="shared" si="1"/>
        <v>5</v>
      </c>
      <c r="I25" s="700"/>
      <c r="J25" s="586"/>
      <c r="K25" s="587"/>
      <c r="L25" s="588"/>
      <c r="M25" s="571"/>
      <c r="N25" s="572"/>
      <c r="O25" s="573"/>
      <c r="P25" s="571"/>
      <c r="Q25" s="572"/>
      <c r="R25" s="573"/>
      <c r="S25" s="560"/>
      <c r="T25" s="561"/>
      <c r="U25" s="562"/>
      <c r="V25" s="125"/>
      <c r="W25" s="125"/>
      <c r="X25" s="125"/>
      <c r="Y25" s="125"/>
      <c r="Z25" s="560"/>
      <c r="AA25" s="561"/>
      <c r="AB25" s="562"/>
      <c r="AC25" s="604"/>
      <c r="AD25" s="605"/>
      <c r="AE25" s="606"/>
      <c r="AF25" s="571"/>
      <c r="AG25" s="572"/>
      <c r="AH25" s="573"/>
      <c r="AI25" s="571"/>
      <c r="AJ25" s="572"/>
      <c r="AK25" s="573"/>
    </row>
    <row r="26" spans="1:37" ht="14.95" customHeight="1" thickBot="1" x14ac:dyDescent="0.3">
      <c r="A26" s="72" t="s">
        <v>1151</v>
      </c>
      <c r="B26" s="352">
        <v>0</v>
      </c>
      <c r="C26" s="73">
        <v>0</v>
      </c>
      <c r="D26" s="73">
        <f t="shared" si="0"/>
        <v>0</v>
      </c>
      <c r="E26" s="26" t="s">
        <v>1151</v>
      </c>
      <c r="F26" s="306">
        <v>0</v>
      </c>
      <c r="G26" s="27">
        <v>0</v>
      </c>
      <c r="H26" s="27">
        <f t="shared" si="1"/>
        <v>0</v>
      </c>
      <c r="I26" s="426"/>
      <c r="J26" s="53" t="s">
        <v>152</v>
      </c>
      <c r="K26" s="53" t="s">
        <v>12</v>
      </c>
      <c r="L26" s="53" t="s">
        <v>13</v>
      </c>
      <c r="M26" s="128" t="s">
        <v>152</v>
      </c>
      <c r="N26" s="128" t="s">
        <v>12</v>
      </c>
      <c r="O26" s="128" t="s">
        <v>13</v>
      </c>
      <c r="P26" s="128" t="s">
        <v>152</v>
      </c>
      <c r="Q26" s="128" t="s">
        <v>12</v>
      </c>
      <c r="R26" s="128" t="s">
        <v>13</v>
      </c>
      <c r="S26" s="128" t="s">
        <v>152</v>
      </c>
      <c r="T26" s="128" t="s">
        <v>12</v>
      </c>
      <c r="U26" s="128" t="s">
        <v>13</v>
      </c>
      <c r="V26" s="41"/>
      <c r="W26" s="41"/>
      <c r="X26" s="121"/>
      <c r="Y26" s="121"/>
      <c r="Z26" s="228" t="s">
        <v>152</v>
      </c>
      <c r="AA26" s="128" t="s">
        <v>12</v>
      </c>
      <c r="AB26" s="128" t="s">
        <v>13</v>
      </c>
      <c r="AC26" s="228" t="s">
        <v>152</v>
      </c>
      <c r="AD26" s="128" t="s">
        <v>12</v>
      </c>
      <c r="AE26" s="128" t="s">
        <v>13</v>
      </c>
      <c r="AF26" s="228" t="s">
        <v>152</v>
      </c>
      <c r="AG26" s="128" t="s">
        <v>12</v>
      </c>
      <c r="AH26" s="128" t="s">
        <v>13</v>
      </c>
      <c r="AI26" s="228" t="s">
        <v>152</v>
      </c>
      <c r="AJ26" s="128" t="s">
        <v>12</v>
      </c>
      <c r="AK26" s="128" t="s">
        <v>13</v>
      </c>
    </row>
    <row r="27" spans="1:37" ht="14.95" customHeight="1" thickBot="1" x14ac:dyDescent="0.3">
      <c r="A27" s="72" t="s">
        <v>988</v>
      </c>
      <c r="B27" s="352">
        <v>0</v>
      </c>
      <c r="C27" s="73">
        <v>0</v>
      </c>
      <c r="D27" s="73">
        <f t="shared" si="0"/>
        <v>0</v>
      </c>
      <c r="E27" s="26" t="s">
        <v>988</v>
      </c>
      <c r="F27" s="306">
        <v>0</v>
      </c>
      <c r="G27" s="27">
        <v>0</v>
      </c>
      <c r="H27" s="27">
        <f t="shared" si="1"/>
        <v>0</v>
      </c>
      <c r="I27" s="72" t="s">
        <v>106</v>
      </c>
      <c r="J27" s="73" t="s">
        <v>17</v>
      </c>
      <c r="K27" s="73" t="s">
        <v>17</v>
      </c>
      <c r="L27" s="80" t="s">
        <v>17</v>
      </c>
      <c r="M27" s="128" t="s">
        <v>17</v>
      </c>
      <c r="N27" s="128" t="s">
        <v>17</v>
      </c>
      <c r="O27" s="231" t="s">
        <v>17</v>
      </c>
      <c r="P27" s="128" t="s">
        <v>17</v>
      </c>
      <c r="Q27" s="128" t="s">
        <v>17</v>
      </c>
      <c r="R27" s="231" t="s">
        <v>17</v>
      </c>
      <c r="S27" s="128" t="s">
        <v>17</v>
      </c>
      <c r="T27" s="128" t="s">
        <v>17</v>
      </c>
      <c r="U27" s="128" t="s">
        <v>17</v>
      </c>
      <c r="V27" s="41"/>
      <c r="W27" s="41"/>
      <c r="X27" s="121"/>
      <c r="Y27" s="121"/>
      <c r="Z27" s="228" t="s">
        <v>17</v>
      </c>
      <c r="AA27" s="128" t="s">
        <v>17</v>
      </c>
      <c r="AB27" s="128" t="s">
        <v>17</v>
      </c>
      <c r="AC27" s="228" t="s">
        <v>17</v>
      </c>
      <c r="AD27" s="128" t="s">
        <v>17</v>
      </c>
      <c r="AE27" s="128" t="s">
        <v>17</v>
      </c>
      <c r="AF27" s="228" t="s">
        <v>17</v>
      </c>
      <c r="AG27" s="128" t="s">
        <v>17</v>
      </c>
      <c r="AH27" s="128" t="s">
        <v>17</v>
      </c>
      <c r="AI27" s="228">
        <v>2</v>
      </c>
      <c r="AJ27" s="128">
        <v>3</v>
      </c>
      <c r="AK27" s="231">
        <f>SUM(AI27/AJ27)*100</f>
        <v>66.666666666666657</v>
      </c>
    </row>
    <row r="28" spans="1:37" ht="14.95" customHeight="1" thickBot="1" x14ac:dyDescent="0.3">
      <c r="A28" s="72" t="s">
        <v>813</v>
      </c>
      <c r="B28" s="352">
        <v>0</v>
      </c>
      <c r="C28" s="73">
        <v>0</v>
      </c>
      <c r="D28" s="73">
        <f t="shared" si="0"/>
        <v>0</v>
      </c>
      <c r="E28" s="26" t="s">
        <v>813</v>
      </c>
      <c r="F28" s="306">
        <v>0</v>
      </c>
      <c r="G28" s="27">
        <v>0</v>
      </c>
      <c r="H28" s="27">
        <f t="shared" si="1"/>
        <v>0</v>
      </c>
      <c r="I28" s="419" t="s">
        <v>317</v>
      </c>
      <c r="J28" s="73" t="s">
        <v>17</v>
      </c>
      <c r="K28" s="73" t="s">
        <v>17</v>
      </c>
      <c r="L28" s="80" t="s">
        <v>17</v>
      </c>
      <c r="M28" s="128" t="s">
        <v>17</v>
      </c>
      <c r="N28" s="128" t="s">
        <v>17</v>
      </c>
      <c r="O28" s="231" t="s">
        <v>17</v>
      </c>
      <c r="P28" s="128">
        <v>3</v>
      </c>
      <c r="Q28" s="128">
        <v>4</v>
      </c>
      <c r="R28" s="231">
        <f>SUM(P28/Q28)*100</f>
        <v>75</v>
      </c>
      <c r="S28" s="128">
        <v>1</v>
      </c>
      <c r="T28" s="128">
        <v>3</v>
      </c>
      <c r="U28" s="231">
        <f>SUM(S28/T28)*100</f>
        <v>33.333333333333329</v>
      </c>
      <c r="V28" s="41"/>
      <c r="W28" s="41"/>
      <c r="X28" s="121"/>
      <c r="Y28" s="121"/>
      <c r="Z28" s="228" t="s">
        <v>17</v>
      </c>
      <c r="AA28" s="128" t="s">
        <v>17</v>
      </c>
      <c r="AB28" s="128" t="s">
        <v>17</v>
      </c>
      <c r="AC28" s="228" t="s">
        <v>17</v>
      </c>
      <c r="AD28" s="128" t="s">
        <v>17</v>
      </c>
      <c r="AE28" s="128" t="s">
        <v>17</v>
      </c>
      <c r="AF28" s="228" t="s">
        <v>17</v>
      </c>
      <c r="AG28" s="128" t="s">
        <v>17</v>
      </c>
      <c r="AH28" s="128" t="s">
        <v>17</v>
      </c>
      <c r="AI28" s="228" t="s">
        <v>17</v>
      </c>
      <c r="AJ28" s="128" t="s">
        <v>17</v>
      </c>
      <c r="AK28" s="128" t="s">
        <v>17</v>
      </c>
    </row>
    <row r="29" spans="1:37" ht="14.95" customHeight="1" thickBot="1" x14ac:dyDescent="0.3">
      <c r="A29" s="72" t="s">
        <v>811</v>
      </c>
      <c r="B29" s="352">
        <v>0</v>
      </c>
      <c r="C29" s="73">
        <v>0</v>
      </c>
      <c r="D29" s="73">
        <f t="shared" si="0"/>
        <v>0</v>
      </c>
      <c r="E29" s="26" t="s">
        <v>811</v>
      </c>
      <c r="F29" s="306">
        <v>0</v>
      </c>
      <c r="G29" s="27">
        <v>0</v>
      </c>
      <c r="H29" s="27">
        <f t="shared" si="1"/>
        <v>0</v>
      </c>
      <c r="I29" s="72" t="s">
        <v>125</v>
      </c>
      <c r="J29" s="73" t="s">
        <v>17</v>
      </c>
      <c r="K29" s="73" t="s">
        <v>17</v>
      </c>
      <c r="L29" s="80" t="s">
        <v>17</v>
      </c>
      <c r="M29" s="128" t="s">
        <v>17</v>
      </c>
      <c r="N29" s="128" t="s">
        <v>17</v>
      </c>
      <c r="O29" s="231" t="s">
        <v>17</v>
      </c>
      <c r="P29" s="128" t="s">
        <v>17</v>
      </c>
      <c r="Q29" s="128" t="s">
        <v>17</v>
      </c>
      <c r="R29" s="231" t="s">
        <v>17</v>
      </c>
      <c r="S29" s="128" t="s">
        <v>17</v>
      </c>
      <c r="T29" s="128" t="s">
        <v>17</v>
      </c>
      <c r="U29" s="128" t="s">
        <v>17</v>
      </c>
      <c r="V29" s="41"/>
      <c r="W29" s="41"/>
      <c r="X29" s="121"/>
      <c r="Y29" s="121"/>
      <c r="Z29" s="228">
        <v>1</v>
      </c>
      <c r="AA29" s="128">
        <v>1</v>
      </c>
      <c r="AB29" s="231">
        <f>SUM(Z29/AA29)*100</f>
        <v>100</v>
      </c>
      <c r="AC29" s="228" t="s">
        <v>17</v>
      </c>
      <c r="AD29" s="128" t="s">
        <v>17</v>
      </c>
      <c r="AE29" s="128" t="s">
        <v>17</v>
      </c>
      <c r="AF29" s="228" t="s">
        <v>17</v>
      </c>
      <c r="AG29" s="128" t="s">
        <v>17</v>
      </c>
      <c r="AH29" s="128" t="s">
        <v>17</v>
      </c>
      <c r="AI29" s="228" t="s">
        <v>17</v>
      </c>
      <c r="AJ29" s="128" t="s">
        <v>17</v>
      </c>
      <c r="AK29" s="128" t="s">
        <v>17</v>
      </c>
    </row>
    <row r="30" spans="1:37" ht="14.95" customHeight="1" thickBot="1" x14ac:dyDescent="0.3">
      <c r="A30" s="72" t="s">
        <v>892</v>
      </c>
      <c r="B30" s="352">
        <v>3</v>
      </c>
      <c r="C30" s="73">
        <v>0</v>
      </c>
      <c r="D30" s="73">
        <f t="shared" si="0"/>
        <v>3</v>
      </c>
      <c r="E30" s="26" t="s">
        <v>892</v>
      </c>
      <c r="F30" s="306">
        <v>49</v>
      </c>
      <c r="G30" s="27">
        <v>0</v>
      </c>
      <c r="H30" s="27">
        <f t="shared" si="1"/>
        <v>49</v>
      </c>
      <c r="I30" s="72" t="s">
        <v>83</v>
      </c>
      <c r="J30" s="73" t="s">
        <v>17</v>
      </c>
      <c r="K30" s="73" t="s">
        <v>17</v>
      </c>
      <c r="L30" s="80" t="s">
        <v>17</v>
      </c>
      <c r="M30" s="128" t="s">
        <v>17</v>
      </c>
      <c r="N30" s="128" t="s">
        <v>17</v>
      </c>
      <c r="O30" s="231" t="s">
        <v>17</v>
      </c>
      <c r="P30" s="128" t="s">
        <v>17</v>
      </c>
      <c r="Q30" s="128" t="s">
        <v>17</v>
      </c>
      <c r="R30" s="231" t="s">
        <v>17</v>
      </c>
      <c r="S30" s="128">
        <v>1</v>
      </c>
      <c r="T30" s="128">
        <v>1</v>
      </c>
      <c r="U30" s="231">
        <f>SUM(S30/T30)*100</f>
        <v>100</v>
      </c>
      <c r="V30" s="43"/>
      <c r="W30" s="43"/>
      <c r="X30" s="121"/>
      <c r="Y30" s="121"/>
      <c r="Z30" s="228" t="s">
        <v>17</v>
      </c>
      <c r="AA30" s="128" t="s">
        <v>17</v>
      </c>
      <c r="AB30" s="128" t="s">
        <v>17</v>
      </c>
      <c r="AC30" s="228" t="s">
        <v>17</v>
      </c>
      <c r="AD30" s="128" t="s">
        <v>17</v>
      </c>
      <c r="AE30" s="128" t="s">
        <v>17</v>
      </c>
      <c r="AF30" s="228">
        <v>0</v>
      </c>
      <c r="AG30" s="128">
        <v>3</v>
      </c>
      <c r="AH30" s="231">
        <f>SUM(AF30/AG30)*100</f>
        <v>0</v>
      </c>
      <c r="AI30" s="228">
        <v>4</v>
      </c>
      <c r="AJ30" s="128">
        <v>7</v>
      </c>
      <c r="AK30" s="231">
        <f>SUM(AI30/AJ30)*100</f>
        <v>57.142857142857139</v>
      </c>
    </row>
    <row r="31" spans="1:37" ht="14.95" customHeight="1" thickBot="1" x14ac:dyDescent="0.3">
      <c r="A31" s="72" t="s">
        <v>4</v>
      </c>
      <c r="B31" s="352">
        <v>0</v>
      </c>
      <c r="C31" s="73">
        <v>0</v>
      </c>
      <c r="D31" s="73">
        <f t="shared" si="0"/>
        <v>0</v>
      </c>
      <c r="E31" s="26" t="s">
        <v>4</v>
      </c>
      <c r="F31" s="306">
        <v>0</v>
      </c>
      <c r="G31" s="27">
        <v>0</v>
      </c>
      <c r="H31" s="27">
        <f t="shared" si="1"/>
        <v>0</v>
      </c>
      <c r="I31" s="419" t="s">
        <v>404</v>
      </c>
      <c r="J31" s="73" t="s">
        <v>17</v>
      </c>
      <c r="K31" s="73" t="s">
        <v>17</v>
      </c>
      <c r="L31" s="80" t="s">
        <v>17</v>
      </c>
      <c r="M31" s="128" t="s">
        <v>17</v>
      </c>
      <c r="N31" s="128" t="s">
        <v>17</v>
      </c>
      <c r="O31" s="231" t="s">
        <v>17</v>
      </c>
      <c r="P31" s="128">
        <v>3</v>
      </c>
      <c r="Q31" s="128">
        <v>5</v>
      </c>
      <c r="R31" s="231">
        <f>SUM(P31/Q31)*100</f>
        <v>60</v>
      </c>
      <c r="S31" s="128" t="s">
        <v>17</v>
      </c>
      <c r="T31" s="128" t="s">
        <v>17</v>
      </c>
      <c r="U31" s="128" t="s">
        <v>17</v>
      </c>
      <c r="V31" s="43"/>
      <c r="W31" s="43"/>
      <c r="X31" s="121"/>
      <c r="Y31" s="121"/>
      <c r="Z31" s="228" t="s">
        <v>17</v>
      </c>
      <c r="AA31" s="128" t="s">
        <v>17</v>
      </c>
      <c r="AB31" s="128" t="s">
        <v>17</v>
      </c>
      <c r="AC31" s="232" t="s">
        <v>17</v>
      </c>
      <c r="AD31" s="128" t="s">
        <v>17</v>
      </c>
      <c r="AE31" s="128" t="s">
        <v>17</v>
      </c>
      <c r="AF31" s="128" t="s">
        <v>17</v>
      </c>
      <c r="AG31" s="128" t="s">
        <v>17</v>
      </c>
      <c r="AH31" s="128" t="s">
        <v>17</v>
      </c>
      <c r="AI31" s="128" t="s">
        <v>17</v>
      </c>
      <c r="AJ31" s="128" t="s">
        <v>17</v>
      </c>
      <c r="AK31" s="128" t="s">
        <v>17</v>
      </c>
    </row>
    <row r="32" spans="1:37" ht="14.95" customHeight="1" thickBot="1" x14ac:dyDescent="0.3">
      <c r="A32" s="72" t="s">
        <v>1370</v>
      </c>
      <c r="B32" s="352">
        <v>1</v>
      </c>
      <c r="C32" s="73">
        <v>0</v>
      </c>
      <c r="D32" s="73">
        <f t="shared" si="0"/>
        <v>1</v>
      </c>
      <c r="E32" s="26" t="s">
        <v>1370</v>
      </c>
      <c r="F32" s="306">
        <v>5</v>
      </c>
      <c r="G32" s="27">
        <v>0</v>
      </c>
      <c r="H32" s="27">
        <f t="shared" si="1"/>
        <v>5</v>
      </c>
      <c r="I32" s="72" t="s">
        <v>542</v>
      </c>
      <c r="J32" s="73" t="s">
        <v>17</v>
      </c>
      <c r="K32" s="73" t="s">
        <v>17</v>
      </c>
      <c r="L32" s="80" t="s">
        <v>17</v>
      </c>
      <c r="M32" s="128" t="s">
        <v>17</v>
      </c>
      <c r="N32" s="128" t="s">
        <v>17</v>
      </c>
      <c r="O32" s="231" t="s">
        <v>17</v>
      </c>
      <c r="P32" s="128" t="s">
        <v>17</v>
      </c>
      <c r="Q32" s="128" t="s">
        <v>17</v>
      </c>
      <c r="R32" s="231" t="s">
        <v>17</v>
      </c>
      <c r="S32" s="128" t="s">
        <v>17</v>
      </c>
      <c r="T32" s="128" t="s">
        <v>17</v>
      </c>
      <c r="U32" s="128" t="s">
        <v>17</v>
      </c>
      <c r="V32" s="43"/>
      <c r="W32" s="43"/>
      <c r="X32" s="121"/>
      <c r="Y32" s="121"/>
      <c r="Z32" s="228" t="s">
        <v>17</v>
      </c>
      <c r="AA32" s="128" t="s">
        <v>17</v>
      </c>
      <c r="AB32" s="128" t="s">
        <v>17</v>
      </c>
      <c r="AC32" s="228" t="s">
        <v>17</v>
      </c>
      <c r="AD32" s="128" t="s">
        <v>17</v>
      </c>
      <c r="AE32" s="128" t="s">
        <v>17</v>
      </c>
      <c r="AF32" s="128" t="s">
        <v>17</v>
      </c>
      <c r="AG32" s="128" t="s">
        <v>17</v>
      </c>
      <c r="AH32" s="128" t="s">
        <v>17</v>
      </c>
      <c r="AI32" s="228" t="s">
        <v>17</v>
      </c>
      <c r="AJ32" s="128" t="s">
        <v>17</v>
      </c>
      <c r="AK32" s="128" t="s">
        <v>17</v>
      </c>
    </row>
    <row r="33" spans="1:37" ht="14.95" customHeight="1" thickBot="1" x14ac:dyDescent="0.3">
      <c r="A33" s="72" t="s">
        <v>1347</v>
      </c>
      <c r="B33" s="352">
        <v>1</v>
      </c>
      <c r="C33" s="73">
        <v>0</v>
      </c>
      <c r="D33" s="73">
        <f t="shared" si="0"/>
        <v>1</v>
      </c>
      <c r="E33" s="26" t="s">
        <v>1347</v>
      </c>
      <c r="F33" s="306">
        <v>5</v>
      </c>
      <c r="G33" s="27">
        <v>0</v>
      </c>
      <c r="H33" s="27">
        <f t="shared" si="1"/>
        <v>5</v>
      </c>
      <c r="I33" s="72" t="s">
        <v>892</v>
      </c>
      <c r="J33" s="73">
        <v>15</v>
      </c>
      <c r="K33" s="73">
        <v>18</v>
      </c>
      <c r="L33" s="80">
        <f>SUM(J33/K33)*100</f>
        <v>83.333333333333343</v>
      </c>
      <c r="M33" s="128">
        <v>9</v>
      </c>
      <c r="N33" s="128">
        <v>12</v>
      </c>
      <c r="O33" s="231">
        <v>75</v>
      </c>
      <c r="P33" s="128" t="s">
        <v>17</v>
      </c>
      <c r="Q33" s="128" t="s">
        <v>17</v>
      </c>
      <c r="R33" s="231" t="s">
        <v>17</v>
      </c>
      <c r="S33" s="128" t="s">
        <v>17</v>
      </c>
      <c r="T33" s="128" t="s">
        <v>17</v>
      </c>
      <c r="U33" s="231" t="s">
        <v>17</v>
      </c>
      <c r="V33" s="43"/>
      <c r="W33" s="43"/>
      <c r="X33" s="121"/>
      <c r="Y33" s="121"/>
      <c r="Z33" s="232" t="s">
        <v>17</v>
      </c>
      <c r="AA33" s="128" t="s">
        <v>17</v>
      </c>
      <c r="AB33" s="231" t="s">
        <v>17</v>
      </c>
      <c r="AC33" s="128" t="s">
        <v>17</v>
      </c>
      <c r="AD33" s="128" t="s">
        <v>17</v>
      </c>
      <c r="AE33" s="231" t="s">
        <v>17</v>
      </c>
      <c r="AF33" s="128" t="s">
        <v>17</v>
      </c>
      <c r="AG33" s="128" t="s">
        <v>17</v>
      </c>
      <c r="AH33" s="231" t="s">
        <v>17</v>
      </c>
      <c r="AI33" s="128" t="s">
        <v>17</v>
      </c>
      <c r="AJ33" s="128" t="s">
        <v>17</v>
      </c>
      <c r="AK33" s="231" t="s">
        <v>17</v>
      </c>
    </row>
    <row r="34" spans="1:37" ht="14.95" customHeight="1" thickBot="1" x14ac:dyDescent="0.3">
      <c r="A34" s="72" t="s">
        <v>315</v>
      </c>
      <c r="B34" s="352">
        <v>0</v>
      </c>
      <c r="C34" s="73">
        <v>0</v>
      </c>
      <c r="D34" s="73">
        <f t="shared" si="0"/>
        <v>0</v>
      </c>
      <c r="E34" s="26" t="s">
        <v>315</v>
      </c>
      <c r="F34" s="306">
        <v>0</v>
      </c>
      <c r="G34" s="27">
        <v>0</v>
      </c>
      <c r="H34" s="27">
        <f t="shared" si="1"/>
        <v>0</v>
      </c>
      <c r="I34" s="72" t="s">
        <v>87</v>
      </c>
      <c r="J34" s="73" t="s">
        <v>17</v>
      </c>
      <c r="K34" s="73" t="s">
        <v>17</v>
      </c>
      <c r="L34" s="80" t="s">
        <v>17</v>
      </c>
      <c r="M34" s="128" t="s">
        <v>17</v>
      </c>
      <c r="N34" s="128" t="s">
        <v>17</v>
      </c>
      <c r="O34" s="231" t="s">
        <v>17</v>
      </c>
      <c r="P34" s="128" t="s">
        <v>17</v>
      </c>
      <c r="Q34" s="128" t="s">
        <v>17</v>
      </c>
      <c r="R34" s="231" t="s">
        <v>17</v>
      </c>
      <c r="S34" s="128">
        <v>4</v>
      </c>
      <c r="T34" s="128">
        <v>6</v>
      </c>
      <c r="U34" s="231">
        <f>SUM(S34/T34)*100</f>
        <v>66.666666666666657</v>
      </c>
      <c r="V34" s="41"/>
      <c r="W34" s="41"/>
      <c r="X34" s="121"/>
      <c r="Y34" s="121"/>
      <c r="Z34" s="228">
        <v>6</v>
      </c>
      <c r="AA34" s="128">
        <v>9</v>
      </c>
      <c r="AB34" s="231">
        <f>SUM(Z34/AA34)*100</f>
        <v>66.666666666666657</v>
      </c>
      <c r="AC34" s="228">
        <v>8</v>
      </c>
      <c r="AD34" s="128">
        <v>9</v>
      </c>
      <c r="AE34" s="231">
        <f>SUM(AC34/AD34)*100</f>
        <v>88.888888888888886</v>
      </c>
      <c r="AF34" s="228" t="s">
        <v>17</v>
      </c>
      <c r="AG34" s="128" t="s">
        <v>17</v>
      </c>
      <c r="AH34" s="128" t="s">
        <v>17</v>
      </c>
      <c r="AI34" s="228" t="s">
        <v>17</v>
      </c>
      <c r="AJ34" s="128" t="s">
        <v>17</v>
      </c>
      <c r="AK34" s="128" t="s">
        <v>17</v>
      </c>
    </row>
    <row r="35" spans="1:37" ht="14.95" customHeight="1" thickBot="1" x14ac:dyDescent="0.3">
      <c r="A35" s="72" t="s">
        <v>87</v>
      </c>
      <c r="B35" s="352">
        <v>1</v>
      </c>
      <c r="C35" s="73">
        <v>0</v>
      </c>
      <c r="D35" s="73">
        <f t="shared" si="0"/>
        <v>1</v>
      </c>
      <c r="E35" s="26" t="s">
        <v>87</v>
      </c>
      <c r="F35" s="306">
        <v>5</v>
      </c>
      <c r="G35" s="27">
        <v>0</v>
      </c>
      <c r="H35" s="27">
        <f t="shared" si="1"/>
        <v>5</v>
      </c>
      <c r="I35" s="304"/>
      <c r="J35" s="305"/>
      <c r="K35" s="305"/>
      <c r="L35" s="305"/>
      <c r="M35" s="305"/>
      <c r="N35" s="305"/>
      <c r="O35" s="305"/>
    </row>
    <row r="36" spans="1:37" ht="14.95" customHeight="1" thickBot="1" x14ac:dyDescent="0.3">
      <c r="A36" s="72" t="s">
        <v>890</v>
      </c>
      <c r="B36" s="352">
        <v>0</v>
      </c>
      <c r="C36" s="73">
        <v>0</v>
      </c>
      <c r="D36" s="73">
        <f t="shared" si="0"/>
        <v>0</v>
      </c>
      <c r="E36" s="26" t="s">
        <v>890</v>
      </c>
      <c r="F36" s="306">
        <v>0</v>
      </c>
      <c r="G36" s="27">
        <v>0</v>
      </c>
      <c r="H36" s="27">
        <f t="shared" si="1"/>
        <v>0</v>
      </c>
      <c r="I36" s="632" t="s">
        <v>232</v>
      </c>
      <c r="J36" s="568" t="s">
        <v>422</v>
      </c>
      <c r="K36" s="569"/>
      <c r="L36" s="570"/>
      <c r="M36" s="81"/>
      <c r="N36" s="81"/>
      <c r="O36" s="81"/>
    </row>
    <row r="37" spans="1:37" ht="14.95" thickBot="1" x14ac:dyDescent="0.3">
      <c r="A37" s="72" t="s">
        <v>316</v>
      </c>
      <c r="B37" s="352">
        <v>1</v>
      </c>
      <c r="C37" s="73">
        <v>0</v>
      </c>
      <c r="D37" s="73">
        <f t="shared" si="0"/>
        <v>1</v>
      </c>
      <c r="E37" s="26" t="s">
        <v>316</v>
      </c>
      <c r="F37" s="306">
        <v>5</v>
      </c>
      <c r="G37" s="27">
        <v>0</v>
      </c>
      <c r="H37" s="27">
        <f t="shared" si="1"/>
        <v>5</v>
      </c>
      <c r="I37" s="633"/>
      <c r="J37" s="571"/>
      <c r="K37" s="572"/>
      <c r="L37" s="573"/>
      <c r="M37" s="18"/>
      <c r="N37" s="18"/>
      <c r="O37" s="18"/>
    </row>
    <row r="38" spans="1:37" ht="14.95" thickBot="1" x14ac:dyDescent="0.3">
      <c r="A38" s="72" t="s">
        <v>1086</v>
      </c>
      <c r="B38" s="352">
        <v>1</v>
      </c>
      <c r="C38" s="73">
        <v>0</v>
      </c>
      <c r="D38" s="73">
        <f t="shared" si="0"/>
        <v>1</v>
      </c>
      <c r="E38" s="26" t="s">
        <v>1086</v>
      </c>
      <c r="F38" s="306">
        <v>5</v>
      </c>
      <c r="G38" s="27">
        <v>0</v>
      </c>
      <c r="H38" s="27">
        <f t="shared" si="1"/>
        <v>5</v>
      </c>
      <c r="I38" s="526"/>
      <c r="J38" s="128" t="s">
        <v>152</v>
      </c>
      <c r="K38" s="128" t="s">
        <v>12</v>
      </c>
      <c r="L38" s="128" t="s">
        <v>13</v>
      </c>
      <c r="M38" s="41"/>
      <c r="N38" s="41"/>
      <c r="O38" s="43"/>
    </row>
    <row r="39" spans="1:37" ht="14.95" thickBot="1" x14ac:dyDescent="0.3">
      <c r="A39" s="72" t="s">
        <v>986</v>
      </c>
      <c r="B39" s="352">
        <v>0</v>
      </c>
      <c r="C39" s="73">
        <v>0</v>
      </c>
      <c r="D39" s="73">
        <f t="shared" si="0"/>
        <v>0</v>
      </c>
      <c r="E39" s="26" t="s">
        <v>987</v>
      </c>
      <c r="F39" s="306">
        <v>0</v>
      </c>
      <c r="G39" s="27">
        <v>0</v>
      </c>
      <c r="H39" s="27">
        <f t="shared" si="1"/>
        <v>0</v>
      </c>
      <c r="I39" s="72" t="s">
        <v>317</v>
      </c>
      <c r="J39" s="128">
        <v>7</v>
      </c>
      <c r="K39" s="128">
        <v>8</v>
      </c>
      <c r="L39" s="231">
        <f>SUM(J39/K39)*100</f>
        <v>87.5</v>
      </c>
      <c r="M39" s="41"/>
      <c r="N39" s="41"/>
      <c r="O39" s="43"/>
    </row>
    <row r="40" spans="1:37" ht="14.95" customHeight="1" thickBot="1" x14ac:dyDescent="0.3">
      <c r="A40" s="72" t="s">
        <v>893</v>
      </c>
      <c r="B40" s="352">
        <v>0</v>
      </c>
      <c r="C40" s="73">
        <v>0</v>
      </c>
      <c r="D40" s="73">
        <f t="shared" si="0"/>
        <v>0</v>
      </c>
      <c r="E40" s="26" t="s">
        <v>893</v>
      </c>
      <c r="F40" s="306">
        <v>0</v>
      </c>
      <c r="G40" s="27">
        <v>0</v>
      </c>
      <c r="H40" s="27">
        <f t="shared" si="1"/>
        <v>0</v>
      </c>
      <c r="I40" s="72" t="s">
        <v>404</v>
      </c>
      <c r="J40" s="128">
        <v>6</v>
      </c>
      <c r="K40" s="128">
        <v>8</v>
      </c>
      <c r="L40" s="231">
        <f>SUM(J40/K40)*100</f>
        <v>75</v>
      </c>
      <c r="M40" s="41"/>
      <c r="N40" s="41"/>
      <c r="O40" s="43"/>
    </row>
    <row r="41" spans="1:37" ht="14.95" customHeight="1" thickBot="1" x14ac:dyDescent="0.3">
      <c r="A41" s="72" t="s">
        <v>894</v>
      </c>
      <c r="B41" s="352">
        <v>0</v>
      </c>
      <c r="C41" s="73">
        <v>0</v>
      </c>
      <c r="D41" s="73">
        <f t="shared" si="0"/>
        <v>0</v>
      </c>
      <c r="E41" s="26" t="s">
        <v>894</v>
      </c>
      <c r="F41" s="306">
        <v>0</v>
      </c>
      <c r="G41" s="27">
        <v>0</v>
      </c>
      <c r="H41" s="27">
        <f t="shared" si="1"/>
        <v>0</v>
      </c>
      <c r="I41" s="72" t="s">
        <v>87</v>
      </c>
      <c r="J41" s="128">
        <v>3</v>
      </c>
      <c r="K41" s="128">
        <v>4</v>
      </c>
      <c r="L41" s="231">
        <f>SUM(J41/K41)*100</f>
        <v>75</v>
      </c>
      <c r="M41" s="41"/>
      <c r="N41" s="41"/>
      <c r="O41" s="43"/>
    </row>
    <row r="42" spans="1:37" ht="14.3" customHeight="1" thickBot="1" x14ac:dyDescent="0.3">
      <c r="A42" s="72" t="s">
        <v>1087</v>
      </c>
      <c r="B42" s="352">
        <v>0</v>
      </c>
      <c r="C42" s="73">
        <v>0</v>
      </c>
      <c r="D42" s="73">
        <f t="shared" si="0"/>
        <v>0</v>
      </c>
      <c r="E42" s="26" t="s">
        <v>1087</v>
      </c>
      <c r="F42" s="306">
        <v>0</v>
      </c>
      <c r="G42" s="27">
        <v>0</v>
      </c>
      <c r="H42" s="27">
        <f t="shared" si="1"/>
        <v>0</v>
      </c>
      <c r="M42" s="41"/>
      <c r="N42" s="41"/>
      <c r="O42" s="41"/>
    </row>
    <row r="43" spans="1:37" ht="14.95" thickBot="1" x14ac:dyDescent="0.3">
      <c r="A43" s="72" t="s">
        <v>751</v>
      </c>
      <c r="B43" s="352">
        <v>0</v>
      </c>
      <c r="C43" s="73">
        <v>0</v>
      </c>
      <c r="D43" s="73">
        <f t="shared" si="0"/>
        <v>0</v>
      </c>
      <c r="E43" s="26" t="s">
        <v>751</v>
      </c>
      <c r="F43" s="306">
        <v>0</v>
      </c>
      <c r="G43" s="27">
        <v>0</v>
      </c>
      <c r="H43" s="27">
        <f t="shared" si="1"/>
        <v>0</v>
      </c>
      <c r="M43" s="41"/>
      <c r="N43" s="41"/>
      <c r="O43" s="41"/>
    </row>
    <row r="44" spans="1:37" ht="14.95" thickBot="1" x14ac:dyDescent="0.3">
      <c r="A44" s="72" t="s">
        <v>3</v>
      </c>
      <c r="B44" s="352">
        <f>SUM(B3:B43)</f>
        <v>13</v>
      </c>
      <c r="C44" s="73">
        <f>SUM(C3:C43)</f>
        <v>0</v>
      </c>
      <c r="D44" s="73">
        <f t="shared" si="0"/>
        <v>13</v>
      </c>
      <c r="E44" s="25" t="s">
        <v>3</v>
      </c>
      <c r="F44" s="306">
        <f>SUM(F3:F43)</f>
        <v>99</v>
      </c>
      <c r="G44" s="27">
        <f>SUM(G3:G43)</f>
        <v>0</v>
      </c>
      <c r="H44" s="27">
        <f t="shared" si="1"/>
        <v>99</v>
      </c>
      <c r="M44" s="41"/>
      <c r="N44" s="41"/>
      <c r="O44" s="41"/>
    </row>
    <row r="45" spans="1:37" x14ac:dyDescent="0.25">
      <c r="A45" s="769"/>
      <c r="B45" s="770"/>
      <c r="C45" s="771"/>
      <c r="D45" s="771"/>
      <c r="E45" s="771"/>
      <c r="F45" s="771"/>
      <c r="G45" s="771"/>
      <c r="H45" s="771"/>
    </row>
    <row r="46" spans="1:37" ht="14.95" thickBot="1" x14ac:dyDescent="0.3">
      <c r="A46" t="s">
        <v>15</v>
      </c>
    </row>
    <row r="47" spans="1:37" ht="14.95" thickBot="1" x14ac:dyDescent="0.3">
      <c r="A47" s="186" t="s">
        <v>0</v>
      </c>
      <c r="B47" s="219" t="s">
        <v>1361</v>
      </c>
      <c r="C47" s="187" t="s">
        <v>31</v>
      </c>
      <c r="D47" s="187" t="s">
        <v>1</v>
      </c>
      <c r="E47" s="175" t="s">
        <v>2</v>
      </c>
      <c r="F47" s="177" t="s">
        <v>1361</v>
      </c>
      <c r="G47" s="178" t="s">
        <v>31</v>
      </c>
      <c r="H47" s="178" t="s">
        <v>1</v>
      </c>
    </row>
    <row r="48" spans="1:37" ht="14.95" thickBot="1" x14ac:dyDescent="0.3">
      <c r="A48" s="72" t="s">
        <v>892</v>
      </c>
      <c r="B48" s="352">
        <v>3</v>
      </c>
      <c r="C48" s="73">
        <v>0</v>
      </c>
      <c r="D48" s="73">
        <f t="shared" ref="D48:D88" si="2">SUM(B48:C48)</f>
        <v>3</v>
      </c>
      <c r="E48" s="25" t="s">
        <v>892</v>
      </c>
      <c r="F48" s="306">
        <v>49</v>
      </c>
      <c r="G48" s="27">
        <v>0</v>
      </c>
      <c r="H48" s="27">
        <f t="shared" ref="H48:H88" si="3">SUM(F48:G48)</f>
        <v>49</v>
      </c>
    </row>
    <row r="49" spans="1:8" ht="14.95" thickBot="1" x14ac:dyDescent="0.3">
      <c r="A49" s="72" t="s">
        <v>1376</v>
      </c>
      <c r="B49" s="352">
        <v>1</v>
      </c>
      <c r="C49" s="73">
        <v>0</v>
      </c>
      <c r="D49" s="73">
        <f t="shared" si="2"/>
        <v>1</v>
      </c>
      <c r="E49" s="25" t="s">
        <v>1376</v>
      </c>
      <c r="F49" s="306">
        <v>5</v>
      </c>
      <c r="G49" s="27">
        <v>0</v>
      </c>
      <c r="H49" s="27">
        <f t="shared" si="3"/>
        <v>5</v>
      </c>
    </row>
    <row r="50" spans="1:8" ht="14.95" thickBot="1" x14ac:dyDescent="0.3">
      <c r="A50" s="72" t="s">
        <v>1377</v>
      </c>
      <c r="B50" s="352">
        <v>1</v>
      </c>
      <c r="C50" s="73">
        <v>0</v>
      </c>
      <c r="D50" s="73">
        <f t="shared" si="2"/>
        <v>1</v>
      </c>
      <c r="E50" s="26" t="s">
        <v>1377</v>
      </c>
      <c r="F50" s="306">
        <v>5</v>
      </c>
      <c r="G50" s="27">
        <v>0</v>
      </c>
      <c r="H50" s="27">
        <f t="shared" si="3"/>
        <v>5</v>
      </c>
    </row>
    <row r="51" spans="1:8" ht="14.95" thickBot="1" x14ac:dyDescent="0.3">
      <c r="A51" s="72" t="s">
        <v>1369</v>
      </c>
      <c r="B51" s="352">
        <v>1</v>
      </c>
      <c r="C51" s="73">
        <v>0</v>
      </c>
      <c r="D51" s="73">
        <f t="shared" si="2"/>
        <v>1</v>
      </c>
      <c r="E51" s="26" t="s">
        <v>1369</v>
      </c>
      <c r="F51" s="306">
        <v>5</v>
      </c>
      <c r="G51" s="27">
        <v>0</v>
      </c>
      <c r="H51" s="27">
        <f t="shared" si="3"/>
        <v>5</v>
      </c>
    </row>
    <row r="52" spans="1:8" ht="14.95" thickBot="1" x14ac:dyDescent="0.3">
      <c r="A52" s="72" t="s">
        <v>815</v>
      </c>
      <c r="B52" s="352">
        <v>1</v>
      </c>
      <c r="C52" s="73">
        <v>0</v>
      </c>
      <c r="D52" s="73">
        <f t="shared" si="2"/>
        <v>1</v>
      </c>
      <c r="E52" s="26" t="s">
        <v>815</v>
      </c>
      <c r="F52" s="306">
        <v>5</v>
      </c>
      <c r="G52" s="27">
        <v>0</v>
      </c>
      <c r="H52" s="27">
        <f t="shared" si="3"/>
        <v>5</v>
      </c>
    </row>
    <row r="53" spans="1:8" ht="14.95" thickBot="1" x14ac:dyDescent="0.3">
      <c r="A53" s="72" t="s">
        <v>1342</v>
      </c>
      <c r="B53" s="352">
        <v>1</v>
      </c>
      <c r="C53" s="73">
        <v>0</v>
      </c>
      <c r="D53" s="73">
        <f t="shared" si="2"/>
        <v>1</v>
      </c>
      <c r="E53" s="26" t="s">
        <v>1342</v>
      </c>
      <c r="F53" s="306">
        <v>5</v>
      </c>
      <c r="G53" s="27">
        <v>0</v>
      </c>
      <c r="H53" s="27">
        <f t="shared" si="3"/>
        <v>5</v>
      </c>
    </row>
    <row r="54" spans="1:8" ht="14.95" thickBot="1" x14ac:dyDescent="0.3">
      <c r="A54" s="72" t="s">
        <v>1370</v>
      </c>
      <c r="B54" s="352">
        <v>1</v>
      </c>
      <c r="C54" s="73">
        <v>0</v>
      </c>
      <c r="D54" s="73">
        <f t="shared" si="2"/>
        <v>1</v>
      </c>
      <c r="E54" s="26" t="s">
        <v>1370</v>
      </c>
      <c r="F54" s="306">
        <v>5</v>
      </c>
      <c r="G54" s="27">
        <v>0</v>
      </c>
      <c r="H54" s="27">
        <f t="shared" si="3"/>
        <v>5</v>
      </c>
    </row>
    <row r="55" spans="1:8" ht="14.95" thickBot="1" x14ac:dyDescent="0.3">
      <c r="A55" s="72" t="s">
        <v>1347</v>
      </c>
      <c r="B55" s="352">
        <v>1</v>
      </c>
      <c r="C55" s="73">
        <v>0</v>
      </c>
      <c r="D55" s="73">
        <f t="shared" si="2"/>
        <v>1</v>
      </c>
      <c r="E55" s="26" t="s">
        <v>1347</v>
      </c>
      <c r="F55" s="306">
        <v>5</v>
      </c>
      <c r="G55" s="27">
        <v>0</v>
      </c>
      <c r="H55" s="27">
        <f t="shared" si="3"/>
        <v>5</v>
      </c>
    </row>
    <row r="56" spans="1:8" ht="14.95" thickBot="1" x14ac:dyDescent="0.3">
      <c r="A56" s="72" t="s">
        <v>87</v>
      </c>
      <c r="B56" s="352">
        <v>1</v>
      </c>
      <c r="C56" s="73">
        <v>0</v>
      </c>
      <c r="D56" s="73">
        <f t="shared" si="2"/>
        <v>1</v>
      </c>
      <c r="E56" s="26" t="s">
        <v>87</v>
      </c>
      <c r="F56" s="306">
        <v>5</v>
      </c>
      <c r="G56" s="27">
        <v>0</v>
      </c>
      <c r="H56" s="27">
        <f t="shared" si="3"/>
        <v>5</v>
      </c>
    </row>
    <row r="57" spans="1:8" ht="14.95" thickBot="1" x14ac:dyDescent="0.3">
      <c r="A57" s="72" t="s">
        <v>316</v>
      </c>
      <c r="B57" s="352">
        <v>1</v>
      </c>
      <c r="C57" s="73">
        <v>0</v>
      </c>
      <c r="D57" s="73">
        <f t="shared" si="2"/>
        <v>1</v>
      </c>
      <c r="E57" s="26" t="s">
        <v>316</v>
      </c>
      <c r="F57" s="306">
        <v>5</v>
      </c>
      <c r="G57" s="27">
        <v>0</v>
      </c>
      <c r="H57" s="27">
        <f t="shared" si="3"/>
        <v>5</v>
      </c>
    </row>
    <row r="58" spans="1:8" ht="14.95" thickBot="1" x14ac:dyDescent="0.3">
      <c r="A58" s="72" t="s">
        <v>1086</v>
      </c>
      <c r="B58" s="352">
        <v>1</v>
      </c>
      <c r="C58" s="73">
        <v>0</v>
      </c>
      <c r="D58" s="73">
        <f t="shared" si="2"/>
        <v>1</v>
      </c>
      <c r="E58" s="26" t="s">
        <v>1086</v>
      </c>
      <c r="F58" s="306">
        <v>5</v>
      </c>
      <c r="G58" s="27">
        <v>0</v>
      </c>
      <c r="H58" s="27">
        <f t="shared" si="3"/>
        <v>5</v>
      </c>
    </row>
    <row r="59" spans="1:8" ht="14.95" thickBot="1" x14ac:dyDescent="0.3">
      <c r="A59" s="72" t="s">
        <v>1154</v>
      </c>
      <c r="B59" s="352">
        <v>0</v>
      </c>
      <c r="C59" s="73">
        <v>0</v>
      </c>
      <c r="D59" s="73">
        <f t="shared" si="2"/>
        <v>0</v>
      </c>
      <c r="E59" s="26" t="s">
        <v>1154</v>
      </c>
      <c r="F59" s="306">
        <v>0</v>
      </c>
      <c r="G59" s="27">
        <v>0</v>
      </c>
      <c r="H59" s="27">
        <f t="shared" si="3"/>
        <v>0</v>
      </c>
    </row>
    <row r="60" spans="1:8" ht="14.95" thickBot="1" x14ac:dyDescent="0.3">
      <c r="A60" s="72" t="s">
        <v>555</v>
      </c>
      <c r="B60" s="352">
        <v>0</v>
      </c>
      <c r="C60" s="73">
        <v>0</v>
      </c>
      <c r="D60" s="73">
        <f t="shared" si="2"/>
        <v>0</v>
      </c>
      <c r="E60" s="26" t="s">
        <v>555</v>
      </c>
      <c r="F60" s="306">
        <v>0</v>
      </c>
      <c r="G60" s="27">
        <v>0</v>
      </c>
      <c r="H60" s="27">
        <f t="shared" si="3"/>
        <v>0</v>
      </c>
    </row>
    <row r="61" spans="1:8" ht="14.95" thickBot="1" x14ac:dyDescent="0.3">
      <c r="A61" s="72" t="s">
        <v>317</v>
      </c>
      <c r="B61" s="352">
        <v>0</v>
      </c>
      <c r="C61" s="73">
        <v>0</v>
      </c>
      <c r="D61" s="73">
        <f t="shared" si="2"/>
        <v>0</v>
      </c>
      <c r="E61" s="26" t="s">
        <v>317</v>
      </c>
      <c r="F61" s="306">
        <v>0</v>
      </c>
      <c r="G61" s="27">
        <v>0</v>
      </c>
      <c r="H61" s="27">
        <f t="shared" si="3"/>
        <v>0</v>
      </c>
    </row>
    <row r="62" spans="1:8" ht="14.95" thickBot="1" x14ac:dyDescent="0.3">
      <c r="A62" s="72" t="s">
        <v>814</v>
      </c>
      <c r="B62" s="352">
        <v>0</v>
      </c>
      <c r="C62" s="73">
        <v>0</v>
      </c>
      <c r="D62" s="73">
        <f t="shared" si="2"/>
        <v>0</v>
      </c>
      <c r="E62" s="26" t="s">
        <v>814</v>
      </c>
      <c r="F62" s="306">
        <v>0</v>
      </c>
      <c r="G62" s="27">
        <v>0</v>
      </c>
      <c r="H62" s="27">
        <f t="shared" si="3"/>
        <v>0</v>
      </c>
    </row>
    <row r="63" spans="1:8" ht="14.95" thickBot="1" x14ac:dyDescent="0.3">
      <c r="A63" s="72" t="s">
        <v>543</v>
      </c>
      <c r="B63" s="352">
        <v>0</v>
      </c>
      <c r="C63" s="73">
        <v>0</v>
      </c>
      <c r="D63" s="73">
        <f t="shared" si="2"/>
        <v>0</v>
      </c>
      <c r="E63" s="26" t="s">
        <v>543</v>
      </c>
      <c r="F63" s="306">
        <v>0</v>
      </c>
      <c r="G63" s="27">
        <v>0</v>
      </c>
      <c r="H63" s="27">
        <f t="shared" si="3"/>
        <v>0</v>
      </c>
    </row>
    <row r="64" spans="1:8" ht="14.95" thickBot="1" x14ac:dyDescent="0.3">
      <c r="A64" s="72" t="s">
        <v>581</v>
      </c>
      <c r="B64" s="352">
        <v>0</v>
      </c>
      <c r="C64" s="73">
        <v>0</v>
      </c>
      <c r="D64" s="73">
        <f t="shared" si="2"/>
        <v>0</v>
      </c>
      <c r="E64" s="26" t="s">
        <v>581</v>
      </c>
      <c r="F64" s="306">
        <v>0</v>
      </c>
      <c r="G64" s="27">
        <v>0</v>
      </c>
      <c r="H64" s="27">
        <f t="shared" si="3"/>
        <v>0</v>
      </c>
    </row>
    <row r="65" spans="1:8" ht="14.95" thickBot="1" x14ac:dyDescent="0.3">
      <c r="A65" s="72" t="s">
        <v>1113</v>
      </c>
      <c r="B65" s="352">
        <v>0</v>
      </c>
      <c r="C65" s="73">
        <v>0</v>
      </c>
      <c r="D65" s="73">
        <f t="shared" si="2"/>
        <v>0</v>
      </c>
      <c r="E65" s="26" t="s">
        <v>1113</v>
      </c>
      <c r="F65" s="306">
        <v>0</v>
      </c>
      <c r="G65" s="27">
        <v>0</v>
      </c>
      <c r="H65" s="27">
        <f t="shared" si="3"/>
        <v>0</v>
      </c>
    </row>
    <row r="66" spans="1:8" ht="14.95" thickBot="1" x14ac:dyDescent="0.3">
      <c r="A66" s="72" t="s">
        <v>808</v>
      </c>
      <c r="B66" s="352">
        <v>0</v>
      </c>
      <c r="C66" s="73">
        <v>0</v>
      </c>
      <c r="D66" s="73">
        <f t="shared" si="2"/>
        <v>0</v>
      </c>
      <c r="E66" s="26" t="s">
        <v>808</v>
      </c>
      <c r="F66" s="306">
        <v>0</v>
      </c>
      <c r="G66" s="27">
        <v>0</v>
      </c>
      <c r="H66" s="27">
        <f t="shared" si="3"/>
        <v>0</v>
      </c>
    </row>
    <row r="67" spans="1:8" ht="14.95" thickBot="1" x14ac:dyDescent="0.3">
      <c r="A67" s="72" t="s">
        <v>812</v>
      </c>
      <c r="B67" s="352">
        <v>0</v>
      </c>
      <c r="C67" s="73">
        <v>0</v>
      </c>
      <c r="D67" s="73">
        <f t="shared" si="2"/>
        <v>0</v>
      </c>
      <c r="E67" s="26" t="s">
        <v>812</v>
      </c>
      <c r="F67" s="306">
        <v>0</v>
      </c>
      <c r="G67" s="27">
        <v>0</v>
      </c>
      <c r="H67" s="27">
        <f t="shared" si="3"/>
        <v>0</v>
      </c>
    </row>
    <row r="68" spans="1:8" ht="14.95" thickBot="1" x14ac:dyDescent="0.3">
      <c r="A68" s="72" t="s">
        <v>84</v>
      </c>
      <c r="B68" s="352">
        <v>0</v>
      </c>
      <c r="C68" s="73">
        <v>0</v>
      </c>
      <c r="D68" s="73">
        <f t="shared" si="2"/>
        <v>0</v>
      </c>
      <c r="E68" s="26" t="s">
        <v>84</v>
      </c>
      <c r="F68" s="306">
        <v>0</v>
      </c>
      <c r="G68" s="27">
        <v>0</v>
      </c>
      <c r="H68" s="27">
        <f t="shared" si="3"/>
        <v>0</v>
      </c>
    </row>
    <row r="69" spans="1:8" ht="14.95" thickBot="1" x14ac:dyDescent="0.3">
      <c r="A69" s="72" t="s">
        <v>404</v>
      </c>
      <c r="B69" s="352">
        <v>0</v>
      </c>
      <c r="C69" s="73">
        <v>0</v>
      </c>
      <c r="D69" s="73">
        <f t="shared" si="2"/>
        <v>0</v>
      </c>
      <c r="E69" s="26" t="s">
        <v>404</v>
      </c>
      <c r="F69" s="306">
        <v>0</v>
      </c>
      <c r="G69" s="27">
        <v>0</v>
      </c>
      <c r="H69" s="27">
        <f t="shared" si="3"/>
        <v>0</v>
      </c>
    </row>
    <row r="70" spans="1:8" ht="14.95" thickBot="1" x14ac:dyDescent="0.3">
      <c r="A70" s="72" t="s">
        <v>816</v>
      </c>
      <c r="B70" s="352">
        <v>0</v>
      </c>
      <c r="C70" s="73">
        <v>0</v>
      </c>
      <c r="D70" s="73">
        <f t="shared" si="2"/>
        <v>0</v>
      </c>
      <c r="E70" s="26" t="s">
        <v>816</v>
      </c>
      <c r="F70" s="306">
        <v>0</v>
      </c>
      <c r="G70" s="27">
        <v>0</v>
      </c>
      <c r="H70" s="27">
        <f t="shared" si="3"/>
        <v>0</v>
      </c>
    </row>
    <row r="71" spans="1:8" ht="14.95" thickBot="1" x14ac:dyDescent="0.3">
      <c r="A71" s="72" t="s">
        <v>464</v>
      </c>
      <c r="B71" s="352">
        <v>0</v>
      </c>
      <c r="C71" s="73">
        <v>0</v>
      </c>
      <c r="D71" s="73">
        <f t="shared" si="2"/>
        <v>0</v>
      </c>
      <c r="E71" s="26" t="s">
        <v>464</v>
      </c>
      <c r="F71" s="306">
        <v>0</v>
      </c>
      <c r="G71" s="27">
        <v>0</v>
      </c>
      <c r="H71" s="27">
        <f t="shared" si="3"/>
        <v>0</v>
      </c>
    </row>
    <row r="72" spans="1:8" ht="14.95" thickBot="1" x14ac:dyDescent="0.3">
      <c r="A72" s="72" t="s">
        <v>809</v>
      </c>
      <c r="B72" s="352">
        <v>0</v>
      </c>
      <c r="C72" s="73">
        <v>0</v>
      </c>
      <c r="D72" s="73">
        <f t="shared" si="2"/>
        <v>0</v>
      </c>
      <c r="E72" s="26" t="s">
        <v>809</v>
      </c>
      <c r="F72" s="306">
        <v>0</v>
      </c>
      <c r="G72" s="27">
        <v>0</v>
      </c>
      <c r="H72" s="27">
        <f t="shared" si="3"/>
        <v>0</v>
      </c>
    </row>
    <row r="73" spans="1:8" ht="14.95" thickBot="1" x14ac:dyDescent="0.3">
      <c r="A73" s="72" t="s">
        <v>554</v>
      </c>
      <c r="B73" s="352">
        <v>0</v>
      </c>
      <c r="C73" s="73">
        <v>0</v>
      </c>
      <c r="D73" s="73">
        <f t="shared" si="2"/>
        <v>0</v>
      </c>
      <c r="E73" s="26" t="s">
        <v>554</v>
      </c>
      <c r="F73" s="306">
        <v>0</v>
      </c>
      <c r="G73" s="27">
        <v>0</v>
      </c>
      <c r="H73" s="27">
        <f t="shared" si="3"/>
        <v>0</v>
      </c>
    </row>
    <row r="74" spans="1:8" ht="14.95" thickBot="1" x14ac:dyDescent="0.3">
      <c r="A74" s="72" t="s">
        <v>810</v>
      </c>
      <c r="B74" s="352">
        <v>0</v>
      </c>
      <c r="C74" s="73">
        <v>0</v>
      </c>
      <c r="D74" s="73">
        <f t="shared" si="2"/>
        <v>0</v>
      </c>
      <c r="E74" s="26" t="s">
        <v>810</v>
      </c>
      <c r="F74" s="306">
        <v>0</v>
      </c>
      <c r="G74" s="27">
        <v>0</v>
      </c>
      <c r="H74" s="27">
        <f t="shared" si="3"/>
        <v>0</v>
      </c>
    </row>
    <row r="75" spans="1:8" ht="14.95" thickBot="1" x14ac:dyDescent="0.3">
      <c r="A75" s="72" t="s">
        <v>637</v>
      </c>
      <c r="B75" s="352">
        <v>0</v>
      </c>
      <c r="C75" s="73">
        <v>0</v>
      </c>
      <c r="D75" s="73">
        <f t="shared" si="2"/>
        <v>0</v>
      </c>
      <c r="E75" s="26" t="s">
        <v>637</v>
      </c>
      <c r="F75" s="306">
        <v>0</v>
      </c>
      <c r="G75" s="27">
        <v>0</v>
      </c>
      <c r="H75" s="27">
        <f t="shared" si="3"/>
        <v>0</v>
      </c>
    </row>
    <row r="76" spans="1:8" ht="14.95" thickBot="1" x14ac:dyDescent="0.3">
      <c r="A76" s="72" t="s">
        <v>542</v>
      </c>
      <c r="B76" s="352">
        <v>0</v>
      </c>
      <c r="C76" s="73">
        <v>0</v>
      </c>
      <c r="D76" s="73">
        <f t="shared" si="2"/>
        <v>0</v>
      </c>
      <c r="E76" s="26" t="s">
        <v>542</v>
      </c>
      <c r="F76" s="306">
        <v>0</v>
      </c>
      <c r="G76" s="27">
        <v>0</v>
      </c>
      <c r="H76" s="27">
        <f t="shared" si="3"/>
        <v>0</v>
      </c>
    </row>
    <row r="77" spans="1:8" ht="14.95" thickBot="1" x14ac:dyDescent="0.3">
      <c r="A77" s="72" t="s">
        <v>1151</v>
      </c>
      <c r="B77" s="352">
        <v>0</v>
      </c>
      <c r="C77" s="73">
        <v>0</v>
      </c>
      <c r="D77" s="73">
        <f t="shared" si="2"/>
        <v>0</v>
      </c>
      <c r="E77" s="26" t="s">
        <v>1151</v>
      </c>
      <c r="F77" s="306">
        <v>0</v>
      </c>
      <c r="G77" s="27">
        <v>0</v>
      </c>
      <c r="H77" s="27">
        <f t="shared" si="3"/>
        <v>0</v>
      </c>
    </row>
    <row r="78" spans="1:8" ht="14.95" thickBot="1" x14ac:dyDescent="0.3">
      <c r="A78" s="72" t="s">
        <v>988</v>
      </c>
      <c r="B78" s="352">
        <v>0</v>
      </c>
      <c r="C78" s="73">
        <v>0</v>
      </c>
      <c r="D78" s="73">
        <f t="shared" si="2"/>
        <v>0</v>
      </c>
      <c r="E78" s="26" t="s">
        <v>988</v>
      </c>
      <c r="F78" s="306">
        <v>0</v>
      </c>
      <c r="G78" s="27">
        <v>0</v>
      </c>
      <c r="H78" s="27">
        <f t="shared" si="3"/>
        <v>0</v>
      </c>
    </row>
    <row r="79" spans="1:8" ht="14.95" thickBot="1" x14ac:dyDescent="0.3">
      <c r="A79" s="72" t="s">
        <v>813</v>
      </c>
      <c r="B79" s="352">
        <v>0</v>
      </c>
      <c r="C79" s="73">
        <v>0</v>
      </c>
      <c r="D79" s="73">
        <f t="shared" si="2"/>
        <v>0</v>
      </c>
      <c r="E79" s="26" t="s">
        <v>813</v>
      </c>
      <c r="F79" s="306">
        <v>0</v>
      </c>
      <c r="G79" s="27">
        <v>0</v>
      </c>
      <c r="H79" s="27">
        <f t="shared" si="3"/>
        <v>0</v>
      </c>
    </row>
    <row r="80" spans="1:8" ht="14.95" thickBot="1" x14ac:dyDescent="0.3">
      <c r="A80" s="72" t="s">
        <v>811</v>
      </c>
      <c r="B80" s="352">
        <v>0</v>
      </c>
      <c r="C80" s="73">
        <v>0</v>
      </c>
      <c r="D80" s="73">
        <f t="shared" si="2"/>
        <v>0</v>
      </c>
      <c r="E80" s="26" t="s">
        <v>811</v>
      </c>
      <c r="F80" s="306">
        <v>0</v>
      </c>
      <c r="G80" s="27">
        <v>0</v>
      </c>
      <c r="H80" s="27">
        <f t="shared" si="3"/>
        <v>0</v>
      </c>
    </row>
    <row r="81" spans="1:8" ht="14.95" thickBot="1" x14ac:dyDescent="0.3">
      <c r="A81" s="72" t="s">
        <v>4</v>
      </c>
      <c r="B81" s="352">
        <v>0</v>
      </c>
      <c r="C81" s="73">
        <v>0</v>
      </c>
      <c r="D81" s="73">
        <f t="shared" si="2"/>
        <v>0</v>
      </c>
      <c r="E81" s="26" t="s">
        <v>4</v>
      </c>
      <c r="F81" s="306">
        <v>0</v>
      </c>
      <c r="G81" s="27">
        <v>0</v>
      </c>
      <c r="H81" s="27">
        <f t="shared" si="3"/>
        <v>0</v>
      </c>
    </row>
    <row r="82" spans="1:8" ht="14.95" thickBot="1" x14ac:dyDescent="0.3">
      <c r="A82" s="72" t="s">
        <v>315</v>
      </c>
      <c r="B82" s="352">
        <v>0</v>
      </c>
      <c r="C82" s="73">
        <v>0</v>
      </c>
      <c r="D82" s="73">
        <f t="shared" si="2"/>
        <v>0</v>
      </c>
      <c r="E82" s="26" t="s">
        <v>315</v>
      </c>
      <c r="F82" s="306">
        <v>0</v>
      </c>
      <c r="G82" s="27">
        <v>0</v>
      </c>
      <c r="H82" s="27">
        <f t="shared" si="3"/>
        <v>0</v>
      </c>
    </row>
    <row r="83" spans="1:8" ht="14.95" thickBot="1" x14ac:dyDescent="0.3">
      <c r="A83" s="72" t="s">
        <v>890</v>
      </c>
      <c r="B83" s="352">
        <v>0</v>
      </c>
      <c r="C83" s="73">
        <v>0</v>
      </c>
      <c r="D83" s="73">
        <f t="shared" si="2"/>
        <v>0</v>
      </c>
      <c r="E83" s="26" t="s">
        <v>890</v>
      </c>
      <c r="F83" s="306">
        <v>0</v>
      </c>
      <c r="G83" s="27">
        <v>0</v>
      </c>
      <c r="H83" s="27">
        <f t="shared" si="3"/>
        <v>0</v>
      </c>
    </row>
    <row r="84" spans="1:8" ht="14.95" thickBot="1" x14ac:dyDescent="0.3">
      <c r="A84" s="72" t="s">
        <v>986</v>
      </c>
      <c r="B84" s="352">
        <v>0</v>
      </c>
      <c r="C84" s="73">
        <v>0</v>
      </c>
      <c r="D84" s="73">
        <f t="shared" si="2"/>
        <v>0</v>
      </c>
      <c r="E84" s="26" t="s">
        <v>987</v>
      </c>
      <c r="F84" s="306">
        <v>0</v>
      </c>
      <c r="G84" s="27">
        <v>0</v>
      </c>
      <c r="H84" s="27">
        <f t="shared" si="3"/>
        <v>0</v>
      </c>
    </row>
    <row r="85" spans="1:8" ht="14.95" thickBot="1" x14ac:dyDescent="0.3">
      <c r="A85" s="72" t="s">
        <v>893</v>
      </c>
      <c r="B85" s="352">
        <v>0</v>
      </c>
      <c r="C85" s="73">
        <v>0</v>
      </c>
      <c r="D85" s="73">
        <f t="shared" si="2"/>
        <v>0</v>
      </c>
      <c r="E85" s="26" t="s">
        <v>893</v>
      </c>
      <c r="F85" s="306">
        <v>0</v>
      </c>
      <c r="G85" s="27">
        <v>0</v>
      </c>
      <c r="H85" s="27">
        <f t="shared" si="3"/>
        <v>0</v>
      </c>
    </row>
    <row r="86" spans="1:8" ht="14.95" thickBot="1" x14ac:dyDescent="0.3">
      <c r="A86" s="72" t="s">
        <v>894</v>
      </c>
      <c r="B86" s="352">
        <v>0</v>
      </c>
      <c r="C86" s="73">
        <v>0</v>
      </c>
      <c r="D86" s="73">
        <f t="shared" si="2"/>
        <v>0</v>
      </c>
      <c r="E86" s="26" t="s">
        <v>894</v>
      </c>
      <c r="F86" s="306">
        <v>0</v>
      </c>
      <c r="G86" s="27">
        <v>0</v>
      </c>
      <c r="H86" s="27">
        <f t="shared" si="3"/>
        <v>0</v>
      </c>
    </row>
    <row r="87" spans="1:8" ht="14.95" thickBot="1" x14ac:dyDescent="0.3">
      <c r="A87" s="72" t="s">
        <v>1087</v>
      </c>
      <c r="B87" s="352">
        <v>0</v>
      </c>
      <c r="C87" s="73">
        <v>0</v>
      </c>
      <c r="D87" s="73">
        <f t="shared" si="2"/>
        <v>0</v>
      </c>
      <c r="E87" s="26" t="s">
        <v>1087</v>
      </c>
      <c r="F87" s="306">
        <v>0</v>
      </c>
      <c r="G87" s="27">
        <v>0</v>
      </c>
      <c r="H87" s="27">
        <f t="shared" si="3"/>
        <v>0</v>
      </c>
    </row>
    <row r="88" spans="1:8" ht="14.95" thickBot="1" x14ac:dyDescent="0.3">
      <c r="A88" s="72" t="s">
        <v>751</v>
      </c>
      <c r="B88" s="352">
        <v>0</v>
      </c>
      <c r="C88" s="73">
        <v>0</v>
      </c>
      <c r="D88" s="73">
        <f t="shared" si="2"/>
        <v>0</v>
      </c>
      <c r="E88" s="26" t="s">
        <v>751</v>
      </c>
      <c r="F88" s="306">
        <v>0</v>
      </c>
      <c r="G88" s="27">
        <v>0</v>
      </c>
      <c r="H88" s="27">
        <f t="shared" si="3"/>
        <v>0</v>
      </c>
    </row>
    <row r="89" spans="1:8" ht="14.95" thickBot="1" x14ac:dyDescent="0.3">
      <c r="A89" s="72" t="s">
        <v>3</v>
      </c>
      <c r="B89" s="352">
        <f>SUM(B48:B88)</f>
        <v>13</v>
      </c>
      <c r="C89" s="73">
        <f>SUM(C48:C88)</f>
        <v>0</v>
      </c>
      <c r="D89" s="73">
        <f t="shared" ref="D89" si="4">SUM(B89:C89)</f>
        <v>13</v>
      </c>
      <c r="E89" s="25" t="s">
        <v>3</v>
      </c>
      <c r="F89" s="306">
        <f>SUM(F48:F88)</f>
        <v>99</v>
      </c>
      <c r="G89" s="27">
        <f>SUM(G48:G88)</f>
        <v>0</v>
      </c>
      <c r="H89" s="27">
        <f t="shared" ref="H89" si="5">SUM(F89:G89)</f>
        <v>99</v>
      </c>
    </row>
    <row r="90" spans="1:8" ht="16.3" x14ac:dyDescent="0.3">
      <c r="A90" s="487" t="s">
        <v>28</v>
      </c>
      <c r="C90" s="390"/>
    </row>
  </sheetData>
  <sortState xmlns:xlrd2="http://schemas.microsoft.com/office/spreadsheetml/2017/richdata2" ref="E48:H88">
    <sortCondition descending="1" ref="H48:H88"/>
  </sortState>
  <mergeCells count="30">
    <mergeCell ref="AF1:AH2"/>
    <mergeCell ref="T1:V2"/>
    <mergeCell ref="J12:L13"/>
    <mergeCell ref="AO1:AQ2"/>
    <mergeCell ref="AI24:AK25"/>
    <mergeCell ref="S24:U25"/>
    <mergeCell ref="P24:R25"/>
    <mergeCell ref="W1:Y2"/>
    <mergeCell ref="AL1:AN2"/>
    <mergeCell ref="AI1:AK2"/>
    <mergeCell ref="AF24:AH25"/>
    <mergeCell ref="AC1:AE2"/>
    <mergeCell ref="Q1:S2"/>
    <mergeCell ref="AC24:AE25"/>
    <mergeCell ref="Z1:AB2"/>
    <mergeCell ref="Z24:AB25"/>
    <mergeCell ref="A45:H45"/>
    <mergeCell ref="M1:O2"/>
    <mergeCell ref="P1:P2"/>
    <mergeCell ref="P12:R13"/>
    <mergeCell ref="A1:H1"/>
    <mergeCell ref="I12:I13"/>
    <mergeCell ref="I1:I2"/>
    <mergeCell ref="J1:L2"/>
    <mergeCell ref="I24:I25"/>
    <mergeCell ref="M12:O13"/>
    <mergeCell ref="I36:I37"/>
    <mergeCell ref="J24:L25"/>
    <mergeCell ref="J36:L37"/>
    <mergeCell ref="M24:O25"/>
  </mergeCells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Q96"/>
  <sheetViews>
    <sheetView topLeftCell="A10" workbookViewId="0">
      <selection activeCell="P23" sqref="P23"/>
    </sheetView>
  </sheetViews>
  <sheetFormatPr defaultRowHeight="14.3" x14ac:dyDescent="0.25"/>
  <cols>
    <col min="1" max="1" width="16.5" customWidth="1"/>
    <col min="2" max="2" width="4.375" bestFit="1" customWidth="1"/>
    <col min="3" max="4" width="4.5" customWidth="1"/>
    <col min="5" max="5" width="16.5" customWidth="1"/>
    <col min="6" max="6" width="4.375" bestFit="1" customWidth="1"/>
    <col min="7" max="8" width="4.5" customWidth="1"/>
    <col min="9" max="9" width="15.5" customWidth="1"/>
    <col min="10" max="22" width="5.5" customWidth="1"/>
    <col min="23" max="25" width="5.625" customWidth="1"/>
    <col min="26" max="34" width="5.5" customWidth="1"/>
    <col min="35" max="43" width="5.625" customWidth="1"/>
  </cols>
  <sheetData>
    <row r="1" spans="1:43" ht="14.95" customHeight="1" thickBot="1" x14ac:dyDescent="0.35">
      <c r="A1" s="775" t="s">
        <v>1166</v>
      </c>
      <c r="B1" s="776"/>
      <c r="C1" s="776"/>
      <c r="D1" s="776"/>
      <c r="E1" s="776"/>
      <c r="F1" s="776"/>
      <c r="G1" s="776"/>
      <c r="H1" s="777"/>
      <c r="I1" s="780" t="s">
        <v>112</v>
      </c>
      <c r="J1" s="583">
        <v>2025</v>
      </c>
      <c r="K1" s="584"/>
      <c r="L1" s="585"/>
      <c r="M1" s="583" t="s">
        <v>32</v>
      </c>
      <c r="N1" s="584"/>
      <c r="O1" s="585"/>
      <c r="P1" s="579" t="s">
        <v>121</v>
      </c>
      <c r="Q1" s="568">
        <v>2024</v>
      </c>
      <c r="R1" s="569"/>
      <c r="S1" s="570"/>
      <c r="T1" s="568">
        <v>2023</v>
      </c>
      <c r="U1" s="569"/>
      <c r="V1" s="570"/>
      <c r="W1" s="569"/>
      <c r="X1" s="569"/>
      <c r="Y1" s="569"/>
      <c r="Z1" s="568">
        <v>2022</v>
      </c>
      <c r="AA1" s="569"/>
      <c r="AB1" s="570"/>
      <c r="AC1" s="568">
        <v>2021</v>
      </c>
      <c r="AD1" s="569"/>
      <c r="AE1" s="570"/>
      <c r="AF1" s="557">
        <v>2020</v>
      </c>
      <c r="AG1" s="563"/>
      <c r="AH1" s="564"/>
      <c r="AI1" s="557">
        <v>2019</v>
      </c>
      <c r="AJ1" s="563"/>
      <c r="AK1" s="564"/>
      <c r="AL1" s="557">
        <v>2018</v>
      </c>
      <c r="AM1" s="563"/>
      <c r="AN1" s="564"/>
      <c r="AO1" s="557">
        <v>2017</v>
      </c>
      <c r="AP1" s="563"/>
      <c r="AQ1" s="564"/>
    </row>
    <row r="2" spans="1:43" ht="14.95" customHeight="1" thickBot="1" x14ac:dyDescent="0.3">
      <c r="A2" s="409" t="s">
        <v>0</v>
      </c>
      <c r="B2" s="448" t="s">
        <v>1361</v>
      </c>
      <c r="C2" s="396" t="s">
        <v>31</v>
      </c>
      <c r="D2" s="410" t="s">
        <v>1</v>
      </c>
      <c r="E2" s="411" t="s">
        <v>2</v>
      </c>
      <c r="F2" s="449" t="s">
        <v>1361</v>
      </c>
      <c r="G2" s="416" t="s">
        <v>31</v>
      </c>
      <c r="H2" s="414" t="s">
        <v>1</v>
      </c>
      <c r="I2" s="781"/>
      <c r="J2" s="586"/>
      <c r="K2" s="587"/>
      <c r="L2" s="588"/>
      <c r="M2" s="586"/>
      <c r="N2" s="587"/>
      <c r="O2" s="588"/>
      <c r="P2" s="580"/>
      <c r="Q2" s="571"/>
      <c r="R2" s="572"/>
      <c r="S2" s="573"/>
      <c r="T2" s="571"/>
      <c r="U2" s="572"/>
      <c r="V2" s="573"/>
      <c r="W2" s="614"/>
      <c r="X2" s="614"/>
      <c r="Y2" s="614"/>
      <c r="Z2" s="571"/>
      <c r="AA2" s="572"/>
      <c r="AB2" s="573"/>
      <c r="AC2" s="571"/>
      <c r="AD2" s="572"/>
      <c r="AE2" s="573"/>
      <c r="AF2" s="565"/>
      <c r="AG2" s="566"/>
      <c r="AH2" s="567"/>
      <c r="AI2" s="565"/>
      <c r="AJ2" s="566"/>
      <c r="AK2" s="567"/>
      <c r="AL2" s="565"/>
      <c r="AM2" s="566"/>
      <c r="AN2" s="567"/>
      <c r="AO2" s="565"/>
      <c r="AP2" s="566"/>
      <c r="AQ2" s="567"/>
    </row>
    <row r="3" spans="1:43" ht="14.95" customHeight="1" thickBot="1" x14ac:dyDescent="0.3">
      <c r="A3" s="405" t="s">
        <v>1250</v>
      </c>
      <c r="B3" s="395">
        <v>0</v>
      </c>
      <c r="C3" s="397">
        <v>1</v>
      </c>
      <c r="D3" s="407">
        <f>SUM(B3:C3)</f>
        <v>1</v>
      </c>
      <c r="E3" s="412" t="s">
        <v>1250</v>
      </c>
      <c r="F3" s="418">
        <v>0</v>
      </c>
      <c r="G3" s="417">
        <v>5</v>
      </c>
      <c r="H3" s="415">
        <f>SUM(F3:G3)</f>
        <v>5</v>
      </c>
      <c r="I3" s="406"/>
      <c r="J3" s="53" t="s">
        <v>152</v>
      </c>
      <c r="K3" s="53" t="s">
        <v>12</v>
      </c>
      <c r="L3" s="53" t="s">
        <v>13</v>
      </c>
      <c r="M3" s="181" t="s">
        <v>152</v>
      </c>
      <c r="N3" s="53" t="s">
        <v>12</v>
      </c>
      <c r="O3" s="53" t="s">
        <v>13</v>
      </c>
      <c r="P3" s="1"/>
      <c r="Q3" s="128" t="s">
        <v>152</v>
      </c>
      <c r="R3" s="128" t="s">
        <v>12</v>
      </c>
      <c r="S3" s="128" t="s">
        <v>13</v>
      </c>
      <c r="T3" s="128" t="s">
        <v>152</v>
      </c>
      <c r="U3" s="128" t="s">
        <v>12</v>
      </c>
      <c r="V3" s="128" t="s">
        <v>13</v>
      </c>
      <c r="W3" s="41"/>
      <c r="X3" s="41"/>
      <c r="Y3" s="41"/>
      <c r="Z3" s="228" t="s">
        <v>152</v>
      </c>
      <c r="AA3" s="128" t="s">
        <v>12</v>
      </c>
      <c r="AB3" s="128" t="s">
        <v>13</v>
      </c>
      <c r="AC3" s="228" t="s">
        <v>152</v>
      </c>
      <c r="AD3" s="128" t="s">
        <v>12</v>
      </c>
      <c r="AE3" s="128" t="s">
        <v>13</v>
      </c>
      <c r="AF3" s="228" t="s">
        <v>152</v>
      </c>
      <c r="AG3" s="128" t="s">
        <v>12</v>
      </c>
      <c r="AH3" s="128" t="s">
        <v>13</v>
      </c>
      <c r="AI3" s="228" t="s">
        <v>152</v>
      </c>
      <c r="AJ3" s="128" t="s">
        <v>12</v>
      </c>
      <c r="AK3" s="128" t="s">
        <v>13</v>
      </c>
      <c r="AL3" s="228" t="s">
        <v>152</v>
      </c>
      <c r="AM3" s="128" t="s">
        <v>12</v>
      </c>
      <c r="AN3" s="128" t="s">
        <v>13</v>
      </c>
      <c r="AO3" s="128" t="s">
        <v>152</v>
      </c>
      <c r="AP3" s="128" t="s">
        <v>12</v>
      </c>
      <c r="AQ3" s="128" t="s">
        <v>13</v>
      </c>
    </row>
    <row r="4" spans="1:43" ht="14.95" customHeight="1" thickBot="1" x14ac:dyDescent="0.3">
      <c r="A4" s="405" t="s">
        <v>434</v>
      </c>
      <c r="B4" s="395">
        <v>0</v>
      </c>
      <c r="C4" s="397">
        <v>0</v>
      </c>
      <c r="D4" s="407">
        <f t="shared" ref="D4:D47" si="0">SUM(B4:C4)</f>
        <v>0</v>
      </c>
      <c r="E4" s="412" t="s">
        <v>434</v>
      </c>
      <c r="F4" s="418">
        <v>0</v>
      </c>
      <c r="G4" s="417">
        <v>0</v>
      </c>
      <c r="H4" s="415">
        <f t="shared" ref="H4:H47" si="1">SUM(F4:G4)</f>
        <v>0</v>
      </c>
      <c r="I4" s="405" t="s">
        <v>300</v>
      </c>
      <c r="J4" s="407">
        <v>13</v>
      </c>
      <c r="K4" s="407">
        <v>17</v>
      </c>
      <c r="L4" s="408">
        <f>SUM(J4/K4)*100</f>
        <v>76.470588235294116</v>
      </c>
      <c r="M4" s="407">
        <v>5</v>
      </c>
      <c r="N4" s="407">
        <v>6</v>
      </c>
      <c r="O4" s="408">
        <f>SUM(M4/N4)*100</f>
        <v>83.333333333333343</v>
      </c>
      <c r="P4" s="407">
        <v>3</v>
      </c>
      <c r="Q4" s="128">
        <v>10</v>
      </c>
      <c r="R4" s="128">
        <v>15</v>
      </c>
      <c r="S4" s="231">
        <f>SUM(Q4/R4)*100</f>
        <v>66.666666666666657</v>
      </c>
      <c r="T4" s="128">
        <v>6</v>
      </c>
      <c r="U4" s="128">
        <v>8</v>
      </c>
      <c r="V4" s="231">
        <f>SUM(T4/U4)*100</f>
        <v>75</v>
      </c>
      <c r="W4" s="41"/>
      <c r="X4" s="41"/>
      <c r="Y4" s="43"/>
      <c r="Z4" s="228">
        <v>5</v>
      </c>
      <c r="AA4" s="128">
        <v>6</v>
      </c>
      <c r="AB4" s="231">
        <f>SUM(Z4/AA4)*100</f>
        <v>83.333333333333343</v>
      </c>
      <c r="AC4" s="228">
        <v>9</v>
      </c>
      <c r="AD4" s="128">
        <v>11</v>
      </c>
      <c r="AE4" s="231">
        <f>SUM(AC4/AD4)*100</f>
        <v>81.818181818181827</v>
      </c>
      <c r="AF4" s="228" t="s">
        <v>17</v>
      </c>
      <c r="AG4" s="128" t="s">
        <v>17</v>
      </c>
      <c r="AH4" s="231" t="s">
        <v>17</v>
      </c>
      <c r="AI4" s="228" t="s">
        <v>17</v>
      </c>
      <c r="AJ4" s="128" t="s">
        <v>17</v>
      </c>
      <c r="AK4" s="231" t="s">
        <v>17</v>
      </c>
      <c r="AL4" s="232" t="s">
        <v>17</v>
      </c>
      <c r="AM4" s="128" t="s">
        <v>17</v>
      </c>
      <c r="AN4" s="231" t="s">
        <v>17</v>
      </c>
      <c r="AO4" s="128" t="s">
        <v>17</v>
      </c>
      <c r="AP4" s="128" t="s">
        <v>17</v>
      </c>
      <c r="AQ4" s="231" t="s">
        <v>17</v>
      </c>
    </row>
    <row r="5" spans="1:43" ht="14.95" customHeight="1" thickBot="1" x14ac:dyDescent="0.3">
      <c r="A5" s="405" t="s">
        <v>1149</v>
      </c>
      <c r="B5" s="395">
        <v>1</v>
      </c>
      <c r="C5" s="397">
        <v>3</v>
      </c>
      <c r="D5" s="407">
        <f t="shared" si="0"/>
        <v>4</v>
      </c>
      <c r="E5" s="413" t="s">
        <v>1149</v>
      </c>
      <c r="F5" s="418">
        <v>5</v>
      </c>
      <c r="G5" s="417">
        <v>15</v>
      </c>
      <c r="H5" s="415">
        <f t="shared" si="1"/>
        <v>20</v>
      </c>
      <c r="I5" s="405" t="s">
        <v>231</v>
      </c>
      <c r="J5" s="407">
        <v>1</v>
      </c>
      <c r="K5" s="407">
        <v>1</v>
      </c>
      <c r="L5" s="408">
        <f>SUM(J5/K5)*100</f>
        <v>100</v>
      </c>
      <c r="M5" s="407">
        <v>1</v>
      </c>
      <c r="N5" s="407">
        <v>1</v>
      </c>
      <c r="O5" s="408">
        <f>SUM(M5/N5)*100</f>
        <v>100</v>
      </c>
      <c r="P5" s="407">
        <v>1</v>
      </c>
      <c r="Q5" s="128" t="s">
        <v>17</v>
      </c>
      <c r="R5" s="128" t="s">
        <v>17</v>
      </c>
      <c r="S5" s="231" t="s">
        <v>17</v>
      </c>
      <c r="T5" s="128" t="s">
        <v>17</v>
      </c>
      <c r="U5" s="128" t="s">
        <v>17</v>
      </c>
      <c r="V5" s="231" t="s">
        <v>17</v>
      </c>
      <c r="W5" s="41"/>
      <c r="X5" s="41"/>
      <c r="Y5" s="43"/>
      <c r="Z5" s="232" t="s">
        <v>17</v>
      </c>
      <c r="AA5" s="128" t="s">
        <v>17</v>
      </c>
      <c r="AB5" s="231" t="s">
        <v>17</v>
      </c>
      <c r="AC5" s="128" t="s">
        <v>17</v>
      </c>
      <c r="AD5" s="128" t="s">
        <v>17</v>
      </c>
      <c r="AE5" s="231" t="s">
        <v>17</v>
      </c>
      <c r="AF5" s="228" t="s">
        <v>17</v>
      </c>
      <c r="AG5" s="128" t="s">
        <v>17</v>
      </c>
      <c r="AH5" s="231" t="s">
        <v>17</v>
      </c>
      <c r="AI5" s="228" t="s">
        <v>17</v>
      </c>
      <c r="AJ5" s="128" t="s">
        <v>17</v>
      </c>
      <c r="AK5" s="231" t="s">
        <v>17</v>
      </c>
      <c r="AL5" s="232" t="s">
        <v>17</v>
      </c>
      <c r="AM5" s="128" t="s">
        <v>17</v>
      </c>
      <c r="AN5" s="231" t="s">
        <v>17</v>
      </c>
      <c r="AO5" s="128" t="s">
        <v>17</v>
      </c>
      <c r="AP5" s="128" t="s">
        <v>17</v>
      </c>
      <c r="AQ5" s="231" t="s">
        <v>17</v>
      </c>
    </row>
    <row r="6" spans="1:43" ht="14.95" customHeight="1" thickBot="1" x14ac:dyDescent="0.3">
      <c r="A6" s="405" t="s">
        <v>1252</v>
      </c>
      <c r="B6" s="395">
        <v>0</v>
      </c>
      <c r="C6" s="397">
        <v>3</v>
      </c>
      <c r="D6" s="407">
        <f t="shared" si="0"/>
        <v>3</v>
      </c>
      <c r="E6" s="413" t="s">
        <v>1252</v>
      </c>
      <c r="F6" s="418">
        <v>0</v>
      </c>
      <c r="G6" s="417">
        <v>15</v>
      </c>
      <c r="H6" s="415">
        <f t="shared" si="1"/>
        <v>15</v>
      </c>
      <c r="I6" s="405" t="s">
        <v>1249</v>
      </c>
      <c r="J6" s="407">
        <v>2</v>
      </c>
      <c r="K6" s="407">
        <v>3</v>
      </c>
      <c r="L6" s="408">
        <f>SUM(J6/K6)*100</f>
        <v>66.666666666666657</v>
      </c>
      <c r="M6" s="407" t="s">
        <v>17</v>
      </c>
      <c r="N6" s="407" t="s">
        <v>17</v>
      </c>
      <c r="O6" s="408" t="s">
        <v>17</v>
      </c>
      <c r="P6" s="407">
        <v>2</v>
      </c>
      <c r="Q6" s="128" t="s">
        <v>17</v>
      </c>
      <c r="R6" s="128" t="s">
        <v>17</v>
      </c>
      <c r="S6" s="231" t="s">
        <v>17</v>
      </c>
      <c r="T6" s="128" t="s">
        <v>17</v>
      </c>
      <c r="U6" s="128" t="s">
        <v>17</v>
      </c>
      <c r="V6" s="231" t="s">
        <v>17</v>
      </c>
      <c r="W6" s="41"/>
      <c r="X6" s="41"/>
      <c r="Y6" s="43"/>
      <c r="Z6" s="232" t="s">
        <v>17</v>
      </c>
      <c r="AA6" s="128" t="s">
        <v>17</v>
      </c>
      <c r="AB6" s="231" t="s">
        <v>17</v>
      </c>
      <c r="AC6" s="128" t="s">
        <v>17</v>
      </c>
      <c r="AD6" s="128" t="s">
        <v>17</v>
      </c>
      <c r="AE6" s="231" t="s">
        <v>17</v>
      </c>
      <c r="AF6" s="228" t="s">
        <v>17</v>
      </c>
      <c r="AG6" s="128" t="s">
        <v>17</v>
      </c>
      <c r="AH6" s="231" t="s">
        <v>17</v>
      </c>
      <c r="AI6" s="228" t="s">
        <v>17</v>
      </c>
      <c r="AJ6" s="128" t="s">
        <v>17</v>
      </c>
      <c r="AK6" s="231" t="s">
        <v>17</v>
      </c>
      <c r="AL6" s="232" t="s">
        <v>17</v>
      </c>
      <c r="AM6" s="128" t="s">
        <v>17</v>
      </c>
      <c r="AN6" s="231" t="s">
        <v>17</v>
      </c>
      <c r="AO6" s="128" t="s">
        <v>17</v>
      </c>
      <c r="AP6" s="128" t="s">
        <v>17</v>
      </c>
      <c r="AQ6" s="231" t="s">
        <v>17</v>
      </c>
    </row>
    <row r="7" spans="1:43" ht="14.95" customHeight="1" thickBot="1" x14ac:dyDescent="0.3">
      <c r="A7" s="405" t="s">
        <v>991</v>
      </c>
      <c r="B7" s="395">
        <v>0</v>
      </c>
      <c r="C7" s="397">
        <v>0</v>
      </c>
      <c r="D7" s="407">
        <f t="shared" si="0"/>
        <v>0</v>
      </c>
      <c r="E7" s="413" t="s">
        <v>991</v>
      </c>
      <c r="F7" s="418">
        <v>0</v>
      </c>
      <c r="G7" s="417">
        <v>0</v>
      </c>
      <c r="H7" s="415">
        <f t="shared" si="1"/>
        <v>0</v>
      </c>
      <c r="I7" s="405" t="s">
        <v>90</v>
      </c>
      <c r="J7" s="407">
        <v>11</v>
      </c>
      <c r="K7" s="407">
        <v>13</v>
      </c>
      <c r="L7" s="408">
        <f>SUM(J7/K7)*100</f>
        <v>84.615384615384613</v>
      </c>
      <c r="M7" s="407" t="s">
        <v>17</v>
      </c>
      <c r="N7" s="407" t="s">
        <v>17</v>
      </c>
      <c r="O7" s="408" t="s">
        <v>17</v>
      </c>
      <c r="P7" s="407">
        <v>4</v>
      </c>
      <c r="Q7" s="128">
        <v>16</v>
      </c>
      <c r="R7" s="128">
        <v>21</v>
      </c>
      <c r="S7" s="231">
        <f>SUM(Q7/R7)*100</f>
        <v>76.19047619047619</v>
      </c>
      <c r="T7" s="128" t="s">
        <v>17</v>
      </c>
      <c r="U7" s="128" t="s">
        <v>17</v>
      </c>
      <c r="V7" s="231" t="s">
        <v>17</v>
      </c>
      <c r="W7" s="41"/>
      <c r="X7" s="41"/>
      <c r="Y7" s="43"/>
      <c r="Z7" s="228">
        <v>22</v>
      </c>
      <c r="AA7" s="128">
        <v>26</v>
      </c>
      <c r="AB7" s="231">
        <f>SUM(Z7/AA7)*100</f>
        <v>84.615384615384613</v>
      </c>
      <c r="AC7" s="228">
        <v>3</v>
      </c>
      <c r="AD7" s="128">
        <v>8</v>
      </c>
      <c r="AE7" s="231">
        <f>SUM(AC7/AD7)*100</f>
        <v>37.5</v>
      </c>
      <c r="AF7" s="228" t="s">
        <v>17</v>
      </c>
      <c r="AG7" s="128" t="s">
        <v>17</v>
      </c>
      <c r="AH7" s="128" t="s">
        <v>17</v>
      </c>
      <c r="AI7" s="228">
        <v>21</v>
      </c>
      <c r="AJ7" s="128">
        <v>27</v>
      </c>
      <c r="AK7" s="231">
        <f>SUM(AI7/AJ7)*100</f>
        <v>77.777777777777786</v>
      </c>
      <c r="AL7" s="228">
        <v>16</v>
      </c>
      <c r="AM7" s="128">
        <v>21</v>
      </c>
      <c r="AN7" s="231">
        <f>SUM(AL7/AM7)*100</f>
        <v>76.19047619047619</v>
      </c>
      <c r="AO7" s="163">
        <v>27</v>
      </c>
      <c r="AP7" s="163">
        <v>35</v>
      </c>
      <c r="AQ7" s="231">
        <f>SUM(AO7/AP7)*100</f>
        <v>77.142857142857153</v>
      </c>
    </row>
    <row r="8" spans="1:43" ht="14.95" customHeight="1" thickBot="1" x14ac:dyDescent="0.3">
      <c r="A8" s="405" t="s">
        <v>138</v>
      </c>
      <c r="B8" s="395">
        <v>0</v>
      </c>
      <c r="C8" s="397">
        <v>0</v>
      </c>
      <c r="D8" s="407">
        <f t="shared" si="0"/>
        <v>0</v>
      </c>
      <c r="E8" s="413" t="s">
        <v>138</v>
      </c>
      <c r="F8" s="418">
        <v>0</v>
      </c>
      <c r="G8" s="417">
        <v>0</v>
      </c>
      <c r="H8" s="415">
        <f t="shared" si="1"/>
        <v>0</v>
      </c>
      <c r="I8" s="405" t="s">
        <v>1088</v>
      </c>
      <c r="J8" s="407" t="s">
        <v>17</v>
      </c>
      <c r="K8" s="407" t="s">
        <v>17</v>
      </c>
      <c r="L8" s="408" t="s">
        <v>17</v>
      </c>
      <c r="M8" s="407" t="s">
        <v>17</v>
      </c>
      <c r="N8" s="407" t="s">
        <v>17</v>
      </c>
      <c r="O8" s="408" t="s">
        <v>17</v>
      </c>
      <c r="P8" s="407">
        <v>-1</v>
      </c>
      <c r="Q8" s="128">
        <v>1</v>
      </c>
      <c r="R8" s="128">
        <v>2</v>
      </c>
      <c r="S8" s="231">
        <f>SUM(Q8/R8)*100</f>
        <v>50</v>
      </c>
      <c r="T8" s="128" t="s">
        <v>17</v>
      </c>
      <c r="U8" s="128" t="s">
        <v>17</v>
      </c>
      <c r="V8" s="231" t="s">
        <v>17</v>
      </c>
      <c r="W8" s="41"/>
      <c r="X8" s="41"/>
      <c r="Y8" s="43"/>
      <c r="Z8" s="228" t="s">
        <v>17</v>
      </c>
      <c r="AA8" s="128" t="s">
        <v>17</v>
      </c>
      <c r="AB8" s="231" t="s">
        <v>17</v>
      </c>
      <c r="AC8" s="228" t="s">
        <v>17</v>
      </c>
      <c r="AD8" s="128" t="s">
        <v>17</v>
      </c>
      <c r="AE8" s="231" t="s">
        <v>17</v>
      </c>
      <c r="AF8" s="228" t="s">
        <v>17</v>
      </c>
      <c r="AG8" s="128" t="s">
        <v>17</v>
      </c>
      <c r="AH8" s="231" t="s">
        <v>17</v>
      </c>
      <c r="AI8" s="228" t="s">
        <v>17</v>
      </c>
      <c r="AJ8" s="128" t="s">
        <v>17</v>
      </c>
      <c r="AK8" s="231" t="s">
        <v>17</v>
      </c>
      <c r="AL8" s="228" t="s">
        <v>17</v>
      </c>
      <c r="AM8" s="128" t="s">
        <v>17</v>
      </c>
      <c r="AN8" s="231" t="s">
        <v>17</v>
      </c>
      <c r="AO8" s="228" t="s">
        <v>17</v>
      </c>
      <c r="AP8" s="128" t="s">
        <v>17</v>
      </c>
      <c r="AQ8" s="231" t="s">
        <v>17</v>
      </c>
    </row>
    <row r="9" spans="1:43" ht="14.95" customHeight="1" thickBot="1" x14ac:dyDescent="0.3">
      <c r="A9" s="405" t="s">
        <v>300</v>
      </c>
      <c r="B9" s="395">
        <v>1</v>
      </c>
      <c r="C9" s="397">
        <v>0</v>
      </c>
      <c r="D9" s="407">
        <f t="shared" si="0"/>
        <v>1</v>
      </c>
      <c r="E9" s="413" t="s">
        <v>300</v>
      </c>
      <c r="F9" s="418">
        <v>10</v>
      </c>
      <c r="G9" s="417">
        <v>29</v>
      </c>
      <c r="H9" s="415">
        <f t="shared" si="1"/>
        <v>39</v>
      </c>
      <c r="I9" s="405" t="s">
        <v>1310</v>
      </c>
      <c r="J9" s="407">
        <v>0</v>
      </c>
      <c r="K9" s="407">
        <v>1</v>
      </c>
      <c r="L9" s="408">
        <f t="shared" ref="L9" si="2">SUM(J9/K9)*100</f>
        <v>0</v>
      </c>
      <c r="M9" s="407" t="s">
        <v>17</v>
      </c>
      <c r="N9" s="407" t="s">
        <v>17</v>
      </c>
      <c r="O9" s="408" t="s">
        <v>17</v>
      </c>
      <c r="P9" s="407">
        <v>-1</v>
      </c>
      <c r="Q9" s="128" t="s">
        <v>17</v>
      </c>
      <c r="R9" s="128" t="s">
        <v>17</v>
      </c>
      <c r="S9" s="231" t="s">
        <v>17</v>
      </c>
      <c r="T9" s="128" t="s">
        <v>17</v>
      </c>
      <c r="U9" s="128" t="s">
        <v>17</v>
      </c>
      <c r="V9" s="231" t="s">
        <v>17</v>
      </c>
      <c r="W9" s="41"/>
      <c r="X9" s="41"/>
      <c r="Y9" s="43"/>
      <c r="Z9" s="228" t="s">
        <v>17</v>
      </c>
      <c r="AA9" s="128" t="s">
        <v>17</v>
      </c>
      <c r="AB9" s="231" t="s">
        <v>17</v>
      </c>
      <c r="AC9" s="228" t="s">
        <v>17</v>
      </c>
      <c r="AD9" s="128" t="s">
        <v>17</v>
      </c>
      <c r="AE9" s="231" t="s">
        <v>17</v>
      </c>
      <c r="AF9" s="228" t="s">
        <v>17</v>
      </c>
      <c r="AG9" s="128" t="s">
        <v>17</v>
      </c>
      <c r="AH9" s="231" t="s">
        <v>17</v>
      </c>
      <c r="AI9" s="228" t="s">
        <v>17</v>
      </c>
      <c r="AJ9" s="128" t="s">
        <v>17</v>
      </c>
      <c r="AK9" s="231" t="s">
        <v>17</v>
      </c>
      <c r="AL9" s="228" t="s">
        <v>17</v>
      </c>
      <c r="AM9" s="128" t="s">
        <v>17</v>
      </c>
      <c r="AN9" s="231" t="s">
        <v>17</v>
      </c>
      <c r="AO9" s="228" t="s">
        <v>17</v>
      </c>
      <c r="AP9" s="128" t="s">
        <v>17</v>
      </c>
      <c r="AQ9" s="231" t="s">
        <v>17</v>
      </c>
    </row>
    <row r="10" spans="1:43" ht="14.95" customHeight="1" thickBot="1" x14ac:dyDescent="0.3">
      <c r="A10" s="405" t="s">
        <v>1367</v>
      </c>
      <c r="B10" s="395">
        <v>1</v>
      </c>
      <c r="C10" s="397">
        <v>0</v>
      </c>
      <c r="D10" s="407">
        <f t="shared" si="0"/>
        <v>1</v>
      </c>
      <c r="E10" s="413" t="s">
        <v>1367</v>
      </c>
      <c r="F10" s="418">
        <v>5</v>
      </c>
      <c r="G10" s="417">
        <v>0</v>
      </c>
      <c r="H10" s="415">
        <f t="shared" si="1"/>
        <v>5</v>
      </c>
      <c r="I10" s="405" t="s">
        <v>7</v>
      </c>
      <c r="J10" s="407">
        <v>3</v>
      </c>
      <c r="K10" s="407">
        <v>3</v>
      </c>
      <c r="L10" s="408">
        <f t="shared" ref="L10" si="3">SUM(J10/K10)*100</f>
        <v>100</v>
      </c>
      <c r="M10" s="407" t="s">
        <v>17</v>
      </c>
      <c r="N10" s="407" t="s">
        <v>17</v>
      </c>
      <c r="O10" s="408" t="s">
        <v>17</v>
      </c>
      <c r="P10" s="407">
        <v>3</v>
      </c>
      <c r="Q10" s="128" t="s">
        <v>17</v>
      </c>
      <c r="R10" s="128" t="s">
        <v>17</v>
      </c>
      <c r="S10" s="231" t="s">
        <v>17</v>
      </c>
      <c r="T10" s="128" t="s">
        <v>17</v>
      </c>
      <c r="U10" s="128" t="s">
        <v>17</v>
      </c>
      <c r="V10" s="231" t="s">
        <v>17</v>
      </c>
      <c r="W10" s="41"/>
      <c r="X10" s="41"/>
      <c r="Y10" s="43"/>
      <c r="Z10" s="228" t="s">
        <v>17</v>
      </c>
      <c r="AA10" s="128" t="s">
        <v>17</v>
      </c>
      <c r="AB10" s="231" t="s">
        <v>17</v>
      </c>
      <c r="AC10" s="228" t="s">
        <v>17</v>
      </c>
      <c r="AD10" s="128" t="s">
        <v>17</v>
      </c>
      <c r="AE10" s="231" t="s">
        <v>17</v>
      </c>
      <c r="AF10" s="228" t="s">
        <v>17</v>
      </c>
      <c r="AG10" s="128" t="s">
        <v>17</v>
      </c>
      <c r="AH10" s="231" t="s">
        <v>17</v>
      </c>
      <c r="AI10" s="228" t="s">
        <v>17</v>
      </c>
      <c r="AJ10" s="128" t="s">
        <v>17</v>
      </c>
      <c r="AK10" s="231" t="s">
        <v>17</v>
      </c>
      <c r="AL10" s="228" t="s">
        <v>17</v>
      </c>
      <c r="AM10" s="128" t="s">
        <v>17</v>
      </c>
      <c r="AN10" s="231" t="s">
        <v>17</v>
      </c>
      <c r="AO10" s="228" t="s">
        <v>17</v>
      </c>
      <c r="AP10" s="128" t="s">
        <v>17</v>
      </c>
      <c r="AQ10" s="231" t="s">
        <v>17</v>
      </c>
    </row>
    <row r="11" spans="1:43" ht="14.95" customHeight="1" thickBot="1" x14ac:dyDescent="0.3">
      <c r="A11" s="405" t="s">
        <v>1251</v>
      </c>
      <c r="B11" s="395">
        <v>0</v>
      </c>
      <c r="C11" s="397">
        <v>2</v>
      </c>
      <c r="D11" s="407">
        <f t="shared" si="0"/>
        <v>2</v>
      </c>
      <c r="E11" s="413" t="s">
        <v>1251</v>
      </c>
      <c r="F11" s="418">
        <v>0</v>
      </c>
      <c r="G11" s="417">
        <v>10</v>
      </c>
      <c r="H11" s="415">
        <f t="shared" si="1"/>
        <v>10</v>
      </c>
      <c r="I11" s="148"/>
      <c r="J11" s="38"/>
      <c r="K11" s="38"/>
      <c r="L11" s="24"/>
      <c r="M11" s="140"/>
      <c r="N11" s="38"/>
      <c r="O11" s="24"/>
      <c r="P11" s="140"/>
    </row>
    <row r="12" spans="1:43" ht="14.95" customHeight="1" thickBot="1" x14ac:dyDescent="0.3">
      <c r="A12" s="405" t="s">
        <v>231</v>
      </c>
      <c r="B12" s="395">
        <v>0</v>
      </c>
      <c r="C12" s="397">
        <v>0</v>
      </c>
      <c r="D12" s="407">
        <f t="shared" si="0"/>
        <v>0</v>
      </c>
      <c r="E12" s="413" t="s">
        <v>231</v>
      </c>
      <c r="F12" s="418">
        <v>0</v>
      </c>
      <c r="G12" s="417">
        <v>2</v>
      </c>
      <c r="H12" s="415">
        <f t="shared" si="1"/>
        <v>2</v>
      </c>
      <c r="I12" s="778" t="s">
        <v>33</v>
      </c>
      <c r="J12" s="568">
        <v>2023</v>
      </c>
      <c r="K12" s="569"/>
      <c r="L12" s="570"/>
      <c r="M12" s="568">
        <v>2019</v>
      </c>
      <c r="N12" s="569"/>
      <c r="O12" s="570"/>
      <c r="P12" s="557">
        <v>2015</v>
      </c>
      <c r="Q12" s="563"/>
      <c r="R12" s="564"/>
    </row>
    <row r="13" spans="1:43" ht="14.95" customHeight="1" thickBot="1" x14ac:dyDescent="0.3">
      <c r="A13" s="405" t="s">
        <v>26</v>
      </c>
      <c r="B13" s="395">
        <v>0</v>
      </c>
      <c r="C13" s="397">
        <v>0</v>
      </c>
      <c r="D13" s="407">
        <f t="shared" si="0"/>
        <v>0</v>
      </c>
      <c r="E13" s="413" t="s">
        <v>26</v>
      </c>
      <c r="F13" s="418">
        <v>0</v>
      </c>
      <c r="G13" s="417">
        <v>0</v>
      </c>
      <c r="H13" s="415">
        <f t="shared" si="1"/>
        <v>0</v>
      </c>
      <c r="I13" s="779"/>
      <c r="J13" s="571"/>
      <c r="K13" s="572"/>
      <c r="L13" s="573"/>
      <c r="M13" s="571"/>
      <c r="N13" s="572"/>
      <c r="O13" s="573"/>
      <c r="P13" s="565"/>
      <c r="Q13" s="566"/>
      <c r="R13" s="567"/>
    </row>
    <row r="14" spans="1:43" ht="14.95" customHeight="1" thickBot="1" x14ac:dyDescent="0.3">
      <c r="A14" s="405" t="s">
        <v>377</v>
      </c>
      <c r="B14" s="395">
        <v>0</v>
      </c>
      <c r="C14" s="397">
        <v>0</v>
      </c>
      <c r="D14" s="407">
        <f t="shared" si="0"/>
        <v>0</v>
      </c>
      <c r="E14" s="413" t="s">
        <v>377</v>
      </c>
      <c r="F14" s="418">
        <v>0</v>
      </c>
      <c r="G14" s="417">
        <v>0</v>
      </c>
      <c r="H14" s="415">
        <f t="shared" si="1"/>
        <v>0</v>
      </c>
      <c r="I14" s="4"/>
      <c r="J14" s="128" t="s">
        <v>152</v>
      </c>
      <c r="K14" s="128" t="s">
        <v>12</v>
      </c>
      <c r="L14" s="128" t="s">
        <v>13</v>
      </c>
      <c r="M14" s="128" t="s">
        <v>152</v>
      </c>
      <c r="N14" s="128" t="s">
        <v>12</v>
      </c>
      <c r="O14" s="128" t="s">
        <v>13</v>
      </c>
      <c r="P14" s="119" t="s">
        <v>152</v>
      </c>
      <c r="Q14" s="119" t="s">
        <v>12</v>
      </c>
      <c r="R14" s="119" t="s">
        <v>13</v>
      </c>
    </row>
    <row r="15" spans="1:43" ht="14.95" customHeight="1" thickBot="1" x14ac:dyDescent="0.3">
      <c r="A15" s="405" t="s">
        <v>402</v>
      </c>
      <c r="B15" s="395">
        <v>0</v>
      </c>
      <c r="C15" s="397">
        <v>0</v>
      </c>
      <c r="D15" s="407">
        <f t="shared" si="0"/>
        <v>0</v>
      </c>
      <c r="E15" s="413" t="s">
        <v>402</v>
      </c>
      <c r="F15" s="418">
        <v>0</v>
      </c>
      <c r="G15" s="417">
        <v>0</v>
      </c>
      <c r="H15" s="415">
        <f t="shared" si="1"/>
        <v>0</v>
      </c>
      <c r="I15" s="405" t="s">
        <v>90</v>
      </c>
      <c r="J15" s="128" t="s">
        <v>17</v>
      </c>
      <c r="K15" s="128" t="s">
        <v>17</v>
      </c>
      <c r="L15" s="128" t="s">
        <v>17</v>
      </c>
      <c r="M15" s="128">
        <v>7</v>
      </c>
      <c r="N15" s="128">
        <v>9</v>
      </c>
      <c r="O15" s="231">
        <f>SUM(M15/N15)*100</f>
        <v>77.777777777777786</v>
      </c>
      <c r="P15" s="128">
        <v>8</v>
      </c>
      <c r="Q15" s="128">
        <v>11</v>
      </c>
      <c r="R15" s="231">
        <f>SUM(P15/Q15)*100</f>
        <v>72.727272727272734</v>
      </c>
    </row>
    <row r="16" spans="1:43" ht="14.95" customHeight="1" thickBot="1" x14ac:dyDescent="0.3">
      <c r="A16" s="405" t="s">
        <v>540</v>
      </c>
      <c r="B16" s="395">
        <v>0</v>
      </c>
      <c r="C16" s="397">
        <v>0</v>
      </c>
      <c r="D16" s="407">
        <f t="shared" si="0"/>
        <v>0</v>
      </c>
      <c r="E16" s="413" t="s">
        <v>540</v>
      </c>
      <c r="F16" s="418">
        <v>0</v>
      </c>
      <c r="G16" s="417">
        <v>0</v>
      </c>
      <c r="H16" s="415">
        <f t="shared" si="1"/>
        <v>0</v>
      </c>
      <c r="J16" s="9"/>
      <c r="K16" s="9"/>
      <c r="L16" s="9"/>
      <c r="M16" s="9"/>
      <c r="N16" s="9"/>
      <c r="O16" s="9"/>
    </row>
    <row r="17" spans="1:28" ht="14.95" customHeight="1" thickBot="1" x14ac:dyDescent="0.3">
      <c r="A17" s="405" t="s">
        <v>1092</v>
      </c>
      <c r="B17" s="395">
        <v>1</v>
      </c>
      <c r="C17" s="397">
        <v>1</v>
      </c>
      <c r="D17" s="407">
        <f t="shared" si="0"/>
        <v>2</v>
      </c>
      <c r="E17" s="413" t="s">
        <v>1092</v>
      </c>
      <c r="F17" s="418">
        <v>5</v>
      </c>
      <c r="G17" s="417">
        <v>5</v>
      </c>
      <c r="H17" s="415">
        <f t="shared" si="1"/>
        <v>10</v>
      </c>
      <c r="I17" s="630" t="s">
        <v>88</v>
      </c>
      <c r="J17" s="583">
        <v>2025</v>
      </c>
      <c r="K17" s="584"/>
      <c r="L17" s="585"/>
      <c r="M17" s="568">
        <v>2019</v>
      </c>
      <c r="N17" s="569"/>
      <c r="O17" s="570"/>
      <c r="P17" s="568">
        <v>2019</v>
      </c>
      <c r="Q17" s="569"/>
      <c r="R17" s="570"/>
      <c r="S17" s="557">
        <v>2015</v>
      </c>
      <c r="T17" s="558"/>
      <c r="U17" s="559"/>
      <c r="Z17" s="557">
        <v>2014</v>
      </c>
      <c r="AA17" s="558"/>
      <c r="AB17" s="559"/>
    </row>
    <row r="18" spans="1:28" ht="14.95" customHeight="1" thickBot="1" x14ac:dyDescent="0.3">
      <c r="A18" s="405" t="s">
        <v>1368</v>
      </c>
      <c r="B18" s="395">
        <v>1</v>
      </c>
      <c r="C18" s="397">
        <v>0</v>
      </c>
      <c r="D18" s="407">
        <f t="shared" si="0"/>
        <v>1</v>
      </c>
      <c r="E18" s="413" t="s">
        <v>1368</v>
      </c>
      <c r="F18" s="418">
        <v>5</v>
      </c>
      <c r="G18" s="417">
        <v>0</v>
      </c>
      <c r="H18" s="415">
        <f t="shared" si="1"/>
        <v>5</v>
      </c>
      <c r="I18" s="631"/>
      <c r="J18" s="586"/>
      <c r="K18" s="587"/>
      <c r="L18" s="588"/>
      <c r="M18" s="571"/>
      <c r="N18" s="572"/>
      <c r="O18" s="573"/>
      <c r="P18" s="571"/>
      <c r="Q18" s="572"/>
      <c r="R18" s="573"/>
      <c r="S18" s="560"/>
      <c r="T18" s="561"/>
      <c r="U18" s="562"/>
      <c r="Z18" s="560"/>
      <c r="AA18" s="561"/>
      <c r="AB18" s="562"/>
    </row>
    <row r="19" spans="1:28" ht="14.95" customHeight="1" thickBot="1" x14ac:dyDescent="0.3">
      <c r="A19" s="405" t="s">
        <v>791</v>
      </c>
      <c r="B19" s="395">
        <v>0</v>
      </c>
      <c r="C19" s="397">
        <v>1</v>
      </c>
      <c r="D19" s="407">
        <f t="shared" si="0"/>
        <v>1</v>
      </c>
      <c r="E19" s="413" t="s">
        <v>791</v>
      </c>
      <c r="F19" s="418">
        <v>0</v>
      </c>
      <c r="G19" s="417">
        <v>5</v>
      </c>
      <c r="H19" s="415">
        <f t="shared" si="1"/>
        <v>5</v>
      </c>
      <c r="I19" s="4"/>
      <c r="J19" s="53" t="s">
        <v>152</v>
      </c>
      <c r="K19" s="53" t="s">
        <v>12</v>
      </c>
      <c r="L19" s="53" t="s">
        <v>13</v>
      </c>
      <c r="M19" s="128" t="s">
        <v>152</v>
      </c>
      <c r="N19" s="128" t="s">
        <v>12</v>
      </c>
      <c r="O19" s="128" t="s">
        <v>13</v>
      </c>
      <c r="P19" s="128" t="s">
        <v>152</v>
      </c>
      <c r="Q19" s="128" t="s">
        <v>12</v>
      </c>
      <c r="R19" s="128" t="s">
        <v>13</v>
      </c>
      <c r="S19" s="119" t="s">
        <v>152</v>
      </c>
      <c r="T19" s="119" t="s">
        <v>12</v>
      </c>
      <c r="U19" s="119" t="s">
        <v>13</v>
      </c>
      <c r="Z19" s="171" t="s">
        <v>152</v>
      </c>
      <c r="AA19" s="119" t="s">
        <v>12</v>
      </c>
      <c r="AB19" s="119" t="s">
        <v>13</v>
      </c>
    </row>
    <row r="20" spans="1:28" ht="14.95" customHeight="1" thickBot="1" x14ac:dyDescent="0.3">
      <c r="A20" s="405" t="s">
        <v>1249</v>
      </c>
      <c r="B20" s="395">
        <v>0</v>
      </c>
      <c r="C20" s="397">
        <v>0</v>
      </c>
      <c r="D20" s="407">
        <f t="shared" si="0"/>
        <v>0</v>
      </c>
      <c r="E20" s="413" t="s">
        <v>1249</v>
      </c>
      <c r="F20" s="418">
        <v>4</v>
      </c>
      <c r="G20" s="417">
        <v>0</v>
      </c>
      <c r="H20" s="415">
        <f t="shared" si="1"/>
        <v>4</v>
      </c>
      <c r="I20" s="405" t="s">
        <v>300</v>
      </c>
      <c r="J20" s="407">
        <v>2</v>
      </c>
      <c r="K20" s="407">
        <v>5</v>
      </c>
      <c r="L20" s="407">
        <f>SUM(J20/K20)*100</f>
        <v>40</v>
      </c>
      <c r="M20" s="128">
        <v>10</v>
      </c>
      <c r="N20" s="128">
        <v>14</v>
      </c>
      <c r="O20" s="128">
        <v>70</v>
      </c>
      <c r="P20" s="128" t="s">
        <v>17</v>
      </c>
      <c r="Q20" s="128" t="s">
        <v>17</v>
      </c>
      <c r="R20" s="128" t="s">
        <v>17</v>
      </c>
      <c r="S20" s="128" t="s">
        <v>17</v>
      </c>
      <c r="T20" s="128" t="s">
        <v>17</v>
      </c>
      <c r="U20" s="128" t="s">
        <v>17</v>
      </c>
      <c r="Z20" s="228" t="s">
        <v>17</v>
      </c>
      <c r="AA20" s="128" t="s">
        <v>17</v>
      </c>
      <c r="AB20" s="128" t="s">
        <v>17</v>
      </c>
    </row>
    <row r="21" spans="1:28" ht="14.95" customHeight="1" thickBot="1" x14ac:dyDescent="0.3">
      <c r="A21" s="405" t="s">
        <v>1150</v>
      </c>
      <c r="B21" s="395">
        <v>0</v>
      </c>
      <c r="C21" s="397">
        <v>0</v>
      </c>
      <c r="D21" s="407">
        <f t="shared" si="0"/>
        <v>0</v>
      </c>
      <c r="E21" s="413" t="s">
        <v>1150</v>
      </c>
      <c r="F21" s="418">
        <v>0</v>
      </c>
      <c r="G21" s="417">
        <v>0</v>
      </c>
      <c r="H21" s="415">
        <f t="shared" si="1"/>
        <v>0</v>
      </c>
      <c r="I21" s="405" t="s">
        <v>1249</v>
      </c>
      <c r="J21" s="407">
        <v>2</v>
      </c>
      <c r="K21" s="407">
        <v>2</v>
      </c>
      <c r="L21" s="407">
        <f>SUM(J21/K21)*100</f>
        <v>100</v>
      </c>
      <c r="M21" s="128" t="s">
        <v>17</v>
      </c>
      <c r="N21" s="128" t="s">
        <v>17</v>
      </c>
      <c r="O21" s="128" t="s">
        <v>17</v>
      </c>
      <c r="P21" s="128" t="s">
        <v>17</v>
      </c>
      <c r="Q21" s="128" t="s">
        <v>17</v>
      </c>
      <c r="R21" s="128" t="s">
        <v>17</v>
      </c>
      <c r="S21" s="128" t="s">
        <v>17</v>
      </c>
      <c r="T21" s="128" t="s">
        <v>17</v>
      </c>
      <c r="U21" s="128" t="s">
        <v>17</v>
      </c>
      <c r="Z21" s="232" t="s">
        <v>17</v>
      </c>
      <c r="AA21" s="128" t="s">
        <v>17</v>
      </c>
      <c r="AB21" s="128" t="s">
        <v>17</v>
      </c>
    </row>
    <row r="22" spans="1:28" ht="14.95" customHeight="1" thickBot="1" x14ac:dyDescent="0.3">
      <c r="A22" s="405" t="s">
        <v>1309</v>
      </c>
      <c r="B22" s="395">
        <v>0</v>
      </c>
      <c r="C22" s="397">
        <v>1</v>
      </c>
      <c r="D22" s="407">
        <f t="shared" si="0"/>
        <v>1</v>
      </c>
      <c r="E22" s="413" t="s">
        <v>1309</v>
      </c>
      <c r="F22" s="418">
        <v>0</v>
      </c>
      <c r="G22" s="417">
        <v>5</v>
      </c>
      <c r="H22" s="415">
        <f t="shared" si="1"/>
        <v>5</v>
      </c>
      <c r="I22" s="405" t="s">
        <v>90</v>
      </c>
      <c r="J22" s="407">
        <v>4</v>
      </c>
      <c r="K22" s="407">
        <v>4</v>
      </c>
      <c r="L22" s="407">
        <f t="shared" ref="L22" si="4">SUM(J22/K22)*100</f>
        <v>100</v>
      </c>
      <c r="M22" s="128" t="s">
        <v>17</v>
      </c>
      <c r="N22" s="128" t="s">
        <v>17</v>
      </c>
      <c r="O22" s="231" t="s">
        <v>17</v>
      </c>
      <c r="P22" s="128">
        <v>9</v>
      </c>
      <c r="Q22" s="128">
        <v>11</v>
      </c>
      <c r="R22" s="231">
        <f>SUM(P22/Q22)*100</f>
        <v>81.818181818181827</v>
      </c>
      <c r="S22" s="128">
        <v>14</v>
      </c>
      <c r="T22" s="128">
        <v>17</v>
      </c>
      <c r="U22" s="231">
        <f>SUM(S22/T22)*100</f>
        <v>82.35294117647058</v>
      </c>
      <c r="Z22" s="228" t="s">
        <v>17</v>
      </c>
      <c r="AA22" s="128" t="s">
        <v>17</v>
      </c>
      <c r="AB22" s="128" t="s">
        <v>17</v>
      </c>
    </row>
    <row r="23" spans="1:28" ht="14.95" customHeight="1" thickBot="1" x14ac:dyDescent="0.3">
      <c r="A23" s="405" t="s">
        <v>195</v>
      </c>
      <c r="B23" s="395">
        <v>0</v>
      </c>
      <c r="C23" s="397">
        <v>0</v>
      </c>
      <c r="D23" s="407">
        <f t="shared" si="0"/>
        <v>0</v>
      </c>
      <c r="E23" s="413" t="s">
        <v>195</v>
      </c>
      <c r="F23" s="418">
        <v>0</v>
      </c>
      <c r="G23" s="417">
        <v>0</v>
      </c>
      <c r="H23" s="415">
        <f t="shared" si="1"/>
        <v>0</v>
      </c>
      <c r="I23" s="405" t="s">
        <v>1088</v>
      </c>
      <c r="J23" s="407" t="s">
        <v>17</v>
      </c>
      <c r="K23" s="407" t="s">
        <v>17</v>
      </c>
      <c r="L23" s="408" t="s">
        <v>17</v>
      </c>
      <c r="M23" s="128">
        <v>1</v>
      </c>
      <c r="N23" s="128">
        <v>2</v>
      </c>
      <c r="O23" s="128">
        <v>50</v>
      </c>
      <c r="P23" s="128" t="s">
        <v>17</v>
      </c>
      <c r="Q23" s="128" t="s">
        <v>17</v>
      </c>
      <c r="R23" s="128" t="s">
        <v>17</v>
      </c>
      <c r="S23" s="128" t="s">
        <v>17</v>
      </c>
      <c r="T23" s="128" t="s">
        <v>17</v>
      </c>
      <c r="U23" s="128" t="s">
        <v>17</v>
      </c>
      <c r="Z23" s="228" t="s">
        <v>17</v>
      </c>
      <c r="AA23" s="128" t="s">
        <v>17</v>
      </c>
      <c r="AB23" s="128" t="s">
        <v>17</v>
      </c>
    </row>
    <row r="24" spans="1:28" ht="14.95" customHeight="1" thickBot="1" x14ac:dyDescent="0.3">
      <c r="A24" s="405" t="s">
        <v>89</v>
      </c>
      <c r="B24" s="395">
        <v>0</v>
      </c>
      <c r="C24" s="397">
        <v>0</v>
      </c>
      <c r="D24" s="407">
        <f t="shared" si="0"/>
        <v>0</v>
      </c>
      <c r="E24" s="413" t="s">
        <v>89</v>
      </c>
      <c r="F24" s="418">
        <v>0</v>
      </c>
      <c r="G24" s="417">
        <v>0</v>
      </c>
      <c r="H24" s="415">
        <f t="shared" si="1"/>
        <v>0</v>
      </c>
      <c r="I24" s="409" t="s">
        <v>7</v>
      </c>
      <c r="J24" s="488">
        <v>3</v>
      </c>
      <c r="K24" s="488">
        <v>3</v>
      </c>
      <c r="L24" s="489">
        <f t="shared" ref="L24" si="5">SUM(J24/K24)*100</f>
        <v>100</v>
      </c>
      <c r="M24" s="128" t="s">
        <v>17</v>
      </c>
      <c r="N24" s="128" t="s">
        <v>17</v>
      </c>
      <c r="O24" s="128" t="s">
        <v>17</v>
      </c>
      <c r="P24" s="128" t="s">
        <v>17</v>
      </c>
      <c r="Q24" s="128" t="s">
        <v>17</v>
      </c>
      <c r="R24" s="128" t="s">
        <v>17</v>
      </c>
      <c r="S24" s="128" t="s">
        <v>17</v>
      </c>
      <c r="T24" s="128" t="s">
        <v>17</v>
      </c>
      <c r="U24" s="128" t="s">
        <v>17</v>
      </c>
      <c r="Z24" s="232" t="s">
        <v>17</v>
      </c>
      <c r="AA24" s="128" t="s">
        <v>17</v>
      </c>
      <c r="AB24" s="128" t="s">
        <v>17</v>
      </c>
    </row>
    <row r="25" spans="1:28" ht="14.95" customHeight="1" thickBot="1" x14ac:dyDescent="0.3">
      <c r="A25" s="405" t="s">
        <v>421</v>
      </c>
      <c r="B25" s="395">
        <v>0</v>
      </c>
      <c r="C25" s="397">
        <v>1</v>
      </c>
      <c r="D25" s="407">
        <f t="shared" si="0"/>
        <v>1</v>
      </c>
      <c r="E25" s="413" t="s">
        <v>421</v>
      </c>
      <c r="F25" s="418">
        <v>0</v>
      </c>
      <c r="G25" s="417">
        <v>5</v>
      </c>
      <c r="H25" s="415">
        <f t="shared" si="1"/>
        <v>5</v>
      </c>
    </row>
    <row r="26" spans="1:28" ht="14.95" customHeight="1" thickBot="1" x14ac:dyDescent="0.3">
      <c r="A26" s="405" t="s">
        <v>90</v>
      </c>
      <c r="B26" s="395">
        <v>0</v>
      </c>
      <c r="C26" s="397">
        <v>0</v>
      </c>
      <c r="D26" s="407">
        <f t="shared" si="0"/>
        <v>0</v>
      </c>
      <c r="E26" s="413" t="s">
        <v>90</v>
      </c>
      <c r="F26" s="418">
        <v>10</v>
      </c>
      <c r="G26" s="417">
        <v>16</v>
      </c>
      <c r="H26" s="415">
        <f t="shared" si="1"/>
        <v>26</v>
      </c>
      <c r="I26" s="630" t="s">
        <v>128</v>
      </c>
      <c r="J26" s="568">
        <v>2019</v>
      </c>
      <c r="K26" s="569"/>
      <c r="L26" s="570"/>
      <c r="M26" s="557">
        <v>2018</v>
      </c>
      <c r="N26" s="563"/>
      <c r="O26" s="564"/>
      <c r="P26" s="557">
        <v>2017</v>
      </c>
      <c r="Q26" s="563"/>
      <c r="R26" s="564"/>
    </row>
    <row r="27" spans="1:28" ht="14.95" customHeight="1" thickBot="1" x14ac:dyDescent="0.3">
      <c r="A27" s="405" t="s">
        <v>677</v>
      </c>
      <c r="B27" s="395">
        <v>0</v>
      </c>
      <c r="C27" s="397">
        <v>0</v>
      </c>
      <c r="D27" s="407">
        <f t="shared" si="0"/>
        <v>0</v>
      </c>
      <c r="E27" s="413" t="s">
        <v>677</v>
      </c>
      <c r="F27" s="418">
        <v>0</v>
      </c>
      <c r="G27" s="417">
        <v>0</v>
      </c>
      <c r="H27" s="415">
        <f t="shared" si="1"/>
        <v>0</v>
      </c>
      <c r="I27" s="631"/>
      <c r="J27" s="571"/>
      <c r="K27" s="572"/>
      <c r="L27" s="573"/>
      <c r="M27" s="565"/>
      <c r="N27" s="566"/>
      <c r="O27" s="567"/>
      <c r="P27" s="565"/>
      <c r="Q27" s="566"/>
      <c r="R27" s="567"/>
    </row>
    <row r="28" spans="1:28" ht="14.95" customHeight="1" thickBot="1" x14ac:dyDescent="0.3">
      <c r="A28" s="405" t="s">
        <v>140</v>
      </c>
      <c r="B28" s="395">
        <v>0</v>
      </c>
      <c r="C28" s="397">
        <v>0</v>
      </c>
      <c r="D28" s="407">
        <f t="shared" si="0"/>
        <v>0</v>
      </c>
      <c r="E28" s="413" t="s">
        <v>140</v>
      </c>
      <c r="F28" s="418">
        <v>0</v>
      </c>
      <c r="G28" s="417">
        <v>0</v>
      </c>
      <c r="H28" s="415">
        <f t="shared" si="1"/>
        <v>0</v>
      </c>
      <c r="I28" s="4"/>
      <c r="J28" s="128" t="s">
        <v>152</v>
      </c>
      <c r="K28" s="128" t="s">
        <v>12</v>
      </c>
      <c r="L28" s="128" t="s">
        <v>13</v>
      </c>
      <c r="M28" s="119" t="s">
        <v>152</v>
      </c>
      <c r="N28" s="119" t="s">
        <v>12</v>
      </c>
      <c r="O28" s="119" t="s">
        <v>13</v>
      </c>
      <c r="P28" s="119" t="s">
        <v>152</v>
      </c>
      <c r="Q28" s="119" t="s">
        <v>12</v>
      </c>
      <c r="R28" s="119" t="s">
        <v>13</v>
      </c>
    </row>
    <row r="29" spans="1:28" ht="14.95" customHeight="1" thickBot="1" x14ac:dyDescent="0.3">
      <c r="A29" s="405" t="s">
        <v>1088</v>
      </c>
      <c r="B29" s="395">
        <v>0</v>
      </c>
      <c r="C29" s="397">
        <v>0</v>
      </c>
      <c r="D29" s="407">
        <f t="shared" si="0"/>
        <v>0</v>
      </c>
      <c r="E29" s="413" t="s">
        <v>1088</v>
      </c>
      <c r="F29" s="418">
        <v>0</v>
      </c>
      <c r="G29" s="417">
        <v>0</v>
      </c>
      <c r="H29" s="415">
        <f t="shared" si="1"/>
        <v>0</v>
      </c>
      <c r="I29" s="405" t="s">
        <v>90</v>
      </c>
      <c r="J29" s="128">
        <v>5</v>
      </c>
      <c r="K29" s="128">
        <v>7</v>
      </c>
      <c r="L29" s="231">
        <f>SUM(J29/K29)*100</f>
        <v>71.428571428571431</v>
      </c>
      <c r="M29" s="128" t="s">
        <v>17</v>
      </c>
      <c r="N29" s="128" t="s">
        <v>17</v>
      </c>
      <c r="O29" s="128" t="s">
        <v>17</v>
      </c>
      <c r="P29" s="163">
        <v>3</v>
      </c>
      <c r="Q29" s="163">
        <v>4</v>
      </c>
      <c r="R29" s="231">
        <f>SUM(P29/Q29)*100</f>
        <v>75</v>
      </c>
    </row>
    <row r="30" spans="1:28" ht="14.95" customHeight="1" thickBot="1" x14ac:dyDescent="0.3">
      <c r="A30" s="405" t="s">
        <v>1341</v>
      </c>
      <c r="B30" s="395">
        <v>1</v>
      </c>
      <c r="C30" s="397">
        <v>1</v>
      </c>
      <c r="D30" s="407">
        <f t="shared" si="0"/>
        <v>2</v>
      </c>
      <c r="E30" s="413" t="s">
        <v>1341</v>
      </c>
      <c r="F30" s="418">
        <v>5</v>
      </c>
      <c r="G30" s="417">
        <v>5</v>
      </c>
      <c r="H30" s="415">
        <f t="shared" si="1"/>
        <v>10</v>
      </c>
      <c r="I30" s="16"/>
      <c r="J30" s="41"/>
      <c r="K30" s="41"/>
      <c r="L30" s="43"/>
      <c r="M30" s="41"/>
      <c r="N30" s="41"/>
      <c r="O30" s="41"/>
    </row>
    <row r="31" spans="1:28" ht="14.95" customHeight="1" thickBot="1" x14ac:dyDescent="0.3">
      <c r="A31" s="405" t="s">
        <v>1077</v>
      </c>
      <c r="B31" s="395">
        <v>0</v>
      </c>
      <c r="C31" s="397">
        <v>0</v>
      </c>
      <c r="D31" s="407">
        <f t="shared" si="0"/>
        <v>0</v>
      </c>
      <c r="E31" s="413" t="s">
        <v>1077</v>
      </c>
      <c r="F31" s="418">
        <v>0</v>
      </c>
      <c r="G31" s="417">
        <v>0</v>
      </c>
      <c r="H31" s="415">
        <f t="shared" si="1"/>
        <v>0</v>
      </c>
      <c r="I31" s="632" t="s">
        <v>148</v>
      </c>
      <c r="J31" s="568" t="s">
        <v>414</v>
      </c>
      <c r="K31" s="602"/>
      <c r="L31" s="603"/>
      <c r="M31" s="568" t="s">
        <v>188</v>
      </c>
      <c r="N31" s="602"/>
      <c r="O31" s="603"/>
    </row>
    <row r="32" spans="1:28" ht="14.95" customHeight="1" thickBot="1" x14ac:dyDescent="0.3">
      <c r="A32" s="405" t="s">
        <v>196</v>
      </c>
      <c r="B32" s="395">
        <v>0</v>
      </c>
      <c r="C32" s="397">
        <v>0</v>
      </c>
      <c r="D32" s="407">
        <f t="shared" si="0"/>
        <v>0</v>
      </c>
      <c r="E32" s="413" t="s">
        <v>196</v>
      </c>
      <c r="F32" s="418">
        <v>0</v>
      </c>
      <c r="G32" s="417">
        <v>0</v>
      </c>
      <c r="H32" s="415">
        <f t="shared" si="1"/>
        <v>0</v>
      </c>
      <c r="I32" s="633"/>
      <c r="J32" s="604"/>
      <c r="K32" s="605"/>
      <c r="L32" s="606"/>
      <c r="M32" s="604"/>
      <c r="N32" s="605"/>
      <c r="O32" s="606"/>
    </row>
    <row r="33" spans="1:15" ht="14.95" customHeight="1" thickBot="1" x14ac:dyDescent="0.3">
      <c r="A33" s="405" t="s">
        <v>1153</v>
      </c>
      <c r="B33" s="395">
        <v>0</v>
      </c>
      <c r="C33" s="397">
        <v>0</v>
      </c>
      <c r="D33" s="407">
        <f t="shared" si="0"/>
        <v>0</v>
      </c>
      <c r="E33" s="413" t="s">
        <v>1153</v>
      </c>
      <c r="F33" s="418">
        <v>0</v>
      </c>
      <c r="G33" s="417">
        <v>0</v>
      </c>
      <c r="H33" s="415">
        <f t="shared" si="1"/>
        <v>0</v>
      </c>
      <c r="I33" s="526"/>
      <c r="J33" s="128" t="s">
        <v>152</v>
      </c>
      <c r="K33" s="128" t="s">
        <v>12</v>
      </c>
      <c r="L33" s="128" t="s">
        <v>13</v>
      </c>
      <c r="M33" s="128" t="s">
        <v>152</v>
      </c>
      <c r="N33" s="128" t="s">
        <v>12</v>
      </c>
      <c r="O33" s="128" t="s">
        <v>13</v>
      </c>
    </row>
    <row r="34" spans="1:15" ht="14.95" customHeight="1" thickBot="1" x14ac:dyDescent="0.3">
      <c r="A34" s="405" t="s">
        <v>4</v>
      </c>
      <c r="B34" s="395">
        <v>0</v>
      </c>
      <c r="C34" s="397">
        <v>0</v>
      </c>
      <c r="D34" s="407">
        <f t="shared" si="0"/>
        <v>0</v>
      </c>
      <c r="E34" s="413" t="s">
        <v>4</v>
      </c>
      <c r="F34" s="418">
        <v>0</v>
      </c>
      <c r="G34" s="417">
        <v>0</v>
      </c>
      <c r="H34" s="415">
        <f t="shared" si="1"/>
        <v>0</v>
      </c>
      <c r="I34" s="405" t="s">
        <v>300</v>
      </c>
      <c r="J34" s="128">
        <v>7</v>
      </c>
      <c r="K34" s="128">
        <v>9</v>
      </c>
      <c r="L34" s="231">
        <f>SUM(J34/K34)*100</f>
        <v>77.777777777777786</v>
      </c>
      <c r="M34" s="128" t="s">
        <v>17</v>
      </c>
      <c r="N34" s="128" t="s">
        <v>17</v>
      </c>
      <c r="O34" s="128" t="s">
        <v>17</v>
      </c>
    </row>
    <row r="35" spans="1:15" ht="14.95" thickBot="1" x14ac:dyDescent="0.3">
      <c r="A35" s="405" t="s">
        <v>91</v>
      </c>
      <c r="B35" s="395">
        <v>0</v>
      </c>
      <c r="C35" s="397">
        <v>0</v>
      </c>
      <c r="D35" s="407">
        <f t="shared" si="0"/>
        <v>0</v>
      </c>
      <c r="E35" s="413" t="s">
        <v>91</v>
      </c>
      <c r="F35" s="418">
        <v>0</v>
      </c>
      <c r="G35" s="417">
        <v>0</v>
      </c>
      <c r="H35" s="415">
        <f t="shared" si="1"/>
        <v>0</v>
      </c>
      <c r="I35" s="405" t="s">
        <v>90</v>
      </c>
      <c r="J35" s="163">
        <v>25</v>
      </c>
      <c r="K35" s="163">
        <v>34</v>
      </c>
      <c r="L35" s="231">
        <f>SUM(J35/K35)*100</f>
        <v>73.529411764705884</v>
      </c>
      <c r="M35" s="163">
        <v>10</v>
      </c>
      <c r="N35" s="163">
        <v>11</v>
      </c>
      <c r="O35" s="231">
        <f>SUM(M35/N35)*100</f>
        <v>90.909090909090907</v>
      </c>
    </row>
    <row r="36" spans="1:15" ht="14.95" thickBot="1" x14ac:dyDescent="0.3">
      <c r="A36" s="405" t="s">
        <v>321</v>
      </c>
      <c r="B36" s="395">
        <v>2</v>
      </c>
      <c r="C36" s="397">
        <v>0</v>
      </c>
      <c r="D36" s="407">
        <f t="shared" si="0"/>
        <v>2</v>
      </c>
      <c r="E36" s="413" t="s">
        <v>321</v>
      </c>
      <c r="F36" s="418">
        <v>10</v>
      </c>
      <c r="G36" s="417">
        <v>0</v>
      </c>
      <c r="H36" s="415">
        <f t="shared" si="1"/>
        <v>10</v>
      </c>
    </row>
    <row r="37" spans="1:15" ht="14.95" customHeight="1" thickBot="1" x14ac:dyDescent="0.3">
      <c r="A37" s="405" t="s">
        <v>585</v>
      </c>
      <c r="B37" s="395">
        <v>0</v>
      </c>
      <c r="C37" s="397">
        <v>0</v>
      </c>
      <c r="D37" s="407">
        <f t="shared" si="0"/>
        <v>0</v>
      </c>
      <c r="E37" s="413" t="s">
        <v>585</v>
      </c>
      <c r="F37" s="418">
        <v>0</v>
      </c>
      <c r="G37" s="417">
        <v>0</v>
      </c>
      <c r="H37" s="415">
        <f t="shared" si="1"/>
        <v>0</v>
      </c>
    </row>
    <row r="38" spans="1:15" ht="14.95" thickBot="1" x14ac:dyDescent="0.3">
      <c r="A38" s="405" t="s">
        <v>8</v>
      </c>
      <c r="B38" s="395">
        <v>0</v>
      </c>
      <c r="C38" s="397">
        <v>0</v>
      </c>
      <c r="D38" s="407">
        <f t="shared" si="0"/>
        <v>0</v>
      </c>
      <c r="E38" s="413" t="s">
        <v>8</v>
      </c>
      <c r="F38" s="418">
        <v>0</v>
      </c>
      <c r="G38" s="417">
        <v>0</v>
      </c>
      <c r="H38" s="415">
        <f t="shared" si="1"/>
        <v>0</v>
      </c>
    </row>
    <row r="39" spans="1:15" ht="14.95" thickBot="1" x14ac:dyDescent="0.3">
      <c r="A39" s="405" t="s">
        <v>21</v>
      </c>
      <c r="B39" s="395">
        <v>0</v>
      </c>
      <c r="C39" s="397">
        <v>0</v>
      </c>
      <c r="D39" s="407">
        <f t="shared" si="0"/>
        <v>0</v>
      </c>
      <c r="E39" s="413" t="s">
        <v>21</v>
      </c>
      <c r="F39" s="418">
        <v>0</v>
      </c>
      <c r="G39" s="417">
        <v>0</v>
      </c>
      <c r="H39" s="415">
        <f t="shared" si="1"/>
        <v>0</v>
      </c>
    </row>
    <row r="40" spans="1:15" ht="14.95" thickBot="1" x14ac:dyDescent="0.3">
      <c r="A40" s="405" t="s">
        <v>541</v>
      </c>
      <c r="B40" s="395">
        <v>0</v>
      </c>
      <c r="C40" s="397">
        <v>0</v>
      </c>
      <c r="D40" s="407">
        <f t="shared" si="0"/>
        <v>0</v>
      </c>
      <c r="E40" s="413" t="s">
        <v>541</v>
      </c>
      <c r="F40" s="418">
        <v>0</v>
      </c>
      <c r="G40" s="417">
        <v>0</v>
      </c>
      <c r="H40" s="415">
        <f t="shared" si="1"/>
        <v>0</v>
      </c>
    </row>
    <row r="41" spans="1:15" ht="14.95" thickBot="1" x14ac:dyDescent="0.3">
      <c r="A41" s="405" t="s">
        <v>92</v>
      </c>
      <c r="B41" s="395">
        <v>0</v>
      </c>
      <c r="C41" s="397">
        <v>0</v>
      </c>
      <c r="D41" s="407">
        <f t="shared" si="0"/>
        <v>0</v>
      </c>
      <c r="E41" s="413" t="s">
        <v>92</v>
      </c>
      <c r="F41" s="418">
        <v>0</v>
      </c>
      <c r="G41" s="417">
        <v>0</v>
      </c>
      <c r="H41" s="415">
        <f t="shared" si="1"/>
        <v>0</v>
      </c>
    </row>
    <row r="42" spans="1:15" ht="14.95" thickBot="1" x14ac:dyDescent="0.3">
      <c r="A42" s="405" t="s">
        <v>139</v>
      </c>
      <c r="B42" s="395">
        <v>0</v>
      </c>
      <c r="C42" s="397">
        <v>0</v>
      </c>
      <c r="D42" s="407">
        <f t="shared" si="0"/>
        <v>0</v>
      </c>
      <c r="E42" s="413" t="s">
        <v>139</v>
      </c>
      <c r="F42" s="418">
        <v>0</v>
      </c>
      <c r="G42" s="417">
        <v>0</v>
      </c>
      <c r="H42" s="415">
        <f t="shared" si="1"/>
        <v>0</v>
      </c>
    </row>
    <row r="43" spans="1:15" ht="14.95" thickBot="1" x14ac:dyDescent="0.3">
      <c r="A43" s="405" t="s">
        <v>1362</v>
      </c>
      <c r="B43" s="395">
        <v>1</v>
      </c>
      <c r="C43" s="397">
        <v>0</v>
      </c>
      <c r="D43" s="407">
        <f t="shared" si="0"/>
        <v>1</v>
      </c>
      <c r="E43" s="413" t="s">
        <v>1362</v>
      </c>
      <c r="F43" s="418">
        <v>5</v>
      </c>
      <c r="G43" s="417">
        <v>0</v>
      </c>
      <c r="H43" s="415">
        <f t="shared" si="1"/>
        <v>5</v>
      </c>
    </row>
    <row r="44" spans="1:15" ht="14.95" thickBot="1" x14ac:dyDescent="0.3">
      <c r="A44" s="405" t="s">
        <v>553</v>
      </c>
      <c r="B44" s="395">
        <v>0</v>
      </c>
      <c r="C44" s="397">
        <v>0</v>
      </c>
      <c r="D44" s="407">
        <f t="shared" si="0"/>
        <v>0</v>
      </c>
      <c r="E44" s="413" t="s">
        <v>553</v>
      </c>
      <c r="F44" s="418">
        <v>0</v>
      </c>
      <c r="G44" s="417">
        <v>0</v>
      </c>
      <c r="H44" s="415">
        <f t="shared" si="1"/>
        <v>0</v>
      </c>
    </row>
    <row r="45" spans="1:15" ht="14.95" thickBot="1" x14ac:dyDescent="0.3">
      <c r="A45" s="405" t="s">
        <v>7</v>
      </c>
      <c r="B45" s="395">
        <v>0</v>
      </c>
      <c r="C45" s="397">
        <v>0</v>
      </c>
      <c r="D45" s="407">
        <f t="shared" si="0"/>
        <v>0</v>
      </c>
      <c r="E45" s="413" t="s">
        <v>7</v>
      </c>
      <c r="F45" s="418">
        <v>6</v>
      </c>
      <c r="G45" s="417">
        <v>0</v>
      </c>
      <c r="H45" s="415">
        <f t="shared" si="1"/>
        <v>6</v>
      </c>
    </row>
    <row r="46" spans="1:15" ht="14.95" thickBot="1" x14ac:dyDescent="0.3">
      <c r="A46" s="405" t="s">
        <v>197</v>
      </c>
      <c r="B46" s="395">
        <v>0</v>
      </c>
      <c r="C46" s="397">
        <v>0</v>
      </c>
      <c r="D46" s="407">
        <f t="shared" si="0"/>
        <v>0</v>
      </c>
      <c r="E46" s="413" t="s">
        <v>197</v>
      </c>
      <c r="F46" s="418">
        <v>0</v>
      </c>
      <c r="G46" s="417">
        <v>0</v>
      </c>
      <c r="H46" s="415">
        <f t="shared" si="1"/>
        <v>0</v>
      </c>
    </row>
    <row r="47" spans="1:15" ht="14.95" customHeight="1" thickBot="1" x14ac:dyDescent="0.3">
      <c r="A47" s="405" t="s">
        <v>3</v>
      </c>
      <c r="B47" s="395">
        <f>SUM(B3:B46)</f>
        <v>9</v>
      </c>
      <c r="C47" s="397">
        <f>SUM(C3:C46)</f>
        <v>14</v>
      </c>
      <c r="D47" s="407">
        <f t="shared" si="0"/>
        <v>23</v>
      </c>
      <c r="E47" s="412" t="s">
        <v>3</v>
      </c>
      <c r="F47" s="418">
        <f>SUM(F3:F46)</f>
        <v>70</v>
      </c>
      <c r="G47" s="417">
        <f>SUM(G3:G46)</f>
        <v>117</v>
      </c>
      <c r="H47" s="415">
        <f t="shared" si="1"/>
        <v>187</v>
      </c>
    </row>
    <row r="49" spans="1:8" ht="14.95" thickBot="1" x14ac:dyDescent="0.3">
      <c r="A49" t="s">
        <v>15</v>
      </c>
    </row>
    <row r="50" spans="1:8" ht="14.95" thickBot="1" x14ac:dyDescent="0.3">
      <c r="A50" s="409" t="s">
        <v>0</v>
      </c>
      <c r="B50" s="448" t="s">
        <v>1361</v>
      </c>
      <c r="C50" s="396" t="s">
        <v>31</v>
      </c>
      <c r="D50" s="410" t="s">
        <v>1</v>
      </c>
      <c r="E50" s="411" t="s">
        <v>2</v>
      </c>
      <c r="F50" s="449" t="s">
        <v>1361</v>
      </c>
      <c r="G50" s="416" t="s">
        <v>31</v>
      </c>
      <c r="H50" s="414" t="s">
        <v>1</v>
      </c>
    </row>
    <row r="51" spans="1:8" ht="14.95" thickBot="1" x14ac:dyDescent="0.3">
      <c r="A51" s="405" t="s">
        <v>1149</v>
      </c>
      <c r="B51" s="395">
        <v>1</v>
      </c>
      <c r="C51" s="397">
        <v>3</v>
      </c>
      <c r="D51" s="407">
        <f t="shared" ref="D51:D94" si="6">SUM(B51:C51)</f>
        <v>4</v>
      </c>
      <c r="E51" s="412" t="s">
        <v>300</v>
      </c>
      <c r="F51" s="418">
        <v>10</v>
      </c>
      <c r="G51" s="417">
        <v>29</v>
      </c>
      <c r="H51" s="415">
        <f t="shared" ref="H51:H94" si="7">SUM(F51:G51)</f>
        <v>39</v>
      </c>
    </row>
    <row r="52" spans="1:8" ht="14.95" thickBot="1" x14ac:dyDescent="0.3">
      <c r="A52" s="405" t="s">
        <v>1252</v>
      </c>
      <c r="B52" s="395">
        <v>0</v>
      </c>
      <c r="C52" s="397">
        <v>3</v>
      </c>
      <c r="D52" s="407">
        <f t="shared" si="6"/>
        <v>3</v>
      </c>
      <c r="E52" s="412" t="s">
        <v>90</v>
      </c>
      <c r="F52" s="418">
        <v>10</v>
      </c>
      <c r="G52" s="417">
        <v>16</v>
      </c>
      <c r="H52" s="415">
        <f t="shared" si="7"/>
        <v>26</v>
      </c>
    </row>
    <row r="53" spans="1:8" ht="14.95" thickBot="1" x14ac:dyDescent="0.3">
      <c r="A53" s="405" t="s">
        <v>1251</v>
      </c>
      <c r="B53" s="395">
        <v>0</v>
      </c>
      <c r="C53" s="397">
        <v>2</v>
      </c>
      <c r="D53" s="407">
        <f t="shared" si="6"/>
        <v>2</v>
      </c>
      <c r="E53" s="413" t="s">
        <v>1149</v>
      </c>
      <c r="F53" s="418">
        <v>5</v>
      </c>
      <c r="G53" s="417">
        <v>15</v>
      </c>
      <c r="H53" s="415">
        <f t="shared" si="7"/>
        <v>20</v>
      </c>
    </row>
    <row r="54" spans="1:8" ht="14.95" thickBot="1" x14ac:dyDescent="0.3">
      <c r="A54" s="405" t="s">
        <v>1092</v>
      </c>
      <c r="B54" s="395">
        <v>1</v>
      </c>
      <c r="C54" s="397">
        <v>1</v>
      </c>
      <c r="D54" s="407">
        <f t="shared" si="6"/>
        <v>2</v>
      </c>
      <c r="E54" s="413" t="s">
        <v>1252</v>
      </c>
      <c r="F54" s="418">
        <v>0</v>
      </c>
      <c r="G54" s="417">
        <v>15</v>
      </c>
      <c r="H54" s="415">
        <f t="shared" si="7"/>
        <v>15</v>
      </c>
    </row>
    <row r="55" spans="1:8" ht="14.95" thickBot="1" x14ac:dyDescent="0.3">
      <c r="A55" s="405" t="s">
        <v>1341</v>
      </c>
      <c r="B55" s="395">
        <v>1</v>
      </c>
      <c r="C55" s="397">
        <v>1</v>
      </c>
      <c r="D55" s="407">
        <f t="shared" si="6"/>
        <v>2</v>
      </c>
      <c r="E55" s="413" t="s">
        <v>1251</v>
      </c>
      <c r="F55" s="418">
        <v>0</v>
      </c>
      <c r="G55" s="417">
        <v>10</v>
      </c>
      <c r="H55" s="415">
        <f t="shared" si="7"/>
        <v>10</v>
      </c>
    </row>
    <row r="56" spans="1:8" ht="14.95" thickBot="1" x14ac:dyDescent="0.3">
      <c r="A56" s="405" t="s">
        <v>321</v>
      </c>
      <c r="B56" s="395">
        <v>2</v>
      </c>
      <c r="C56" s="397">
        <v>0</v>
      </c>
      <c r="D56" s="407">
        <f t="shared" si="6"/>
        <v>2</v>
      </c>
      <c r="E56" s="413" t="s">
        <v>1092</v>
      </c>
      <c r="F56" s="418">
        <v>5</v>
      </c>
      <c r="G56" s="417">
        <v>5</v>
      </c>
      <c r="H56" s="415">
        <f t="shared" si="7"/>
        <v>10</v>
      </c>
    </row>
    <row r="57" spans="1:8" ht="14.95" thickBot="1" x14ac:dyDescent="0.3">
      <c r="A57" s="405" t="s">
        <v>1250</v>
      </c>
      <c r="B57" s="395">
        <v>0</v>
      </c>
      <c r="C57" s="397">
        <v>1</v>
      </c>
      <c r="D57" s="407">
        <f t="shared" si="6"/>
        <v>1</v>
      </c>
      <c r="E57" s="413" t="s">
        <v>1341</v>
      </c>
      <c r="F57" s="418">
        <v>5</v>
      </c>
      <c r="G57" s="417">
        <v>5</v>
      </c>
      <c r="H57" s="415">
        <f t="shared" si="7"/>
        <v>10</v>
      </c>
    </row>
    <row r="58" spans="1:8" ht="14.95" thickBot="1" x14ac:dyDescent="0.3">
      <c r="A58" s="405" t="s">
        <v>300</v>
      </c>
      <c r="B58" s="395">
        <v>1</v>
      </c>
      <c r="C58" s="397">
        <v>0</v>
      </c>
      <c r="D58" s="407">
        <f t="shared" si="6"/>
        <v>1</v>
      </c>
      <c r="E58" s="413" t="s">
        <v>321</v>
      </c>
      <c r="F58" s="418">
        <v>10</v>
      </c>
      <c r="G58" s="417">
        <v>0</v>
      </c>
      <c r="H58" s="415">
        <f t="shared" si="7"/>
        <v>10</v>
      </c>
    </row>
    <row r="59" spans="1:8" ht="14.95" thickBot="1" x14ac:dyDescent="0.3">
      <c r="A59" s="405" t="s">
        <v>1367</v>
      </c>
      <c r="B59" s="395">
        <v>1</v>
      </c>
      <c r="C59" s="397">
        <v>0</v>
      </c>
      <c r="D59" s="407">
        <f t="shared" si="6"/>
        <v>1</v>
      </c>
      <c r="E59" s="413" t="s">
        <v>7</v>
      </c>
      <c r="F59" s="418">
        <v>6</v>
      </c>
      <c r="G59" s="417">
        <v>0</v>
      </c>
      <c r="H59" s="415">
        <f t="shared" si="7"/>
        <v>6</v>
      </c>
    </row>
    <row r="60" spans="1:8" ht="14.95" thickBot="1" x14ac:dyDescent="0.3">
      <c r="A60" s="405" t="s">
        <v>1368</v>
      </c>
      <c r="B60" s="395">
        <v>1</v>
      </c>
      <c r="C60" s="397">
        <v>0</v>
      </c>
      <c r="D60" s="407">
        <f t="shared" si="6"/>
        <v>1</v>
      </c>
      <c r="E60" s="413" t="s">
        <v>1250</v>
      </c>
      <c r="F60" s="418">
        <v>0</v>
      </c>
      <c r="G60" s="417">
        <v>5</v>
      </c>
      <c r="H60" s="415">
        <f t="shared" si="7"/>
        <v>5</v>
      </c>
    </row>
    <row r="61" spans="1:8" ht="14.95" thickBot="1" x14ac:dyDescent="0.3">
      <c r="A61" s="405" t="s">
        <v>791</v>
      </c>
      <c r="B61" s="395">
        <v>0</v>
      </c>
      <c r="C61" s="397">
        <v>1</v>
      </c>
      <c r="D61" s="407">
        <f t="shared" si="6"/>
        <v>1</v>
      </c>
      <c r="E61" s="413" t="s">
        <v>1367</v>
      </c>
      <c r="F61" s="418">
        <v>5</v>
      </c>
      <c r="G61" s="417">
        <v>0</v>
      </c>
      <c r="H61" s="415">
        <f t="shared" si="7"/>
        <v>5</v>
      </c>
    </row>
    <row r="62" spans="1:8" ht="14.95" thickBot="1" x14ac:dyDescent="0.3">
      <c r="A62" s="405" t="s">
        <v>1309</v>
      </c>
      <c r="B62" s="395">
        <v>0</v>
      </c>
      <c r="C62" s="397">
        <v>1</v>
      </c>
      <c r="D62" s="407">
        <f t="shared" si="6"/>
        <v>1</v>
      </c>
      <c r="E62" s="413" t="s">
        <v>1368</v>
      </c>
      <c r="F62" s="418">
        <v>5</v>
      </c>
      <c r="G62" s="417">
        <v>0</v>
      </c>
      <c r="H62" s="415">
        <f t="shared" si="7"/>
        <v>5</v>
      </c>
    </row>
    <row r="63" spans="1:8" ht="14.95" thickBot="1" x14ac:dyDescent="0.3">
      <c r="A63" s="405" t="s">
        <v>421</v>
      </c>
      <c r="B63" s="395">
        <v>0</v>
      </c>
      <c r="C63" s="397">
        <v>1</v>
      </c>
      <c r="D63" s="407">
        <f t="shared" si="6"/>
        <v>1</v>
      </c>
      <c r="E63" s="413" t="s">
        <v>791</v>
      </c>
      <c r="F63" s="418">
        <v>0</v>
      </c>
      <c r="G63" s="417">
        <v>5</v>
      </c>
      <c r="H63" s="415">
        <f t="shared" si="7"/>
        <v>5</v>
      </c>
    </row>
    <row r="64" spans="1:8" ht="14.95" thickBot="1" x14ac:dyDescent="0.3">
      <c r="A64" s="405" t="s">
        <v>1362</v>
      </c>
      <c r="B64" s="395">
        <v>1</v>
      </c>
      <c r="C64" s="397">
        <v>0</v>
      </c>
      <c r="D64" s="407">
        <f t="shared" si="6"/>
        <v>1</v>
      </c>
      <c r="E64" s="413" t="s">
        <v>1309</v>
      </c>
      <c r="F64" s="418">
        <v>0</v>
      </c>
      <c r="G64" s="417">
        <v>5</v>
      </c>
      <c r="H64" s="415">
        <f t="shared" si="7"/>
        <v>5</v>
      </c>
    </row>
    <row r="65" spans="1:8" ht="14.95" thickBot="1" x14ac:dyDescent="0.3">
      <c r="A65" s="405" t="s">
        <v>434</v>
      </c>
      <c r="B65" s="395">
        <v>0</v>
      </c>
      <c r="C65" s="397">
        <v>0</v>
      </c>
      <c r="D65" s="407">
        <f t="shared" si="6"/>
        <v>0</v>
      </c>
      <c r="E65" s="413" t="s">
        <v>421</v>
      </c>
      <c r="F65" s="418">
        <v>0</v>
      </c>
      <c r="G65" s="417">
        <v>5</v>
      </c>
      <c r="H65" s="415">
        <f t="shared" si="7"/>
        <v>5</v>
      </c>
    </row>
    <row r="66" spans="1:8" ht="14.95" thickBot="1" x14ac:dyDescent="0.3">
      <c r="A66" s="405" t="s">
        <v>991</v>
      </c>
      <c r="B66" s="395">
        <v>0</v>
      </c>
      <c r="C66" s="397">
        <v>0</v>
      </c>
      <c r="D66" s="407">
        <f t="shared" si="6"/>
        <v>0</v>
      </c>
      <c r="E66" s="413" t="s">
        <v>1362</v>
      </c>
      <c r="F66" s="418">
        <v>5</v>
      </c>
      <c r="G66" s="417">
        <v>0</v>
      </c>
      <c r="H66" s="415">
        <f t="shared" si="7"/>
        <v>5</v>
      </c>
    </row>
    <row r="67" spans="1:8" ht="14.95" thickBot="1" x14ac:dyDescent="0.3">
      <c r="A67" s="405" t="s">
        <v>138</v>
      </c>
      <c r="B67" s="395">
        <v>0</v>
      </c>
      <c r="C67" s="397">
        <v>0</v>
      </c>
      <c r="D67" s="407">
        <f t="shared" si="6"/>
        <v>0</v>
      </c>
      <c r="E67" s="413" t="s">
        <v>1249</v>
      </c>
      <c r="F67" s="418">
        <v>4</v>
      </c>
      <c r="G67" s="417">
        <v>0</v>
      </c>
      <c r="H67" s="415">
        <f t="shared" si="7"/>
        <v>4</v>
      </c>
    </row>
    <row r="68" spans="1:8" ht="14.95" thickBot="1" x14ac:dyDescent="0.3">
      <c r="A68" s="405" t="s">
        <v>231</v>
      </c>
      <c r="B68" s="395">
        <v>0</v>
      </c>
      <c r="C68" s="397">
        <v>0</v>
      </c>
      <c r="D68" s="407">
        <f t="shared" si="6"/>
        <v>0</v>
      </c>
      <c r="E68" s="413" t="s">
        <v>231</v>
      </c>
      <c r="F68" s="418">
        <v>0</v>
      </c>
      <c r="G68" s="417">
        <v>2</v>
      </c>
      <c r="H68" s="415">
        <f t="shared" si="7"/>
        <v>2</v>
      </c>
    </row>
    <row r="69" spans="1:8" ht="14.95" thickBot="1" x14ac:dyDescent="0.3">
      <c r="A69" s="405" t="s">
        <v>26</v>
      </c>
      <c r="B69" s="395">
        <v>0</v>
      </c>
      <c r="C69" s="397">
        <v>0</v>
      </c>
      <c r="D69" s="407">
        <f t="shared" si="6"/>
        <v>0</v>
      </c>
      <c r="E69" s="413" t="s">
        <v>434</v>
      </c>
      <c r="F69" s="418">
        <v>0</v>
      </c>
      <c r="G69" s="417">
        <v>0</v>
      </c>
      <c r="H69" s="415">
        <f t="shared" si="7"/>
        <v>0</v>
      </c>
    </row>
    <row r="70" spans="1:8" ht="14.95" thickBot="1" x14ac:dyDescent="0.3">
      <c r="A70" s="405" t="s">
        <v>377</v>
      </c>
      <c r="B70" s="395">
        <v>0</v>
      </c>
      <c r="C70" s="397">
        <v>0</v>
      </c>
      <c r="D70" s="407">
        <f t="shared" si="6"/>
        <v>0</v>
      </c>
      <c r="E70" s="413" t="s">
        <v>991</v>
      </c>
      <c r="F70" s="418">
        <v>0</v>
      </c>
      <c r="G70" s="417">
        <v>0</v>
      </c>
      <c r="H70" s="415">
        <f t="shared" si="7"/>
        <v>0</v>
      </c>
    </row>
    <row r="71" spans="1:8" ht="14.95" thickBot="1" x14ac:dyDescent="0.3">
      <c r="A71" s="405" t="s">
        <v>402</v>
      </c>
      <c r="B71" s="395">
        <v>0</v>
      </c>
      <c r="C71" s="397">
        <v>0</v>
      </c>
      <c r="D71" s="407">
        <f t="shared" si="6"/>
        <v>0</v>
      </c>
      <c r="E71" s="413" t="s">
        <v>138</v>
      </c>
      <c r="F71" s="418">
        <v>0</v>
      </c>
      <c r="G71" s="417">
        <v>0</v>
      </c>
      <c r="H71" s="415">
        <f t="shared" si="7"/>
        <v>0</v>
      </c>
    </row>
    <row r="72" spans="1:8" ht="14.95" thickBot="1" x14ac:dyDescent="0.3">
      <c r="A72" s="405" t="s">
        <v>540</v>
      </c>
      <c r="B72" s="395">
        <v>0</v>
      </c>
      <c r="C72" s="397">
        <v>0</v>
      </c>
      <c r="D72" s="407">
        <f t="shared" si="6"/>
        <v>0</v>
      </c>
      <c r="E72" s="413" t="s">
        <v>26</v>
      </c>
      <c r="F72" s="418">
        <v>0</v>
      </c>
      <c r="G72" s="417">
        <v>0</v>
      </c>
      <c r="H72" s="415">
        <f t="shared" si="7"/>
        <v>0</v>
      </c>
    </row>
    <row r="73" spans="1:8" ht="14.95" thickBot="1" x14ac:dyDescent="0.3">
      <c r="A73" s="405" t="s">
        <v>1249</v>
      </c>
      <c r="B73" s="395">
        <v>0</v>
      </c>
      <c r="C73" s="397">
        <v>0</v>
      </c>
      <c r="D73" s="407">
        <f t="shared" si="6"/>
        <v>0</v>
      </c>
      <c r="E73" s="413" t="s">
        <v>377</v>
      </c>
      <c r="F73" s="418">
        <v>0</v>
      </c>
      <c r="G73" s="417">
        <v>0</v>
      </c>
      <c r="H73" s="415">
        <f t="shared" si="7"/>
        <v>0</v>
      </c>
    </row>
    <row r="74" spans="1:8" ht="14.95" thickBot="1" x14ac:dyDescent="0.3">
      <c r="A74" s="405" t="s">
        <v>1150</v>
      </c>
      <c r="B74" s="395">
        <v>0</v>
      </c>
      <c r="C74" s="397">
        <v>0</v>
      </c>
      <c r="D74" s="407">
        <f t="shared" si="6"/>
        <v>0</v>
      </c>
      <c r="E74" s="413" t="s">
        <v>402</v>
      </c>
      <c r="F74" s="418">
        <v>0</v>
      </c>
      <c r="G74" s="417">
        <v>0</v>
      </c>
      <c r="H74" s="415">
        <f t="shared" si="7"/>
        <v>0</v>
      </c>
    </row>
    <row r="75" spans="1:8" ht="14.95" thickBot="1" x14ac:dyDescent="0.3">
      <c r="A75" s="405" t="s">
        <v>195</v>
      </c>
      <c r="B75" s="395">
        <v>0</v>
      </c>
      <c r="C75" s="397">
        <v>0</v>
      </c>
      <c r="D75" s="407">
        <f t="shared" si="6"/>
        <v>0</v>
      </c>
      <c r="E75" s="413" t="s">
        <v>540</v>
      </c>
      <c r="F75" s="418">
        <v>0</v>
      </c>
      <c r="G75" s="417">
        <v>0</v>
      </c>
      <c r="H75" s="415">
        <f t="shared" si="7"/>
        <v>0</v>
      </c>
    </row>
    <row r="76" spans="1:8" ht="14.95" thickBot="1" x14ac:dyDescent="0.3">
      <c r="A76" s="405" t="s">
        <v>89</v>
      </c>
      <c r="B76" s="395">
        <v>0</v>
      </c>
      <c r="C76" s="397">
        <v>0</v>
      </c>
      <c r="D76" s="407">
        <f t="shared" si="6"/>
        <v>0</v>
      </c>
      <c r="E76" s="413" t="s">
        <v>1150</v>
      </c>
      <c r="F76" s="418">
        <v>0</v>
      </c>
      <c r="G76" s="417">
        <v>0</v>
      </c>
      <c r="H76" s="415">
        <f t="shared" si="7"/>
        <v>0</v>
      </c>
    </row>
    <row r="77" spans="1:8" ht="14.95" thickBot="1" x14ac:dyDescent="0.3">
      <c r="A77" s="405" t="s">
        <v>90</v>
      </c>
      <c r="B77" s="395">
        <v>0</v>
      </c>
      <c r="C77" s="397">
        <v>0</v>
      </c>
      <c r="D77" s="407">
        <f t="shared" si="6"/>
        <v>0</v>
      </c>
      <c r="E77" s="413" t="s">
        <v>195</v>
      </c>
      <c r="F77" s="418">
        <v>0</v>
      </c>
      <c r="G77" s="417">
        <v>0</v>
      </c>
      <c r="H77" s="415">
        <f t="shared" si="7"/>
        <v>0</v>
      </c>
    </row>
    <row r="78" spans="1:8" ht="14.95" thickBot="1" x14ac:dyDescent="0.3">
      <c r="A78" s="405" t="s">
        <v>677</v>
      </c>
      <c r="B78" s="395">
        <v>0</v>
      </c>
      <c r="C78" s="397">
        <v>0</v>
      </c>
      <c r="D78" s="407">
        <f t="shared" si="6"/>
        <v>0</v>
      </c>
      <c r="E78" s="413" t="s">
        <v>89</v>
      </c>
      <c r="F78" s="418">
        <v>0</v>
      </c>
      <c r="G78" s="417">
        <v>0</v>
      </c>
      <c r="H78" s="415">
        <f t="shared" si="7"/>
        <v>0</v>
      </c>
    </row>
    <row r="79" spans="1:8" ht="14.95" thickBot="1" x14ac:dyDescent="0.3">
      <c r="A79" s="405" t="s">
        <v>140</v>
      </c>
      <c r="B79" s="395">
        <v>0</v>
      </c>
      <c r="C79" s="397">
        <v>0</v>
      </c>
      <c r="D79" s="407">
        <f t="shared" si="6"/>
        <v>0</v>
      </c>
      <c r="E79" s="413" t="s">
        <v>677</v>
      </c>
      <c r="F79" s="418">
        <v>0</v>
      </c>
      <c r="G79" s="417">
        <v>0</v>
      </c>
      <c r="H79" s="415">
        <f t="shared" si="7"/>
        <v>0</v>
      </c>
    </row>
    <row r="80" spans="1:8" ht="14.95" thickBot="1" x14ac:dyDescent="0.3">
      <c r="A80" s="405" t="s">
        <v>1088</v>
      </c>
      <c r="B80" s="395">
        <v>0</v>
      </c>
      <c r="C80" s="397">
        <v>0</v>
      </c>
      <c r="D80" s="407">
        <f t="shared" si="6"/>
        <v>0</v>
      </c>
      <c r="E80" s="413" t="s">
        <v>140</v>
      </c>
      <c r="F80" s="418">
        <v>0</v>
      </c>
      <c r="G80" s="417">
        <v>0</v>
      </c>
      <c r="H80" s="415">
        <f t="shared" si="7"/>
        <v>0</v>
      </c>
    </row>
    <row r="81" spans="1:8" ht="14.95" thickBot="1" x14ac:dyDescent="0.3">
      <c r="A81" s="405" t="s">
        <v>1077</v>
      </c>
      <c r="B81" s="395">
        <v>0</v>
      </c>
      <c r="C81" s="397">
        <v>0</v>
      </c>
      <c r="D81" s="407">
        <f t="shared" si="6"/>
        <v>0</v>
      </c>
      <c r="E81" s="413" t="s">
        <v>1088</v>
      </c>
      <c r="F81" s="418">
        <v>0</v>
      </c>
      <c r="G81" s="417">
        <v>0</v>
      </c>
      <c r="H81" s="415">
        <f t="shared" si="7"/>
        <v>0</v>
      </c>
    </row>
    <row r="82" spans="1:8" ht="14.95" thickBot="1" x14ac:dyDescent="0.3">
      <c r="A82" s="405" t="s">
        <v>196</v>
      </c>
      <c r="B82" s="395">
        <v>0</v>
      </c>
      <c r="C82" s="397">
        <v>0</v>
      </c>
      <c r="D82" s="407">
        <f t="shared" si="6"/>
        <v>0</v>
      </c>
      <c r="E82" s="413" t="s">
        <v>1077</v>
      </c>
      <c r="F82" s="418">
        <v>0</v>
      </c>
      <c r="G82" s="417">
        <v>0</v>
      </c>
      <c r="H82" s="415">
        <f t="shared" si="7"/>
        <v>0</v>
      </c>
    </row>
    <row r="83" spans="1:8" ht="14.95" thickBot="1" x14ac:dyDescent="0.3">
      <c r="A83" s="405" t="s">
        <v>1153</v>
      </c>
      <c r="B83" s="395">
        <v>0</v>
      </c>
      <c r="C83" s="397">
        <v>0</v>
      </c>
      <c r="D83" s="407">
        <f t="shared" si="6"/>
        <v>0</v>
      </c>
      <c r="E83" s="413" t="s">
        <v>196</v>
      </c>
      <c r="F83" s="418">
        <v>0</v>
      </c>
      <c r="G83" s="417">
        <v>0</v>
      </c>
      <c r="H83" s="415">
        <f t="shared" si="7"/>
        <v>0</v>
      </c>
    </row>
    <row r="84" spans="1:8" ht="14.95" thickBot="1" x14ac:dyDescent="0.3">
      <c r="A84" s="405" t="s">
        <v>4</v>
      </c>
      <c r="B84" s="395">
        <v>0</v>
      </c>
      <c r="C84" s="397">
        <v>0</v>
      </c>
      <c r="D84" s="407">
        <f t="shared" si="6"/>
        <v>0</v>
      </c>
      <c r="E84" s="413" t="s">
        <v>1153</v>
      </c>
      <c r="F84" s="418">
        <v>0</v>
      </c>
      <c r="G84" s="417">
        <v>0</v>
      </c>
      <c r="H84" s="415">
        <f t="shared" si="7"/>
        <v>0</v>
      </c>
    </row>
    <row r="85" spans="1:8" ht="14.95" thickBot="1" x14ac:dyDescent="0.3">
      <c r="A85" s="405" t="s">
        <v>91</v>
      </c>
      <c r="B85" s="395">
        <v>0</v>
      </c>
      <c r="C85" s="397">
        <v>0</v>
      </c>
      <c r="D85" s="407">
        <f t="shared" si="6"/>
        <v>0</v>
      </c>
      <c r="E85" s="413" t="s">
        <v>4</v>
      </c>
      <c r="F85" s="418">
        <v>0</v>
      </c>
      <c r="G85" s="417">
        <v>0</v>
      </c>
      <c r="H85" s="415">
        <f t="shared" si="7"/>
        <v>0</v>
      </c>
    </row>
    <row r="86" spans="1:8" ht="14.95" thickBot="1" x14ac:dyDescent="0.3">
      <c r="A86" s="405" t="s">
        <v>585</v>
      </c>
      <c r="B86" s="395">
        <v>0</v>
      </c>
      <c r="C86" s="397">
        <v>0</v>
      </c>
      <c r="D86" s="407">
        <f t="shared" si="6"/>
        <v>0</v>
      </c>
      <c r="E86" s="413" t="s">
        <v>91</v>
      </c>
      <c r="F86" s="418">
        <v>0</v>
      </c>
      <c r="G86" s="417">
        <v>0</v>
      </c>
      <c r="H86" s="415">
        <f t="shared" si="7"/>
        <v>0</v>
      </c>
    </row>
    <row r="87" spans="1:8" ht="14.95" thickBot="1" x14ac:dyDescent="0.3">
      <c r="A87" s="405" t="s">
        <v>8</v>
      </c>
      <c r="B87" s="395">
        <v>0</v>
      </c>
      <c r="C87" s="397">
        <v>0</v>
      </c>
      <c r="D87" s="407">
        <f t="shared" si="6"/>
        <v>0</v>
      </c>
      <c r="E87" s="413" t="s">
        <v>585</v>
      </c>
      <c r="F87" s="418">
        <v>0</v>
      </c>
      <c r="G87" s="417">
        <v>0</v>
      </c>
      <c r="H87" s="415">
        <f t="shared" si="7"/>
        <v>0</v>
      </c>
    </row>
    <row r="88" spans="1:8" ht="14.95" thickBot="1" x14ac:dyDescent="0.3">
      <c r="A88" s="405" t="s">
        <v>21</v>
      </c>
      <c r="B88" s="395">
        <v>0</v>
      </c>
      <c r="C88" s="397">
        <v>0</v>
      </c>
      <c r="D88" s="407">
        <f t="shared" si="6"/>
        <v>0</v>
      </c>
      <c r="E88" s="413" t="s">
        <v>8</v>
      </c>
      <c r="F88" s="418">
        <v>0</v>
      </c>
      <c r="G88" s="417">
        <v>0</v>
      </c>
      <c r="H88" s="415">
        <f t="shared" si="7"/>
        <v>0</v>
      </c>
    </row>
    <row r="89" spans="1:8" ht="14.95" thickBot="1" x14ac:dyDescent="0.3">
      <c r="A89" s="405" t="s">
        <v>541</v>
      </c>
      <c r="B89" s="395">
        <v>0</v>
      </c>
      <c r="C89" s="397">
        <v>0</v>
      </c>
      <c r="D89" s="407">
        <f t="shared" si="6"/>
        <v>0</v>
      </c>
      <c r="E89" s="413" t="s">
        <v>21</v>
      </c>
      <c r="F89" s="418">
        <v>0</v>
      </c>
      <c r="G89" s="417">
        <v>0</v>
      </c>
      <c r="H89" s="415">
        <f t="shared" si="7"/>
        <v>0</v>
      </c>
    </row>
    <row r="90" spans="1:8" ht="14.95" thickBot="1" x14ac:dyDescent="0.3">
      <c r="A90" s="405" t="s">
        <v>92</v>
      </c>
      <c r="B90" s="395">
        <v>0</v>
      </c>
      <c r="C90" s="397">
        <v>0</v>
      </c>
      <c r="D90" s="407">
        <f t="shared" si="6"/>
        <v>0</v>
      </c>
      <c r="E90" s="413" t="s">
        <v>541</v>
      </c>
      <c r="F90" s="418">
        <v>0</v>
      </c>
      <c r="G90" s="417">
        <v>0</v>
      </c>
      <c r="H90" s="415">
        <f t="shared" si="7"/>
        <v>0</v>
      </c>
    </row>
    <row r="91" spans="1:8" ht="14.95" thickBot="1" x14ac:dyDescent="0.3">
      <c r="A91" s="405" t="s">
        <v>139</v>
      </c>
      <c r="B91" s="395">
        <v>0</v>
      </c>
      <c r="C91" s="397">
        <v>0</v>
      </c>
      <c r="D91" s="407">
        <f t="shared" si="6"/>
        <v>0</v>
      </c>
      <c r="E91" s="413" t="s">
        <v>92</v>
      </c>
      <c r="F91" s="418">
        <v>0</v>
      </c>
      <c r="G91" s="417">
        <v>0</v>
      </c>
      <c r="H91" s="415">
        <f t="shared" si="7"/>
        <v>0</v>
      </c>
    </row>
    <row r="92" spans="1:8" ht="14.95" thickBot="1" x14ac:dyDescent="0.3">
      <c r="A92" s="405" t="s">
        <v>553</v>
      </c>
      <c r="B92" s="395">
        <v>0</v>
      </c>
      <c r="C92" s="397">
        <v>0</v>
      </c>
      <c r="D92" s="407">
        <f t="shared" si="6"/>
        <v>0</v>
      </c>
      <c r="E92" s="413" t="s">
        <v>139</v>
      </c>
      <c r="F92" s="418">
        <v>0</v>
      </c>
      <c r="G92" s="417">
        <v>0</v>
      </c>
      <c r="H92" s="415">
        <f t="shared" si="7"/>
        <v>0</v>
      </c>
    </row>
    <row r="93" spans="1:8" ht="14.95" thickBot="1" x14ac:dyDescent="0.3">
      <c r="A93" s="405" t="s">
        <v>7</v>
      </c>
      <c r="B93" s="395">
        <v>0</v>
      </c>
      <c r="C93" s="397">
        <v>0</v>
      </c>
      <c r="D93" s="407">
        <f t="shared" si="6"/>
        <v>0</v>
      </c>
      <c r="E93" s="413" t="s">
        <v>553</v>
      </c>
      <c r="F93" s="418">
        <v>0</v>
      </c>
      <c r="G93" s="417">
        <v>0</v>
      </c>
      <c r="H93" s="415">
        <f t="shared" si="7"/>
        <v>0</v>
      </c>
    </row>
    <row r="94" spans="1:8" ht="14.95" thickBot="1" x14ac:dyDescent="0.3">
      <c r="A94" s="405" t="s">
        <v>197</v>
      </c>
      <c r="B94" s="395">
        <v>0</v>
      </c>
      <c r="C94" s="397">
        <v>0</v>
      </c>
      <c r="D94" s="407">
        <f t="shared" si="6"/>
        <v>0</v>
      </c>
      <c r="E94" s="413" t="s">
        <v>197</v>
      </c>
      <c r="F94" s="418">
        <v>0</v>
      </c>
      <c r="G94" s="417">
        <v>0</v>
      </c>
      <c r="H94" s="415">
        <f t="shared" si="7"/>
        <v>0</v>
      </c>
    </row>
    <row r="95" spans="1:8" ht="14.95" thickBot="1" x14ac:dyDescent="0.3">
      <c r="A95" s="405" t="s">
        <v>3</v>
      </c>
      <c r="B95" s="395">
        <f>SUM(B51:B94)</f>
        <v>9</v>
      </c>
      <c r="C95" s="397">
        <f>SUM(C51:C94)</f>
        <v>14</v>
      </c>
      <c r="D95" s="407">
        <f t="shared" ref="D95" si="8">SUM(B95:C95)</f>
        <v>23</v>
      </c>
      <c r="E95" s="412" t="s">
        <v>3</v>
      </c>
      <c r="F95" s="418">
        <f>SUM(F51:F94)</f>
        <v>70</v>
      </c>
      <c r="G95" s="417">
        <f>SUM(G51:G94)</f>
        <v>117</v>
      </c>
      <c r="H95" s="415">
        <f t="shared" ref="H95" si="9">SUM(F95:G95)</f>
        <v>187</v>
      </c>
    </row>
    <row r="96" spans="1:8" ht="16.3" x14ac:dyDescent="0.3">
      <c r="A96" s="487" t="s">
        <v>28</v>
      </c>
    </row>
  </sheetData>
  <sortState xmlns:xlrd2="http://schemas.microsoft.com/office/spreadsheetml/2017/richdata2" ref="E51:H94">
    <sortCondition descending="1" ref="H51:H94"/>
  </sortState>
  <mergeCells count="31">
    <mergeCell ref="AF1:AH2"/>
    <mergeCell ref="Q1:S2"/>
    <mergeCell ref="AC1:AE2"/>
    <mergeCell ref="M31:O32"/>
    <mergeCell ref="J17:L18"/>
    <mergeCell ref="P17:R18"/>
    <mergeCell ref="M26:O27"/>
    <mergeCell ref="M17:O18"/>
    <mergeCell ref="S17:U18"/>
    <mergeCell ref="Z1:AB2"/>
    <mergeCell ref="J12:L13"/>
    <mergeCell ref="Z17:AB18"/>
    <mergeCell ref="P12:R13"/>
    <mergeCell ref="W1:Y2"/>
    <mergeCell ref="T1:V2"/>
    <mergeCell ref="AL1:AN2"/>
    <mergeCell ref="AO1:AQ2"/>
    <mergeCell ref="I31:I32"/>
    <mergeCell ref="J31:L32"/>
    <mergeCell ref="A1:H1"/>
    <mergeCell ref="I12:I13"/>
    <mergeCell ref="M12:O13"/>
    <mergeCell ref="I1:I2"/>
    <mergeCell ref="J1:L2"/>
    <mergeCell ref="I26:I27"/>
    <mergeCell ref="J26:L27"/>
    <mergeCell ref="P26:R27"/>
    <mergeCell ref="M1:O2"/>
    <mergeCell ref="P1:P2"/>
    <mergeCell ref="I17:I18"/>
    <mergeCell ref="AI1:AK2"/>
  </mergeCells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AO81"/>
  <sheetViews>
    <sheetView workbookViewId="0">
      <selection activeCell="X27" sqref="X27"/>
    </sheetView>
  </sheetViews>
  <sheetFormatPr defaultRowHeight="14.3" x14ac:dyDescent="0.25"/>
  <cols>
    <col min="1" max="1" width="16.5" customWidth="1"/>
    <col min="2" max="2" width="4.5" customWidth="1"/>
    <col min="3" max="3" width="5.125" bestFit="1" customWidth="1"/>
    <col min="4" max="4" width="4.5" customWidth="1"/>
    <col min="5" max="5" width="16.5" customWidth="1"/>
    <col min="6" max="6" width="4.5" customWidth="1"/>
    <col min="7" max="7" width="5.125" bestFit="1" customWidth="1"/>
    <col min="8" max="8" width="4.5" customWidth="1"/>
    <col min="9" max="9" width="15.5" customWidth="1"/>
    <col min="10" max="22" width="5.5" customWidth="1"/>
    <col min="23" max="41" width="5.625" customWidth="1"/>
  </cols>
  <sheetData>
    <row r="1" spans="1:41" ht="14.95" customHeight="1" thickBot="1" x14ac:dyDescent="0.35">
      <c r="A1" s="783" t="s">
        <v>1167</v>
      </c>
      <c r="B1" s="784"/>
      <c r="C1" s="784"/>
      <c r="D1" s="784"/>
      <c r="E1" s="784"/>
      <c r="F1" s="784"/>
      <c r="G1" s="784"/>
      <c r="H1" s="785"/>
      <c r="I1" s="786" t="s">
        <v>112</v>
      </c>
      <c r="J1" s="583">
        <v>2025</v>
      </c>
      <c r="K1" s="584"/>
      <c r="L1" s="585"/>
      <c r="M1" s="583" t="s">
        <v>32</v>
      </c>
      <c r="N1" s="584"/>
      <c r="O1" s="585"/>
      <c r="P1" s="579" t="s">
        <v>121</v>
      </c>
      <c r="Q1" s="557">
        <v>2024</v>
      </c>
      <c r="R1" s="563"/>
      <c r="S1" s="564"/>
      <c r="T1" s="568">
        <v>2023</v>
      </c>
      <c r="U1" s="569"/>
      <c r="V1" s="570"/>
      <c r="W1" s="235"/>
      <c r="X1" s="568">
        <v>2022</v>
      </c>
      <c r="Y1" s="569"/>
      <c r="Z1" s="570"/>
      <c r="AA1" s="557">
        <v>2021</v>
      </c>
      <c r="AB1" s="563"/>
      <c r="AC1" s="564"/>
      <c r="AD1" s="568">
        <v>2020</v>
      </c>
      <c r="AE1" s="569"/>
      <c r="AF1" s="570"/>
      <c r="AG1" s="557">
        <v>2019</v>
      </c>
      <c r="AH1" s="563"/>
      <c r="AI1" s="564"/>
      <c r="AJ1" s="557">
        <v>2018</v>
      </c>
      <c r="AK1" s="563"/>
      <c r="AL1" s="564"/>
      <c r="AM1" s="557">
        <v>2017</v>
      </c>
      <c r="AN1" s="563"/>
      <c r="AO1" s="564"/>
    </row>
    <row r="2" spans="1:41" ht="14.95" customHeight="1" thickBot="1" x14ac:dyDescent="0.3">
      <c r="A2" s="220" t="s">
        <v>0</v>
      </c>
      <c r="B2" s="221" t="s">
        <v>31</v>
      </c>
      <c r="C2" s="381" t="s">
        <v>1285</v>
      </c>
      <c r="D2" s="222" t="s">
        <v>1</v>
      </c>
      <c r="E2" s="189" t="s">
        <v>2</v>
      </c>
      <c r="F2" s="177" t="s">
        <v>31</v>
      </c>
      <c r="G2" s="383" t="s">
        <v>1285</v>
      </c>
      <c r="H2" s="87" t="s">
        <v>1</v>
      </c>
      <c r="I2" s="787"/>
      <c r="J2" s="586"/>
      <c r="K2" s="587"/>
      <c r="L2" s="588"/>
      <c r="M2" s="586"/>
      <c r="N2" s="587"/>
      <c r="O2" s="588"/>
      <c r="P2" s="580"/>
      <c r="Q2" s="565"/>
      <c r="R2" s="566"/>
      <c r="S2" s="567"/>
      <c r="T2" s="571"/>
      <c r="U2" s="572"/>
      <c r="V2" s="573"/>
      <c r="W2" s="235"/>
      <c r="X2" s="571"/>
      <c r="Y2" s="572"/>
      <c r="Z2" s="573"/>
      <c r="AA2" s="565"/>
      <c r="AB2" s="566"/>
      <c r="AC2" s="567"/>
      <c r="AD2" s="571"/>
      <c r="AE2" s="572"/>
      <c r="AF2" s="573"/>
      <c r="AG2" s="565"/>
      <c r="AH2" s="566"/>
      <c r="AI2" s="567"/>
      <c r="AJ2" s="565"/>
      <c r="AK2" s="566"/>
      <c r="AL2" s="567"/>
      <c r="AM2" s="565"/>
      <c r="AN2" s="566"/>
      <c r="AO2" s="567"/>
    </row>
    <row r="3" spans="1:41" ht="14.95" customHeight="1" thickBot="1" x14ac:dyDescent="0.3">
      <c r="A3" s="76" t="s">
        <v>848</v>
      </c>
      <c r="B3" s="77">
        <v>0</v>
      </c>
      <c r="C3" s="382">
        <v>0</v>
      </c>
      <c r="D3" s="78">
        <f>SUM(B3:C3)</f>
        <v>0</v>
      </c>
      <c r="E3" s="33" t="s">
        <v>848</v>
      </c>
      <c r="F3" s="29">
        <v>0</v>
      </c>
      <c r="G3" s="384">
        <v>0</v>
      </c>
      <c r="H3" s="34">
        <f t="shared" ref="H3:H39" si="0">SUM(F3:G3)</f>
        <v>0</v>
      </c>
      <c r="I3" s="386"/>
      <c r="J3" s="53" t="s">
        <v>152</v>
      </c>
      <c r="K3" s="53" t="s">
        <v>12</v>
      </c>
      <c r="L3" s="53" t="s">
        <v>13</v>
      </c>
      <c r="M3" s="181" t="s">
        <v>152</v>
      </c>
      <c r="N3" s="53" t="s">
        <v>12</v>
      </c>
      <c r="O3" s="53" t="s">
        <v>13</v>
      </c>
      <c r="P3" s="1"/>
      <c r="Q3" s="128" t="s">
        <v>152</v>
      </c>
      <c r="R3" s="128" t="s">
        <v>12</v>
      </c>
      <c r="S3" s="128" t="s">
        <v>13</v>
      </c>
      <c r="T3" s="128" t="s">
        <v>152</v>
      </c>
      <c r="U3" s="128" t="s">
        <v>12</v>
      </c>
      <c r="V3" s="128" t="s">
        <v>13</v>
      </c>
      <c r="W3" s="180"/>
      <c r="X3" s="228" t="s">
        <v>152</v>
      </c>
      <c r="Y3" s="128" t="s">
        <v>12</v>
      </c>
      <c r="Z3" s="128" t="s">
        <v>13</v>
      </c>
      <c r="AA3" s="228" t="s">
        <v>152</v>
      </c>
      <c r="AB3" s="128" t="s">
        <v>12</v>
      </c>
      <c r="AC3" s="128" t="s">
        <v>13</v>
      </c>
      <c r="AD3" s="228" t="s">
        <v>152</v>
      </c>
      <c r="AE3" s="128" t="s">
        <v>12</v>
      </c>
      <c r="AF3" s="128" t="s">
        <v>13</v>
      </c>
      <c r="AG3" s="228" t="s">
        <v>152</v>
      </c>
      <c r="AH3" s="128" t="s">
        <v>12</v>
      </c>
      <c r="AI3" s="128" t="s">
        <v>13</v>
      </c>
      <c r="AJ3" s="228" t="s">
        <v>152</v>
      </c>
      <c r="AK3" s="128" t="s">
        <v>12</v>
      </c>
      <c r="AL3" s="128" t="s">
        <v>13</v>
      </c>
      <c r="AM3" s="128" t="s">
        <v>152</v>
      </c>
      <c r="AN3" s="128" t="s">
        <v>12</v>
      </c>
      <c r="AO3" s="128" t="s">
        <v>13</v>
      </c>
    </row>
    <row r="4" spans="1:41" ht="14.95" customHeight="1" thickBot="1" x14ac:dyDescent="0.3">
      <c r="A4" s="76" t="s">
        <v>850</v>
      </c>
      <c r="B4" s="77">
        <v>1</v>
      </c>
      <c r="C4" s="382">
        <v>0</v>
      </c>
      <c r="D4" s="78">
        <f t="shared" ref="D4:D39" si="1">SUM(B4:C4)</f>
        <v>1</v>
      </c>
      <c r="E4" s="33" t="s">
        <v>850</v>
      </c>
      <c r="F4" s="29">
        <v>5</v>
      </c>
      <c r="G4" s="384">
        <v>0</v>
      </c>
      <c r="H4" s="34">
        <f t="shared" si="0"/>
        <v>5</v>
      </c>
      <c r="I4" s="220" t="s">
        <v>1050</v>
      </c>
      <c r="J4" s="78" t="s">
        <v>17</v>
      </c>
      <c r="K4" s="78" t="s">
        <v>17</v>
      </c>
      <c r="L4" s="79" t="s">
        <v>17</v>
      </c>
      <c r="M4" s="78" t="s">
        <v>17</v>
      </c>
      <c r="N4" s="78" t="s">
        <v>17</v>
      </c>
      <c r="O4" s="79" t="s">
        <v>17</v>
      </c>
      <c r="P4" s="238">
        <v>3</v>
      </c>
      <c r="Q4" s="128">
        <v>3</v>
      </c>
      <c r="R4" s="128">
        <v>3</v>
      </c>
      <c r="S4" s="231">
        <f>SUM(Q4/R4)*100</f>
        <v>100</v>
      </c>
      <c r="T4" s="128" t="s">
        <v>17</v>
      </c>
      <c r="U4" s="128" t="s">
        <v>17</v>
      </c>
      <c r="V4" s="231" t="s">
        <v>17</v>
      </c>
      <c r="W4" s="180"/>
      <c r="X4" s="228" t="s">
        <v>17</v>
      </c>
      <c r="Y4" s="128" t="s">
        <v>17</v>
      </c>
      <c r="Z4" s="231" t="s">
        <v>17</v>
      </c>
      <c r="AA4" s="228" t="s">
        <v>17</v>
      </c>
      <c r="AB4" s="128" t="s">
        <v>17</v>
      </c>
      <c r="AC4" s="231" t="s">
        <v>17</v>
      </c>
      <c r="AD4" s="228" t="s">
        <v>17</v>
      </c>
      <c r="AE4" s="128" t="s">
        <v>17</v>
      </c>
      <c r="AF4" s="231" t="s">
        <v>17</v>
      </c>
      <c r="AG4" s="232" t="s">
        <v>17</v>
      </c>
      <c r="AH4" s="232" t="s">
        <v>17</v>
      </c>
      <c r="AI4" s="232" t="s">
        <v>17</v>
      </c>
      <c r="AJ4" s="232" t="s">
        <v>17</v>
      </c>
      <c r="AK4" s="232" t="s">
        <v>17</v>
      </c>
      <c r="AL4" s="232" t="s">
        <v>17</v>
      </c>
      <c r="AM4" s="232" t="s">
        <v>17</v>
      </c>
      <c r="AN4" s="232" t="s">
        <v>17</v>
      </c>
      <c r="AO4" s="230" t="s">
        <v>17</v>
      </c>
    </row>
    <row r="5" spans="1:41" ht="14.95" customHeight="1" thickBot="1" x14ac:dyDescent="0.3">
      <c r="A5" s="76" t="s">
        <v>1050</v>
      </c>
      <c r="B5" s="77">
        <v>1</v>
      </c>
      <c r="C5" s="382">
        <v>3</v>
      </c>
      <c r="D5" s="78">
        <f t="shared" si="1"/>
        <v>4</v>
      </c>
      <c r="E5" s="33" t="s">
        <v>1050</v>
      </c>
      <c r="F5" s="29">
        <v>5</v>
      </c>
      <c r="G5" s="384">
        <v>15</v>
      </c>
      <c r="H5" s="34">
        <f t="shared" si="0"/>
        <v>20</v>
      </c>
      <c r="I5" s="220" t="s">
        <v>1049</v>
      </c>
      <c r="J5" s="78">
        <v>23</v>
      </c>
      <c r="K5" s="78">
        <v>28</v>
      </c>
      <c r="L5" s="79">
        <f>SUM(J5/K5)*100</f>
        <v>82.142857142857139</v>
      </c>
      <c r="M5" s="78">
        <v>5</v>
      </c>
      <c r="N5" s="78">
        <v>5</v>
      </c>
      <c r="O5" s="79">
        <f>SUM(M5/N5)*100</f>
        <v>100</v>
      </c>
      <c r="P5" s="238">
        <v>6</v>
      </c>
      <c r="Q5" s="128">
        <v>9</v>
      </c>
      <c r="R5" s="128">
        <v>10</v>
      </c>
      <c r="S5" s="231">
        <f>SUM(Q5/R5)*100</f>
        <v>90</v>
      </c>
      <c r="T5" s="128" t="s">
        <v>17</v>
      </c>
      <c r="U5" s="128" t="s">
        <v>17</v>
      </c>
      <c r="V5" s="231" t="s">
        <v>17</v>
      </c>
      <c r="W5" s="180"/>
      <c r="X5" s="228" t="s">
        <v>17</v>
      </c>
      <c r="Y5" s="128" t="s">
        <v>17</v>
      </c>
      <c r="Z5" s="231" t="s">
        <v>17</v>
      </c>
      <c r="AA5" s="228" t="s">
        <v>17</v>
      </c>
      <c r="AB5" s="128" t="s">
        <v>17</v>
      </c>
      <c r="AC5" s="231" t="s">
        <v>17</v>
      </c>
      <c r="AD5" s="228" t="s">
        <v>17</v>
      </c>
      <c r="AE5" s="128" t="s">
        <v>17</v>
      </c>
      <c r="AF5" s="231" t="s">
        <v>17</v>
      </c>
      <c r="AG5" s="232" t="s">
        <v>17</v>
      </c>
      <c r="AH5" s="232" t="s">
        <v>17</v>
      </c>
      <c r="AI5" s="232" t="s">
        <v>17</v>
      </c>
      <c r="AJ5" s="232" t="s">
        <v>17</v>
      </c>
      <c r="AK5" s="232" t="s">
        <v>17</v>
      </c>
      <c r="AL5" s="232" t="s">
        <v>17</v>
      </c>
      <c r="AM5" s="232" t="s">
        <v>17</v>
      </c>
      <c r="AN5" s="232" t="s">
        <v>17</v>
      </c>
      <c r="AO5" s="230" t="s">
        <v>17</v>
      </c>
    </row>
    <row r="6" spans="1:41" ht="14.95" customHeight="1" thickBot="1" x14ac:dyDescent="0.3">
      <c r="A6" s="76" t="s">
        <v>1049</v>
      </c>
      <c r="B6" s="77">
        <v>1</v>
      </c>
      <c r="C6" s="382">
        <v>2</v>
      </c>
      <c r="D6" s="78">
        <f t="shared" si="1"/>
        <v>3</v>
      </c>
      <c r="E6" s="33" t="s">
        <v>1049</v>
      </c>
      <c r="F6" s="29">
        <v>29</v>
      </c>
      <c r="G6" s="384">
        <v>37</v>
      </c>
      <c r="H6" s="34">
        <f t="shared" si="0"/>
        <v>66</v>
      </c>
      <c r="I6" s="76" t="s">
        <v>1325</v>
      </c>
      <c r="J6" s="78">
        <v>1</v>
      </c>
      <c r="K6" s="78">
        <v>1</v>
      </c>
      <c r="L6" s="79">
        <f t="shared" ref="L6" si="2">SUM(J6/K6)*100</f>
        <v>100</v>
      </c>
      <c r="M6" s="78" t="s">
        <v>17</v>
      </c>
      <c r="N6" s="78" t="s">
        <v>17</v>
      </c>
      <c r="O6" s="79" t="s">
        <v>17</v>
      </c>
      <c r="P6" s="78">
        <v>1</v>
      </c>
      <c r="Q6" s="128" t="s">
        <v>17</v>
      </c>
      <c r="R6" s="128" t="s">
        <v>17</v>
      </c>
      <c r="S6" s="231" t="s">
        <v>17</v>
      </c>
      <c r="T6" s="128" t="s">
        <v>17</v>
      </c>
      <c r="U6" s="128" t="s">
        <v>17</v>
      </c>
      <c r="V6" s="231" t="s">
        <v>17</v>
      </c>
      <c r="W6" s="180"/>
      <c r="X6" s="232" t="s">
        <v>17</v>
      </c>
      <c r="Y6" s="128" t="s">
        <v>17</v>
      </c>
      <c r="Z6" s="231" t="s">
        <v>17</v>
      </c>
      <c r="AA6" s="128" t="s">
        <v>17</v>
      </c>
      <c r="AB6" s="128" t="s">
        <v>17</v>
      </c>
      <c r="AC6" s="231" t="s">
        <v>17</v>
      </c>
      <c r="AD6" s="128" t="s">
        <v>17</v>
      </c>
      <c r="AE6" s="128" t="s">
        <v>17</v>
      </c>
      <c r="AF6" s="231" t="s">
        <v>17</v>
      </c>
      <c r="AG6" s="128" t="s">
        <v>17</v>
      </c>
      <c r="AH6" s="128" t="s">
        <v>17</v>
      </c>
      <c r="AI6" s="231" t="s">
        <v>17</v>
      </c>
      <c r="AJ6" s="128" t="s">
        <v>17</v>
      </c>
      <c r="AK6" s="128" t="s">
        <v>17</v>
      </c>
      <c r="AL6" s="231" t="s">
        <v>17</v>
      </c>
      <c r="AM6" s="128" t="s">
        <v>17</v>
      </c>
      <c r="AN6" s="128" t="s">
        <v>17</v>
      </c>
      <c r="AO6" s="231" t="s">
        <v>17</v>
      </c>
    </row>
    <row r="7" spans="1:41" ht="14.95" customHeight="1" thickBot="1" x14ac:dyDescent="0.3">
      <c r="A7" s="76" t="s">
        <v>1325</v>
      </c>
      <c r="B7" s="77">
        <v>0</v>
      </c>
      <c r="C7" s="382">
        <v>1</v>
      </c>
      <c r="D7" s="78">
        <f t="shared" si="1"/>
        <v>1</v>
      </c>
      <c r="E7" s="33" t="s">
        <v>1325</v>
      </c>
      <c r="F7" s="29">
        <v>0</v>
      </c>
      <c r="G7" s="384">
        <v>7</v>
      </c>
      <c r="H7" s="34">
        <f t="shared" si="0"/>
        <v>7</v>
      </c>
      <c r="I7" s="76" t="s">
        <v>1335</v>
      </c>
      <c r="J7" s="78">
        <v>3</v>
      </c>
      <c r="K7" s="78">
        <v>5</v>
      </c>
      <c r="L7" s="79">
        <f>SUM(J7/K7)*100</f>
        <v>60</v>
      </c>
      <c r="M7" s="78" t="s">
        <v>17</v>
      </c>
      <c r="N7" s="78" t="s">
        <v>17</v>
      </c>
      <c r="O7" s="79" t="s">
        <v>17</v>
      </c>
      <c r="P7" s="78">
        <v>1</v>
      </c>
      <c r="Q7" s="128" t="s">
        <v>17</v>
      </c>
      <c r="R7" s="128" t="s">
        <v>17</v>
      </c>
      <c r="S7" s="231" t="s">
        <v>17</v>
      </c>
      <c r="T7" s="128" t="s">
        <v>17</v>
      </c>
      <c r="U7" s="128" t="s">
        <v>17</v>
      </c>
      <c r="V7" s="231" t="s">
        <v>17</v>
      </c>
      <c r="W7" s="180"/>
      <c r="X7" s="232" t="s">
        <v>17</v>
      </c>
      <c r="Y7" s="128" t="s">
        <v>17</v>
      </c>
      <c r="Z7" s="231" t="s">
        <v>17</v>
      </c>
      <c r="AA7" s="128" t="s">
        <v>17</v>
      </c>
      <c r="AB7" s="128" t="s">
        <v>17</v>
      </c>
      <c r="AC7" s="231" t="s">
        <v>17</v>
      </c>
      <c r="AD7" s="128" t="s">
        <v>17</v>
      </c>
      <c r="AE7" s="128" t="s">
        <v>17</v>
      </c>
      <c r="AF7" s="231" t="s">
        <v>17</v>
      </c>
      <c r="AG7" s="128" t="s">
        <v>17</v>
      </c>
      <c r="AH7" s="128" t="s">
        <v>17</v>
      </c>
      <c r="AI7" s="231" t="s">
        <v>17</v>
      </c>
      <c r="AJ7" s="128" t="s">
        <v>17</v>
      </c>
      <c r="AK7" s="128" t="s">
        <v>17</v>
      </c>
      <c r="AL7" s="231" t="s">
        <v>17</v>
      </c>
      <c r="AM7" s="128" t="s">
        <v>17</v>
      </c>
      <c r="AN7" s="128" t="s">
        <v>17</v>
      </c>
      <c r="AO7" s="231" t="s">
        <v>17</v>
      </c>
    </row>
    <row r="8" spans="1:41" ht="14.95" customHeight="1" thickBot="1" x14ac:dyDescent="0.3">
      <c r="A8" s="76" t="s">
        <v>1335</v>
      </c>
      <c r="B8" s="77">
        <v>0</v>
      </c>
      <c r="C8" s="382">
        <v>2</v>
      </c>
      <c r="D8" s="78">
        <f t="shared" si="1"/>
        <v>2</v>
      </c>
      <c r="E8" s="33" t="s">
        <v>1335</v>
      </c>
      <c r="F8" s="29">
        <v>0</v>
      </c>
      <c r="G8" s="384">
        <v>16</v>
      </c>
      <c r="H8" s="34">
        <f t="shared" si="0"/>
        <v>16</v>
      </c>
      <c r="I8" s="76" t="s">
        <v>1398</v>
      </c>
      <c r="J8" s="78">
        <v>0</v>
      </c>
      <c r="K8" s="78">
        <v>1</v>
      </c>
      <c r="L8" s="79">
        <f>SUM(J8/K8)*100</f>
        <v>0</v>
      </c>
      <c r="M8" s="78" t="s">
        <v>17</v>
      </c>
      <c r="N8" s="78" t="s">
        <v>17</v>
      </c>
      <c r="O8" s="79" t="s">
        <v>17</v>
      </c>
      <c r="P8" s="78">
        <v>-1</v>
      </c>
      <c r="Q8" s="128" t="s">
        <v>17</v>
      </c>
      <c r="R8" s="128" t="s">
        <v>17</v>
      </c>
      <c r="S8" s="231" t="s">
        <v>17</v>
      </c>
      <c r="T8" s="128" t="s">
        <v>17</v>
      </c>
      <c r="U8" s="128" t="s">
        <v>17</v>
      </c>
      <c r="V8" s="231" t="s">
        <v>17</v>
      </c>
      <c r="W8" s="180"/>
      <c r="X8" s="232" t="s">
        <v>17</v>
      </c>
      <c r="Y8" s="128" t="s">
        <v>17</v>
      </c>
      <c r="Z8" s="231" t="s">
        <v>17</v>
      </c>
      <c r="AA8" s="128" t="s">
        <v>17</v>
      </c>
      <c r="AB8" s="128" t="s">
        <v>17</v>
      </c>
      <c r="AC8" s="231" t="s">
        <v>17</v>
      </c>
      <c r="AD8" s="128" t="s">
        <v>17</v>
      </c>
      <c r="AE8" s="128" t="s">
        <v>17</v>
      </c>
      <c r="AF8" s="231" t="s">
        <v>17</v>
      </c>
      <c r="AG8" s="128" t="s">
        <v>17</v>
      </c>
      <c r="AH8" s="128" t="s">
        <v>17</v>
      </c>
      <c r="AI8" s="231" t="s">
        <v>17</v>
      </c>
      <c r="AJ8" s="128" t="s">
        <v>17</v>
      </c>
      <c r="AK8" s="128" t="s">
        <v>17</v>
      </c>
      <c r="AL8" s="231" t="s">
        <v>17</v>
      </c>
      <c r="AM8" s="128" t="s">
        <v>17</v>
      </c>
      <c r="AN8" s="128" t="s">
        <v>17</v>
      </c>
      <c r="AO8" s="231" t="s">
        <v>17</v>
      </c>
    </row>
    <row r="9" spans="1:41" ht="14.95" customHeight="1" thickBot="1" x14ac:dyDescent="0.3">
      <c r="A9" s="76" t="s">
        <v>679</v>
      </c>
      <c r="B9" s="77">
        <v>1</v>
      </c>
      <c r="C9" s="382">
        <v>1</v>
      </c>
      <c r="D9" s="78">
        <f t="shared" si="1"/>
        <v>2</v>
      </c>
      <c r="E9" s="32" t="s">
        <v>679</v>
      </c>
      <c r="F9" s="29">
        <v>5</v>
      </c>
      <c r="G9" s="384">
        <v>5</v>
      </c>
      <c r="H9" s="34">
        <f t="shared" si="0"/>
        <v>10</v>
      </c>
      <c r="I9" s="76" t="s">
        <v>1323</v>
      </c>
      <c r="J9" s="78">
        <v>12</v>
      </c>
      <c r="K9" s="78">
        <v>17</v>
      </c>
      <c r="L9" s="79">
        <f>SUM(J9/K9)*100</f>
        <v>70.588235294117652</v>
      </c>
      <c r="M9" s="78" t="s">
        <v>17</v>
      </c>
      <c r="N9" s="78" t="s">
        <v>17</v>
      </c>
      <c r="O9" s="79" t="s">
        <v>17</v>
      </c>
      <c r="P9" s="78">
        <v>-1</v>
      </c>
      <c r="Q9" s="128">
        <v>5</v>
      </c>
      <c r="R9" s="128">
        <v>7</v>
      </c>
      <c r="S9" s="231">
        <f>SUM(Q9/R9)*100</f>
        <v>71.428571428571431</v>
      </c>
      <c r="T9" s="128">
        <v>7</v>
      </c>
      <c r="U9" s="128">
        <v>12</v>
      </c>
      <c r="V9" s="231">
        <f>SUM(T9/U9)*100</f>
        <v>58.333333333333336</v>
      </c>
      <c r="W9" s="180"/>
      <c r="X9" s="228">
        <v>4</v>
      </c>
      <c r="Y9" s="128">
        <v>6</v>
      </c>
      <c r="Z9" s="231">
        <f>SUM(X9/Y9)*100</f>
        <v>66.666666666666657</v>
      </c>
      <c r="AA9" s="228" t="s">
        <v>17</v>
      </c>
      <c r="AB9" s="128" t="s">
        <v>17</v>
      </c>
      <c r="AC9" s="231" t="s">
        <v>17</v>
      </c>
      <c r="AD9" s="228" t="s">
        <v>17</v>
      </c>
      <c r="AE9" s="128" t="s">
        <v>17</v>
      </c>
      <c r="AF9" s="231" t="s">
        <v>17</v>
      </c>
      <c r="AG9" s="128" t="s">
        <v>17</v>
      </c>
      <c r="AH9" s="128" t="s">
        <v>17</v>
      </c>
      <c r="AI9" s="231" t="s">
        <v>17</v>
      </c>
      <c r="AJ9" s="228" t="s">
        <v>17</v>
      </c>
      <c r="AK9" s="128" t="s">
        <v>17</v>
      </c>
      <c r="AL9" s="231" t="s">
        <v>17</v>
      </c>
      <c r="AM9" s="128" t="s">
        <v>17</v>
      </c>
      <c r="AN9" s="128" t="s">
        <v>17</v>
      </c>
      <c r="AO9" s="128" t="s">
        <v>17</v>
      </c>
    </row>
    <row r="10" spans="1:41" ht="14.95" customHeight="1" thickBot="1" x14ac:dyDescent="0.3">
      <c r="A10" s="76" t="s">
        <v>854</v>
      </c>
      <c r="B10" s="77">
        <v>0</v>
      </c>
      <c r="C10" s="382">
        <v>1</v>
      </c>
      <c r="D10" s="78">
        <f t="shared" si="1"/>
        <v>1</v>
      </c>
      <c r="E10" s="32" t="s">
        <v>854</v>
      </c>
      <c r="F10" s="29">
        <v>0</v>
      </c>
      <c r="G10" s="384">
        <v>5</v>
      </c>
      <c r="H10" s="34">
        <f t="shared" si="0"/>
        <v>5</v>
      </c>
      <c r="I10" s="76" t="s">
        <v>187</v>
      </c>
      <c r="J10" s="78" t="s">
        <v>17</v>
      </c>
      <c r="K10" s="78" t="s">
        <v>17</v>
      </c>
      <c r="L10" s="79" t="s">
        <v>17</v>
      </c>
      <c r="M10" s="78" t="s">
        <v>17</v>
      </c>
      <c r="N10" s="78" t="s">
        <v>17</v>
      </c>
      <c r="O10" s="79" t="s">
        <v>17</v>
      </c>
      <c r="P10" s="78">
        <v>-1</v>
      </c>
      <c r="Q10" s="128" t="s">
        <v>17</v>
      </c>
      <c r="R10" s="128" t="s">
        <v>17</v>
      </c>
      <c r="S10" s="231" t="s">
        <v>17</v>
      </c>
      <c r="T10" s="128" t="s">
        <v>17</v>
      </c>
      <c r="U10" s="128" t="s">
        <v>17</v>
      </c>
      <c r="V10" s="231" t="s">
        <v>17</v>
      </c>
      <c r="W10" s="180"/>
      <c r="X10" s="228" t="s">
        <v>17</v>
      </c>
      <c r="Y10" s="128" t="s">
        <v>17</v>
      </c>
      <c r="Z10" s="231" t="s">
        <v>17</v>
      </c>
      <c r="AA10" s="228">
        <v>10</v>
      </c>
      <c r="AB10" s="128">
        <v>13</v>
      </c>
      <c r="AC10" s="231">
        <f>SUM(AA10/AB10)*100</f>
        <v>76.923076923076934</v>
      </c>
      <c r="AD10" s="228">
        <v>9</v>
      </c>
      <c r="AE10" s="128">
        <v>12</v>
      </c>
      <c r="AF10" s="231">
        <f>SUM(AD10/AE10)*100</f>
        <v>75</v>
      </c>
      <c r="AG10" s="228">
        <v>18</v>
      </c>
      <c r="AH10" s="128">
        <v>27</v>
      </c>
      <c r="AI10" s="231">
        <f>SUM(AG10/AH10)*100</f>
        <v>66.666666666666657</v>
      </c>
      <c r="AJ10" s="228">
        <v>1</v>
      </c>
      <c r="AK10" s="128">
        <v>1</v>
      </c>
      <c r="AL10" s="231">
        <f>SUM(AJ10/AK10)*100</f>
        <v>100</v>
      </c>
      <c r="AM10" s="163">
        <v>8</v>
      </c>
      <c r="AN10" s="163">
        <v>8</v>
      </c>
      <c r="AO10" s="231">
        <f>SUM(AM10/AN10)*100</f>
        <v>100</v>
      </c>
    </row>
    <row r="11" spans="1:41" ht="14.95" customHeight="1" thickBot="1" x14ac:dyDescent="0.3">
      <c r="A11" s="76" t="s">
        <v>308</v>
      </c>
      <c r="B11" s="77">
        <v>2</v>
      </c>
      <c r="C11" s="382">
        <v>0</v>
      </c>
      <c r="D11" s="78">
        <f t="shared" si="1"/>
        <v>2</v>
      </c>
      <c r="E11" s="32" t="s">
        <v>308</v>
      </c>
      <c r="F11" s="29">
        <v>10</v>
      </c>
      <c r="G11" s="384">
        <v>0</v>
      </c>
      <c r="H11" s="34">
        <f t="shared" si="0"/>
        <v>10</v>
      </c>
      <c r="I11" s="76" t="s">
        <v>95</v>
      </c>
      <c r="J11" s="78" t="s">
        <v>17</v>
      </c>
      <c r="K11" s="78" t="s">
        <v>17</v>
      </c>
      <c r="L11" s="79" t="s">
        <v>17</v>
      </c>
      <c r="M11" s="78" t="s">
        <v>17</v>
      </c>
      <c r="N11" s="78" t="s">
        <v>17</v>
      </c>
      <c r="O11" s="79" t="s">
        <v>17</v>
      </c>
      <c r="P11" s="78">
        <v>2</v>
      </c>
      <c r="Q11" s="128" t="s">
        <v>17</v>
      </c>
      <c r="R11" s="128" t="s">
        <v>17</v>
      </c>
      <c r="S11" s="231" t="s">
        <v>17</v>
      </c>
      <c r="T11" s="128">
        <v>1</v>
      </c>
      <c r="U11" s="128">
        <v>1</v>
      </c>
      <c r="V11" s="231">
        <f>SUM(T11/U11)*100</f>
        <v>100</v>
      </c>
      <c r="W11" s="180"/>
      <c r="X11" s="228" t="s">
        <v>17</v>
      </c>
      <c r="Y11" s="128" t="s">
        <v>17</v>
      </c>
      <c r="Z11" s="231" t="s">
        <v>17</v>
      </c>
      <c r="AA11" s="228">
        <v>1</v>
      </c>
      <c r="AB11" s="128">
        <v>1</v>
      </c>
      <c r="AC11" s="231">
        <f>SUM(AA11/AB11)*100</f>
        <v>100</v>
      </c>
      <c r="AD11" s="228" t="s">
        <v>17</v>
      </c>
      <c r="AE11" s="128" t="s">
        <v>17</v>
      </c>
      <c r="AF11" s="231" t="s">
        <v>17</v>
      </c>
      <c r="AG11" s="228" t="s">
        <v>17</v>
      </c>
      <c r="AH11" s="128" t="s">
        <v>17</v>
      </c>
      <c r="AI11" s="231" t="s">
        <v>17</v>
      </c>
      <c r="AJ11" s="228" t="s">
        <v>17</v>
      </c>
      <c r="AK11" s="128" t="s">
        <v>17</v>
      </c>
      <c r="AL11" s="231" t="s">
        <v>17</v>
      </c>
      <c r="AM11" s="228" t="s">
        <v>17</v>
      </c>
      <c r="AN11" s="128" t="s">
        <v>17</v>
      </c>
      <c r="AO11" s="231" t="s">
        <v>17</v>
      </c>
    </row>
    <row r="12" spans="1:41" ht="14.95" customHeight="1" thickBot="1" x14ac:dyDescent="0.3">
      <c r="A12" s="76" t="s">
        <v>647</v>
      </c>
      <c r="B12" s="77">
        <v>4</v>
      </c>
      <c r="C12" s="382">
        <v>0</v>
      </c>
      <c r="D12" s="78">
        <f t="shared" si="1"/>
        <v>4</v>
      </c>
      <c r="E12" s="32" t="s">
        <v>647</v>
      </c>
      <c r="F12" s="29">
        <v>20</v>
      </c>
      <c r="G12" s="384">
        <v>0</v>
      </c>
      <c r="H12" s="34">
        <f t="shared" si="0"/>
        <v>20</v>
      </c>
      <c r="I12" s="76" t="s">
        <v>98</v>
      </c>
      <c r="J12" s="78" t="s">
        <v>17</v>
      </c>
      <c r="K12" s="78" t="s">
        <v>17</v>
      </c>
      <c r="L12" s="79" t="s">
        <v>17</v>
      </c>
      <c r="M12" s="78" t="s">
        <v>17</v>
      </c>
      <c r="N12" s="78" t="s">
        <v>17</v>
      </c>
      <c r="O12" s="79" t="s">
        <v>17</v>
      </c>
      <c r="P12" s="78">
        <v>-1</v>
      </c>
      <c r="Q12" s="128" t="s">
        <v>17</v>
      </c>
      <c r="R12" s="128" t="s">
        <v>17</v>
      </c>
      <c r="S12" s="231" t="s">
        <v>17</v>
      </c>
      <c r="T12" s="128" t="s">
        <v>17</v>
      </c>
      <c r="U12" s="128" t="s">
        <v>17</v>
      </c>
      <c r="V12" s="231" t="s">
        <v>17</v>
      </c>
      <c r="W12" s="180"/>
      <c r="X12" s="228" t="s">
        <v>17</v>
      </c>
      <c r="Y12" s="128" t="s">
        <v>17</v>
      </c>
      <c r="Z12" s="231" t="s">
        <v>17</v>
      </c>
      <c r="AA12" s="228" t="s">
        <v>17</v>
      </c>
      <c r="AB12" s="128" t="s">
        <v>17</v>
      </c>
      <c r="AC12" s="231" t="s">
        <v>17</v>
      </c>
      <c r="AD12" s="228" t="s">
        <v>17</v>
      </c>
      <c r="AE12" s="128" t="s">
        <v>17</v>
      </c>
      <c r="AF12" s="231" t="s">
        <v>17</v>
      </c>
      <c r="AG12" s="228" t="s">
        <v>17</v>
      </c>
      <c r="AH12" s="128" t="s">
        <v>17</v>
      </c>
      <c r="AI12" s="231" t="s">
        <v>17</v>
      </c>
      <c r="AJ12" s="228" t="s">
        <v>17</v>
      </c>
      <c r="AK12" s="128" t="s">
        <v>17</v>
      </c>
      <c r="AL12" s="128" t="s">
        <v>17</v>
      </c>
      <c r="AM12" s="128">
        <v>4</v>
      </c>
      <c r="AN12" s="128">
        <v>5</v>
      </c>
      <c r="AO12" s="231">
        <f>SUM(AM12/AN12)*100</f>
        <v>80</v>
      </c>
    </row>
    <row r="13" spans="1:41" ht="14.95" customHeight="1" thickBot="1" x14ac:dyDescent="0.3">
      <c r="A13" s="76" t="s">
        <v>846</v>
      </c>
      <c r="B13" s="77">
        <v>0</v>
      </c>
      <c r="C13" s="382">
        <v>0</v>
      </c>
      <c r="D13" s="78">
        <f t="shared" si="1"/>
        <v>0</v>
      </c>
      <c r="E13" s="32" t="s">
        <v>846</v>
      </c>
      <c r="F13" s="29">
        <v>0</v>
      </c>
      <c r="G13" s="384">
        <v>0</v>
      </c>
      <c r="H13" s="34">
        <f t="shared" si="0"/>
        <v>0</v>
      </c>
      <c r="I13" s="220" t="s">
        <v>144</v>
      </c>
      <c r="J13" s="78" t="s">
        <v>17</v>
      </c>
      <c r="K13" s="78" t="s">
        <v>17</v>
      </c>
      <c r="L13" s="79" t="s">
        <v>17</v>
      </c>
      <c r="M13" s="78" t="s">
        <v>17</v>
      </c>
      <c r="N13" s="78" t="s">
        <v>17</v>
      </c>
      <c r="O13" s="79" t="s">
        <v>17</v>
      </c>
      <c r="P13" s="238">
        <v>2</v>
      </c>
      <c r="Q13" s="128" t="s">
        <v>17</v>
      </c>
      <c r="R13" s="128" t="s">
        <v>17</v>
      </c>
      <c r="S13" s="231" t="s">
        <v>17</v>
      </c>
      <c r="T13" s="128" t="s">
        <v>17</v>
      </c>
      <c r="U13" s="128" t="s">
        <v>17</v>
      </c>
      <c r="V13" s="231" t="s">
        <v>17</v>
      </c>
      <c r="W13" s="180"/>
      <c r="X13" s="228" t="s">
        <v>17</v>
      </c>
      <c r="Y13" s="128" t="s">
        <v>17</v>
      </c>
      <c r="Z13" s="231" t="s">
        <v>17</v>
      </c>
      <c r="AA13" s="228" t="s">
        <v>17</v>
      </c>
      <c r="AB13" s="128" t="s">
        <v>17</v>
      </c>
      <c r="AC13" s="231" t="s">
        <v>17</v>
      </c>
      <c r="AD13" s="228" t="s">
        <v>17</v>
      </c>
      <c r="AE13" s="128" t="s">
        <v>17</v>
      </c>
      <c r="AF13" s="231" t="s">
        <v>17</v>
      </c>
      <c r="AG13" s="232">
        <v>8</v>
      </c>
      <c r="AH13" s="232">
        <v>12</v>
      </c>
      <c r="AI13" s="230">
        <f>SUM(AG13/AH13)*100</f>
        <v>66.666666666666657</v>
      </c>
      <c r="AJ13" s="232" t="s">
        <v>17</v>
      </c>
      <c r="AK13" s="232" t="s">
        <v>17</v>
      </c>
      <c r="AL13" s="232" t="s">
        <v>17</v>
      </c>
      <c r="AM13" s="232" t="s">
        <v>17</v>
      </c>
      <c r="AN13" s="232" t="s">
        <v>17</v>
      </c>
      <c r="AO13" s="230" t="s">
        <v>17</v>
      </c>
    </row>
    <row r="14" spans="1:41" ht="14.95" customHeight="1" thickBot="1" x14ac:dyDescent="0.3">
      <c r="A14" s="76" t="s">
        <v>93</v>
      </c>
      <c r="B14" s="77">
        <v>0</v>
      </c>
      <c r="C14" s="382">
        <v>0</v>
      </c>
      <c r="D14" s="78">
        <f t="shared" si="1"/>
        <v>0</v>
      </c>
      <c r="E14" s="32" t="s">
        <v>93</v>
      </c>
      <c r="F14" s="29">
        <v>0</v>
      </c>
      <c r="G14" s="384">
        <v>0</v>
      </c>
      <c r="H14" s="34">
        <f t="shared" si="0"/>
        <v>0</v>
      </c>
      <c r="I14" s="76" t="s">
        <v>680</v>
      </c>
      <c r="J14" s="78" t="s">
        <v>17</v>
      </c>
      <c r="K14" s="78" t="s">
        <v>17</v>
      </c>
      <c r="L14" s="79" t="s">
        <v>17</v>
      </c>
      <c r="M14" s="78" t="s">
        <v>17</v>
      </c>
      <c r="N14" s="78" t="s">
        <v>17</v>
      </c>
      <c r="O14" s="79" t="s">
        <v>17</v>
      </c>
      <c r="P14" s="78">
        <v>1</v>
      </c>
      <c r="Q14" s="128" t="s">
        <v>17</v>
      </c>
      <c r="R14" s="128" t="s">
        <v>17</v>
      </c>
      <c r="S14" s="231" t="s">
        <v>17</v>
      </c>
      <c r="T14" s="128">
        <v>2</v>
      </c>
      <c r="U14" s="128">
        <v>3</v>
      </c>
      <c r="V14" s="231">
        <f>SUM(T14/U14)*100</f>
        <v>66.666666666666657</v>
      </c>
      <c r="W14" s="180"/>
      <c r="X14" s="228" t="s">
        <v>17</v>
      </c>
      <c r="Y14" s="128" t="s">
        <v>17</v>
      </c>
      <c r="Z14" s="231" t="s">
        <v>17</v>
      </c>
      <c r="AA14" s="228" t="s">
        <v>17</v>
      </c>
      <c r="AB14" s="128" t="s">
        <v>17</v>
      </c>
      <c r="AC14" s="231" t="s">
        <v>17</v>
      </c>
      <c r="AD14" s="228" t="s">
        <v>17</v>
      </c>
      <c r="AE14" s="128" t="s">
        <v>17</v>
      </c>
      <c r="AF14" s="231" t="s">
        <v>17</v>
      </c>
      <c r="AG14" s="228" t="s">
        <v>17</v>
      </c>
      <c r="AH14" s="128" t="s">
        <v>17</v>
      </c>
      <c r="AI14" s="231" t="s">
        <v>17</v>
      </c>
      <c r="AJ14" s="228" t="s">
        <v>17</v>
      </c>
      <c r="AK14" s="128" t="s">
        <v>17</v>
      </c>
      <c r="AL14" s="231" t="s">
        <v>17</v>
      </c>
      <c r="AM14" s="228" t="s">
        <v>17</v>
      </c>
      <c r="AN14" s="128" t="s">
        <v>17</v>
      </c>
      <c r="AO14" s="231" t="s">
        <v>17</v>
      </c>
    </row>
    <row r="15" spans="1:41" ht="14.95" customHeight="1" thickBot="1" x14ac:dyDescent="0.3">
      <c r="A15" s="76" t="s">
        <v>852</v>
      </c>
      <c r="B15" s="77">
        <v>0</v>
      </c>
      <c r="C15" s="382">
        <v>0</v>
      </c>
      <c r="D15" s="78">
        <f t="shared" si="1"/>
        <v>0</v>
      </c>
      <c r="E15" s="32" t="s">
        <v>853</v>
      </c>
      <c r="F15" s="29">
        <v>0</v>
      </c>
      <c r="G15" s="384">
        <v>0</v>
      </c>
      <c r="H15" s="34">
        <f t="shared" si="0"/>
        <v>0</v>
      </c>
      <c r="I15" s="769" t="s">
        <v>20</v>
      </c>
      <c r="J15" s="771"/>
      <c r="K15" s="771"/>
      <c r="L15" s="771"/>
      <c r="M15" s="771"/>
      <c r="N15" s="771"/>
      <c r="O15" s="771"/>
      <c r="P15" s="771"/>
      <c r="Q15" s="771"/>
      <c r="R15" s="771"/>
      <c r="S15" s="771"/>
    </row>
    <row r="16" spans="1:41" ht="14.95" customHeight="1" thickBot="1" x14ac:dyDescent="0.3">
      <c r="A16" s="76" t="s">
        <v>141</v>
      </c>
      <c r="B16" s="77">
        <v>2</v>
      </c>
      <c r="C16" s="382">
        <v>3</v>
      </c>
      <c r="D16" s="78">
        <f t="shared" si="1"/>
        <v>5</v>
      </c>
      <c r="E16" s="32" t="s">
        <v>141</v>
      </c>
      <c r="F16" s="29">
        <v>10</v>
      </c>
      <c r="G16" s="384">
        <v>15</v>
      </c>
      <c r="H16" s="34">
        <f t="shared" si="0"/>
        <v>25</v>
      </c>
      <c r="I16" s="577" t="s">
        <v>33</v>
      </c>
      <c r="J16" s="568">
        <v>2023</v>
      </c>
      <c r="K16" s="569"/>
      <c r="L16" s="570"/>
      <c r="M16" s="557">
        <v>2019</v>
      </c>
      <c r="N16" s="563"/>
      <c r="O16" s="564"/>
      <c r="P16" s="557">
        <v>2015</v>
      </c>
      <c r="Q16" s="563"/>
      <c r="R16" s="564"/>
    </row>
    <row r="17" spans="1:18" ht="14.95" customHeight="1" thickBot="1" x14ac:dyDescent="0.3">
      <c r="A17" s="76" t="s">
        <v>678</v>
      </c>
      <c r="B17" s="77">
        <v>0</v>
      </c>
      <c r="C17" s="382">
        <v>3</v>
      </c>
      <c r="D17" s="78">
        <f t="shared" si="1"/>
        <v>3</v>
      </c>
      <c r="E17" s="32" t="s">
        <v>678</v>
      </c>
      <c r="F17" s="29">
        <v>0</v>
      </c>
      <c r="G17" s="384">
        <v>15</v>
      </c>
      <c r="H17" s="34">
        <f t="shared" si="0"/>
        <v>15</v>
      </c>
      <c r="I17" s="578"/>
      <c r="J17" s="571"/>
      <c r="K17" s="572"/>
      <c r="L17" s="573"/>
      <c r="M17" s="565"/>
      <c r="N17" s="566"/>
      <c r="O17" s="567"/>
      <c r="P17" s="565"/>
      <c r="Q17" s="566"/>
      <c r="R17" s="567"/>
    </row>
    <row r="18" spans="1:18" ht="14.95" customHeight="1" thickBot="1" x14ac:dyDescent="0.3">
      <c r="A18" s="76" t="s">
        <v>851</v>
      </c>
      <c r="B18" s="77">
        <v>2</v>
      </c>
      <c r="C18" s="382">
        <v>1</v>
      </c>
      <c r="D18" s="78">
        <f t="shared" si="1"/>
        <v>3</v>
      </c>
      <c r="E18" s="32" t="s">
        <v>851</v>
      </c>
      <c r="F18" s="29">
        <v>10</v>
      </c>
      <c r="G18" s="384">
        <v>5</v>
      </c>
      <c r="H18" s="34">
        <f t="shared" si="0"/>
        <v>15</v>
      </c>
      <c r="I18" s="380"/>
      <c r="J18" s="128" t="s">
        <v>152</v>
      </c>
      <c r="K18" s="128" t="s">
        <v>12</v>
      </c>
      <c r="L18" s="128" t="s">
        <v>13</v>
      </c>
      <c r="M18" s="119" t="s">
        <v>152</v>
      </c>
      <c r="N18" s="119" t="s">
        <v>12</v>
      </c>
      <c r="O18" s="119" t="s">
        <v>13</v>
      </c>
      <c r="P18" s="119" t="s">
        <v>152</v>
      </c>
      <c r="Q18" s="119" t="s">
        <v>12</v>
      </c>
      <c r="R18" s="119" t="s">
        <v>13</v>
      </c>
    </row>
    <row r="19" spans="1:18" ht="14.95" customHeight="1" thickBot="1" x14ac:dyDescent="0.3">
      <c r="A19" s="76" t="s">
        <v>523</v>
      </c>
      <c r="B19" s="77">
        <v>0</v>
      </c>
      <c r="C19" s="382">
        <v>0</v>
      </c>
      <c r="D19" s="78">
        <f t="shared" si="1"/>
        <v>0</v>
      </c>
      <c r="E19" s="32" t="s">
        <v>523</v>
      </c>
      <c r="F19" s="29">
        <v>0</v>
      </c>
      <c r="G19" s="384">
        <v>0</v>
      </c>
      <c r="H19" s="34">
        <f t="shared" si="0"/>
        <v>0</v>
      </c>
      <c r="I19" s="76" t="s">
        <v>93</v>
      </c>
      <c r="J19" s="128">
        <v>2</v>
      </c>
      <c r="K19" s="128">
        <v>2</v>
      </c>
      <c r="L19" s="128">
        <f>SUM(J19/K19)*100</f>
        <v>100</v>
      </c>
      <c r="M19" s="128">
        <v>12</v>
      </c>
      <c r="N19" s="128">
        <v>14</v>
      </c>
      <c r="O19" s="231">
        <f>SUM(M19/N19)*100</f>
        <v>85.714285714285708</v>
      </c>
      <c r="P19" s="128">
        <v>5</v>
      </c>
      <c r="Q19" s="128">
        <v>6</v>
      </c>
      <c r="R19" s="231">
        <f>SUM(P19/Q19)*100</f>
        <v>83.333333333333343</v>
      </c>
    </row>
    <row r="20" spans="1:18" ht="14.95" customHeight="1" thickBot="1" x14ac:dyDescent="0.3">
      <c r="A20" s="76" t="s">
        <v>142</v>
      </c>
      <c r="B20" s="77">
        <v>0</v>
      </c>
      <c r="C20" s="382">
        <v>0</v>
      </c>
      <c r="D20" s="78">
        <f t="shared" si="1"/>
        <v>0</v>
      </c>
      <c r="E20" s="32" t="s">
        <v>142</v>
      </c>
      <c r="F20" s="29">
        <v>0</v>
      </c>
      <c r="G20" s="384">
        <v>0</v>
      </c>
      <c r="H20" s="34">
        <f t="shared" si="0"/>
        <v>0</v>
      </c>
      <c r="I20" s="76" t="s">
        <v>94</v>
      </c>
      <c r="J20" s="128" t="s">
        <v>17</v>
      </c>
      <c r="K20" s="128" t="s">
        <v>17</v>
      </c>
      <c r="L20" s="231" t="s">
        <v>17</v>
      </c>
      <c r="M20" s="128" t="s">
        <v>17</v>
      </c>
      <c r="N20" s="128" t="s">
        <v>17</v>
      </c>
      <c r="O20" s="128" t="s">
        <v>17</v>
      </c>
      <c r="P20" s="128">
        <v>1</v>
      </c>
      <c r="Q20" s="128">
        <v>1</v>
      </c>
      <c r="R20" s="231">
        <f>SUM(P20/Q20)*100</f>
        <v>100</v>
      </c>
    </row>
    <row r="21" spans="1:18" ht="14.95" customHeight="1" thickBot="1" x14ac:dyDescent="0.3">
      <c r="A21" s="76" t="s">
        <v>1323</v>
      </c>
      <c r="B21" s="77">
        <v>0</v>
      </c>
      <c r="C21" s="382">
        <v>1</v>
      </c>
      <c r="D21" s="78">
        <f t="shared" si="1"/>
        <v>1</v>
      </c>
      <c r="E21" s="32" t="s">
        <v>1323</v>
      </c>
      <c r="F21" s="29">
        <v>9</v>
      </c>
      <c r="G21" s="384">
        <v>23</v>
      </c>
      <c r="H21" s="34">
        <f t="shared" si="0"/>
        <v>32</v>
      </c>
      <c r="I21" s="76" t="s">
        <v>1323</v>
      </c>
      <c r="J21" s="128">
        <v>5</v>
      </c>
      <c r="K21" s="128">
        <v>9</v>
      </c>
      <c r="L21" s="231">
        <f>SUM(J21/K21)*100</f>
        <v>55.555555555555557</v>
      </c>
      <c r="M21" s="128" t="s">
        <v>17</v>
      </c>
      <c r="N21" s="128" t="s">
        <v>17</v>
      </c>
      <c r="O21" s="128" t="s">
        <v>17</v>
      </c>
      <c r="P21" s="128" t="s">
        <v>17</v>
      </c>
      <c r="Q21" s="128" t="s">
        <v>17</v>
      </c>
      <c r="R21" s="128" t="s">
        <v>17</v>
      </c>
    </row>
    <row r="22" spans="1:18" ht="14.95" customHeight="1" thickBot="1" x14ac:dyDescent="0.3">
      <c r="A22" s="76" t="s">
        <v>1324</v>
      </c>
      <c r="B22" s="77">
        <v>0</v>
      </c>
      <c r="C22" s="382">
        <v>1</v>
      </c>
      <c r="D22" s="78">
        <f t="shared" si="1"/>
        <v>1</v>
      </c>
      <c r="E22" s="32" t="s">
        <v>1324</v>
      </c>
      <c r="F22" s="29">
        <v>0</v>
      </c>
      <c r="G22" s="384">
        <v>5</v>
      </c>
      <c r="H22" s="34">
        <f t="shared" si="0"/>
        <v>5</v>
      </c>
      <c r="I22" s="76" t="s">
        <v>95</v>
      </c>
      <c r="J22" s="128" t="s">
        <v>17</v>
      </c>
      <c r="K22" s="128" t="s">
        <v>17</v>
      </c>
      <c r="L22" s="231" t="s">
        <v>17</v>
      </c>
      <c r="M22" s="128" t="s">
        <v>17</v>
      </c>
      <c r="N22" s="128" t="s">
        <v>17</v>
      </c>
      <c r="O22" s="128" t="s">
        <v>17</v>
      </c>
      <c r="P22" s="128">
        <v>1</v>
      </c>
      <c r="Q22" s="128">
        <v>3</v>
      </c>
      <c r="R22" s="231">
        <f>SUM(P22/Q22)*100</f>
        <v>33.333333333333329</v>
      </c>
    </row>
    <row r="23" spans="1:18" ht="14.95" customHeight="1" thickBot="1" x14ac:dyDescent="0.3">
      <c r="A23" s="76" t="s">
        <v>143</v>
      </c>
      <c r="B23" s="77">
        <v>0</v>
      </c>
      <c r="C23" s="382">
        <v>0</v>
      </c>
      <c r="D23" s="78">
        <f t="shared" si="1"/>
        <v>0</v>
      </c>
      <c r="E23" s="32" t="s">
        <v>143</v>
      </c>
      <c r="F23" s="29">
        <v>0</v>
      </c>
      <c r="G23" s="384">
        <v>0</v>
      </c>
      <c r="H23" s="34">
        <f t="shared" si="0"/>
        <v>0</v>
      </c>
    </row>
    <row r="24" spans="1:18" ht="14.95" customHeight="1" thickBot="1" x14ac:dyDescent="0.3">
      <c r="A24" s="76" t="s">
        <v>430</v>
      </c>
      <c r="B24" s="77">
        <v>0</v>
      </c>
      <c r="C24" s="382">
        <v>0</v>
      </c>
      <c r="D24" s="78">
        <f t="shared" si="1"/>
        <v>0</v>
      </c>
      <c r="E24" s="32" t="s">
        <v>430</v>
      </c>
      <c r="F24" s="29">
        <v>0</v>
      </c>
      <c r="G24" s="384">
        <v>0</v>
      </c>
      <c r="H24" s="34">
        <f t="shared" si="0"/>
        <v>0</v>
      </c>
      <c r="I24" s="792" t="s">
        <v>105</v>
      </c>
      <c r="J24" s="557">
        <v>2019</v>
      </c>
      <c r="K24" s="563"/>
      <c r="L24" s="564"/>
      <c r="M24" s="568">
        <v>2017</v>
      </c>
      <c r="N24" s="569"/>
      <c r="O24" s="570"/>
    </row>
    <row r="25" spans="1:18" ht="14.95" customHeight="1" thickBot="1" x14ac:dyDescent="0.3">
      <c r="A25" s="76" t="s">
        <v>389</v>
      </c>
      <c r="B25" s="77">
        <v>2</v>
      </c>
      <c r="C25" s="382">
        <v>2</v>
      </c>
      <c r="D25" s="78">
        <f t="shared" si="1"/>
        <v>4</v>
      </c>
      <c r="E25" s="32" t="s">
        <v>389</v>
      </c>
      <c r="F25" s="29">
        <v>10</v>
      </c>
      <c r="G25" s="384">
        <v>10</v>
      </c>
      <c r="H25" s="34">
        <f t="shared" si="0"/>
        <v>20</v>
      </c>
      <c r="I25" s="793"/>
      <c r="J25" s="565"/>
      <c r="K25" s="566"/>
      <c r="L25" s="567"/>
      <c r="M25" s="571"/>
      <c r="N25" s="572"/>
      <c r="O25" s="573"/>
    </row>
    <row r="26" spans="1:18" ht="14.3" customHeight="1" thickBot="1" x14ac:dyDescent="0.3">
      <c r="A26" s="76" t="s">
        <v>189</v>
      </c>
      <c r="B26" s="77">
        <v>1</v>
      </c>
      <c r="C26" s="382">
        <v>2</v>
      </c>
      <c r="D26" s="78">
        <f t="shared" si="1"/>
        <v>3</v>
      </c>
      <c r="E26" s="32" t="s">
        <v>189</v>
      </c>
      <c r="F26" s="29">
        <v>5</v>
      </c>
      <c r="G26" s="384">
        <v>10</v>
      </c>
      <c r="H26" s="34">
        <f t="shared" si="0"/>
        <v>15</v>
      </c>
      <c r="I26" s="387"/>
      <c r="J26" s="128" t="s">
        <v>152</v>
      </c>
      <c r="K26" s="128" t="s">
        <v>12</v>
      </c>
      <c r="L26" s="128" t="s">
        <v>13</v>
      </c>
      <c r="M26" s="128" t="s">
        <v>152</v>
      </c>
      <c r="N26" s="128" t="s">
        <v>12</v>
      </c>
      <c r="O26" s="128" t="s">
        <v>13</v>
      </c>
    </row>
    <row r="27" spans="1:18" ht="14.95" customHeight="1" thickBot="1" x14ac:dyDescent="0.3">
      <c r="A27" s="76" t="s">
        <v>309</v>
      </c>
      <c r="B27" s="77">
        <v>0</v>
      </c>
      <c r="C27" s="382">
        <v>0</v>
      </c>
      <c r="D27" s="78">
        <f t="shared" si="1"/>
        <v>0</v>
      </c>
      <c r="E27" s="32" t="s">
        <v>309</v>
      </c>
      <c r="F27" s="29">
        <v>0</v>
      </c>
      <c r="G27" s="384">
        <v>0</v>
      </c>
      <c r="H27" s="34">
        <f t="shared" si="0"/>
        <v>0</v>
      </c>
      <c r="I27" s="76" t="s">
        <v>93</v>
      </c>
      <c r="J27" s="128" t="s">
        <v>17</v>
      </c>
      <c r="K27" s="128" t="s">
        <v>17</v>
      </c>
      <c r="L27" s="128" t="s">
        <v>17</v>
      </c>
      <c r="M27" s="128">
        <v>10</v>
      </c>
      <c r="N27" s="128">
        <v>12</v>
      </c>
      <c r="O27" s="231">
        <f>SUM(M27/N27)*100</f>
        <v>83.333333333333343</v>
      </c>
    </row>
    <row r="28" spans="1:18" ht="14.95" customHeight="1" thickBot="1" x14ac:dyDescent="0.3">
      <c r="A28" s="76" t="s">
        <v>1439</v>
      </c>
      <c r="B28" s="77">
        <v>1</v>
      </c>
      <c r="C28" s="382">
        <v>0</v>
      </c>
      <c r="D28" s="78">
        <f t="shared" si="1"/>
        <v>1</v>
      </c>
      <c r="E28" s="32" t="s">
        <v>1439</v>
      </c>
      <c r="F28" s="29">
        <v>5</v>
      </c>
      <c r="G28" s="384">
        <v>0</v>
      </c>
      <c r="H28" s="34">
        <f t="shared" si="0"/>
        <v>5</v>
      </c>
      <c r="I28" s="76" t="s">
        <v>98</v>
      </c>
      <c r="J28" s="128" t="s">
        <v>17</v>
      </c>
      <c r="K28" s="128" t="s">
        <v>17</v>
      </c>
      <c r="L28" s="128" t="s">
        <v>17</v>
      </c>
      <c r="M28" s="128">
        <v>2</v>
      </c>
      <c r="N28" s="128">
        <v>2</v>
      </c>
      <c r="O28" s="231">
        <f>SUM(M28/N28)*100</f>
        <v>100</v>
      </c>
    </row>
    <row r="29" spans="1:18" ht="14.95" customHeight="1" thickBot="1" x14ac:dyDescent="0.3">
      <c r="A29" s="76" t="s">
        <v>95</v>
      </c>
      <c r="B29" s="77">
        <v>0</v>
      </c>
      <c r="C29" s="382">
        <v>0</v>
      </c>
      <c r="D29" s="78">
        <f t="shared" si="1"/>
        <v>0</v>
      </c>
      <c r="E29" s="32" t="s">
        <v>95</v>
      </c>
      <c r="F29" s="29">
        <v>0</v>
      </c>
      <c r="G29" s="384">
        <v>0</v>
      </c>
      <c r="H29" s="34">
        <f t="shared" si="0"/>
        <v>0</v>
      </c>
      <c r="I29" s="220" t="s">
        <v>144</v>
      </c>
      <c r="J29" s="232">
        <v>0</v>
      </c>
      <c r="K29" s="232">
        <v>1</v>
      </c>
      <c r="L29" s="230">
        <f>SUM(J29/K29)*100</f>
        <v>0</v>
      </c>
      <c r="M29" s="128" t="s">
        <v>17</v>
      </c>
      <c r="N29" s="128" t="s">
        <v>17</v>
      </c>
      <c r="O29" s="128" t="s">
        <v>17</v>
      </c>
    </row>
    <row r="30" spans="1:18" ht="14.95" customHeight="1" thickBot="1" x14ac:dyDescent="0.3">
      <c r="A30" s="76" t="s">
        <v>847</v>
      </c>
      <c r="B30" s="77">
        <v>0</v>
      </c>
      <c r="C30" s="382">
        <v>0</v>
      </c>
      <c r="D30" s="78">
        <f t="shared" si="1"/>
        <v>0</v>
      </c>
      <c r="E30" s="32" t="s">
        <v>847</v>
      </c>
      <c r="F30" s="29">
        <v>0</v>
      </c>
      <c r="G30" s="384">
        <v>0</v>
      </c>
      <c r="H30" s="34">
        <f t="shared" si="0"/>
        <v>0</v>
      </c>
      <c r="I30" s="16"/>
      <c r="J30" s="41"/>
      <c r="K30" s="41"/>
      <c r="L30" s="43"/>
      <c r="M30" s="41"/>
      <c r="N30" s="41"/>
      <c r="O30" s="43"/>
    </row>
    <row r="31" spans="1:18" ht="14.95" customHeight="1" thickBot="1" x14ac:dyDescent="0.3">
      <c r="A31" s="76" t="s">
        <v>4</v>
      </c>
      <c r="B31" s="77">
        <v>0</v>
      </c>
      <c r="C31" s="382">
        <v>0</v>
      </c>
      <c r="D31" s="78">
        <f t="shared" si="1"/>
        <v>0</v>
      </c>
      <c r="E31" s="32" t="s">
        <v>4</v>
      </c>
      <c r="F31" s="29">
        <v>0</v>
      </c>
      <c r="G31" s="384">
        <v>0</v>
      </c>
      <c r="H31" s="34">
        <f t="shared" si="0"/>
        <v>0</v>
      </c>
      <c r="I31" s="790" t="s">
        <v>128</v>
      </c>
      <c r="J31" s="557">
        <v>2019</v>
      </c>
      <c r="K31" s="563"/>
      <c r="L31" s="564"/>
      <c r="M31" s="557" t="s">
        <v>190</v>
      </c>
      <c r="N31" s="563"/>
      <c r="O31" s="564"/>
      <c r="P31" s="557">
        <v>2017</v>
      </c>
      <c r="Q31" s="563"/>
      <c r="R31" s="564"/>
    </row>
    <row r="32" spans="1:18" ht="14.95" customHeight="1" thickBot="1" x14ac:dyDescent="0.3">
      <c r="A32" s="76" t="s">
        <v>849</v>
      </c>
      <c r="B32" s="77">
        <v>1</v>
      </c>
      <c r="C32" s="382">
        <v>0</v>
      </c>
      <c r="D32" s="78">
        <f t="shared" si="1"/>
        <v>1</v>
      </c>
      <c r="E32" s="32" t="s">
        <v>849</v>
      </c>
      <c r="F32" s="29">
        <v>5</v>
      </c>
      <c r="G32" s="384">
        <v>0</v>
      </c>
      <c r="H32" s="34">
        <f t="shared" si="0"/>
        <v>5</v>
      </c>
      <c r="I32" s="791"/>
      <c r="J32" s="565"/>
      <c r="K32" s="566"/>
      <c r="L32" s="567"/>
      <c r="M32" s="565"/>
      <c r="N32" s="566"/>
      <c r="O32" s="567"/>
      <c r="P32" s="565"/>
      <c r="Q32" s="566"/>
      <c r="R32" s="567"/>
    </row>
    <row r="33" spans="1:18" ht="14.95" customHeight="1" thickBot="1" x14ac:dyDescent="0.3">
      <c r="A33" s="76" t="s">
        <v>301</v>
      </c>
      <c r="B33" s="77">
        <v>0</v>
      </c>
      <c r="C33" s="382">
        <v>1</v>
      </c>
      <c r="D33" s="78">
        <f t="shared" si="1"/>
        <v>1</v>
      </c>
      <c r="E33" s="32" t="s">
        <v>301</v>
      </c>
      <c r="F33" s="29">
        <v>0</v>
      </c>
      <c r="G33" s="384">
        <v>5</v>
      </c>
      <c r="H33" s="34">
        <f t="shared" si="0"/>
        <v>5</v>
      </c>
      <c r="I33" s="388"/>
      <c r="J33" s="128" t="s">
        <v>152</v>
      </c>
      <c r="K33" s="128" t="s">
        <v>12</v>
      </c>
      <c r="L33" s="128" t="s">
        <v>13</v>
      </c>
      <c r="M33" s="128" t="s">
        <v>152</v>
      </c>
      <c r="N33" s="128" t="s">
        <v>12</v>
      </c>
      <c r="O33" s="128" t="s">
        <v>13</v>
      </c>
      <c r="P33" s="128" t="s">
        <v>152</v>
      </c>
      <c r="Q33" s="128" t="s">
        <v>12</v>
      </c>
      <c r="R33" s="128" t="s">
        <v>13</v>
      </c>
    </row>
    <row r="34" spans="1:18" ht="14.95" customHeight="1" thickBot="1" x14ac:dyDescent="0.3">
      <c r="A34" s="76" t="s">
        <v>163</v>
      </c>
      <c r="B34" s="77">
        <v>0</v>
      </c>
      <c r="C34" s="382">
        <v>0</v>
      </c>
      <c r="D34" s="78">
        <f t="shared" si="1"/>
        <v>0</v>
      </c>
      <c r="E34" s="32" t="s">
        <v>96</v>
      </c>
      <c r="F34" s="29">
        <v>0</v>
      </c>
      <c r="G34" s="384">
        <v>0</v>
      </c>
      <c r="H34" s="34">
        <f t="shared" si="0"/>
        <v>0</v>
      </c>
      <c r="I34" s="76" t="s">
        <v>93</v>
      </c>
      <c r="J34" s="128">
        <v>7</v>
      </c>
      <c r="K34" s="128">
        <v>9</v>
      </c>
      <c r="L34" s="231">
        <f>SUM(J34/K34)*100</f>
        <v>77.777777777777786</v>
      </c>
      <c r="M34" s="128" t="s">
        <v>17</v>
      </c>
      <c r="N34" s="128" t="s">
        <v>17</v>
      </c>
      <c r="O34" s="128" t="s">
        <v>17</v>
      </c>
      <c r="P34" s="128" t="s">
        <v>17</v>
      </c>
      <c r="Q34" s="128" t="s">
        <v>17</v>
      </c>
      <c r="R34" s="128" t="s">
        <v>17</v>
      </c>
    </row>
    <row r="35" spans="1:18" ht="14.95" customHeight="1" thickBot="1" x14ac:dyDescent="0.3">
      <c r="A35" s="76" t="s">
        <v>97</v>
      </c>
      <c r="B35" s="77">
        <v>0</v>
      </c>
      <c r="C35" s="382">
        <v>0</v>
      </c>
      <c r="D35" s="78">
        <f t="shared" si="1"/>
        <v>0</v>
      </c>
      <c r="E35" s="32" t="s">
        <v>97</v>
      </c>
      <c r="F35" s="29">
        <v>0</v>
      </c>
      <c r="G35" s="384">
        <v>0</v>
      </c>
      <c r="H35" s="34">
        <f t="shared" si="0"/>
        <v>0</v>
      </c>
      <c r="I35" s="76" t="s">
        <v>98</v>
      </c>
      <c r="J35" s="128" t="s">
        <v>17</v>
      </c>
      <c r="K35" s="128" t="s">
        <v>17</v>
      </c>
      <c r="L35" s="128" t="s">
        <v>17</v>
      </c>
      <c r="M35" s="128" t="s">
        <v>17</v>
      </c>
      <c r="N35" s="128" t="s">
        <v>17</v>
      </c>
      <c r="O35" s="128" t="s">
        <v>17</v>
      </c>
      <c r="P35" s="163">
        <v>2</v>
      </c>
      <c r="Q35" s="163">
        <v>2</v>
      </c>
      <c r="R35" s="231">
        <f>SUM(P35/Q35)*100</f>
        <v>100</v>
      </c>
    </row>
    <row r="36" spans="1:18" ht="14.95" thickBot="1" x14ac:dyDescent="0.3">
      <c r="A36" s="76" t="s">
        <v>1397</v>
      </c>
      <c r="B36" s="77">
        <v>1</v>
      </c>
      <c r="C36" s="382">
        <v>0</v>
      </c>
      <c r="D36" s="78">
        <f t="shared" si="1"/>
        <v>1</v>
      </c>
      <c r="E36" s="32" t="s">
        <v>1397</v>
      </c>
      <c r="F36" s="29">
        <v>5</v>
      </c>
      <c r="G36" s="384">
        <v>0</v>
      </c>
      <c r="H36" s="34">
        <f t="shared" si="0"/>
        <v>5</v>
      </c>
      <c r="I36" s="220" t="s">
        <v>144</v>
      </c>
      <c r="J36" s="232">
        <v>6</v>
      </c>
      <c r="K36" s="232">
        <v>8</v>
      </c>
      <c r="L36" s="232">
        <f>SUM(J36/K36)*100</f>
        <v>75</v>
      </c>
      <c r="M36" s="232" t="s">
        <v>17</v>
      </c>
      <c r="N36" s="232" t="s">
        <v>17</v>
      </c>
      <c r="O36" s="232" t="s">
        <v>17</v>
      </c>
      <c r="P36" s="232" t="s">
        <v>17</v>
      </c>
      <c r="Q36" s="232" t="s">
        <v>17</v>
      </c>
      <c r="R36" s="230" t="s">
        <v>17</v>
      </c>
    </row>
    <row r="37" spans="1:18" ht="14.95" thickBot="1" x14ac:dyDescent="0.3">
      <c r="A37" s="76" t="s">
        <v>144</v>
      </c>
      <c r="B37" s="77">
        <v>0</v>
      </c>
      <c r="C37" s="382">
        <v>0</v>
      </c>
      <c r="D37" s="78">
        <f t="shared" si="1"/>
        <v>0</v>
      </c>
      <c r="E37" s="32" t="s">
        <v>144</v>
      </c>
      <c r="F37" s="29">
        <v>0</v>
      </c>
      <c r="G37" s="384">
        <v>0</v>
      </c>
      <c r="H37" s="34">
        <f t="shared" si="0"/>
        <v>0</v>
      </c>
      <c r="I37" t="s">
        <v>191</v>
      </c>
    </row>
    <row r="38" spans="1:18" ht="14.95" thickBot="1" x14ac:dyDescent="0.3">
      <c r="A38" s="76" t="s">
        <v>680</v>
      </c>
      <c r="B38" s="77">
        <v>0</v>
      </c>
      <c r="C38" s="382">
        <v>0</v>
      </c>
      <c r="D38" s="78">
        <f t="shared" si="1"/>
        <v>0</v>
      </c>
      <c r="E38" s="32" t="s">
        <v>680</v>
      </c>
      <c r="F38" s="29">
        <v>0</v>
      </c>
      <c r="G38" s="384">
        <v>0</v>
      </c>
      <c r="H38" s="34">
        <f t="shared" si="0"/>
        <v>0</v>
      </c>
      <c r="I38" s="788" t="s">
        <v>145</v>
      </c>
      <c r="J38" s="557">
        <v>2017</v>
      </c>
      <c r="K38" s="563"/>
      <c r="L38" s="564"/>
    </row>
    <row r="39" spans="1:18" ht="14.95" thickBot="1" x14ac:dyDescent="0.3">
      <c r="A39" s="76" t="s">
        <v>3</v>
      </c>
      <c r="B39" s="77">
        <f>SUM(B3:B38)</f>
        <v>20</v>
      </c>
      <c r="C39" s="382">
        <f>SUM(C3:C38)</f>
        <v>24</v>
      </c>
      <c r="D39" s="78">
        <f t="shared" si="1"/>
        <v>44</v>
      </c>
      <c r="E39" s="33" t="s">
        <v>3</v>
      </c>
      <c r="F39" s="29">
        <f>SUM(F3:F38)</f>
        <v>133</v>
      </c>
      <c r="G39" s="384">
        <f>SUM(G3:G38)</f>
        <v>173</v>
      </c>
      <c r="H39" s="34">
        <f t="shared" si="0"/>
        <v>306</v>
      </c>
      <c r="I39" s="789"/>
      <c r="J39" s="565"/>
      <c r="K39" s="566"/>
      <c r="L39" s="567"/>
    </row>
    <row r="40" spans="1:18" ht="14.95" thickBot="1" x14ac:dyDescent="0.3">
      <c r="A40" s="678" t="s">
        <v>20</v>
      </c>
      <c r="B40" s="794"/>
      <c r="C40" s="794"/>
      <c r="D40" s="794"/>
      <c r="E40" s="794"/>
      <c r="F40" s="794"/>
      <c r="G40" s="794"/>
      <c r="H40" s="794"/>
      <c r="I40" s="389"/>
      <c r="J40" s="128" t="s">
        <v>152</v>
      </c>
      <c r="K40" s="128" t="s">
        <v>12</v>
      </c>
      <c r="L40" s="128" t="s">
        <v>13</v>
      </c>
    </row>
    <row r="41" spans="1:18" ht="14.95" thickBot="1" x14ac:dyDescent="0.3">
      <c r="A41" t="s">
        <v>15</v>
      </c>
      <c r="I41" s="76" t="s">
        <v>93</v>
      </c>
      <c r="J41" s="163">
        <v>11</v>
      </c>
      <c r="K41" s="163">
        <v>12</v>
      </c>
      <c r="L41" s="231">
        <f>SUM(J41/K41)*100</f>
        <v>91.666666666666657</v>
      </c>
    </row>
    <row r="42" spans="1:18" ht="14.95" thickBot="1" x14ac:dyDescent="0.3">
      <c r="A42" s="220" t="s">
        <v>0</v>
      </c>
      <c r="B42" s="221" t="s">
        <v>31</v>
      </c>
      <c r="C42" s="381" t="s">
        <v>1285</v>
      </c>
      <c r="D42" s="222" t="s">
        <v>1</v>
      </c>
      <c r="E42" s="189" t="s">
        <v>2</v>
      </c>
      <c r="F42" s="177" t="s">
        <v>31</v>
      </c>
      <c r="G42" s="383" t="s">
        <v>1285</v>
      </c>
      <c r="H42" s="87" t="s">
        <v>1</v>
      </c>
      <c r="I42" s="76" t="s">
        <v>98</v>
      </c>
      <c r="J42" s="163">
        <v>0</v>
      </c>
      <c r="K42" s="163">
        <v>1</v>
      </c>
      <c r="L42" s="231">
        <f>SUM(J42/K42)*100</f>
        <v>0</v>
      </c>
    </row>
    <row r="43" spans="1:18" ht="14.95" thickBot="1" x14ac:dyDescent="0.3">
      <c r="A43" s="76" t="s">
        <v>141</v>
      </c>
      <c r="B43" s="77">
        <v>2</v>
      </c>
      <c r="C43" s="382">
        <v>3</v>
      </c>
      <c r="D43" s="78">
        <f t="shared" ref="D43:D78" si="3">SUM(B43:C43)</f>
        <v>5</v>
      </c>
      <c r="E43" s="33" t="s">
        <v>1049</v>
      </c>
      <c r="F43" s="29">
        <v>29</v>
      </c>
      <c r="G43" s="384">
        <v>37</v>
      </c>
      <c r="H43" s="34">
        <f t="shared" ref="H43:H78" si="4">SUM(F43:G43)</f>
        <v>66</v>
      </c>
    </row>
    <row r="44" spans="1:18" ht="14.95" thickBot="1" x14ac:dyDescent="0.3">
      <c r="A44" s="76" t="s">
        <v>1050</v>
      </c>
      <c r="B44" s="77">
        <v>1</v>
      </c>
      <c r="C44" s="382">
        <v>3</v>
      </c>
      <c r="D44" s="78">
        <f t="shared" si="3"/>
        <v>4</v>
      </c>
      <c r="E44" s="33" t="s">
        <v>1323</v>
      </c>
      <c r="F44" s="29">
        <v>9</v>
      </c>
      <c r="G44" s="384">
        <v>23</v>
      </c>
      <c r="H44" s="34">
        <f t="shared" si="4"/>
        <v>32</v>
      </c>
      <c r="I44" s="632" t="s">
        <v>232</v>
      </c>
      <c r="J44" s="596" t="s">
        <v>1326</v>
      </c>
      <c r="K44" s="646"/>
      <c r="L44" s="647"/>
      <c r="M44" s="568" t="s">
        <v>414</v>
      </c>
      <c r="N44" s="569"/>
      <c r="O44" s="570"/>
      <c r="P44" s="568" t="s">
        <v>188</v>
      </c>
      <c r="Q44" s="569"/>
      <c r="R44" s="570"/>
    </row>
    <row r="45" spans="1:18" ht="14.95" thickBot="1" x14ac:dyDescent="0.3">
      <c r="A45" s="76" t="s">
        <v>647</v>
      </c>
      <c r="B45" s="77">
        <v>4</v>
      </c>
      <c r="C45" s="382">
        <v>0</v>
      </c>
      <c r="D45" s="78">
        <f t="shared" si="3"/>
        <v>4</v>
      </c>
      <c r="E45" s="33" t="s">
        <v>141</v>
      </c>
      <c r="F45" s="29">
        <v>10</v>
      </c>
      <c r="G45" s="384">
        <v>15</v>
      </c>
      <c r="H45" s="34">
        <f t="shared" si="4"/>
        <v>25</v>
      </c>
      <c r="I45" s="633"/>
      <c r="J45" s="648"/>
      <c r="K45" s="649"/>
      <c r="L45" s="650"/>
      <c r="M45" s="571"/>
      <c r="N45" s="572"/>
      <c r="O45" s="573"/>
      <c r="P45" s="571"/>
      <c r="Q45" s="572"/>
      <c r="R45" s="573"/>
    </row>
    <row r="46" spans="1:18" ht="14.95" thickBot="1" x14ac:dyDescent="0.3">
      <c r="A46" s="76" t="s">
        <v>389</v>
      </c>
      <c r="B46" s="77">
        <v>2</v>
      </c>
      <c r="C46" s="382">
        <v>2</v>
      </c>
      <c r="D46" s="78">
        <f t="shared" si="3"/>
        <v>4</v>
      </c>
      <c r="E46" s="33" t="s">
        <v>1050</v>
      </c>
      <c r="F46" s="29">
        <v>5</v>
      </c>
      <c r="G46" s="384">
        <v>15</v>
      </c>
      <c r="H46" s="34">
        <f t="shared" si="4"/>
        <v>20</v>
      </c>
      <c r="I46" s="526" t="s">
        <v>20</v>
      </c>
      <c r="J46" s="188" t="s">
        <v>152</v>
      </c>
      <c r="K46" s="188" t="s">
        <v>12</v>
      </c>
      <c r="L46" s="188" t="s">
        <v>13</v>
      </c>
      <c r="M46" s="158" t="s">
        <v>152</v>
      </c>
      <c r="N46" s="158" t="s">
        <v>12</v>
      </c>
      <c r="O46" s="158" t="s">
        <v>13</v>
      </c>
      <c r="P46" s="158" t="s">
        <v>152</v>
      </c>
      <c r="Q46" s="158" t="s">
        <v>12</v>
      </c>
      <c r="R46" s="158" t="s">
        <v>13</v>
      </c>
    </row>
    <row r="47" spans="1:18" ht="14.95" thickBot="1" x14ac:dyDescent="0.3">
      <c r="A47" s="76" t="s">
        <v>1049</v>
      </c>
      <c r="B47" s="77">
        <v>1</v>
      </c>
      <c r="C47" s="382">
        <v>2</v>
      </c>
      <c r="D47" s="78">
        <f t="shared" si="3"/>
        <v>3</v>
      </c>
      <c r="E47" s="33" t="s">
        <v>647</v>
      </c>
      <c r="F47" s="29">
        <v>20</v>
      </c>
      <c r="G47" s="384">
        <v>0</v>
      </c>
      <c r="H47" s="34">
        <f t="shared" si="4"/>
        <v>20</v>
      </c>
      <c r="I47" s="220" t="s">
        <v>1049</v>
      </c>
      <c r="J47" s="385">
        <v>8</v>
      </c>
      <c r="K47" s="385">
        <v>11</v>
      </c>
      <c r="L47" s="79">
        <f>SUM(J47/K47)*100</f>
        <v>72.727272727272734</v>
      </c>
      <c r="M47" s="128" t="s">
        <v>17</v>
      </c>
      <c r="N47" s="128" t="s">
        <v>17</v>
      </c>
      <c r="O47" s="128" t="s">
        <v>17</v>
      </c>
      <c r="P47" s="128" t="s">
        <v>17</v>
      </c>
      <c r="Q47" s="128" t="s">
        <v>17</v>
      </c>
      <c r="R47" s="128" t="s">
        <v>17</v>
      </c>
    </row>
    <row r="48" spans="1:18" ht="14.95" thickBot="1" x14ac:dyDescent="0.3">
      <c r="A48" s="76" t="s">
        <v>678</v>
      </c>
      <c r="B48" s="77">
        <v>0</v>
      </c>
      <c r="C48" s="382">
        <v>3</v>
      </c>
      <c r="D48" s="78">
        <f t="shared" si="3"/>
        <v>3</v>
      </c>
      <c r="E48" s="33" t="s">
        <v>389</v>
      </c>
      <c r="F48" s="29">
        <v>10</v>
      </c>
      <c r="G48" s="384">
        <v>10</v>
      </c>
      <c r="H48" s="34">
        <f t="shared" si="4"/>
        <v>20</v>
      </c>
      <c r="I48" s="220" t="s">
        <v>1325</v>
      </c>
      <c r="J48" s="385">
        <v>1</v>
      </c>
      <c r="K48" s="385">
        <v>1</v>
      </c>
      <c r="L48" s="79">
        <f>SUM(J48/K48)*100</f>
        <v>100</v>
      </c>
      <c r="M48" s="128" t="s">
        <v>17</v>
      </c>
      <c r="N48" s="128" t="s">
        <v>17</v>
      </c>
      <c r="O48" s="128" t="s">
        <v>17</v>
      </c>
      <c r="P48" s="128" t="s">
        <v>17</v>
      </c>
      <c r="Q48" s="128" t="s">
        <v>17</v>
      </c>
      <c r="R48" s="128" t="s">
        <v>17</v>
      </c>
    </row>
    <row r="49" spans="1:18" ht="14.95" thickBot="1" x14ac:dyDescent="0.3">
      <c r="A49" s="76" t="s">
        <v>851</v>
      </c>
      <c r="B49" s="77">
        <v>2</v>
      </c>
      <c r="C49" s="382">
        <v>1</v>
      </c>
      <c r="D49" s="78">
        <f t="shared" si="3"/>
        <v>3</v>
      </c>
      <c r="E49" s="32" t="s">
        <v>1335</v>
      </c>
      <c r="F49" s="29">
        <v>0</v>
      </c>
      <c r="G49" s="384">
        <v>16</v>
      </c>
      <c r="H49" s="34">
        <f t="shared" si="4"/>
        <v>16</v>
      </c>
      <c r="I49" s="76" t="s">
        <v>1335</v>
      </c>
      <c r="J49" s="385">
        <v>3</v>
      </c>
      <c r="K49" s="385">
        <v>5</v>
      </c>
      <c r="L49" s="79">
        <f>SUM(J49/K49)*100</f>
        <v>60</v>
      </c>
      <c r="M49" s="128" t="s">
        <v>17</v>
      </c>
      <c r="N49" s="128" t="s">
        <v>17</v>
      </c>
      <c r="O49" s="128" t="s">
        <v>17</v>
      </c>
      <c r="P49" s="128" t="s">
        <v>17</v>
      </c>
      <c r="Q49" s="128" t="s">
        <v>17</v>
      </c>
      <c r="R49" s="128" t="s">
        <v>17</v>
      </c>
    </row>
    <row r="50" spans="1:18" ht="14.95" thickBot="1" x14ac:dyDescent="0.3">
      <c r="A50" s="76" t="s">
        <v>189</v>
      </c>
      <c r="B50" s="77">
        <v>1</v>
      </c>
      <c r="C50" s="382">
        <v>2</v>
      </c>
      <c r="D50" s="78">
        <f t="shared" si="3"/>
        <v>3</v>
      </c>
      <c r="E50" s="32" t="s">
        <v>678</v>
      </c>
      <c r="F50" s="29">
        <v>0</v>
      </c>
      <c r="G50" s="384">
        <v>15</v>
      </c>
      <c r="H50" s="34">
        <f t="shared" si="4"/>
        <v>15</v>
      </c>
      <c r="I50" s="76" t="s">
        <v>93</v>
      </c>
      <c r="J50" s="78" t="s">
        <v>17</v>
      </c>
      <c r="K50" s="78" t="s">
        <v>17</v>
      </c>
      <c r="L50" s="78" t="s">
        <v>17</v>
      </c>
      <c r="M50" s="128">
        <v>9</v>
      </c>
      <c r="N50" s="128">
        <v>13</v>
      </c>
      <c r="O50" s="231">
        <f>SUM(M50/N50)*100</f>
        <v>69.230769230769226</v>
      </c>
      <c r="P50" s="128">
        <v>11</v>
      </c>
      <c r="Q50" s="128">
        <v>17</v>
      </c>
      <c r="R50" s="231">
        <f>SUM(P50/Q50)*100</f>
        <v>64.705882352941174</v>
      </c>
    </row>
    <row r="51" spans="1:18" ht="14.95" thickBot="1" x14ac:dyDescent="0.3">
      <c r="A51" s="76" t="s">
        <v>1335</v>
      </c>
      <c r="B51" s="77">
        <v>0</v>
      </c>
      <c r="C51" s="382">
        <v>2</v>
      </c>
      <c r="D51" s="78">
        <f t="shared" si="3"/>
        <v>2</v>
      </c>
      <c r="E51" s="32" t="s">
        <v>851</v>
      </c>
      <c r="F51" s="29">
        <v>10</v>
      </c>
      <c r="G51" s="384">
        <v>5</v>
      </c>
      <c r="H51" s="34">
        <f t="shared" si="4"/>
        <v>15</v>
      </c>
      <c r="I51" s="76" t="s">
        <v>1327</v>
      </c>
      <c r="J51" s="385">
        <v>8</v>
      </c>
      <c r="K51" s="385">
        <v>9</v>
      </c>
      <c r="L51" s="79">
        <f>SUM(J51/K51)*100</f>
        <v>88.888888888888886</v>
      </c>
      <c r="M51" s="128"/>
      <c r="N51" s="128"/>
      <c r="O51" s="231"/>
      <c r="P51" s="128"/>
      <c r="Q51" s="128"/>
      <c r="R51" s="231"/>
    </row>
    <row r="52" spans="1:18" ht="14.95" thickBot="1" x14ac:dyDescent="0.3">
      <c r="A52" s="76" t="s">
        <v>679</v>
      </c>
      <c r="B52" s="77">
        <v>1</v>
      </c>
      <c r="C52" s="382">
        <v>1</v>
      </c>
      <c r="D52" s="78">
        <f t="shared" si="3"/>
        <v>2</v>
      </c>
      <c r="E52" s="32" t="s">
        <v>189</v>
      </c>
      <c r="F52" s="29">
        <v>5</v>
      </c>
      <c r="G52" s="384">
        <v>10</v>
      </c>
      <c r="H52" s="34">
        <f t="shared" si="4"/>
        <v>15</v>
      </c>
      <c r="I52" s="76" t="s">
        <v>187</v>
      </c>
      <c r="J52" s="78" t="s">
        <v>17</v>
      </c>
      <c r="K52" s="78" t="s">
        <v>17</v>
      </c>
      <c r="L52" s="78" t="s">
        <v>17</v>
      </c>
      <c r="M52" s="128">
        <v>6</v>
      </c>
      <c r="N52" s="128">
        <v>7</v>
      </c>
      <c r="O52" s="231">
        <f>SUM(M52/N52)*100</f>
        <v>85.714285714285708</v>
      </c>
      <c r="P52" s="128" t="s">
        <v>17</v>
      </c>
      <c r="Q52" s="128" t="s">
        <v>17</v>
      </c>
      <c r="R52" s="231" t="s">
        <v>17</v>
      </c>
    </row>
    <row r="53" spans="1:18" ht="14.95" thickBot="1" x14ac:dyDescent="0.3">
      <c r="A53" s="76" t="s">
        <v>308</v>
      </c>
      <c r="B53" s="77">
        <v>2</v>
      </c>
      <c r="C53" s="382">
        <v>0</v>
      </c>
      <c r="D53" s="78">
        <f t="shared" si="3"/>
        <v>2</v>
      </c>
      <c r="E53" s="32" t="s">
        <v>679</v>
      </c>
      <c r="F53" s="29">
        <v>5</v>
      </c>
      <c r="G53" s="384">
        <v>5</v>
      </c>
      <c r="H53" s="34">
        <f t="shared" si="4"/>
        <v>10</v>
      </c>
    </row>
    <row r="54" spans="1:18" ht="14.95" thickBot="1" x14ac:dyDescent="0.3">
      <c r="A54" s="76" t="s">
        <v>850</v>
      </c>
      <c r="B54" s="77">
        <v>1</v>
      </c>
      <c r="C54" s="382">
        <v>0</v>
      </c>
      <c r="D54" s="78">
        <f t="shared" si="3"/>
        <v>1</v>
      </c>
      <c r="E54" s="32" t="s">
        <v>308</v>
      </c>
      <c r="F54" s="29">
        <v>10</v>
      </c>
      <c r="G54" s="384">
        <v>0</v>
      </c>
      <c r="H54" s="34">
        <f t="shared" si="4"/>
        <v>10</v>
      </c>
    </row>
    <row r="55" spans="1:18" ht="14.95" thickBot="1" x14ac:dyDescent="0.3">
      <c r="A55" s="76" t="s">
        <v>1325</v>
      </c>
      <c r="B55" s="77">
        <v>0</v>
      </c>
      <c r="C55" s="382">
        <v>1</v>
      </c>
      <c r="D55" s="78">
        <f t="shared" si="3"/>
        <v>1</v>
      </c>
      <c r="E55" s="32" t="s">
        <v>1325</v>
      </c>
      <c r="F55" s="29">
        <v>0</v>
      </c>
      <c r="G55" s="384">
        <v>7</v>
      </c>
      <c r="H55" s="34">
        <f t="shared" si="4"/>
        <v>7</v>
      </c>
    </row>
    <row r="56" spans="1:18" ht="14.95" thickBot="1" x14ac:dyDescent="0.3">
      <c r="A56" s="76" t="s">
        <v>854</v>
      </c>
      <c r="B56" s="77">
        <v>0</v>
      </c>
      <c r="C56" s="382">
        <v>1</v>
      </c>
      <c r="D56" s="78">
        <f t="shared" si="3"/>
        <v>1</v>
      </c>
      <c r="E56" s="32" t="s">
        <v>850</v>
      </c>
      <c r="F56" s="29">
        <v>5</v>
      </c>
      <c r="G56" s="384">
        <v>0</v>
      </c>
      <c r="H56" s="34">
        <f t="shared" si="4"/>
        <v>5</v>
      </c>
    </row>
    <row r="57" spans="1:18" ht="14.95" thickBot="1" x14ac:dyDescent="0.3">
      <c r="A57" s="76" t="s">
        <v>1323</v>
      </c>
      <c r="B57" s="77">
        <v>0</v>
      </c>
      <c r="C57" s="382">
        <v>1</v>
      </c>
      <c r="D57" s="78">
        <f t="shared" si="3"/>
        <v>1</v>
      </c>
      <c r="E57" s="32" t="s">
        <v>854</v>
      </c>
      <c r="F57" s="29">
        <v>0</v>
      </c>
      <c r="G57" s="384">
        <v>5</v>
      </c>
      <c r="H57" s="34">
        <f t="shared" si="4"/>
        <v>5</v>
      </c>
    </row>
    <row r="58" spans="1:18" ht="14.95" thickBot="1" x14ac:dyDescent="0.3">
      <c r="A58" s="76" t="s">
        <v>1324</v>
      </c>
      <c r="B58" s="77">
        <v>0</v>
      </c>
      <c r="C58" s="382">
        <v>1</v>
      </c>
      <c r="D58" s="78">
        <f t="shared" si="3"/>
        <v>1</v>
      </c>
      <c r="E58" s="32" t="s">
        <v>1324</v>
      </c>
      <c r="F58" s="29">
        <v>0</v>
      </c>
      <c r="G58" s="384">
        <v>5</v>
      </c>
      <c r="H58" s="34">
        <f t="shared" si="4"/>
        <v>5</v>
      </c>
    </row>
    <row r="59" spans="1:18" ht="14.95" thickBot="1" x14ac:dyDescent="0.3">
      <c r="A59" s="76" t="s">
        <v>1439</v>
      </c>
      <c r="B59" s="77">
        <v>1</v>
      </c>
      <c r="C59" s="382">
        <v>0</v>
      </c>
      <c r="D59" s="78">
        <f t="shared" si="3"/>
        <v>1</v>
      </c>
      <c r="E59" s="32" t="s">
        <v>1439</v>
      </c>
      <c r="F59" s="29">
        <v>5</v>
      </c>
      <c r="G59" s="384">
        <v>0</v>
      </c>
      <c r="H59" s="34">
        <f t="shared" si="4"/>
        <v>5</v>
      </c>
    </row>
    <row r="60" spans="1:18" ht="14.95" thickBot="1" x14ac:dyDescent="0.3">
      <c r="A60" s="76" t="s">
        <v>849</v>
      </c>
      <c r="B60" s="77">
        <v>1</v>
      </c>
      <c r="C60" s="382">
        <v>0</v>
      </c>
      <c r="D60" s="78">
        <f t="shared" si="3"/>
        <v>1</v>
      </c>
      <c r="E60" s="32" t="s">
        <v>849</v>
      </c>
      <c r="F60" s="29">
        <v>5</v>
      </c>
      <c r="G60" s="384">
        <v>0</v>
      </c>
      <c r="H60" s="34">
        <f t="shared" si="4"/>
        <v>5</v>
      </c>
    </row>
    <row r="61" spans="1:18" ht="14.95" thickBot="1" x14ac:dyDescent="0.3">
      <c r="A61" s="76" t="s">
        <v>301</v>
      </c>
      <c r="B61" s="77">
        <v>0</v>
      </c>
      <c r="C61" s="382">
        <v>1</v>
      </c>
      <c r="D61" s="78">
        <f t="shared" si="3"/>
        <v>1</v>
      </c>
      <c r="E61" s="32" t="s">
        <v>301</v>
      </c>
      <c r="F61" s="29">
        <v>0</v>
      </c>
      <c r="G61" s="384">
        <v>5</v>
      </c>
      <c r="H61" s="34">
        <f t="shared" si="4"/>
        <v>5</v>
      </c>
    </row>
    <row r="62" spans="1:18" ht="14.95" thickBot="1" x14ac:dyDescent="0.3">
      <c r="A62" s="76" t="s">
        <v>1397</v>
      </c>
      <c r="B62" s="77">
        <v>1</v>
      </c>
      <c r="C62" s="382">
        <v>0</v>
      </c>
      <c r="D62" s="78">
        <f t="shared" si="3"/>
        <v>1</v>
      </c>
      <c r="E62" s="32" t="s">
        <v>1397</v>
      </c>
      <c r="F62" s="29">
        <v>5</v>
      </c>
      <c r="G62" s="384">
        <v>0</v>
      </c>
      <c r="H62" s="34">
        <f t="shared" si="4"/>
        <v>5</v>
      </c>
    </row>
    <row r="63" spans="1:18" ht="14.95" thickBot="1" x14ac:dyDescent="0.3">
      <c r="A63" s="76" t="s">
        <v>848</v>
      </c>
      <c r="B63" s="77">
        <v>0</v>
      </c>
      <c r="C63" s="382">
        <v>0</v>
      </c>
      <c r="D63" s="78">
        <f t="shared" si="3"/>
        <v>0</v>
      </c>
      <c r="E63" s="32" t="s">
        <v>848</v>
      </c>
      <c r="F63" s="29">
        <v>0</v>
      </c>
      <c r="G63" s="384">
        <v>0</v>
      </c>
      <c r="H63" s="34">
        <f t="shared" si="4"/>
        <v>0</v>
      </c>
    </row>
    <row r="64" spans="1:18" ht="14.95" thickBot="1" x14ac:dyDescent="0.3">
      <c r="A64" s="76" t="s">
        <v>846</v>
      </c>
      <c r="B64" s="77">
        <v>0</v>
      </c>
      <c r="C64" s="382">
        <v>0</v>
      </c>
      <c r="D64" s="78">
        <f t="shared" si="3"/>
        <v>0</v>
      </c>
      <c r="E64" s="32" t="s">
        <v>846</v>
      </c>
      <c r="F64" s="29">
        <v>0</v>
      </c>
      <c r="G64" s="384">
        <v>0</v>
      </c>
      <c r="H64" s="34">
        <f t="shared" si="4"/>
        <v>0</v>
      </c>
    </row>
    <row r="65" spans="1:8" ht="14.95" thickBot="1" x14ac:dyDescent="0.3">
      <c r="A65" s="76" t="s">
        <v>93</v>
      </c>
      <c r="B65" s="77">
        <v>0</v>
      </c>
      <c r="C65" s="382">
        <v>0</v>
      </c>
      <c r="D65" s="78">
        <f t="shared" si="3"/>
        <v>0</v>
      </c>
      <c r="E65" s="32" t="s">
        <v>93</v>
      </c>
      <c r="F65" s="29">
        <v>0</v>
      </c>
      <c r="G65" s="384">
        <v>0</v>
      </c>
      <c r="H65" s="34">
        <f t="shared" si="4"/>
        <v>0</v>
      </c>
    </row>
    <row r="66" spans="1:8" ht="14.95" thickBot="1" x14ac:dyDescent="0.3">
      <c r="A66" s="76" t="s">
        <v>852</v>
      </c>
      <c r="B66" s="77">
        <v>0</v>
      </c>
      <c r="C66" s="382">
        <v>0</v>
      </c>
      <c r="D66" s="78">
        <f t="shared" si="3"/>
        <v>0</v>
      </c>
      <c r="E66" s="32" t="s">
        <v>853</v>
      </c>
      <c r="F66" s="29">
        <v>0</v>
      </c>
      <c r="G66" s="384">
        <v>0</v>
      </c>
      <c r="H66" s="34">
        <f t="shared" si="4"/>
        <v>0</v>
      </c>
    </row>
    <row r="67" spans="1:8" ht="14.95" thickBot="1" x14ac:dyDescent="0.3">
      <c r="A67" s="76" t="s">
        <v>523</v>
      </c>
      <c r="B67" s="77">
        <v>0</v>
      </c>
      <c r="C67" s="382">
        <v>0</v>
      </c>
      <c r="D67" s="78">
        <f t="shared" si="3"/>
        <v>0</v>
      </c>
      <c r="E67" s="32" t="s">
        <v>523</v>
      </c>
      <c r="F67" s="29">
        <v>0</v>
      </c>
      <c r="G67" s="384">
        <v>0</v>
      </c>
      <c r="H67" s="34">
        <f t="shared" si="4"/>
        <v>0</v>
      </c>
    </row>
    <row r="68" spans="1:8" ht="14.95" thickBot="1" x14ac:dyDescent="0.3">
      <c r="A68" s="76" t="s">
        <v>142</v>
      </c>
      <c r="B68" s="77">
        <v>0</v>
      </c>
      <c r="C68" s="382">
        <v>0</v>
      </c>
      <c r="D68" s="78">
        <f t="shared" si="3"/>
        <v>0</v>
      </c>
      <c r="E68" s="32" t="s">
        <v>142</v>
      </c>
      <c r="F68" s="29">
        <v>0</v>
      </c>
      <c r="G68" s="384">
        <v>0</v>
      </c>
      <c r="H68" s="34">
        <f t="shared" si="4"/>
        <v>0</v>
      </c>
    </row>
    <row r="69" spans="1:8" ht="14.95" thickBot="1" x14ac:dyDescent="0.3">
      <c r="A69" s="76" t="s">
        <v>143</v>
      </c>
      <c r="B69" s="77">
        <v>0</v>
      </c>
      <c r="C69" s="382">
        <v>0</v>
      </c>
      <c r="D69" s="78">
        <f t="shared" si="3"/>
        <v>0</v>
      </c>
      <c r="E69" s="32" t="s">
        <v>143</v>
      </c>
      <c r="F69" s="29">
        <v>0</v>
      </c>
      <c r="G69" s="384">
        <v>0</v>
      </c>
      <c r="H69" s="34">
        <f t="shared" si="4"/>
        <v>0</v>
      </c>
    </row>
    <row r="70" spans="1:8" ht="14.95" thickBot="1" x14ac:dyDescent="0.3">
      <c r="A70" s="76" t="s">
        <v>430</v>
      </c>
      <c r="B70" s="77">
        <v>0</v>
      </c>
      <c r="C70" s="382">
        <v>0</v>
      </c>
      <c r="D70" s="78">
        <f t="shared" si="3"/>
        <v>0</v>
      </c>
      <c r="E70" s="32" t="s">
        <v>430</v>
      </c>
      <c r="F70" s="29">
        <v>0</v>
      </c>
      <c r="G70" s="384">
        <v>0</v>
      </c>
      <c r="H70" s="34">
        <f t="shared" si="4"/>
        <v>0</v>
      </c>
    </row>
    <row r="71" spans="1:8" ht="14.95" thickBot="1" x14ac:dyDescent="0.3">
      <c r="A71" s="76" t="s">
        <v>309</v>
      </c>
      <c r="B71" s="77">
        <v>0</v>
      </c>
      <c r="C71" s="382">
        <v>0</v>
      </c>
      <c r="D71" s="78">
        <f t="shared" si="3"/>
        <v>0</v>
      </c>
      <c r="E71" s="32" t="s">
        <v>309</v>
      </c>
      <c r="F71" s="29">
        <v>0</v>
      </c>
      <c r="G71" s="384">
        <v>0</v>
      </c>
      <c r="H71" s="34">
        <f t="shared" si="4"/>
        <v>0</v>
      </c>
    </row>
    <row r="72" spans="1:8" ht="14.95" thickBot="1" x14ac:dyDescent="0.3">
      <c r="A72" s="76" t="s">
        <v>95</v>
      </c>
      <c r="B72" s="77">
        <v>0</v>
      </c>
      <c r="C72" s="382">
        <v>0</v>
      </c>
      <c r="D72" s="78">
        <f t="shared" si="3"/>
        <v>0</v>
      </c>
      <c r="E72" s="32" t="s">
        <v>95</v>
      </c>
      <c r="F72" s="29">
        <v>0</v>
      </c>
      <c r="G72" s="384">
        <v>0</v>
      </c>
      <c r="H72" s="34">
        <f t="shared" si="4"/>
        <v>0</v>
      </c>
    </row>
    <row r="73" spans="1:8" ht="14.95" thickBot="1" x14ac:dyDescent="0.3">
      <c r="A73" s="76" t="s">
        <v>847</v>
      </c>
      <c r="B73" s="77">
        <v>0</v>
      </c>
      <c r="C73" s="382">
        <v>0</v>
      </c>
      <c r="D73" s="78">
        <f t="shared" si="3"/>
        <v>0</v>
      </c>
      <c r="E73" s="32" t="s">
        <v>847</v>
      </c>
      <c r="F73" s="29">
        <v>0</v>
      </c>
      <c r="G73" s="384">
        <v>0</v>
      </c>
      <c r="H73" s="34">
        <f t="shared" si="4"/>
        <v>0</v>
      </c>
    </row>
    <row r="74" spans="1:8" ht="14.95" thickBot="1" x14ac:dyDescent="0.3">
      <c r="A74" s="76" t="s">
        <v>4</v>
      </c>
      <c r="B74" s="77">
        <v>0</v>
      </c>
      <c r="C74" s="382">
        <v>0</v>
      </c>
      <c r="D74" s="78">
        <f t="shared" si="3"/>
        <v>0</v>
      </c>
      <c r="E74" s="32" t="s">
        <v>4</v>
      </c>
      <c r="F74" s="29">
        <v>0</v>
      </c>
      <c r="G74" s="384">
        <v>0</v>
      </c>
      <c r="H74" s="34">
        <f t="shared" si="4"/>
        <v>0</v>
      </c>
    </row>
    <row r="75" spans="1:8" ht="14.95" thickBot="1" x14ac:dyDescent="0.3">
      <c r="A75" s="76" t="s">
        <v>163</v>
      </c>
      <c r="B75" s="77">
        <v>0</v>
      </c>
      <c r="C75" s="382">
        <v>0</v>
      </c>
      <c r="D75" s="78">
        <f t="shared" si="3"/>
        <v>0</v>
      </c>
      <c r="E75" s="32" t="s">
        <v>96</v>
      </c>
      <c r="F75" s="29">
        <v>0</v>
      </c>
      <c r="G75" s="384">
        <v>0</v>
      </c>
      <c r="H75" s="34">
        <f t="shared" si="4"/>
        <v>0</v>
      </c>
    </row>
    <row r="76" spans="1:8" ht="14.95" thickBot="1" x14ac:dyDescent="0.3">
      <c r="A76" s="76" t="s">
        <v>97</v>
      </c>
      <c r="B76" s="77">
        <v>0</v>
      </c>
      <c r="C76" s="382">
        <v>0</v>
      </c>
      <c r="D76" s="78">
        <f t="shared" si="3"/>
        <v>0</v>
      </c>
      <c r="E76" s="32" t="s">
        <v>97</v>
      </c>
      <c r="F76" s="29">
        <v>0</v>
      </c>
      <c r="G76" s="384">
        <v>0</v>
      </c>
      <c r="H76" s="34">
        <f t="shared" si="4"/>
        <v>0</v>
      </c>
    </row>
    <row r="77" spans="1:8" ht="14.95" thickBot="1" x14ac:dyDescent="0.3">
      <c r="A77" s="76" t="s">
        <v>144</v>
      </c>
      <c r="B77" s="77">
        <v>0</v>
      </c>
      <c r="C77" s="382">
        <v>0</v>
      </c>
      <c r="D77" s="78">
        <f t="shared" si="3"/>
        <v>0</v>
      </c>
      <c r="E77" s="32" t="s">
        <v>144</v>
      </c>
      <c r="F77" s="29">
        <v>0</v>
      </c>
      <c r="G77" s="384">
        <v>0</v>
      </c>
      <c r="H77" s="34">
        <f t="shared" si="4"/>
        <v>0</v>
      </c>
    </row>
    <row r="78" spans="1:8" ht="14.95" thickBot="1" x14ac:dyDescent="0.3">
      <c r="A78" s="76" t="s">
        <v>680</v>
      </c>
      <c r="B78" s="77">
        <v>0</v>
      </c>
      <c r="C78" s="382">
        <v>0</v>
      </c>
      <c r="D78" s="78">
        <f t="shared" si="3"/>
        <v>0</v>
      </c>
      <c r="E78" s="32" t="s">
        <v>680</v>
      </c>
      <c r="F78" s="29">
        <v>0</v>
      </c>
      <c r="G78" s="384">
        <v>0</v>
      </c>
      <c r="H78" s="34">
        <f t="shared" si="4"/>
        <v>0</v>
      </c>
    </row>
    <row r="79" spans="1:8" ht="14.95" thickBot="1" x14ac:dyDescent="0.3">
      <c r="A79" s="76" t="s">
        <v>3</v>
      </c>
      <c r="B79" s="77">
        <f>SUM(B43:B78)</f>
        <v>20</v>
      </c>
      <c r="C79" s="382">
        <f>SUM(C43:C78)</f>
        <v>24</v>
      </c>
      <c r="D79" s="78">
        <f t="shared" ref="D79" si="5">SUM(B79:C79)</f>
        <v>44</v>
      </c>
      <c r="E79" s="33" t="s">
        <v>3</v>
      </c>
      <c r="F79" s="29">
        <f>SUM(F43:F78)</f>
        <v>133</v>
      </c>
      <c r="G79" s="384">
        <f>SUM(G43:G78)</f>
        <v>173</v>
      </c>
      <c r="H79" s="34">
        <f t="shared" ref="H79" si="6">SUM(F79:G79)</f>
        <v>306</v>
      </c>
    </row>
    <row r="80" spans="1:8" x14ac:dyDescent="0.25">
      <c r="A80" s="782"/>
      <c r="B80" s="771"/>
      <c r="C80" s="771"/>
      <c r="D80" s="771"/>
      <c r="E80" s="771"/>
    </row>
    <row r="81" spans="1:1" ht="16.3" x14ac:dyDescent="0.3">
      <c r="A81" s="487" t="s">
        <v>28</v>
      </c>
    </row>
  </sheetData>
  <sortState xmlns:xlrd2="http://schemas.microsoft.com/office/spreadsheetml/2017/richdata2" ref="E43:H78">
    <sortCondition descending="1" ref="H43:H78"/>
  </sortState>
  <mergeCells count="33">
    <mergeCell ref="AM1:AO2"/>
    <mergeCell ref="AG1:AI2"/>
    <mergeCell ref="X1:Z2"/>
    <mergeCell ref="AD1:AF2"/>
    <mergeCell ref="T1:V2"/>
    <mergeCell ref="I44:I45"/>
    <mergeCell ref="M44:O45"/>
    <mergeCell ref="A40:H40"/>
    <mergeCell ref="M16:O17"/>
    <mergeCell ref="AJ1:AL2"/>
    <mergeCell ref="P44:R45"/>
    <mergeCell ref="P31:R32"/>
    <mergeCell ref="M1:O2"/>
    <mergeCell ref="P1:P2"/>
    <mergeCell ref="AA1:AC2"/>
    <mergeCell ref="Q1:S2"/>
    <mergeCell ref="M31:O32"/>
    <mergeCell ref="A80:E80"/>
    <mergeCell ref="M24:O25"/>
    <mergeCell ref="A1:H1"/>
    <mergeCell ref="I16:I17"/>
    <mergeCell ref="J16:L17"/>
    <mergeCell ref="I1:I2"/>
    <mergeCell ref="J1:L2"/>
    <mergeCell ref="I15:S15"/>
    <mergeCell ref="P16:R17"/>
    <mergeCell ref="I38:I39"/>
    <mergeCell ref="J38:L39"/>
    <mergeCell ref="J44:L45"/>
    <mergeCell ref="I31:I32"/>
    <mergeCell ref="J31:L32"/>
    <mergeCell ref="I24:I25"/>
    <mergeCell ref="J24:L25"/>
  </mergeCells>
  <pageMargins left="0.7" right="0.7" top="0.75" bottom="0.75" header="0.3" footer="0.3"/>
  <pageSetup paperSize="9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AY92"/>
  <sheetViews>
    <sheetView workbookViewId="0">
      <selection activeCell="K21" sqref="K21"/>
    </sheetView>
  </sheetViews>
  <sheetFormatPr defaultRowHeight="14.3" x14ac:dyDescent="0.25"/>
  <cols>
    <col min="1" max="1" width="16.5" customWidth="1"/>
    <col min="2" max="3" width="4.5" customWidth="1"/>
    <col min="4" max="4" width="4.625" customWidth="1"/>
    <col min="5" max="5" width="16.5" customWidth="1"/>
    <col min="6" max="7" width="4.5" customWidth="1"/>
    <col min="8" max="8" width="4.625" customWidth="1"/>
    <col min="9" max="9" width="14.5" customWidth="1"/>
    <col min="10" max="27" width="5.5" customWidth="1"/>
    <col min="28" max="48" width="5.625" customWidth="1"/>
  </cols>
  <sheetData>
    <row r="1" spans="1:51" ht="17" thickBot="1" x14ac:dyDescent="0.35">
      <c r="A1" s="772" t="s">
        <v>1457</v>
      </c>
      <c r="B1" s="773"/>
      <c r="C1" s="773"/>
      <c r="D1" s="773"/>
      <c r="E1" s="773"/>
      <c r="F1" s="773"/>
      <c r="G1" s="773"/>
      <c r="H1" s="774"/>
      <c r="I1" s="639" t="s">
        <v>112</v>
      </c>
      <c r="J1" s="583">
        <v>2026</v>
      </c>
      <c r="K1" s="584"/>
      <c r="L1" s="585"/>
      <c r="M1" s="583" t="s">
        <v>32</v>
      </c>
      <c r="N1" s="584"/>
      <c r="O1" s="585"/>
      <c r="P1" s="579" t="s">
        <v>121</v>
      </c>
      <c r="Q1" s="568">
        <v>2025</v>
      </c>
      <c r="R1" s="569"/>
      <c r="S1" s="570"/>
      <c r="T1" s="568">
        <v>2024</v>
      </c>
      <c r="U1" s="569"/>
      <c r="V1" s="570"/>
      <c r="W1" s="121"/>
      <c r="X1" s="244"/>
      <c r="Y1" s="568">
        <v>2023</v>
      </c>
      <c r="Z1" s="569"/>
      <c r="AA1" s="570"/>
      <c r="AB1" s="568">
        <v>2022</v>
      </c>
      <c r="AC1" s="569"/>
      <c r="AD1" s="570"/>
      <c r="AE1" s="568">
        <v>2021</v>
      </c>
      <c r="AF1" s="569"/>
      <c r="AG1" s="570"/>
      <c r="AH1" s="557">
        <v>2020</v>
      </c>
      <c r="AI1" s="563"/>
      <c r="AJ1" s="564"/>
      <c r="AK1" s="557">
        <v>2019</v>
      </c>
      <c r="AL1" s="563"/>
      <c r="AM1" s="564"/>
      <c r="AN1" s="568">
        <v>2018</v>
      </c>
      <c r="AO1" s="569"/>
      <c r="AP1" s="570"/>
      <c r="AQ1" s="557">
        <v>2017</v>
      </c>
      <c r="AR1" s="558"/>
      <c r="AS1" s="559"/>
      <c r="AT1" s="557">
        <v>2016</v>
      </c>
      <c r="AU1" s="563"/>
      <c r="AV1" s="564"/>
    </row>
    <row r="2" spans="1:51" ht="14.95" customHeight="1" thickBot="1" x14ac:dyDescent="0.3">
      <c r="A2" s="186" t="s">
        <v>0</v>
      </c>
      <c r="B2" s="223" t="s">
        <v>36</v>
      </c>
      <c r="C2" s="516" t="s">
        <v>1447</v>
      </c>
      <c r="D2" s="187" t="s">
        <v>1</v>
      </c>
      <c r="E2" s="175" t="s">
        <v>2</v>
      </c>
      <c r="F2" s="176" t="s">
        <v>36</v>
      </c>
      <c r="G2" s="383" t="s">
        <v>1447</v>
      </c>
      <c r="H2" s="178" t="s">
        <v>1</v>
      </c>
      <c r="I2" s="640"/>
      <c r="J2" s="586"/>
      <c r="K2" s="587"/>
      <c r="L2" s="588"/>
      <c r="M2" s="586"/>
      <c r="N2" s="587"/>
      <c r="O2" s="588"/>
      <c r="P2" s="580"/>
      <c r="Q2" s="571"/>
      <c r="R2" s="572"/>
      <c r="S2" s="573"/>
      <c r="T2" s="571"/>
      <c r="U2" s="572"/>
      <c r="V2" s="573"/>
      <c r="W2" s="121"/>
      <c r="X2" s="244"/>
      <c r="Y2" s="571"/>
      <c r="Z2" s="572"/>
      <c r="AA2" s="573"/>
      <c r="AB2" s="571"/>
      <c r="AC2" s="572"/>
      <c r="AD2" s="573"/>
      <c r="AE2" s="571"/>
      <c r="AF2" s="572"/>
      <c r="AG2" s="573"/>
      <c r="AH2" s="565"/>
      <c r="AI2" s="566"/>
      <c r="AJ2" s="567"/>
      <c r="AK2" s="565"/>
      <c r="AL2" s="566"/>
      <c r="AM2" s="567"/>
      <c r="AN2" s="571"/>
      <c r="AO2" s="572"/>
      <c r="AP2" s="573"/>
      <c r="AQ2" s="560"/>
      <c r="AR2" s="561"/>
      <c r="AS2" s="562"/>
      <c r="AT2" s="565"/>
      <c r="AU2" s="566"/>
      <c r="AV2" s="567"/>
    </row>
    <row r="3" spans="1:51" ht="14.95" customHeight="1" thickBot="1" x14ac:dyDescent="0.3">
      <c r="A3" s="72" t="s">
        <v>224</v>
      </c>
      <c r="B3" s="74">
        <v>2</v>
      </c>
      <c r="C3" s="548">
        <v>0</v>
      </c>
      <c r="D3" s="73">
        <f t="shared" ref="D3:D45" si="0">SUM(B3:C3)</f>
        <v>2</v>
      </c>
      <c r="E3" s="26" t="s">
        <v>224</v>
      </c>
      <c r="F3" s="28">
        <v>10</v>
      </c>
      <c r="G3" s="384">
        <v>0</v>
      </c>
      <c r="H3" s="27">
        <f t="shared" ref="H3:H45" si="1">SUM(F3:G3)</f>
        <v>10</v>
      </c>
      <c r="I3" s="4"/>
      <c r="J3" s="1" t="s">
        <v>152</v>
      </c>
      <c r="K3" s="1" t="s">
        <v>12</v>
      </c>
      <c r="L3" s="1" t="s">
        <v>13</v>
      </c>
      <c r="M3" s="183" t="s">
        <v>152</v>
      </c>
      <c r="N3" s="1" t="s">
        <v>12</v>
      </c>
      <c r="O3" s="1" t="s">
        <v>13</v>
      </c>
      <c r="P3" s="1"/>
      <c r="Q3" s="128" t="s">
        <v>152</v>
      </c>
      <c r="R3" s="128" t="s">
        <v>12</v>
      </c>
      <c r="S3" s="128" t="s">
        <v>13</v>
      </c>
      <c r="T3" s="128" t="s">
        <v>152</v>
      </c>
      <c r="U3" s="128" t="s">
        <v>12</v>
      </c>
      <c r="V3" s="128" t="s">
        <v>13</v>
      </c>
      <c r="W3" s="121"/>
      <c r="X3" s="244"/>
      <c r="Y3" s="128" t="s">
        <v>152</v>
      </c>
      <c r="Z3" s="128" t="s">
        <v>12</v>
      </c>
      <c r="AA3" s="128" t="s">
        <v>13</v>
      </c>
      <c r="AB3" s="228" t="s">
        <v>152</v>
      </c>
      <c r="AC3" s="128" t="s">
        <v>12</v>
      </c>
      <c r="AD3" s="128" t="s">
        <v>13</v>
      </c>
      <c r="AE3" s="128" t="s">
        <v>152</v>
      </c>
      <c r="AF3" s="128" t="s">
        <v>12</v>
      </c>
      <c r="AG3" s="128" t="s">
        <v>13</v>
      </c>
      <c r="AH3" s="171" t="s">
        <v>152</v>
      </c>
      <c r="AI3" s="119" t="s">
        <v>12</v>
      </c>
      <c r="AJ3" s="119" t="s">
        <v>13</v>
      </c>
      <c r="AK3" s="171" t="s">
        <v>152</v>
      </c>
      <c r="AL3" s="119" t="s">
        <v>12</v>
      </c>
      <c r="AM3" s="119" t="s">
        <v>13</v>
      </c>
      <c r="AN3" s="228" t="s">
        <v>152</v>
      </c>
      <c r="AO3" s="128" t="s">
        <v>12</v>
      </c>
      <c r="AP3" s="128" t="s">
        <v>13</v>
      </c>
      <c r="AQ3" s="171" t="s">
        <v>152</v>
      </c>
      <c r="AR3" s="119" t="s">
        <v>12</v>
      </c>
      <c r="AS3" s="119" t="s">
        <v>13</v>
      </c>
      <c r="AT3" s="171" t="s">
        <v>152</v>
      </c>
      <c r="AU3" s="119" t="s">
        <v>12</v>
      </c>
      <c r="AV3" s="119" t="s">
        <v>13</v>
      </c>
    </row>
    <row r="4" spans="1:51" ht="14.95" thickBot="1" x14ac:dyDescent="0.3">
      <c r="A4" s="72" t="s">
        <v>107</v>
      </c>
      <c r="B4" s="74">
        <v>0</v>
      </c>
      <c r="C4" s="548">
        <v>0</v>
      </c>
      <c r="D4" s="73">
        <f t="shared" si="0"/>
        <v>0</v>
      </c>
      <c r="E4" s="26" t="s">
        <v>107</v>
      </c>
      <c r="F4" s="28">
        <v>0</v>
      </c>
      <c r="G4" s="384">
        <v>0</v>
      </c>
      <c r="H4" s="27">
        <f t="shared" si="1"/>
        <v>0</v>
      </c>
      <c r="I4" s="72" t="s">
        <v>107</v>
      </c>
      <c r="J4" s="73" t="s">
        <v>17</v>
      </c>
      <c r="K4" s="73" t="s">
        <v>17</v>
      </c>
      <c r="L4" s="80" t="s">
        <v>17</v>
      </c>
      <c r="M4" s="73" t="s">
        <v>17</v>
      </c>
      <c r="N4" s="73" t="s">
        <v>17</v>
      </c>
      <c r="O4" s="80" t="s">
        <v>17</v>
      </c>
      <c r="P4" s="73">
        <v>1</v>
      </c>
      <c r="Q4" s="128">
        <v>5</v>
      </c>
      <c r="R4" s="128">
        <v>7</v>
      </c>
      <c r="S4" s="128">
        <v>71</v>
      </c>
      <c r="T4" s="128">
        <v>4</v>
      </c>
      <c r="U4" s="128">
        <v>4</v>
      </c>
      <c r="V4" s="128">
        <f>SUM(T4/U4)*100</f>
        <v>100</v>
      </c>
      <c r="W4" s="121"/>
      <c r="X4" s="244"/>
      <c r="Y4" s="128">
        <v>7</v>
      </c>
      <c r="Z4" s="128">
        <v>9</v>
      </c>
      <c r="AA4" s="128">
        <v>73</v>
      </c>
      <c r="AB4" s="228">
        <v>16</v>
      </c>
      <c r="AC4" s="128">
        <v>16</v>
      </c>
      <c r="AD4" s="128">
        <v>100</v>
      </c>
      <c r="AE4" s="128">
        <v>2</v>
      </c>
      <c r="AF4" s="128">
        <v>2</v>
      </c>
      <c r="AG4" s="128">
        <v>100</v>
      </c>
      <c r="AH4" s="228" t="s">
        <v>17</v>
      </c>
      <c r="AI4" s="128" t="s">
        <v>17</v>
      </c>
      <c r="AJ4" s="231" t="s">
        <v>17</v>
      </c>
      <c r="AK4" s="228">
        <v>17</v>
      </c>
      <c r="AL4" s="128">
        <v>21</v>
      </c>
      <c r="AM4" s="231">
        <f>SUM(AK4/AL4)*100</f>
        <v>80.952380952380949</v>
      </c>
      <c r="AN4" s="228">
        <v>11</v>
      </c>
      <c r="AO4" s="128">
        <v>15</v>
      </c>
      <c r="AP4" s="231">
        <f>SUM(AN4/AO4)*100</f>
        <v>73.333333333333329</v>
      </c>
      <c r="AQ4" s="228" t="s">
        <v>17</v>
      </c>
      <c r="AR4" s="128" t="s">
        <v>17</v>
      </c>
      <c r="AS4" s="128" t="s">
        <v>17</v>
      </c>
      <c r="AT4" s="228" t="s">
        <v>17</v>
      </c>
      <c r="AU4" s="128" t="s">
        <v>17</v>
      </c>
      <c r="AV4" s="128" t="s">
        <v>17</v>
      </c>
    </row>
    <row r="5" spans="1:51" ht="14.95" thickBot="1" x14ac:dyDescent="0.3">
      <c r="A5" s="72" t="s">
        <v>391</v>
      </c>
      <c r="B5" s="74">
        <v>0</v>
      </c>
      <c r="C5" s="548">
        <v>0</v>
      </c>
      <c r="D5" s="73">
        <f t="shared" si="0"/>
        <v>0</v>
      </c>
      <c r="E5" s="26" t="s">
        <v>391</v>
      </c>
      <c r="F5" s="28">
        <v>0</v>
      </c>
      <c r="G5" s="384">
        <v>0</v>
      </c>
      <c r="H5" s="27">
        <f t="shared" si="1"/>
        <v>0</v>
      </c>
      <c r="I5" s="72" t="s">
        <v>804</v>
      </c>
      <c r="J5" s="73">
        <v>4</v>
      </c>
      <c r="K5" s="73">
        <v>4</v>
      </c>
      <c r="L5" s="80">
        <f>SUM(J5/K5)*100</f>
        <v>100</v>
      </c>
      <c r="M5" s="73" t="s">
        <v>17</v>
      </c>
      <c r="N5" s="73" t="s">
        <v>17</v>
      </c>
      <c r="O5" s="80" t="s">
        <v>17</v>
      </c>
      <c r="P5" s="73">
        <v>4</v>
      </c>
      <c r="Q5" s="128">
        <v>1</v>
      </c>
      <c r="R5" s="128">
        <v>2</v>
      </c>
      <c r="S5" s="231">
        <v>50</v>
      </c>
      <c r="T5" s="128">
        <v>10</v>
      </c>
      <c r="U5" s="128">
        <v>13</v>
      </c>
      <c r="V5" s="231">
        <f>SUM(T5/U5)*100</f>
        <v>76.923076923076934</v>
      </c>
      <c r="W5" s="121"/>
      <c r="X5" s="244"/>
      <c r="Y5" s="128">
        <v>10</v>
      </c>
      <c r="Z5" s="128">
        <v>12</v>
      </c>
      <c r="AA5" s="231">
        <f>SUM(Y5/Z5)*100</f>
        <v>83.333333333333343</v>
      </c>
      <c r="AB5" s="228" t="s">
        <v>17</v>
      </c>
      <c r="AC5" s="128" t="s">
        <v>17</v>
      </c>
      <c r="AD5" s="231" t="s">
        <v>17</v>
      </c>
      <c r="AE5" s="128" t="s">
        <v>17</v>
      </c>
      <c r="AF5" s="128" t="s">
        <v>17</v>
      </c>
      <c r="AG5" s="231" t="s">
        <v>17</v>
      </c>
      <c r="AH5" s="128" t="s">
        <v>17</v>
      </c>
      <c r="AI5" s="128" t="s">
        <v>17</v>
      </c>
      <c r="AJ5" s="231" t="s">
        <v>17</v>
      </c>
      <c r="AK5" s="128" t="s">
        <v>17</v>
      </c>
      <c r="AL5" s="128" t="s">
        <v>17</v>
      </c>
      <c r="AM5" s="231" t="s">
        <v>17</v>
      </c>
      <c r="AN5" s="128" t="s">
        <v>17</v>
      </c>
      <c r="AO5" s="128" t="s">
        <v>17</v>
      </c>
      <c r="AP5" s="231" t="s">
        <v>17</v>
      </c>
      <c r="AQ5" s="128" t="s">
        <v>17</v>
      </c>
      <c r="AR5" s="128" t="s">
        <v>17</v>
      </c>
      <c r="AS5" s="231" t="s">
        <v>17</v>
      </c>
      <c r="AT5" s="128" t="s">
        <v>17</v>
      </c>
      <c r="AU5" s="128" t="s">
        <v>17</v>
      </c>
      <c r="AV5" s="231" t="s">
        <v>17</v>
      </c>
    </row>
    <row r="6" spans="1:51" ht="14.95" thickBot="1" x14ac:dyDescent="0.3">
      <c r="A6" s="72" t="s">
        <v>797</v>
      </c>
      <c r="B6" s="74">
        <v>0</v>
      </c>
      <c r="C6" s="548">
        <v>0</v>
      </c>
      <c r="D6" s="73">
        <f t="shared" si="0"/>
        <v>0</v>
      </c>
      <c r="E6" s="26" t="s">
        <v>797</v>
      </c>
      <c r="F6" s="28">
        <v>0</v>
      </c>
      <c r="G6" s="384">
        <v>0</v>
      </c>
      <c r="H6" s="27">
        <f t="shared" si="1"/>
        <v>0</v>
      </c>
      <c r="I6" s="72" t="s">
        <v>1173</v>
      </c>
      <c r="J6" s="73">
        <v>5</v>
      </c>
      <c r="K6" s="73">
        <v>5</v>
      </c>
      <c r="L6" s="80">
        <f>SUM(J6/K6)*100</f>
        <v>100</v>
      </c>
      <c r="M6" s="73">
        <v>3</v>
      </c>
      <c r="N6" s="73">
        <v>3</v>
      </c>
      <c r="O6" s="80">
        <f>SUM(M6/N6)*100</f>
        <v>100</v>
      </c>
      <c r="P6" s="73">
        <v>19</v>
      </c>
      <c r="Q6" s="128">
        <v>14</v>
      </c>
      <c r="R6" s="128">
        <v>15</v>
      </c>
      <c r="S6" s="231">
        <v>93.333333333333329</v>
      </c>
      <c r="T6" s="128" t="s">
        <v>17</v>
      </c>
      <c r="U6" s="128" t="s">
        <v>17</v>
      </c>
      <c r="V6" s="231" t="s">
        <v>17</v>
      </c>
      <c r="W6" s="121"/>
      <c r="X6" s="244"/>
      <c r="Y6" s="128" t="s">
        <v>17</v>
      </c>
      <c r="Z6" s="128" t="s">
        <v>17</v>
      </c>
      <c r="AA6" s="231" t="s">
        <v>17</v>
      </c>
      <c r="AB6" s="128" t="s">
        <v>17</v>
      </c>
      <c r="AC6" s="128" t="s">
        <v>17</v>
      </c>
      <c r="AD6" s="231" t="s">
        <v>17</v>
      </c>
      <c r="AE6" s="128" t="s">
        <v>17</v>
      </c>
      <c r="AF6" s="128" t="s">
        <v>17</v>
      </c>
      <c r="AG6" s="231" t="s">
        <v>17</v>
      </c>
      <c r="AH6" s="128" t="s">
        <v>17</v>
      </c>
      <c r="AI6" s="128" t="s">
        <v>17</v>
      </c>
      <c r="AJ6" s="231" t="s">
        <v>17</v>
      </c>
      <c r="AK6" s="128" t="s">
        <v>17</v>
      </c>
      <c r="AL6" s="128" t="s">
        <v>17</v>
      </c>
      <c r="AM6" s="231" t="s">
        <v>17</v>
      </c>
      <c r="AN6" s="128" t="s">
        <v>17</v>
      </c>
      <c r="AO6" s="128" t="s">
        <v>17</v>
      </c>
      <c r="AP6" s="231" t="s">
        <v>17</v>
      </c>
      <c r="AQ6" s="128" t="s">
        <v>17</v>
      </c>
      <c r="AR6" s="128" t="s">
        <v>17</v>
      </c>
      <c r="AS6" s="231" t="s">
        <v>17</v>
      </c>
      <c r="AT6" s="128" t="s">
        <v>17</v>
      </c>
      <c r="AU6" s="128" t="s">
        <v>17</v>
      </c>
      <c r="AV6" s="231" t="s">
        <v>17</v>
      </c>
    </row>
    <row r="7" spans="1:51" ht="14.95" thickBot="1" x14ac:dyDescent="0.3">
      <c r="A7" s="72" t="s">
        <v>1121</v>
      </c>
      <c r="B7" s="74">
        <v>0</v>
      </c>
      <c r="C7" s="548">
        <v>0</v>
      </c>
      <c r="D7" s="73">
        <f t="shared" si="0"/>
        <v>0</v>
      </c>
      <c r="E7" s="26" t="s">
        <v>1121</v>
      </c>
      <c r="F7" s="28">
        <v>0</v>
      </c>
      <c r="G7" s="384">
        <v>0</v>
      </c>
      <c r="H7" s="27">
        <f t="shared" si="1"/>
        <v>0</v>
      </c>
      <c r="I7" s="72" t="s">
        <v>1224</v>
      </c>
      <c r="J7" s="73">
        <v>1</v>
      </c>
      <c r="K7" s="73">
        <v>2</v>
      </c>
      <c r="L7" s="80">
        <f>SUM(J7/K7)*100</f>
        <v>50</v>
      </c>
      <c r="M7" s="73" t="s">
        <v>17</v>
      </c>
      <c r="N7" s="73" t="s">
        <v>17</v>
      </c>
      <c r="O7" s="80" t="s">
        <v>17</v>
      </c>
      <c r="P7" s="73">
        <v>1</v>
      </c>
      <c r="Q7" s="128">
        <v>6</v>
      </c>
      <c r="R7" s="128">
        <v>7</v>
      </c>
      <c r="S7" s="231">
        <v>85.714285714285708</v>
      </c>
      <c r="T7" s="128" t="s">
        <v>17</v>
      </c>
      <c r="U7" s="128" t="s">
        <v>17</v>
      </c>
      <c r="V7" s="231" t="s">
        <v>17</v>
      </c>
      <c r="W7" s="121"/>
      <c r="X7" s="244"/>
      <c r="Y7" s="128" t="s">
        <v>17</v>
      </c>
      <c r="Z7" s="128" t="s">
        <v>17</v>
      </c>
      <c r="AA7" s="231" t="s">
        <v>17</v>
      </c>
      <c r="AB7" s="228" t="s">
        <v>17</v>
      </c>
      <c r="AC7" s="128" t="s">
        <v>17</v>
      </c>
      <c r="AD7" s="231" t="s">
        <v>17</v>
      </c>
      <c r="AE7" s="128">
        <v>4</v>
      </c>
      <c r="AF7" s="128">
        <v>6</v>
      </c>
      <c r="AG7" s="231">
        <v>67</v>
      </c>
      <c r="AH7" s="128" t="s">
        <v>17</v>
      </c>
      <c r="AI7" s="128" t="s">
        <v>17</v>
      </c>
      <c r="AJ7" s="231" t="s">
        <v>17</v>
      </c>
      <c r="AK7" s="128">
        <v>1</v>
      </c>
      <c r="AL7" s="128">
        <v>2</v>
      </c>
      <c r="AM7" s="231">
        <v>50</v>
      </c>
      <c r="AN7" s="128" t="s">
        <v>17</v>
      </c>
      <c r="AO7" s="128" t="s">
        <v>17</v>
      </c>
      <c r="AP7" s="231" t="s">
        <v>17</v>
      </c>
      <c r="AQ7" s="128" t="s">
        <v>17</v>
      </c>
      <c r="AR7" s="128" t="s">
        <v>17</v>
      </c>
      <c r="AS7" s="231" t="s">
        <v>17</v>
      </c>
      <c r="AT7" s="128" t="s">
        <v>17</v>
      </c>
      <c r="AU7" s="128" t="s">
        <v>17</v>
      </c>
      <c r="AV7" s="231" t="s">
        <v>17</v>
      </c>
    </row>
    <row r="8" spans="1:51" ht="14.95" thickBot="1" x14ac:dyDescent="0.3">
      <c r="A8" s="72" t="s">
        <v>899</v>
      </c>
      <c r="B8" s="74">
        <v>1</v>
      </c>
      <c r="C8" s="548">
        <v>0</v>
      </c>
      <c r="D8" s="73">
        <f t="shared" si="0"/>
        <v>1</v>
      </c>
      <c r="E8" s="26" t="s">
        <v>899</v>
      </c>
      <c r="F8" s="28">
        <v>5</v>
      </c>
      <c r="G8" s="384">
        <v>0</v>
      </c>
      <c r="H8" s="27">
        <f t="shared" si="1"/>
        <v>5</v>
      </c>
      <c r="I8" s="72" t="s">
        <v>199</v>
      </c>
      <c r="J8" s="73" t="s">
        <v>17</v>
      </c>
      <c r="K8" s="73" t="s">
        <v>17</v>
      </c>
      <c r="L8" s="80" t="s">
        <v>17</v>
      </c>
      <c r="M8" s="73" t="s">
        <v>17</v>
      </c>
      <c r="N8" s="73" t="s">
        <v>17</v>
      </c>
      <c r="O8" s="80" t="s">
        <v>17</v>
      </c>
      <c r="P8" s="73">
        <v>4</v>
      </c>
      <c r="Q8" s="128" t="s">
        <v>17</v>
      </c>
      <c r="R8" s="128" t="s">
        <v>17</v>
      </c>
      <c r="S8" s="231" t="s">
        <v>17</v>
      </c>
      <c r="T8" s="128">
        <v>6</v>
      </c>
      <c r="U8" s="128">
        <v>7</v>
      </c>
      <c r="V8" s="231">
        <f>SUM(T8/U8)*100</f>
        <v>85.714285714285708</v>
      </c>
      <c r="W8" s="121"/>
      <c r="X8" s="244"/>
      <c r="Y8" s="128" t="s">
        <v>17</v>
      </c>
      <c r="Z8" s="128" t="s">
        <v>17</v>
      </c>
      <c r="AA8" s="231" t="s">
        <v>17</v>
      </c>
      <c r="AB8" s="228" t="s">
        <v>17</v>
      </c>
      <c r="AC8" s="128" t="s">
        <v>17</v>
      </c>
      <c r="AD8" s="231" t="s">
        <v>17</v>
      </c>
      <c r="AE8" s="228" t="s">
        <v>17</v>
      </c>
      <c r="AF8" s="128" t="s">
        <v>17</v>
      </c>
      <c r="AG8" s="231" t="s">
        <v>17</v>
      </c>
      <c r="AH8" s="228" t="s">
        <v>17</v>
      </c>
      <c r="AI8" s="128" t="s">
        <v>17</v>
      </c>
      <c r="AJ8" s="231" t="s">
        <v>17</v>
      </c>
      <c r="AK8" s="228" t="s">
        <v>17</v>
      </c>
      <c r="AL8" s="128" t="s">
        <v>17</v>
      </c>
      <c r="AM8" s="231" t="s">
        <v>17</v>
      </c>
      <c r="AN8" s="228" t="s">
        <v>17</v>
      </c>
      <c r="AO8" s="128" t="s">
        <v>17</v>
      </c>
      <c r="AP8" s="231" t="s">
        <v>17</v>
      </c>
      <c r="AQ8" s="228" t="s">
        <v>17</v>
      </c>
      <c r="AR8" s="128" t="s">
        <v>17</v>
      </c>
      <c r="AS8" s="231" t="s">
        <v>17</v>
      </c>
      <c r="AT8" s="228" t="s">
        <v>17</v>
      </c>
      <c r="AU8" s="128" t="s">
        <v>17</v>
      </c>
      <c r="AV8" s="231" t="s">
        <v>17</v>
      </c>
    </row>
    <row r="9" spans="1:51" ht="14.95" thickBot="1" x14ac:dyDescent="0.3">
      <c r="A9" s="72" t="s">
        <v>1465</v>
      </c>
      <c r="B9" s="74">
        <v>3</v>
      </c>
      <c r="C9" s="548">
        <v>0</v>
      </c>
      <c r="D9" s="73">
        <f t="shared" si="0"/>
        <v>3</v>
      </c>
      <c r="E9" s="26" t="s">
        <v>1465</v>
      </c>
      <c r="F9" s="28">
        <v>15</v>
      </c>
      <c r="G9" s="384">
        <v>0</v>
      </c>
      <c r="H9" s="27">
        <f t="shared" si="1"/>
        <v>15</v>
      </c>
      <c r="I9" s="186" t="s">
        <v>369</v>
      </c>
      <c r="J9" s="73" t="s">
        <v>17</v>
      </c>
      <c r="K9" s="73" t="s">
        <v>17</v>
      </c>
      <c r="L9" s="80" t="s">
        <v>17</v>
      </c>
      <c r="M9" s="73" t="s">
        <v>17</v>
      </c>
      <c r="N9" s="73" t="s">
        <v>17</v>
      </c>
      <c r="O9" s="80" t="s">
        <v>17</v>
      </c>
      <c r="P9" s="261">
        <v>3</v>
      </c>
      <c r="Q9" s="128" t="s">
        <v>17</v>
      </c>
      <c r="R9" s="128" t="s">
        <v>17</v>
      </c>
      <c r="S9" s="231" t="s">
        <v>17</v>
      </c>
      <c r="T9" s="128" t="s">
        <v>17</v>
      </c>
      <c r="U9" s="128" t="s">
        <v>17</v>
      </c>
      <c r="V9" s="231" t="s">
        <v>17</v>
      </c>
      <c r="W9" s="121"/>
      <c r="X9" s="244"/>
      <c r="Y9" s="128" t="s">
        <v>17</v>
      </c>
      <c r="Z9" s="128" t="s">
        <v>17</v>
      </c>
      <c r="AA9" s="231" t="s">
        <v>17</v>
      </c>
      <c r="AB9" s="228">
        <v>1</v>
      </c>
      <c r="AC9" s="128">
        <v>1</v>
      </c>
      <c r="AD9" s="231">
        <v>100</v>
      </c>
      <c r="AE9" s="128">
        <v>19</v>
      </c>
      <c r="AF9" s="128">
        <v>24</v>
      </c>
      <c r="AG9" s="231">
        <f>SUM(AE9/AF9)*100</f>
        <v>79.166666666666657</v>
      </c>
      <c r="AH9" s="228">
        <v>9</v>
      </c>
      <c r="AI9" s="128">
        <v>11</v>
      </c>
      <c r="AJ9" s="128">
        <v>82</v>
      </c>
      <c r="AK9" s="228" t="s">
        <v>17</v>
      </c>
      <c r="AL9" s="128" t="s">
        <v>17</v>
      </c>
      <c r="AM9" s="128" t="s">
        <v>17</v>
      </c>
      <c r="AN9" s="228" t="s">
        <v>17</v>
      </c>
      <c r="AO9" s="128" t="s">
        <v>17</v>
      </c>
      <c r="AP9" s="128" t="s">
        <v>17</v>
      </c>
      <c r="AQ9" s="228" t="s">
        <v>17</v>
      </c>
      <c r="AR9" s="128" t="s">
        <v>17</v>
      </c>
      <c r="AS9" s="128" t="s">
        <v>17</v>
      </c>
      <c r="AT9" s="228" t="s">
        <v>17</v>
      </c>
      <c r="AU9" s="128" t="s">
        <v>17</v>
      </c>
      <c r="AV9" s="128" t="s">
        <v>17</v>
      </c>
    </row>
    <row r="10" spans="1:51" ht="14.95" customHeight="1" thickBot="1" x14ac:dyDescent="0.3">
      <c r="A10" s="72" t="s">
        <v>804</v>
      </c>
      <c r="B10" s="74">
        <v>0</v>
      </c>
      <c r="C10" s="548">
        <v>0</v>
      </c>
      <c r="D10" s="73">
        <f t="shared" si="0"/>
        <v>0</v>
      </c>
      <c r="E10" s="26" t="s">
        <v>804</v>
      </c>
      <c r="F10" s="28">
        <v>10</v>
      </c>
      <c r="G10" s="384">
        <v>0</v>
      </c>
      <c r="H10" s="27">
        <f t="shared" si="1"/>
        <v>10</v>
      </c>
      <c r="I10" s="186" t="s">
        <v>969</v>
      </c>
      <c r="J10" s="73" t="s">
        <v>17</v>
      </c>
      <c r="K10" s="73" t="s">
        <v>17</v>
      </c>
      <c r="L10" s="80" t="s">
        <v>17</v>
      </c>
      <c r="M10" s="73" t="s">
        <v>17</v>
      </c>
      <c r="N10" s="73" t="s">
        <v>17</v>
      </c>
      <c r="O10" s="80" t="s">
        <v>17</v>
      </c>
      <c r="P10" s="261">
        <v>5</v>
      </c>
      <c r="Q10" s="232">
        <v>1</v>
      </c>
      <c r="R10" s="232">
        <v>1</v>
      </c>
      <c r="S10" s="230">
        <v>100</v>
      </c>
      <c r="T10" s="232">
        <v>7</v>
      </c>
      <c r="U10" s="232">
        <v>8</v>
      </c>
      <c r="V10" s="230">
        <f>SUM(T10/U10)*100</f>
        <v>87.5</v>
      </c>
      <c r="W10" s="121"/>
      <c r="X10" s="244"/>
      <c r="Y10" s="232" t="s">
        <v>17</v>
      </c>
      <c r="Z10" s="232" t="s">
        <v>17</v>
      </c>
      <c r="AA10" s="230" t="s">
        <v>17</v>
      </c>
      <c r="AB10" s="232" t="s">
        <v>17</v>
      </c>
      <c r="AC10" s="232" t="s">
        <v>17</v>
      </c>
      <c r="AD10" s="230" t="s">
        <v>17</v>
      </c>
      <c r="AE10" s="232">
        <v>2</v>
      </c>
      <c r="AF10" s="232">
        <v>2</v>
      </c>
      <c r="AG10" s="230">
        <f>SUM(AE10/AF10)*100</f>
        <v>100</v>
      </c>
      <c r="AH10" s="228" t="s">
        <v>17</v>
      </c>
      <c r="AI10" s="128" t="s">
        <v>17</v>
      </c>
      <c r="AJ10" s="128" t="s">
        <v>17</v>
      </c>
      <c r="AK10" s="228" t="s">
        <v>17</v>
      </c>
      <c r="AL10" s="128" t="s">
        <v>17</v>
      </c>
      <c r="AM10" s="128" t="s">
        <v>17</v>
      </c>
      <c r="AN10" s="228" t="s">
        <v>17</v>
      </c>
      <c r="AO10" s="128" t="s">
        <v>17</v>
      </c>
      <c r="AP10" s="128" t="s">
        <v>17</v>
      </c>
      <c r="AQ10" s="228" t="s">
        <v>17</v>
      </c>
      <c r="AR10" s="128" t="s">
        <v>17</v>
      </c>
      <c r="AS10" s="128" t="s">
        <v>17</v>
      </c>
      <c r="AT10" s="228" t="s">
        <v>17</v>
      </c>
      <c r="AU10" s="128" t="s">
        <v>17</v>
      </c>
      <c r="AV10" s="128" t="s">
        <v>17</v>
      </c>
    </row>
    <row r="11" spans="1:51" ht="14.95" customHeight="1" thickBot="1" x14ac:dyDescent="0.3">
      <c r="A11" s="72" t="s">
        <v>798</v>
      </c>
      <c r="B11" s="74">
        <v>0</v>
      </c>
      <c r="C11" s="548">
        <v>0</v>
      </c>
      <c r="D11" s="73">
        <f t="shared" si="0"/>
        <v>0</v>
      </c>
      <c r="E11" s="26" t="s">
        <v>798</v>
      </c>
      <c r="F11" s="28">
        <v>0</v>
      </c>
      <c r="G11" s="384">
        <v>0</v>
      </c>
      <c r="H11" s="27">
        <f t="shared" si="1"/>
        <v>0</v>
      </c>
      <c r="I11" s="186" t="s">
        <v>617</v>
      </c>
      <c r="J11" s="261" t="s">
        <v>17</v>
      </c>
      <c r="K11" s="261" t="s">
        <v>17</v>
      </c>
      <c r="L11" s="269" t="s">
        <v>17</v>
      </c>
      <c r="M11" s="73" t="s">
        <v>17</v>
      </c>
      <c r="N11" s="73" t="s">
        <v>17</v>
      </c>
      <c r="O11" s="80" t="s">
        <v>17</v>
      </c>
      <c r="P11" s="261">
        <v>2</v>
      </c>
      <c r="Q11" s="232" t="s">
        <v>17</v>
      </c>
      <c r="R11" s="232" t="s">
        <v>17</v>
      </c>
      <c r="S11" s="230" t="s">
        <v>17</v>
      </c>
      <c r="T11" s="232" t="s">
        <v>17</v>
      </c>
      <c r="U11" s="232" t="s">
        <v>17</v>
      </c>
      <c r="V11" s="230" t="s">
        <v>17</v>
      </c>
      <c r="W11" s="121"/>
      <c r="X11" s="244"/>
      <c r="Y11" s="232">
        <v>4</v>
      </c>
      <c r="Z11" s="232">
        <v>6</v>
      </c>
      <c r="AA11" s="230">
        <f>SUM(Y11/Z11)*100</f>
        <v>66.666666666666657</v>
      </c>
      <c r="AB11" s="232" t="s">
        <v>17</v>
      </c>
      <c r="AC11" s="232" t="s">
        <v>17</v>
      </c>
      <c r="AD11" s="230" t="s">
        <v>17</v>
      </c>
      <c r="AE11" s="232">
        <v>2</v>
      </c>
      <c r="AF11" s="232">
        <v>2</v>
      </c>
      <c r="AG11" s="230">
        <f>SUM(AE11/AF11)*100</f>
        <v>100</v>
      </c>
      <c r="AH11" s="228" t="s">
        <v>17</v>
      </c>
      <c r="AI11" s="128" t="s">
        <v>17</v>
      </c>
      <c r="AJ11" s="128" t="s">
        <v>17</v>
      </c>
      <c r="AK11" s="228" t="s">
        <v>17</v>
      </c>
      <c r="AL11" s="128" t="s">
        <v>17</v>
      </c>
      <c r="AM11" s="128" t="s">
        <v>17</v>
      </c>
      <c r="AN11" s="228" t="s">
        <v>17</v>
      </c>
      <c r="AO11" s="128" t="s">
        <v>17</v>
      </c>
      <c r="AP11" s="128" t="s">
        <v>17</v>
      </c>
      <c r="AQ11" s="228" t="s">
        <v>17</v>
      </c>
      <c r="AR11" s="128" t="s">
        <v>17</v>
      </c>
      <c r="AS11" s="128" t="s">
        <v>17</v>
      </c>
      <c r="AT11" s="228" t="s">
        <v>17</v>
      </c>
      <c r="AU11" s="128" t="s">
        <v>17</v>
      </c>
      <c r="AV11" s="128" t="s">
        <v>17</v>
      </c>
    </row>
    <row r="12" spans="1:51" ht="14.95" customHeight="1" thickBot="1" x14ac:dyDescent="0.3">
      <c r="A12" s="72" t="s">
        <v>799</v>
      </c>
      <c r="B12" s="74">
        <v>0</v>
      </c>
      <c r="C12" s="548">
        <v>0</v>
      </c>
      <c r="D12" s="73">
        <f t="shared" si="0"/>
        <v>0</v>
      </c>
      <c r="E12" s="26" t="s">
        <v>799</v>
      </c>
      <c r="F12" s="28">
        <v>0</v>
      </c>
      <c r="G12" s="384">
        <v>0</v>
      </c>
      <c r="H12" s="27">
        <f t="shared" si="1"/>
        <v>0</v>
      </c>
      <c r="Q12" s="81"/>
      <c r="R12" s="120"/>
    </row>
    <row r="13" spans="1:51" ht="14.95" customHeight="1" thickBot="1" x14ac:dyDescent="0.3">
      <c r="A13" s="72" t="s">
        <v>377</v>
      </c>
      <c r="B13" s="74">
        <v>0</v>
      </c>
      <c r="C13" s="548">
        <v>0</v>
      </c>
      <c r="D13" s="73">
        <f t="shared" si="0"/>
        <v>0</v>
      </c>
      <c r="E13" s="26" t="s">
        <v>377</v>
      </c>
      <c r="F13" s="28">
        <v>0</v>
      </c>
      <c r="G13" s="384">
        <v>0</v>
      </c>
      <c r="H13" s="27">
        <f t="shared" si="1"/>
        <v>0</v>
      </c>
      <c r="I13" s="589" t="s">
        <v>35</v>
      </c>
      <c r="J13" s="583">
        <v>2026</v>
      </c>
      <c r="K13" s="584"/>
      <c r="L13" s="585"/>
      <c r="M13" s="568">
        <v>2025</v>
      </c>
      <c r="N13" s="569"/>
      <c r="O13" s="570"/>
      <c r="P13" s="568">
        <v>2024</v>
      </c>
      <c r="Q13" s="569"/>
      <c r="R13" s="570"/>
      <c r="S13" s="568">
        <v>2023</v>
      </c>
      <c r="T13" s="569"/>
      <c r="U13" s="570"/>
      <c r="V13" s="614"/>
      <c r="W13" s="121"/>
      <c r="X13" s="244"/>
      <c r="Y13" s="568">
        <v>2022</v>
      </c>
      <c r="Z13" s="569"/>
      <c r="AA13" s="570"/>
      <c r="AB13" s="568">
        <v>2021</v>
      </c>
      <c r="AC13" s="569"/>
      <c r="AD13" s="570"/>
      <c r="AE13" s="568">
        <v>2020</v>
      </c>
      <c r="AF13" s="569"/>
      <c r="AG13" s="570"/>
      <c r="AH13" s="568">
        <v>2019</v>
      </c>
      <c r="AI13" s="569"/>
      <c r="AJ13" s="570"/>
      <c r="AK13" s="568">
        <v>2018</v>
      </c>
      <c r="AL13" s="558"/>
      <c r="AM13" s="559"/>
      <c r="AN13" s="557">
        <v>2017</v>
      </c>
      <c r="AO13" s="563"/>
      <c r="AP13" s="564"/>
      <c r="AQ13" s="557">
        <v>2016</v>
      </c>
      <c r="AR13" s="563"/>
      <c r="AS13" s="564"/>
      <c r="AT13" s="557">
        <v>2015</v>
      </c>
      <c r="AU13" s="563"/>
      <c r="AV13" s="564"/>
      <c r="AW13" s="557">
        <v>2014</v>
      </c>
      <c r="AX13" s="617"/>
      <c r="AY13" s="618"/>
    </row>
    <row r="14" spans="1:51" ht="14.95" customHeight="1" thickBot="1" x14ac:dyDescent="0.3">
      <c r="A14" s="72" t="s">
        <v>1173</v>
      </c>
      <c r="B14" s="74">
        <v>0</v>
      </c>
      <c r="C14" s="548">
        <v>0</v>
      </c>
      <c r="D14" s="73">
        <f t="shared" si="0"/>
        <v>0</v>
      </c>
      <c r="E14" s="26" t="s">
        <v>1173</v>
      </c>
      <c r="F14" s="28">
        <v>11</v>
      </c>
      <c r="G14" s="384">
        <v>0</v>
      </c>
      <c r="H14" s="27">
        <f t="shared" si="1"/>
        <v>11</v>
      </c>
      <c r="I14" s="590"/>
      <c r="J14" s="586"/>
      <c r="K14" s="587"/>
      <c r="L14" s="588"/>
      <c r="M14" s="571"/>
      <c r="N14" s="572"/>
      <c r="O14" s="573"/>
      <c r="P14" s="571"/>
      <c r="Q14" s="572"/>
      <c r="R14" s="573"/>
      <c r="S14" s="571"/>
      <c r="T14" s="572"/>
      <c r="U14" s="573"/>
      <c r="V14" s="614"/>
      <c r="W14" s="121"/>
      <c r="X14" s="244"/>
      <c r="Y14" s="571"/>
      <c r="Z14" s="572"/>
      <c r="AA14" s="573"/>
      <c r="AB14" s="571"/>
      <c r="AC14" s="572"/>
      <c r="AD14" s="573"/>
      <c r="AE14" s="571"/>
      <c r="AF14" s="572"/>
      <c r="AG14" s="573"/>
      <c r="AH14" s="571"/>
      <c r="AI14" s="572"/>
      <c r="AJ14" s="573"/>
      <c r="AK14" s="560"/>
      <c r="AL14" s="561"/>
      <c r="AM14" s="562"/>
      <c r="AN14" s="565"/>
      <c r="AO14" s="566"/>
      <c r="AP14" s="567"/>
      <c r="AQ14" s="565"/>
      <c r="AR14" s="566"/>
      <c r="AS14" s="567"/>
      <c r="AT14" s="565"/>
      <c r="AU14" s="566"/>
      <c r="AV14" s="567"/>
      <c r="AW14" s="619"/>
      <c r="AX14" s="620"/>
      <c r="AY14" s="621"/>
    </row>
    <row r="15" spans="1:51" ht="14.95" customHeight="1" thickBot="1" x14ac:dyDescent="0.3">
      <c r="A15" s="72" t="s">
        <v>461</v>
      </c>
      <c r="B15" s="74">
        <v>0</v>
      </c>
      <c r="C15" s="548">
        <v>0</v>
      </c>
      <c r="D15" s="73">
        <f t="shared" si="0"/>
        <v>0</v>
      </c>
      <c r="E15" s="26" t="s">
        <v>461</v>
      </c>
      <c r="F15" s="28">
        <v>0</v>
      </c>
      <c r="G15" s="384">
        <v>0</v>
      </c>
      <c r="H15" s="27">
        <f t="shared" si="1"/>
        <v>0</v>
      </c>
      <c r="I15" s="4"/>
      <c r="J15" s="1" t="s">
        <v>152</v>
      </c>
      <c r="K15" s="1" t="s">
        <v>12</v>
      </c>
      <c r="L15" s="1" t="s">
        <v>13</v>
      </c>
      <c r="M15" s="128" t="s">
        <v>152</v>
      </c>
      <c r="N15" s="128" t="s">
        <v>12</v>
      </c>
      <c r="O15" s="128" t="s">
        <v>13</v>
      </c>
      <c r="P15" s="128" t="s">
        <v>152</v>
      </c>
      <c r="Q15" s="128" t="s">
        <v>12</v>
      </c>
      <c r="R15" s="128" t="s">
        <v>13</v>
      </c>
      <c r="S15" s="228" t="s">
        <v>152</v>
      </c>
      <c r="T15" s="128" t="s">
        <v>12</v>
      </c>
      <c r="U15" s="128" t="s">
        <v>13</v>
      </c>
      <c r="V15" s="41"/>
      <c r="W15" s="121"/>
      <c r="X15" s="244"/>
      <c r="Y15" s="228" t="s">
        <v>152</v>
      </c>
      <c r="Z15" s="128" t="s">
        <v>12</v>
      </c>
      <c r="AA15" s="128" t="s">
        <v>13</v>
      </c>
      <c r="AB15" s="228" t="s">
        <v>152</v>
      </c>
      <c r="AC15" s="128" t="s">
        <v>12</v>
      </c>
      <c r="AD15" s="128" t="s">
        <v>13</v>
      </c>
      <c r="AE15" s="128" t="s">
        <v>152</v>
      </c>
      <c r="AF15" s="128" t="s">
        <v>12</v>
      </c>
      <c r="AG15" s="128" t="s">
        <v>13</v>
      </c>
      <c r="AH15" s="228" t="s">
        <v>152</v>
      </c>
      <c r="AI15" s="128" t="s">
        <v>12</v>
      </c>
      <c r="AJ15" s="128" t="s">
        <v>13</v>
      </c>
      <c r="AK15" s="128" t="s">
        <v>152</v>
      </c>
      <c r="AL15" s="128" t="s">
        <v>12</v>
      </c>
      <c r="AM15" s="128" t="s">
        <v>13</v>
      </c>
      <c r="AN15" s="171" t="s">
        <v>152</v>
      </c>
      <c r="AO15" s="119" t="s">
        <v>12</v>
      </c>
      <c r="AP15" s="119" t="s">
        <v>13</v>
      </c>
      <c r="AQ15" s="171" t="s">
        <v>152</v>
      </c>
      <c r="AR15" s="119" t="s">
        <v>12</v>
      </c>
      <c r="AS15" s="119" t="s">
        <v>13</v>
      </c>
      <c r="AT15" s="171" t="s">
        <v>152</v>
      </c>
      <c r="AU15" s="119" t="s">
        <v>12</v>
      </c>
      <c r="AV15" s="119" t="s">
        <v>13</v>
      </c>
      <c r="AW15" s="119" t="s">
        <v>152</v>
      </c>
      <c r="AX15" s="119" t="s">
        <v>12</v>
      </c>
      <c r="AY15" s="119" t="s">
        <v>13</v>
      </c>
    </row>
    <row r="16" spans="1:51" ht="14.95" customHeight="1" thickBot="1" x14ac:dyDescent="0.3">
      <c r="A16" s="72" t="s">
        <v>818</v>
      </c>
      <c r="B16" s="74">
        <v>0</v>
      </c>
      <c r="C16" s="548">
        <v>0</v>
      </c>
      <c r="D16" s="73">
        <f t="shared" si="0"/>
        <v>0</v>
      </c>
      <c r="E16" s="26" t="s">
        <v>818</v>
      </c>
      <c r="F16" s="28">
        <v>0</v>
      </c>
      <c r="G16" s="384">
        <v>0</v>
      </c>
      <c r="H16" s="27">
        <f t="shared" si="1"/>
        <v>0</v>
      </c>
      <c r="I16" s="72" t="s">
        <v>107</v>
      </c>
      <c r="J16" s="73" t="s">
        <v>17</v>
      </c>
      <c r="K16" s="73" t="s">
        <v>17</v>
      </c>
      <c r="L16" s="80" t="s">
        <v>17</v>
      </c>
      <c r="M16" s="128">
        <v>5</v>
      </c>
      <c r="N16" s="128">
        <v>7</v>
      </c>
      <c r="O16" s="231">
        <v>71.428571428571431</v>
      </c>
      <c r="P16" s="128" t="s">
        <v>17</v>
      </c>
      <c r="Q16" s="128" t="s">
        <v>17</v>
      </c>
      <c r="R16" s="231" t="s">
        <v>17</v>
      </c>
      <c r="S16" s="128" t="s">
        <v>17</v>
      </c>
      <c r="T16" s="128" t="s">
        <v>17</v>
      </c>
      <c r="U16" s="231" t="s">
        <v>17</v>
      </c>
      <c r="V16" s="41"/>
      <c r="W16" s="121"/>
      <c r="X16" s="244"/>
      <c r="Y16" s="128" t="s">
        <v>17</v>
      </c>
      <c r="Z16" s="128" t="s">
        <v>17</v>
      </c>
      <c r="AA16" s="231" t="s">
        <v>17</v>
      </c>
      <c r="AB16" s="128" t="s">
        <v>17</v>
      </c>
      <c r="AC16" s="128" t="s">
        <v>17</v>
      </c>
      <c r="AD16" s="231" t="s">
        <v>17</v>
      </c>
      <c r="AE16" s="128" t="s">
        <v>17</v>
      </c>
      <c r="AF16" s="128" t="s">
        <v>17</v>
      </c>
      <c r="AG16" s="231" t="s">
        <v>17</v>
      </c>
      <c r="AH16" s="128" t="s">
        <v>17</v>
      </c>
      <c r="AI16" s="128" t="s">
        <v>17</v>
      </c>
      <c r="AJ16" s="231" t="s">
        <v>17</v>
      </c>
      <c r="AK16" s="128" t="s">
        <v>17</v>
      </c>
      <c r="AL16" s="128" t="s">
        <v>17</v>
      </c>
      <c r="AM16" s="231" t="s">
        <v>17</v>
      </c>
      <c r="AN16" s="128" t="s">
        <v>17</v>
      </c>
      <c r="AO16" s="128" t="s">
        <v>17</v>
      </c>
      <c r="AP16" s="231" t="s">
        <v>17</v>
      </c>
      <c r="AQ16" s="128" t="s">
        <v>17</v>
      </c>
      <c r="AR16" s="128" t="s">
        <v>17</v>
      </c>
      <c r="AS16" s="231" t="s">
        <v>17</v>
      </c>
      <c r="AT16" s="128" t="s">
        <v>17</v>
      </c>
      <c r="AU16" s="128" t="s">
        <v>17</v>
      </c>
      <c r="AV16" s="231" t="s">
        <v>17</v>
      </c>
      <c r="AW16" s="128" t="s">
        <v>17</v>
      </c>
      <c r="AX16" s="128" t="s">
        <v>17</v>
      </c>
      <c r="AY16" s="231" t="s">
        <v>17</v>
      </c>
    </row>
    <row r="17" spans="1:51" ht="14.95" customHeight="1" thickBot="1" x14ac:dyDescent="0.3">
      <c r="A17" s="72" t="s">
        <v>1224</v>
      </c>
      <c r="B17" s="74">
        <v>0</v>
      </c>
      <c r="C17" s="548">
        <v>0</v>
      </c>
      <c r="D17" s="73">
        <f t="shared" si="0"/>
        <v>0</v>
      </c>
      <c r="E17" s="26" t="s">
        <v>1224</v>
      </c>
      <c r="F17" s="28">
        <v>3</v>
      </c>
      <c r="G17" s="384">
        <v>0</v>
      </c>
      <c r="H17" s="27">
        <f t="shared" si="1"/>
        <v>3</v>
      </c>
      <c r="I17" s="72" t="s">
        <v>804</v>
      </c>
      <c r="J17" s="73">
        <v>4</v>
      </c>
      <c r="K17" s="73">
        <v>4</v>
      </c>
      <c r="L17" s="80">
        <f>SUM(J17/K17)*100</f>
        <v>100</v>
      </c>
      <c r="M17" s="128" t="s">
        <v>17</v>
      </c>
      <c r="N17" s="128" t="s">
        <v>17</v>
      </c>
      <c r="O17" s="231" t="s">
        <v>17</v>
      </c>
      <c r="P17" s="128">
        <v>5</v>
      </c>
      <c r="Q17" s="128">
        <v>5</v>
      </c>
      <c r="R17" s="231">
        <v>100</v>
      </c>
      <c r="S17" s="128" t="s">
        <v>17</v>
      </c>
      <c r="T17" s="128" t="s">
        <v>17</v>
      </c>
      <c r="U17" s="231" t="s">
        <v>17</v>
      </c>
      <c r="V17" s="41"/>
      <c r="W17" s="121"/>
      <c r="X17" s="244"/>
      <c r="Y17" s="128" t="s">
        <v>17</v>
      </c>
      <c r="Z17" s="128" t="s">
        <v>17</v>
      </c>
      <c r="AA17" s="231" t="s">
        <v>17</v>
      </c>
      <c r="AB17" s="128" t="s">
        <v>17</v>
      </c>
      <c r="AC17" s="128" t="s">
        <v>17</v>
      </c>
      <c r="AD17" s="231" t="s">
        <v>17</v>
      </c>
      <c r="AE17" s="128" t="s">
        <v>17</v>
      </c>
      <c r="AF17" s="128" t="s">
        <v>17</v>
      </c>
      <c r="AG17" s="231" t="s">
        <v>17</v>
      </c>
      <c r="AH17" s="128" t="s">
        <v>17</v>
      </c>
      <c r="AI17" s="128" t="s">
        <v>17</v>
      </c>
      <c r="AJ17" s="231" t="s">
        <v>17</v>
      </c>
      <c r="AK17" s="128" t="s">
        <v>17</v>
      </c>
      <c r="AL17" s="128" t="s">
        <v>17</v>
      </c>
      <c r="AM17" s="231" t="s">
        <v>17</v>
      </c>
      <c r="AN17" s="128" t="s">
        <v>17</v>
      </c>
      <c r="AO17" s="128" t="s">
        <v>17</v>
      </c>
      <c r="AP17" s="231" t="s">
        <v>17</v>
      </c>
      <c r="AQ17" s="128" t="s">
        <v>17</v>
      </c>
      <c r="AR17" s="128" t="s">
        <v>17</v>
      </c>
      <c r="AS17" s="231" t="s">
        <v>17</v>
      </c>
      <c r="AT17" s="128" t="s">
        <v>17</v>
      </c>
      <c r="AU17" s="128" t="s">
        <v>17</v>
      </c>
      <c r="AV17" s="231" t="s">
        <v>17</v>
      </c>
      <c r="AW17" s="128" t="s">
        <v>17</v>
      </c>
      <c r="AX17" s="128" t="s">
        <v>17</v>
      </c>
      <c r="AY17" s="231" t="s">
        <v>17</v>
      </c>
    </row>
    <row r="18" spans="1:51" ht="14.95" customHeight="1" thickBot="1" x14ac:dyDescent="0.3">
      <c r="A18" s="72" t="s">
        <v>40</v>
      </c>
      <c r="B18" s="74">
        <v>0</v>
      </c>
      <c r="C18" s="548">
        <v>0</v>
      </c>
      <c r="D18" s="73">
        <f t="shared" si="0"/>
        <v>0</v>
      </c>
      <c r="E18" s="26" t="s">
        <v>40</v>
      </c>
      <c r="F18" s="28">
        <v>0</v>
      </c>
      <c r="G18" s="384">
        <v>0</v>
      </c>
      <c r="H18" s="27">
        <f t="shared" si="1"/>
        <v>0</v>
      </c>
      <c r="I18" s="72" t="s">
        <v>1173</v>
      </c>
      <c r="J18" s="73">
        <v>5</v>
      </c>
      <c r="K18" s="73">
        <v>5</v>
      </c>
      <c r="L18" s="80">
        <f>SUM(J18/K18)*100</f>
        <v>100</v>
      </c>
      <c r="M18" s="128">
        <v>0</v>
      </c>
      <c r="N18" s="128">
        <v>1</v>
      </c>
      <c r="O18" s="231">
        <v>0</v>
      </c>
      <c r="P18" s="128" t="s">
        <v>17</v>
      </c>
      <c r="Q18" s="128" t="s">
        <v>17</v>
      </c>
      <c r="R18" s="231" t="s">
        <v>17</v>
      </c>
      <c r="S18" s="128" t="s">
        <v>17</v>
      </c>
      <c r="T18" s="128" t="s">
        <v>17</v>
      </c>
      <c r="U18" s="231" t="s">
        <v>17</v>
      </c>
      <c r="V18" s="41"/>
      <c r="W18" s="121"/>
      <c r="X18" s="244"/>
      <c r="Y18" s="128" t="s">
        <v>17</v>
      </c>
      <c r="Z18" s="128" t="s">
        <v>17</v>
      </c>
      <c r="AA18" s="231" t="s">
        <v>17</v>
      </c>
      <c r="AB18" s="128" t="s">
        <v>17</v>
      </c>
      <c r="AC18" s="128" t="s">
        <v>17</v>
      </c>
      <c r="AD18" s="231" t="s">
        <v>17</v>
      </c>
      <c r="AE18" s="128" t="s">
        <v>17</v>
      </c>
      <c r="AF18" s="128" t="s">
        <v>17</v>
      </c>
      <c r="AG18" s="231" t="s">
        <v>17</v>
      </c>
      <c r="AH18" s="128" t="s">
        <v>17</v>
      </c>
      <c r="AI18" s="128" t="s">
        <v>17</v>
      </c>
      <c r="AJ18" s="231" t="s">
        <v>17</v>
      </c>
      <c r="AK18" s="128" t="s">
        <v>17</v>
      </c>
      <c r="AL18" s="128" t="s">
        <v>17</v>
      </c>
      <c r="AM18" s="231" t="s">
        <v>17</v>
      </c>
      <c r="AN18" s="128" t="s">
        <v>17</v>
      </c>
      <c r="AO18" s="128" t="s">
        <v>17</v>
      </c>
      <c r="AP18" s="231" t="s">
        <v>17</v>
      </c>
      <c r="AQ18" s="128" t="s">
        <v>17</v>
      </c>
      <c r="AR18" s="128" t="s">
        <v>17</v>
      </c>
      <c r="AS18" s="231" t="s">
        <v>17</v>
      </c>
      <c r="AT18" s="128" t="s">
        <v>17</v>
      </c>
      <c r="AU18" s="128" t="s">
        <v>17</v>
      </c>
      <c r="AV18" s="231" t="s">
        <v>17</v>
      </c>
      <c r="AW18" s="128" t="s">
        <v>17</v>
      </c>
      <c r="AX18" s="128" t="s">
        <v>17</v>
      </c>
      <c r="AY18" s="231" t="s">
        <v>17</v>
      </c>
    </row>
    <row r="19" spans="1:51" ht="14.95" customHeight="1" thickBot="1" x14ac:dyDescent="0.3">
      <c r="A19" s="72" t="s">
        <v>24</v>
      </c>
      <c r="B19" s="74">
        <v>0</v>
      </c>
      <c r="C19" s="548">
        <v>0</v>
      </c>
      <c r="D19" s="73">
        <f t="shared" si="0"/>
        <v>0</v>
      </c>
      <c r="E19" s="26" t="s">
        <v>24</v>
      </c>
      <c r="F19" s="28">
        <v>0</v>
      </c>
      <c r="G19" s="384">
        <v>0</v>
      </c>
      <c r="H19" s="27">
        <f t="shared" si="1"/>
        <v>0</v>
      </c>
      <c r="I19" s="72" t="s">
        <v>1224</v>
      </c>
      <c r="J19" s="73">
        <v>1</v>
      </c>
      <c r="K19" s="73">
        <v>2</v>
      </c>
      <c r="L19" s="80">
        <f>SUM(J19/K19)*100</f>
        <v>50</v>
      </c>
      <c r="M19" s="128">
        <v>4</v>
      </c>
      <c r="N19" s="128">
        <v>4</v>
      </c>
      <c r="O19" s="231">
        <v>100</v>
      </c>
      <c r="P19" s="128"/>
      <c r="Q19" s="128"/>
      <c r="R19" s="231"/>
      <c r="S19" s="128"/>
      <c r="T19" s="128"/>
      <c r="U19" s="231"/>
      <c r="V19" s="41"/>
      <c r="W19" s="121"/>
      <c r="X19" s="244"/>
      <c r="Y19" s="128"/>
      <c r="Z19" s="128"/>
      <c r="AA19" s="231"/>
      <c r="AB19" s="128"/>
      <c r="AC19" s="128"/>
      <c r="AD19" s="231"/>
      <c r="AE19" s="128"/>
      <c r="AF19" s="128"/>
      <c r="AG19" s="231"/>
      <c r="AH19" s="128"/>
      <c r="AI19" s="128"/>
      <c r="AJ19" s="231"/>
      <c r="AK19" s="128"/>
      <c r="AL19" s="128"/>
      <c r="AM19" s="231"/>
      <c r="AN19" s="128"/>
      <c r="AO19" s="128"/>
      <c r="AP19" s="231"/>
      <c r="AQ19" s="128"/>
      <c r="AR19" s="128"/>
      <c r="AS19" s="231"/>
      <c r="AT19" s="128"/>
      <c r="AU19" s="128"/>
      <c r="AV19" s="231"/>
      <c r="AW19" s="128"/>
      <c r="AX19" s="128"/>
      <c r="AY19" s="231"/>
    </row>
    <row r="20" spans="1:51" ht="14.95" customHeight="1" thickBot="1" x14ac:dyDescent="0.3">
      <c r="A20" s="72" t="s">
        <v>805</v>
      </c>
      <c r="B20" s="74">
        <v>1</v>
      </c>
      <c r="C20" s="548">
        <v>0</v>
      </c>
      <c r="D20" s="73">
        <f t="shared" si="0"/>
        <v>1</v>
      </c>
      <c r="E20" s="26" t="s">
        <v>805</v>
      </c>
      <c r="F20" s="28">
        <v>5</v>
      </c>
      <c r="G20" s="384">
        <v>0</v>
      </c>
      <c r="H20" s="27">
        <f t="shared" si="1"/>
        <v>5</v>
      </c>
      <c r="I20" s="72" t="s">
        <v>199</v>
      </c>
      <c r="J20" s="73" t="s">
        <v>17</v>
      </c>
      <c r="K20" s="73" t="s">
        <v>17</v>
      </c>
      <c r="L20" s="80" t="s">
        <v>17</v>
      </c>
      <c r="M20" s="128" t="s">
        <v>17</v>
      </c>
      <c r="N20" s="128" t="s">
        <v>17</v>
      </c>
      <c r="O20" s="231" t="s">
        <v>17</v>
      </c>
      <c r="P20" s="128">
        <v>6</v>
      </c>
      <c r="Q20" s="128">
        <v>7</v>
      </c>
      <c r="R20" s="231">
        <v>85.714285714285708</v>
      </c>
      <c r="S20" s="128" t="s">
        <v>17</v>
      </c>
      <c r="T20" s="128" t="s">
        <v>17</v>
      </c>
      <c r="U20" s="231" t="s">
        <v>17</v>
      </c>
      <c r="V20" s="41"/>
      <c r="W20" s="121"/>
      <c r="X20" s="244"/>
      <c r="Y20" s="128" t="s">
        <v>17</v>
      </c>
      <c r="Z20" s="128" t="s">
        <v>17</v>
      </c>
      <c r="AA20" s="231" t="s">
        <v>17</v>
      </c>
      <c r="AB20" s="128" t="s">
        <v>17</v>
      </c>
      <c r="AC20" s="128" t="s">
        <v>17</v>
      </c>
      <c r="AD20" s="231" t="s">
        <v>17</v>
      </c>
      <c r="AE20" s="128" t="s">
        <v>17</v>
      </c>
      <c r="AF20" s="128" t="s">
        <v>17</v>
      </c>
      <c r="AG20" s="231" t="s">
        <v>17</v>
      </c>
      <c r="AH20" s="128" t="s">
        <v>17</v>
      </c>
      <c r="AI20" s="128" t="s">
        <v>17</v>
      </c>
      <c r="AJ20" s="231" t="s">
        <v>17</v>
      </c>
      <c r="AK20" s="128" t="s">
        <v>17</v>
      </c>
      <c r="AL20" s="128" t="s">
        <v>17</v>
      </c>
      <c r="AM20" s="231" t="s">
        <v>17</v>
      </c>
      <c r="AN20" s="128" t="s">
        <v>17</v>
      </c>
      <c r="AO20" s="128" t="s">
        <v>17</v>
      </c>
      <c r="AP20" s="231" t="s">
        <v>17</v>
      </c>
      <c r="AQ20" s="128" t="s">
        <v>17</v>
      </c>
      <c r="AR20" s="128" t="s">
        <v>17</v>
      </c>
      <c r="AS20" s="231" t="s">
        <v>17</v>
      </c>
      <c r="AT20" s="128" t="s">
        <v>17</v>
      </c>
      <c r="AU20" s="128" t="s">
        <v>17</v>
      </c>
      <c r="AV20" s="231" t="s">
        <v>17</v>
      </c>
      <c r="AW20" s="128" t="s">
        <v>17</v>
      </c>
      <c r="AX20" s="128" t="s">
        <v>17</v>
      </c>
      <c r="AY20" s="231" t="s">
        <v>17</v>
      </c>
    </row>
    <row r="21" spans="1:51" ht="14.95" customHeight="1" thickBot="1" x14ac:dyDescent="0.3">
      <c r="A21" s="72" t="s">
        <v>1259</v>
      </c>
      <c r="B21" s="74">
        <v>0</v>
      </c>
      <c r="C21" s="548">
        <v>0</v>
      </c>
      <c r="D21" s="73">
        <f t="shared" si="0"/>
        <v>0</v>
      </c>
      <c r="E21" s="26" t="s">
        <v>1259</v>
      </c>
      <c r="F21" s="28">
        <v>0</v>
      </c>
      <c r="G21" s="384">
        <v>0</v>
      </c>
      <c r="H21" s="27">
        <f t="shared" si="1"/>
        <v>0</v>
      </c>
      <c r="I21" s="72" t="s">
        <v>369</v>
      </c>
      <c r="J21" s="73" t="s">
        <v>17</v>
      </c>
      <c r="K21" s="73" t="s">
        <v>17</v>
      </c>
      <c r="L21" s="80" t="s">
        <v>17</v>
      </c>
      <c r="M21" s="128" t="s">
        <v>17</v>
      </c>
      <c r="N21" s="128" t="s">
        <v>17</v>
      </c>
      <c r="O21" s="231" t="s">
        <v>17</v>
      </c>
      <c r="P21" s="128" t="s">
        <v>17</v>
      </c>
      <c r="Q21" s="128" t="s">
        <v>17</v>
      </c>
      <c r="R21" s="231" t="s">
        <v>17</v>
      </c>
      <c r="S21" s="228" t="s">
        <v>17</v>
      </c>
      <c r="T21" s="128" t="s">
        <v>17</v>
      </c>
      <c r="U21" s="231" t="s">
        <v>17</v>
      </c>
      <c r="V21" s="41"/>
      <c r="W21" s="121"/>
      <c r="X21" s="244"/>
      <c r="Y21" s="228">
        <v>1</v>
      </c>
      <c r="Z21" s="128">
        <v>1</v>
      </c>
      <c r="AA21" s="231">
        <v>100</v>
      </c>
      <c r="AB21" s="228">
        <v>8</v>
      </c>
      <c r="AC21" s="128">
        <v>10</v>
      </c>
      <c r="AD21" s="231">
        <f>SUM(AB21/AC21)*100</f>
        <v>80</v>
      </c>
      <c r="AE21" s="128" t="s">
        <v>17</v>
      </c>
      <c r="AF21" s="128" t="s">
        <v>17</v>
      </c>
      <c r="AG21" s="128" t="s">
        <v>17</v>
      </c>
      <c r="AH21" s="228" t="s">
        <v>17</v>
      </c>
      <c r="AI21" s="128" t="s">
        <v>17</v>
      </c>
      <c r="AJ21" s="128" t="s">
        <v>17</v>
      </c>
      <c r="AK21" s="128" t="s">
        <v>17</v>
      </c>
      <c r="AL21" s="128" t="s">
        <v>17</v>
      </c>
      <c r="AM21" s="128" t="s">
        <v>17</v>
      </c>
      <c r="AN21" s="228" t="s">
        <v>17</v>
      </c>
      <c r="AO21" s="128" t="s">
        <v>17</v>
      </c>
      <c r="AP21" s="128" t="s">
        <v>17</v>
      </c>
      <c r="AQ21" s="228" t="s">
        <v>17</v>
      </c>
      <c r="AR21" s="128" t="s">
        <v>17</v>
      </c>
      <c r="AS21" s="128" t="s">
        <v>17</v>
      </c>
      <c r="AT21" s="228" t="s">
        <v>17</v>
      </c>
      <c r="AU21" s="128" t="s">
        <v>17</v>
      </c>
      <c r="AV21" s="128" t="s">
        <v>17</v>
      </c>
      <c r="AW21" s="128" t="s">
        <v>17</v>
      </c>
      <c r="AX21" s="128" t="s">
        <v>17</v>
      </c>
      <c r="AY21" s="128" t="s">
        <v>17</v>
      </c>
    </row>
    <row r="22" spans="1:51" ht="14.95" customHeight="1" thickBot="1" x14ac:dyDescent="0.3">
      <c r="A22" s="72" t="s">
        <v>800</v>
      </c>
      <c r="B22" s="74">
        <v>0</v>
      </c>
      <c r="C22" s="548">
        <v>0</v>
      </c>
      <c r="D22" s="73">
        <f t="shared" si="0"/>
        <v>0</v>
      </c>
      <c r="E22" s="26" t="s">
        <v>800</v>
      </c>
      <c r="F22" s="28">
        <v>0</v>
      </c>
      <c r="G22" s="384">
        <v>0</v>
      </c>
      <c r="H22" s="27">
        <f t="shared" si="1"/>
        <v>0</v>
      </c>
      <c r="I22" s="72" t="s">
        <v>969</v>
      </c>
      <c r="J22" s="73" t="s">
        <v>17</v>
      </c>
      <c r="K22" s="73" t="s">
        <v>17</v>
      </c>
      <c r="L22" s="80" t="s">
        <v>17</v>
      </c>
      <c r="M22" s="128">
        <v>1</v>
      </c>
      <c r="N22" s="128">
        <v>1</v>
      </c>
      <c r="O22" s="231">
        <v>100</v>
      </c>
      <c r="P22" s="128" t="s">
        <v>17</v>
      </c>
      <c r="Q22" s="128" t="s">
        <v>17</v>
      </c>
      <c r="R22" s="231" t="s">
        <v>17</v>
      </c>
      <c r="S22" s="128" t="s">
        <v>17</v>
      </c>
      <c r="T22" s="128" t="s">
        <v>17</v>
      </c>
      <c r="U22" s="231" t="s">
        <v>17</v>
      </c>
      <c r="V22" s="41"/>
      <c r="W22" s="121"/>
      <c r="X22" s="244"/>
      <c r="Y22" s="128" t="s">
        <v>17</v>
      </c>
      <c r="Z22" s="128" t="s">
        <v>17</v>
      </c>
      <c r="AA22" s="231" t="s">
        <v>17</v>
      </c>
      <c r="AB22" s="128" t="s">
        <v>17</v>
      </c>
      <c r="AC22" s="128" t="s">
        <v>17</v>
      </c>
      <c r="AD22" s="231" t="s">
        <v>17</v>
      </c>
      <c r="AE22" s="128" t="s">
        <v>17</v>
      </c>
      <c r="AF22" s="128" t="s">
        <v>17</v>
      </c>
      <c r="AG22" s="231" t="s">
        <v>17</v>
      </c>
      <c r="AH22" s="128" t="s">
        <v>17</v>
      </c>
      <c r="AI22" s="128" t="s">
        <v>17</v>
      </c>
      <c r="AJ22" s="231" t="s">
        <v>17</v>
      </c>
      <c r="AK22" s="128" t="s">
        <v>17</v>
      </c>
      <c r="AL22" s="128" t="s">
        <v>17</v>
      </c>
      <c r="AM22" s="231" t="s">
        <v>17</v>
      </c>
      <c r="AN22" s="128" t="s">
        <v>17</v>
      </c>
      <c r="AO22" s="128" t="s">
        <v>17</v>
      </c>
      <c r="AP22" s="231" t="s">
        <v>17</v>
      </c>
      <c r="AQ22" s="128" t="s">
        <v>17</v>
      </c>
      <c r="AR22" s="128" t="s">
        <v>17</v>
      </c>
      <c r="AS22" s="231" t="s">
        <v>17</v>
      </c>
      <c r="AT22" s="128" t="s">
        <v>17</v>
      </c>
      <c r="AU22" s="128" t="s">
        <v>17</v>
      </c>
      <c r="AV22" s="231" t="s">
        <v>17</v>
      </c>
      <c r="AW22" s="128" t="s">
        <v>17</v>
      </c>
      <c r="AX22" s="128" t="s">
        <v>17</v>
      </c>
      <c r="AY22" s="231" t="s">
        <v>17</v>
      </c>
    </row>
    <row r="23" spans="1:51" ht="14.95" customHeight="1" thickBot="1" x14ac:dyDescent="0.3">
      <c r="A23" s="72" t="s">
        <v>491</v>
      </c>
      <c r="B23" s="74">
        <v>0</v>
      </c>
      <c r="C23" s="548">
        <v>0</v>
      </c>
      <c r="D23" s="73">
        <f t="shared" si="0"/>
        <v>0</v>
      </c>
      <c r="E23" s="26" t="s">
        <v>491</v>
      </c>
      <c r="F23" s="28">
        <v>0</v>
      </c>
      <c r="G23" s="384">
        <v>0</v>
      </c>
      <c r="H23" s="27">
        <f t="shared" si="1"/>
        <v>0</v>
      </c>
      <c r="I23" s="186" t="s">
        <v>617</v>
      </c>
      <c r="J23" s="261" t="s">
        <v>17</v>
      </c>
      <c r="K23" s="261" t="s">
        <v>17</v>
      </c>
      <c r="L23" s="269" t="s">
        <v>17</v>
      </c>
      <c r="M23" s="232" t="s">
        <v>17</v>
      </c>
      <c r="N23" s="232" t="s">
        <v>17</v>
      </c>
      <c r="O23" s="230" t="s">
        <v>17</v>
      </c>
      <c r="P23" s="128" t="s">
        <v>17</v>
      </c>
      <c r="Q23" s="128" t="s">
        <v>17</v>
      </c>
      <c r="R23" s="231" t="s">
        <v>17</v>
      </c>
      <c r="S23" s="228">
        <v>3</v>
      </c>
      <c r="T23" s="128">
        <v>5</v>
      </c>
      <c r="U23" s="231">
        <v>60</v>
      </c>
      <c r="V23" s="41"/>
      <c r="W23" s="121"/>
      <c r="X23" s="244"/>
      <c r="Y23" s="228" t="s">
        <v>17</v>
      </c>
      <c r="Z23" s="128" t="s">
        <v>17</v>
      </c>
      <c r="AA23" s="231" t="s">
        <v>17</v>
      </c>
      <c r="AB23" s="228" t="s">
        <v>17</v>
      </c>
      <c r="AC23" s="128" t="s">
        <v>17</v>
      </c>
      <c r="AD23" s="231" t="s">
        <v>17</v>
      </c>
      <c r="AE23" s="128" t="s">
        <v>17</v>
      </c>
      <c r="AF23" s="128" t="s">
        <v>17</v>
      </c>
      <c r="AG23" s="128" t="s">
        <v>17</v>
      </c>
      <c r="AH23" s="228" t="s">
        <v>17</v>
      </c>
      <c r="AI23" s="128" t="s">
        <v>17</v>
      </c>
      <c r="AJ23" s="128" t="s">
        <v>17</v>
      </c>
      <c r="AK23" s="128" t="s">
        <v>17</v>
      </c>
      <c r="AL23" s="128" t="s">
        <v>17</v>
      </c>
      <c r="AM23" s="128" t="s">
        <v>17</v>
      </c>
      <c r="AN23" s="228" t="s">
        <v>17</v>
      </c>
      <c r="AO23" s="128" t="s">
        <v>17</v>
      </c>
      <c r="AP23" s="128" t="s">
        <v>17</v>
      </c>
      <c r="AQ23" s="228" t="s">
        <v>17</v>
      </c>
      <c r="AR23" s="128" t="s">
        <v>17</v>
      </c>
      <c r="AS23" s="128" t="s">
        <v>17</v>
      </c>
      <c r="AT23" s="228" t="s">
        <v>17</v>
      </c>
      <c r="AU23" s="128" t="s">
        <v>17</v>
      </c>
      <c r="AV23" s="128" t="s">
        <v>17</v>
      </c>
      <c r="AW23" s="128" t="s">
        <v>17</v>
      </c>
      <c r="AX23" s="128" t="s">
        <v>17</v>
      </c>
      <c r="AY23" s="128" t="s">
        <v>17</v>
      </c>
    </row>
    <row r="24" spans="1:51" ht="14.95" customHeight="1" thickBot="1" x14ac:dyDescent="0.3">
      <c r="A24" s="72" t="s">
        <v>1221</v>
      </c>
      <c r="B24" s="74">
        <v>0</v>
      </c>
      <c r="C24" s="548">
        <v>0</v>
      </c>
      <c r="D24" s="73">
        <f t="shared" si="0"/>
        <v>0</v>
      </c>
      <c r="E24" s="26" t="s">
        <v>1221</v>
      </c>
      <c r="F24" s="28">
        <v>0</v>
      </c>
      <c r="G24" s="384">
        <v>0</v>
      </c>
      <c r="H24" s="27">
        <f t="shared" si="1"/>
        <v>0</v>
      </c>
    </row>
    <row r="25" spans="1:51" ht="14.95" customHeight="1" thickBot="1" x14ac:dyDescent="0.3">
      <c r="A25" s="72" t="s">
        <v>1222</v>
      </c>
      <c r="B25" s="74">
        <v>0</v>
      </c>
      <c r="C25" s="548">
        <v>0</v>
      </c>
      <c r="D25" s="73">
        <f t="shared" si="0"/>
        <v>0</v>
      </c>
      <c r="E25" s="26" t="s">
        <v>1222</v>
      </c>
      <c r="F25" s="28">
        <v>0</v>
      </c>
      <c r="G25" s="384">
        <v>0</v>
      </c>
      <c r="H25" s="27">
        <f t="shared" si="1"/>
        <v>0</v>
      </c>
      <c r="I25" s="577" t="s">
        <v>33</v>
      </c>
      <c r="J25" s="568">
        <v>2023</v>
      </c>
      <c r="K25" s="569"/>
      <c r="L25" s="570"/>
      <c r="M25" s="568">
        <v>2019</v>
      </c>
      <c r="N25" s="569"/>
      <c r="O25" s="570"/>
      <c r="P25" s="557">
        <v>2015</v>
      </c>
      <c r="Q25" s="563"/>
      <c r="R25" s="564"/>
    </row>
    <row r="26" spans="1:51" ht="14.95" customHeight="1" thickBot="1" x14ac:dyDescent="0.3">
      <c r="A26" s="72" t="s">
        <v>900</v>
      </c>
      <c r="B26" s="74">
        <v>0</v>
      </c>
      <c r="C26" s="548">
        <v>0</v>
      </c>
      <c r="D26" s="73">
        <f t="shared" si="0"/>
        <v>0</v>
      </c>
      <c r="E26" s="26" t="s">
        <v>900</v>
      </c>
      <c r="F26" s="28">
        <v>0</v>
      </c>
      <c r="G26" s="384">
        <v>0</v>
      </c>
      <c r="H26" s="27">
        <f t="shared" si="1"/>
        <v>0</v>
      </c>
      <c r="I26" s="578"/>
      <c r="J26" s="571"/>
      <c r="K26" s="572"/>
      <c r="L26" s="573"/>
      <c r="M26" s="571"/>
      <c r="N26" s="572"/>
      <c r="O26" s="573"/>
      <c r="P26" s="565"/>
      <c r="Q26" s="566"/>
      <c r="R26" s="567"/>
    </row>
    <row r="27" spans="1:51" ht="14.95" customHeight="1" thickBot="1" x14ac:dyDescent="0.3">
      <c r="A27" s="72" t="s">
        <v>567</v>
      </c>
      <c r="B27" s="74">
        <v>0</v>
      </c>
      <c r="C27" s="548">
        <v>0</v>
      </c>
      <c r="D27" s="73">
        <f t="shared" si="0"/>
        <v>0</v>
      </c>
      <c r="E27" s="26" t="s">
        <v>567</v>
      </c>
      <c r="F27" s="28">
        <v>0</v>
      </c>
      <c r="G27" s="384">
        <v>0</v>
      </c>
      <c r="H27" s="27">
        <f t="shared" si="1"/>
        <v>0</v>
      </c>
      <c r="I27" s="4"/>
      <c r="J27" s="128" t="s">
        <v>152</v>
      </c>
      <c r="K27" s="128" t="s">
        <v>12</v>
      </c>
      <c r="L27" s="128" t="s">
        <v>13</v>
      </c>
      <c r="M27" s="128" t="s">
        <v>152</v>
      </c>
      <c r="N27" s="128" t="s">
        <v>12</v>
      </c>
      <c r="O27" s="128" t="s">
        <v>13</v>
      </c>
      <c r="P27" s="119" t="s">
        <v>152</v>
      </c>
      <c r="Q27" s="119" t="s">
        <v>12</v>
      </c>
      <c r="R27" s="119" t="s">
        <v>13</v>
      </c>
    </row>
    <row r="28" spans="1:51" ht="14.95" customHeight="1" thickBot="1" x14ac:dyDescent="0.3">
      <c r="A28" s="72" t="s">
        <v>64</v>
      </c>
      <c r="B28" s="74">
        <v>0</v>
      </c>
      <c r="C28" s="548">
        <v>0</v>
      </c>
      <c r="D28" s="73">
        <f t="shared" si="0"/>
        <v>0</v>
      </c>
      <c r="E28" s="26" t="s">
        <v>64</v>
      </c>
      <c r="F28" s="28">
        <v>0</v>
      </c>
      <c r="G28" s="384">
        <v>0</v>
      </c>
      <c r="H28" s="27">
        <f t="shared" si="1"/>
        <v>0</v>
      </c>
      <c r="I28" s="72" t="s">
        <v>804</v>
      </c>
      <c r="J28" s="128">
        <v>7</v>
      </c>
      <c r="K28" s="128">
        <v>9</v>
      </c>
      <c r="L28" s="231">
        <f>SUM(J28/K28)*100</f>
        <v>77.777777777777786</v>
      </c>
      <c r="M28" s="128" t="s">
        <v>17</v>
      </c>
      <c r="N28" s="128" t="s">
        <v>17</v>
      </c>
      <c r="O28" s="231" t="s">
        <v>17</v>
      </c>
      <c r="P28" s="128" t="s">
        <v>17</v>
      </c>
      <c r="Q28" s="128" t="s">
        <v>17</v>
      </c>
      <c r="R28" s="231" t="s">
        <v>17</v>
      </c>
    </row>
    <row r="29" spans="1:51" ht="14.95" customHeight="1" thickBot="1" x14ac:dyDescent="0.3">
      <c r="A29" s="72" t="s">
        <v>817</v>
      </c>
      <c r="B29" s="74">
        <v>0</v>
      </c>
      <c r="C29" s="548">
        <v>0</v>
      </c>
      <c r="D29" s="73">
        <f t="shared" si="0"/>
        <v>0</v>
      </c>
      <c r="E29" s="26" t="s">
        <v>817</v>
      </c>
      <c r="F29" s="28">
        <v>0</v>
      </c>
      <c r="G29" s="384">
        <v>0</v>
      </c>
      <c r="H29" s="27">
        <f t="shared" si="1"/>
        <v>0</v>
      </c>
      <c r="I29" s="16"/>
      <c r="J29" s="41"/>
      <c r="K29" s="41"/>
      <c r="L29" s="43"/>
      <c r="M29" s="41"/>
      <c r="N29" s="41"/>
      <c r="O29" s="43"/>
    </row>
    <row r="30" spans="1:51" ht="14.95" customHeight="1" thickBot="1" x14ac:dyDescent="0.3">
      <c r="A30" s="72" t="s">
        <v>4</v>
      </c>
      <c r="B30" s="74">
        <v>0</v>
      </c>
      <c r="C30" s="548">
        <v>0</v>
      </c>
      <c r="D30" s="73">
        <f t="shared" si="0"/>
        <v>0</v>
      </c>
      <c r="E30" s="26" t="s">
        <v>4</v>
      </c>
      <c r="F30" s="28">
        <v>0</v>
      </c>
      <c r="G30" s="384">
        <v>0</v>
      </c>
      <c r="H30" s="27">
        <f t="shared" si="1"/>
        <v>0</v>
      </c>
    </row>
    <row r="31" spans="1:51" ht="14.95" customHeight="1" thickBot="1" x14ac:dyDescent="0.3">
      <c r="A31" s="72" t="s">
        <v>1419</v>
      </c>
      <c r="B31" s="74">
        <v>0</v>
      </c>
      <c r="C31" s="548">
        <v>0</v>
      </c>
      <c r="D31" s="73">
        <f t="shared" si="0"/>
        <v>0</v>
      </c>
      <c r="E31" s="26" t="s">
        <v>1419</v>
      </c>
      <c r="F31" s="28">
        <v>0</v>
      </c>
      <c r="G31" s="384">
        <v>0</v>
      </c>
      <c r="H31" s="27">
        <f t="shared" si="1"/>
        <v>0</v>
      </c>
    </row>
    <row r="32" spans="1:51" ht="14.95" customHeight="1" thickBot="1" x14ac:dyDescent="0.3">
      <c r="A32" s="72" t="s">
        <v>520</v>
      </c>
      <c r="B32" s="74">
        <v>0</v>
      </c>
      <c r="C32" s="548">
        <v>0</v>
      </c>
      <c r="D32" s="73">
        <f t="shared" si="0"/>
        <v>0</v>
      </c>
      <c r="E32" s="26" t="s">
        <v>520</v>
      </c>
      <c r="F32" s="28">
        <v>0</v>
      </c>
      <c r="G32" s="384">
        <v>0</v>
      </c>
      <c r="H32" s="27">
        <f t="shared" si="1"/>
        <v>0</v>
      </c>
    </row>
    <row r="33" spans="1:8" ht="14.95" customHeight="1" thickBot="1" x14ac:dyDescent="0.3">
      <c r="A33" s="72" t="s">
        <v>1206</v>
      </c>
      <c r="B33" s="74">
        <v>0</v>
      </c>
      <c r="C33" s="548">
        <v>0</v>
      </c>
      <c r="D33" s="73">
        <f t="shared" si="0"/>
        <v>0</v>
      </c>
      <c r="E33" s="26" t="s">
        <v>1206</v>
      </c>
      <c r="F33" s="28">
        <v>0</v>
      </c>
      <c r="G33" s="384">
        <v>0</v>
      </c>
      <c r="H33" s="27">
        <f t="shared" si="1"/>
        <v>0</v>
      </c>
    </row>
    <row r="34" spans="1:8" ht="14.95" customHeight="1" thickBot="1" x14ac:dyDescent="0.3">
      <c r="A34" s="72" t="s">
        <v>390</v>
      </c>
      <c r="B34" s="74">
        <v>0</v>
      </c>
      <c r="C34" s="548">
        <v>0</v>
      </c>
      <c r="D34" s="73">
        <f t="shared" si="0"/>
        <v>0</v>
      </c>
      <c r="E34" s="26" t="s">
        <v>390</v>
      </c>
      <c r="F34" s="28">
        <v>0</v>
      </c>
      <c r="G34" s="384">
        <v>0</v>
      </c>
      <c r="H34" s="27">
        <f t="shared" si="1"/>
        <v>0</v>
      </c>
    </row>
    <row r="35" spans="1:8" ht="14.95" customHeight="1" thickBot="1" x14ac:dyDescent="0.3">
      <c r="A35" s="72" t="s">
        <v>969</v>
      </c>
      <c r="B35" s="74">
        <v>0</v>
      </c>
      <c r="C35" s="548">
        <v>0</v>
      </c>
      <c r="D35" s="73">
        <f t="shared" si="0"/>
        <v>0</v>
      </c>
      <c r="E35" s="26" t="s">
        <v>969</v>
      </c>
      <c r="F35" s="28">
        <v>0</v>
      </c>
      <c r="G35" s="384">
        <v>0</v>
      </c>
      <c r="H35" s="27">
        <f t="shared" si="1"/>
        <v>0</v>
      </c>
    </row>
    <row r="36" spans="1:8" ht="14.95" customHeight="1" thickBot="1" x14ac:dyDescent="0.3">
      <c r="A36" s="72" t="s">
        <v>801</v>
      </c>
      <c r="B36" s="74">
        <v>0</v>
      </c>
      <c r="C36" s="548">
        <v>0</v>
      </c>
      <c r="D36" s="73">
        <f t="shared" si="0"/>
        <v>0</v>
      </c>
      <c r="E36" s="26" t="s">
        <v>801</v>
      </c>
      <c r="F36" s="28">
        <v>0</v>
      </c>
      <c r="G36" s="384">
        <v>0</v>
      </c>
      <c r="H36" s="27">
        <f t="shared" si="1"/>
        <v>0</v>
      </c>
    </row>
    <row r="37" spans="1:8" ht="14.95" thickBot="1" x14ac:dyDescent="0.3">
      <c r="A37" s="72" t="s">
        <v>802</v>
      </c>
      <c r="B37" s="74">
        <v>0</v>
      </c>
      <c r="C37" s="548">
        <v>0</v>
      </c>
      <c r="D37" s="73">
        <f t="shared" si="0"/>
        <v>0</v>
      </c>
      <c r="E37" s="26" t="s">
        <v>802</v>
      </c>
      <c r="F37" s="28">
        <v>0</v>
      </c>
      <c r="G37" s="384">
        <v>0</v>
      </c>
      <c r="H37" s="27">
        <f t="shared" si="1"/>
        <v>0</v>
      </c>
    </row>
    <row r="38" spans="1:8" ht="14.95" thickBot="1" x14ac:dyDescent="0.3">
      <c r="A38" s="72" t="s">
        <v>344</v>
      </c>
      <c r="B38" s="74">
        <v>0</v>
      </c>
      <c r="C38" s="548">
        <v>0</v>
      </c>
      <c r="D38" s="73">
        <f t="shared" si="0"/>
        <v>0</v>
      </c>
      <c r="E38" s="26" t="s">
        <v>344</v>
      </c>
      <c r="F38" s="28">
        <v>0</v>
      </c>
      <c r="G38" s="384">
        <v>0</v>
      </c>
      <c r="H38" s="27">
        <f t="shared" si="1"/>
        <v>0</v>
      </c>
    </row>
    <row r="39" spans="1:8" ht="14.95" thickBot="1" x14ac:dyDescent="0.3">
      <c r="A39" s="72" t="s">
        <v>803</v>
      </c>
      <c r="B39" s="74">
        <v>0</v>
      </c>
      <c r="C39" s="548">
        <v>0</v>
      </c>
      <c r="D39" s="73">
        <f t="shared" si="0"/>
        <v>0</v>
      </c>
      <c r="E39" s="26" t="s">
        <v>803</v>
      </c>
      <c r="F39" s="28">
        <v>0</v>
      </c>
      <c r="G39" s="384">
        <v>0</v>
      </c>
      <c r="H39" s="27">
        <f t="shared" si="1"/>
        <v>0</v>
      </c>
    </row>
    <row r="40" spans="1:8" ht="14.95" thickBot="1" x14ac:dyDescent="0.3">
      <c r="A40" s="72" t="s">
        <v>342</v>
      </c>
      <c r="B40" s="74">
        <v>0</v>
      </c>
      <c r="C40" s="548">
        <v>0</v>
      </c>
      <c r="D40" s="73">
        <f t="shared" si="0"/>
        <v>0</v>
      </c>
      <c r="E40" s="26" t="s">
        <v>342</v>
      </c>
      <c r="F40" s="28">
        <v>0</v>
      </c>
      <c r="G40" s="384">
        <v>0</v>
      </c>
      <c r="H40" s="27">
        <f t="shared" si="1"/>
        <v>0</v>
      </c>
    </row>
    <row r="41" spans="1:8" ht="14.95" thickBot="1" x14ac:dyDescent="0.3">
      <c r="A41" s="72" t="s">
        <v>796</v>
      </c>
      <c r="B41" s="74">
        <v>0</v>
      </c>
      <c r="C41" s="548">
        <v>0</v>
      </c>
      <c r="D41" s="73">
        <f t="shared" si="0"/>
        <v>0</v>
      </c>
      <c r="E41" s="26" t="s">
        <v>796</v>
      </c>
      <c r="F41" s="28">
        <v>0</v>
      </c>
      <c r="G41" s="384">
        <v>0</v>
      </c>
      <c r="H41" s="27">
        <f t="shared" si="1"/>
        <v>0</v>
      </c>
    </row>
    <row r="42" spans="1:8" ht="14.95" thickBot="1" x14ac:dyDescent="0.3">
      <c r="A42" s="72" t="s">
        <v>565</v>
      </c>
      <c r="B42" s="74">
        <v>0</v>
      </c>
      <c r="C42" s="548">
        <v>0</v>
      </c>
      <c r="D42" s="73">
        <f t="shared" si="0"/>
        <v>0</v>
      </c>
      <c r="E42" s="26" t="s">
        <v>565</v>
      </c>
      <c r="F42" s="28">
        <v>0</v>
      </c>
      <c r="G42" s="384">
        <v>0</v>
      </c>
      <c r="H42" s="27">
        <f t="shared" si="1"/>
        <v>0</v>
      </c>
    </row>
    <row r="43" spans="1:8" ht="14.95" thickBot="1" x14ac:dyDescent="0.3">
      <c r="A43" s="72" t="s">
        <v>617</v>
      </c>
      <c r="B43" s="74">
        <v>0</v>
      </c>
      <c r="C43" s="548">
        <v>0</v>
      </c>
      <c r="D43" s="73">
        <f t="shared" si="0"/>
        <v>0</v>
      </c>
      <c r="E43" s="26" t="s">
        <v>617</v>
      </c>
      <c r="F43" s="28">
        <v>0</v>
      </c>
      <c r="G43" s="384">
        <v>0</v>
      </c>
      <c r="H43" s="27">
        <f t="shared" si="1"/>
        <v>0</v>
      </c>
    </row>
    <row r="44" spans="1:8" ht="14.95" thickBot="1" x14ac:dyDescent="0.3">
      <c r="A44" s="72" t="s">
        <v>564</v>
      </c>
      <c r="B44" s="74">
        <v>0</v>
      </c>
      <c r="C44" s="548">
        <v>0</v>
      </c>
      <c r="D44" s="73">
        <f t="shared" si="0"/>
        <v>0</v>
      </c>
      <c r="E44" s="26" t="s">
        <v>564</v>
      </c>
      <c r="F44" s="28">
        <v>0</v>
      </c>
      <c r="G44" s="384">
        <v>0</v>
      </c>
      <c r="H44" s="27">
        <f t="shared" si="1"/>
        <v>0</v>
      </c>
    </row>
    <row r="45" spans="1:8" ht="14.95" thickBot="1" x14ac:dyDescent="0.3">
      <c r="A45" s="72" t="s">
        <v>3</v>
      </c>
      <c r="B45" s="74">
        <f>SUM(B3:B44)</f>
        <v>7</v>
      </c>
      <c r="C45" s="548">
        <f>SUM(C3:C44)</f>
        <v>0</v>
      </c>
      <c r="D45" s="73">
        <f t="shared" si="0"/>
        <v>7</v>
      </c>
      <c r="E45" s="25" t="s">
        <v>3</v>
      </c>
      <c r="F45" s="28">
        <f>SUM(F3:F44)</f>
        <v>59</v>
      </c>
      <c r="G45" s="384">
        <f>SUM(G3:G44)</f>
        <v>0</v>
      </c>
      <c r="H45" s="27">
        <f t="shared" si="1"/>
        <v>59</v>
      </c>
    </row>
    <row r="46" spans="1:8" x14ac:dyDescent="0.25">
      <c r="B46" s="22"/>
      <c r="C46" s="544"/>
      <c r="E46" s="11"/>
      <c r="F46" s="23"/>
      <c r="G46" s="508"/>
    </row>
    <row r="47" spans="1:8" ht="14.3" customHeight="1" thickBot="1" x14ac:dyDescent="0.3">
      <c r="A47" t="s">
        <v>15</v>
      </c>
      <c r="B47" s="22"/>
      <c r="C47" s="544"/>
      <c r="E47" s="9"/>
      <c r="F47" s="5"/>
      <c r="G47" s="545"/>
      <c r="H47" s="9"/>
    </row>
    <row r="48" spans="1:8" ht="14.95" thickBot="1" x14ac:dyDescent="0.3">
      <c r="A48" s="186" t="s">
        <v>0</v>
      </c>
      <c r="B48" s="223" t="s">
        <v>36</v>
      </c>
      <c r="C48" s="516" t="s">
        <v>1447</v>
      </c>
      <c r="D48" s="187" t="s">
        <v>1</v>
      </c>
      <c r="E48" s="175" t="s">
        <v>2</v>
      </c>
      <c r="F48" s="176" t="s">
        <v>36</v>
      </c>
      <c r="G48" s="383" t="s">
        <v>1447</v>
      </c>
      <c r="H48" s="178" t="s">
        <v>1</v>
      </c>
    </row>
    <row r="49" spans="1:8" ht="14.95" thickBot="1" x14ac:dyDescent="0.3">
      <c r="A49" s="72" t="s">
        <v>1465</v>
      </c>
      <c r="B49" s="74">
        <v>3</v>
      </c>
      <c r="C49" s="548">
        <v>0</v>
      </c>
      <c r="D49" s="73">
        <f>SUM(B49:C49)</f>
        <v>3</v>
      </c>
      <c r="E49" s="26" t="s">
        <v>1465</v>
      </c>
      <c r="F49" s="28">
        <v>15</v>
      </c>
      <c r="G49" s="384">
        <v>0</v>
      </c>
      <c r="H49" s="27">
        <f>SUM(F49:G49)</f>
        <v>15</v>
      </c>
    </row>
    <row r="50" spans="1:8" ht="14.95" thickBot="1" x14ac:dyDescent="0.3">
      <c r="A50" s="72" t="s">
        <v>224</v>
      </c>
      <c r="B50" s="74">
        <v>2</v>
      </c>
      <c r="C50" s="548">
        <v>0</v>
      </c>
      <c r="D50" s="73">
        <f>SUM(B50:C50)</f>
        <v>2</v>
      </c>
      <c r="E50" s="26" t="s">
        <v>1173</v>
      </c>
      <c r="F50" s="28">
        <v>11</v>
      </c>
      <c r="G50" s="384">
        <v>0</v>
      </c>
      <c r="H50" s="27">
        <f>SUM(F50:G50)</f>
        <v>11</v>
      </c>
    </row>
    <row r="51" spans="1:8" ht="14.95" thickBot="1" x14ac:dyDescent="0.3">
      <c r="A51" s="72" t="s">
        <v>899</v>
      </c>
      <c r="B51" s="74">
        <v>1</v>
      </c>
      <c r="C51" s="548">
        <v>0</v>
      </c>
      <c r="D51" s="73">
        <f>SUM(B51:C51)</f>
        <v>1</v>
      </c>
      <c r="E51" s="26" t="s">
        <v>224</v>
      </c>
      <c r="F51" s="28">
        <v>10</v>
      </c>
      <c r="G51" s="384">
        <v>0</v>
      </c>
      <c r="H51" s="27">
        <f>SUM(F51:G51)</f>
        <v>10</v>
      </c>
    </row>
    <row r="52" spans="1:8" ht="14.95" thickBot="1" x14ac:dyDescent="0.3">
      <c r="A52" s="72" t="s">
        <v>805</v>
      </c>
      <c r="B52" s="74">
        <v>1</v>
      </c>
      <c r="C52" s="548">
        <v>0</v>
      </c>
      <c r="D52" s="73">
        <f>SUM(B52:C52)</f>
        <v>1</v>
      </c>
      <c r="E52" s="26" t="s">
        <v>804</v>
      </c>
      <c r="F52" s="28">
        <v>10</v>
      </c>
      <c r="G52" s="384">
        <v>0</v>
      </c>
      <c r="H52" s="27">
        <f>SUM(F52:G52)</f>
        <v>10</v>
      </c>
    </row>
    <row r="53" spans="1:8" ht="14.95" thickBot="1" x14ac:dyDescent="0.3">
      <c r="A53" s="72" t="s">
        <v>107</v>
      </c>
      <c r="B53" s="74">
        <v>0</v>
      </c>
      <c r="C53" s="548">
        <v>0</v>
      </c>
      <c r="D53" s="73">
        <f>SUM(B53:C53)</f>
        <v>0</v>
      </c>
      <c r="E53" s="26" t="s">
        <v>899</v>
      </c>
      <c r="F53" s="28">
        <v>5</v>
      </c>
      <c r="G53" s="384">
        <v>0</v>
      </c>
      <c r="H53" s="27">
        <f>SUM(F53:G53)</f>
        <v>5</v>
      </c>
    </row>
    <row r="54" spans="1:8" ht="14.95" thickBot="1" x14ac:dyDescent="0.3">
      <c r="A54" s="72" t="s">
        <v>391</v>
      </c>
      <c r="B54" s="74">
        <v>0</v>
      </c>
      <c r="C54" s="548">
        <v>0</v>
      </c>
      <c r="D54" s="73">
        <f>SUM(B54:C54)</f>
        <v>0</v>
      </c>
      <c r="E54" s="26" t="s">
        <v>805</v>
      </c>
      <c r="F54" s="28">
        <v>5</v>
      </c>
      <c r="G54" s="384">
        <v>0</v>
      </c>
      <c r="H54" s="27">
        <f>SUM(F54:G54)</f>
        <v>5</v>
      </c>
    </row>
    <row r="55" spans="1:8" ht="14.95" thickBot="1" x14ac:dyDescent="0.3">
      <c r="A55" s="72" t="s">
        <v>797</v>
      </c>
      <c r="B55" s="74">
        <v>0</v>
      </c>
      <c r="C55" s="548">
        <v>0</v>
      </c>
      <c r="D55" s="73">
        <f>SUM(B55:C55)</f>
        <v>0</v>
      </c>
      <c r="E55" s="26" t="s">
        <v>1224</v>
      </c>
      <c r="F55" s="28">
        <v>3</v>
      </c>
      <c r="G55" s="384">
        <v>0</v>
      </c>
      <c r="H55" s="27">
        <f>SUM(F55:G55)</f>
        <v>3</v>
      </c>
    </row>
    <row r="56" spans="1:8" ht="14.95" thickBot="1" x14ac:dyDescent="0.3">
      <c r="A56" s="72" t="s">
        <v>1121</v>
      </c>
      <c r="B56" s="74">
        <v>0</v>
      </c>
      <c r="C56" s="548">
        <v>0</v>
      </c>
      <c r="D56" s="73">
        <f>SUM(B56:C56)</f>
        <v>0</v>
      </c>
      <c r="E56" s="26" t="s">
        <v>107</v>
      </c>
      <c r="F56" s="28">
        <v>0</v>
      </c>
      <c r="G56" s="384">
        <v>0</v>
      </c>
      <c r="H56" s="27">
        <f>SUM(F56:G56)</f>
        <v>0</v>
      </c>
    </row>
    <row r="57" spans="1:8" ht="14.95" thickBot="1" x14ac:dyDescent="0.3">
      <c r="A57" s="72" t="s">
        <v>804</v>
      </c>
      <c r="B57" s="74">
        <v>0</v>
      </c>
      <c r="C57" s="548">
        <v>0</v>
      </c>
      <c r="D57" s="73">
        <f>SUM(B57:C57)</f>
        <v>0</v>
      </c>
      <c r="E57" s="26" t="s">
        <v>391</v>
      </c>
      <c r="F57" s="28">
        <v>0</v>
      </c>
      <c r="G57" s="384">
        <v>0</v>
      </c>
      <c r="H57" s="27">
        <f>SUM(F57:G57)</f>
        <v>0</v>
      </c>
    </row>
    <row r="58" spans="1:8" ht="14.95" thickBot="1" x14ac:dyDescent="0.3">
      <c r="A58" s="72" t="s">
        <v>798</v>
      </c>
      <c r="B58" s="74">
        <v>0</v>
      </c>
      <c r="C58" s="548">
        <v>0</v>
      </c>
      <c r="D58" s="73">
        <f>SUM(B58:C58)</f>
        <v>0</v>
      </c>
      <c r="E58" s="26" t="s">
        <v>797</v>
      </c>
      <c r="F58" s="28">
        <v>0</v>
      </c>
      <c r="G58" s="384">
        <v>0</v>
      </c>
      <c r="H58" s="27">
        <f>SUM(F58:G58)</f>
        <v>0</v>
      </c>
    </row>
    <row r="59" spans="1:8" ht="14.95" thickBot="1" x14ac:dyDescent="0.3">
      <c r="A59" s="72" t="s">
        <v>799</v>
      </c>
      <c r="B59" s="74">
        <v>0</v>
      </c>
      <c r="C59" s="548">
        <v>0</v>
      </c>
      <c r="D59" s="73">
        <f>SUM(B59:C59)</f>
        <v>0</v>
      </c>
      <c r="E59" s="26" t="s">
        <v>1121</v>
      </c>
      <c r="F59" s="28">
        <v>0</v>
      </c>
      <c r="G59" s="384">
        <v>0</v>
      </c>
      <c r="H59" s="27">
        <f>SUM(F59:G59)</f>
        <v>0</v>
      </c>
    </row>
    <row r="60" spans="1:8" ht="14.95" thickBot="1" x14ac:dyDescent="0.3">
      <c r="A60" s="72" t="s">
        <v>377</v>
      </c>
      <c r="B60" s="74">
        <v>0</v>
      </c>
      <c r="C60" s="548">
        <v>0</v>
      </c>
      <c r="D60" s="73">
        <f>SUM(B60:C60)</f>
        <v>0</v>
      </c>
      <c r="E60" s="26" t="s">
        <v>798</v>
      </c>
      <c r="F60" s="28">
        <v>0</v>
      </c>
      <c r="G60" s="384">
        <v>0</v>
      </c>
      <c r="H60" s="27">
        <f>SUM(F60:G60)</f>
        <v>0</v>
      </c>
    </row>
    <row r="61" spans="1:8" ht="14.95" thickBot="1" x14ac:dyDescent="0.3">
      <c r="A61" s="72" t="s">
        <v>1173</v>
      </c>
      <c r="B61" s="74">
        <v>0</v>
      </c>
      <c r="C61" s="548">
        <v>0</v>
      </c>
      <c r="D61" s="73">
        <f>SUM(B61:C61)</f>
        <v>0</v>
      </c>
      <c r="E61" s="26" t="s">
        <v>799</v>
      </c>
      <c r="F61" s="28">
        <v>0</v>
      </c>
      <c r="G61" s="384">
        <v>0</v>
      </c>
      <c r="H61" s="27">
        <f>SUM(F61:G61)</f>
        <v>0</v>
      </c>
    </row>
    <row r="62" spans="1:8" ht="14.95" thickBot="1" x14ac:dyDescent="0.3">
      <c r="A62" s="72" t="s">
        <v>461</v>
      </c>
      <c r="B62" s="74">
        <v>0</v>
      </c>
      <c r="C62" s="548">
        <v>0</v>
      </c>
      <c r="D62" s="73">
        <f>SUM(B62:C62)</f>
        <v>0</v>
      </c>
      <c r="E62" s="26" t="s">
        <v>377</v>
      </c>
      <c r="F62" s="28">
        <v>0</v>
      </c>
      <c r="G62" s="384">
        <v>0</v>
      </c>
      <c r="H62" s="27">
        <f>SUM(F62:G62)</f>
        <v>0</v>
      </c>
    </row>
    <row r="63" spans="1:8" ht="14.95" thickBot="1" x14ac:dyDescent="0.3">
      <c r="A63" s="72" t="s">
        <v>818</v>
      </c>
      <c r="B63" s="74">
        <v>0</v>
      </c>
      <c r="C63" s="548">
        <v>0</v>
      </c>
      <c r="D63" s="73">
        <f>SUM(B63:C63)</f>
        <v>0</v>
      </c>
      <c r="E63" s="26" t="s">
        <v>461</v>
      </c>
      <c r="F63" s="28">
        <v>0</v>
      </c>
      <c r="G63" s="384">
        <v>0</v>
      </c>
      <c r="H63" s="27">
        <f>SUM(F63:G63)</f>
        <v>0</v>
      </c>
    </row>
    <row r="64" spans="1:8" ht="14.95" thickBot="1" x14ac:dyDescent="0.3">
      <c r="A64" s="72" t="s">
        <v>1224</v>
      </c>
      <c r="B64" s="74">
        <v>0</v>
      </c>
      <c r="C64" s="548">
        <v>0</v>
      </c>
      <c r="D64" s="73">
        <f>SUM(B64:C64)</f>
        <v>0</v>
      </c>
      <c r="E64" s="26" t="s">
        <v>818</v>
      </c>
      <c r="F64" s="28">
        <v>0</v>
      </c>
      <c r="G64" s="384">
        <v>0</v>
      </c>
      <c r="H64" s="27">
        <f>SUM(F64:G64)</f>
        <v>0</v>
      </c>
    </row>
    <row r="65" spans="1:8" ht="14.95" thickBot="1" x14ac:dyDescent="0.3">
      <c r="A65" s="72" t="s">
        <v>40</v>
      </c>
      <c r="B65" s="74">
        <v>0</v>
      </c>
      <c r="C65" s="548">
        <v>0</v>
      </c>
      <c r="D65" s="73">
        <f>SUM(B65:C65)</f>
        <v>0</v>
      </c>
      <c r="E65" s="26" t="s">
        <v>40</v>
      </c>
      <c r="F65" s="28">
        <v>0</v>
      </c>
      <c r="G65" s="384">
        <v>0</v>
      </c>
      <c r="H65" s="27">
        <f>SUM(F65:G65)</f>
        <v>0</v>
      </c>
    </row>
    <row r="66" spans="1:8" ht="14.95" thickBot="1" x14ac:dyDescent="0.3">
      <c r="A66" s="72" t="s">
        <v>24</v>
      </c>
      <c r="B66" s="74">
        <v>0</v>
      </c>
      <c r="C66" s="548">
        <v>0</v>
      </c>
      <c r="D66" s="73">
        <f>SUM(B66:C66)</f>
        <v>0</v>
      </c>
      <c r="E66" s="26" t="s">
        <v>24</v>
      </c>
      <c r="F66" s="28">
        <v>0</v>
      </c>
      <c r="G66" s="384">
        <v>0</v>
      </c>
      <c r="H66" s="27">
        <f>SUM(F66:G66)</f>
        <v>0</v>
      </c>
    </row>
    <row r="67" spans="1:8" ht="14.95" thickBot="1" x14ac:dyDescent="0.3">
      <c r="A67" s="72" t="s">
        <v>1259</v>
      </c>
      <c r="B67" s="74">
        <v>0</v>
      </c>
      <c r="C67" s="548">
        <v>0</v>
      </c>
      <c r="D67" s="73">
        <f>SUM(B67:C67)</f>
        <v>0</v>
      </c>
      <c r="E67" s="26" t="s">
        <v>1259</v>
      </c>
      <c r="F67" s="28">
        <v>0</v>
      </c>
      <c r="G67" s="384">
        <v>0</v>
      </c>
      <c r="H67" s="27">
        <f>SUM(F67:G67)</f>
        <v>0</v>
      </c>
    </row>
    <row r="68" spans="1:8" ht="14.95" thickBot="1" x14ac:dyDescent="0.3">
      <c r="A68" s="72" t="s">
        <v>800</v>
      </c>
      <c r="B68" s="74">
        <v>0</v>
      </c>
      <c r="C68" s="548">
        <v>0</v>
      </c>
      <c r="D68" s="73">
        <f>SUM(B68:C68)</f>
        <v>0</v>
      </c>
      <c r="E68" s="26" t="s">
        <v>800</v>
      </c>
      <c r="F68" s="28">
        <v>0</v>
      </c>
      <c r="G68" s="384">
        <v>0</v>
      </c>
      <c r="H68" s="27">
        <f>SUM(F68:G68)</f>
        <v>0</v>
      </c>
    </row>
    <row r="69" spans="1:8" ht="14.95" thickBot="1" x14ac:dyDescent="0.3">
      <c r="A69" s="72" t="s">
        <v>491</v>
      </c>
      <c r="B69" s="74">
        <v>0</v>
      </c>
      <c r="C69" s="548">
        <v>0</v>
      </c>
      <c r="D69" s="73">
        <f>SUM(B69:C69)</f>
        <v>0</v>
      </c>
      <c r="E69" s="26" t="s">
        <v>491</v>
      </c>
      <c r="F69" s="28">
        <v>0</v>
      </c>
      <c r="G69" s="384">
        <v>0</v>
      </c>
      <c r="H69" s="27">
        <f>SUM(F69:G69)</f>
        <v>0</v>
      </c>
    </row>
    <row r="70" spans="1:8" ht="14.95" thickBot="1" x14ac:dyDescent="0.3">
      <c r="A70" s="72" t="s">
        <v>1221</v>
      </c>
      <c r="B70" s="74">
        <v>0</v>
      </c>
      <c r="C70" s="548">
        <v>0</v>
      </c>
      <c r="D70" s="73">
        <f>SUM(B70:C70)</f>
        <v>0</v>
      </c>
      <c r="E70" s="26" t="s">
        <v>1221</v>
      </c>
      <c r="F70" s="28">
        <v>0</v>
      </c>
      <c r="G70" s="384">
        <v>0</v>
      </c>
      <c r="H70" s="27">
        <f>SUM(F70:G70)</f>
        <v>0</v>
      </c>
    </row>
    <row r="71" spans="1:8" ht="14.95" thickBot="1" x14ac:dyDescent="0.3">
      <c r="A71" s="72" t="s">
        <v>1222</v>
      </c>
      <c r="B71" s="74">
        <v>0</v>
      </c>
      <c r="C71" s="548">
        <v>0</v>
      </c>
      <c r="D71" s="73">
        <f>SUM(B71:C71)</f>
        <v>0</v>
      </c>
      <c r="E71" s="26" t="s">
        <v>1222</v>
      </c>
      <c r="F71" s="28">
        <v>0</v>
      </c>
      <c r="G71" s="384">
        <v>0</v>
      </c>
      <c r="H71" s="27">
        <f>SUM(F71:G71)</f>
        <v>0</v>
      </c>
    </row>
    <row r="72" spans="1:8" ht="14.95" thickBot="1" x14ac:dyDescent="0.3">
      <c r="A72" s="72" t="s">
        <v>900</v>
      </c>
      <c r="B72" s="74">
        <v>0</v>
      </c>
      <c r="C72" s="548">
        <v>0</v>
      </c>
      <c r="D72" s="73">
        <f>SUM(B72:C72)</f>
        <v>0</v>
      </c>
      <c r="E72" s="26" t="s">
        <v>900</v>
      </c>
      <c r="F72" s="28">
        <v>0</v>
      </c>
      <c r="G72" s="384">
        <v>0</v>
      </c>
      <c r="H72" s="27">
        <f>SUM(F72:G72)</f>
        <v>0</v>
      </c>
    </row>
    <row r="73" spans="1:8" ht="14.95" thickBot="1" x14ac:dyDescent="0.3">
      <c r="A73" s="72" t="s">
        <v>567</v>
      </c>
      <c r="B73" s="74">
        <v>0</v>
      </c>
      <c r="C73" s="548">
        <v>0</v>
      </c>
      <c r="D73" s="73">
        <f>SUM(B73:C73)</f>
        <v>0</v>
      </c>
      <c r="E73" s="26" t="s">
        <v>567</v>
      </c>
      <c r="F73" s="28">
        <v>0</v>
      </c>
      <c r="G73" s="384">
        <v>0</v>
      </c>
      <c r="H73" s="27">
        <f>SUM(F73:G73)</f>
        <v>0</v>
      </c>
    </row>
    <row r="74" spans="1:8" ht="14.95" thickBot="1" x14ac:dyDescent="0.3">
      <c r="A74" s="72" t="s">
        <v>64</v>
      </c>
      <c r="B74" s="74">
        <v>0</v>
      </c>
      <c r="C74" s="548">
        <v>0</v>
      </c>
      <c r="D74" s="73">
        <f>SUM(B74:C74)</f>
        <v>0</v>
      </c>
      <c r="E74" s="26" t="s">
        <v>64</v>
      </c>
      <c r="F74" s="28">
        <v>0</v>
      </c>
      <c r="G74" s="384">
        <v>0</v>
      </c>
      <c r="H74" s="27">
        <f>SUM(F74:G74)</f>
        <v>0</v>
      </c>
    </row>
    <row r="75" spans="1:8" ht="14.95" thickBot="1" x14ac:dyDescent="0.3">
      <c r="A75" s="72" t="s">
        <v>817</v>
      </c>
      <c r="B75" s="74">
        <v>0</v>
      </c>
      <c r="C75" s="548">
        <v>0</v>
      </c>
      <c r="D75" s="73">
        <f>SUM(B75:C75)</f>
        <v>0</v>
      </c>
      <c r="E75" s="26" t="s">
        <v>817</v>
      </c>
      <c r="F75" s="28">
        <v>0</v>
      </c>
      <c r="G75" s="384">
        <v>0</v>
      </c>
      <c r="H75" s="27">
        <f>SUM(F75:G75)</f>
        <v>0</v>
      </c>
    </row>
    <row r="76" spans="1:8" ht="14.95" thickBot="1" x14ac:dyDescent="0.3">
      <c r="A76" s="72" t="s">
        <v>4</v>
      </c>
      <c r="B76" s="74">
        <v>0</v>
      </c>
      <c r="C76" s="548">
        <v>0</v>
      </c>
      <c r="D76" s="73">
        <f>SUM(B76:C76)</f>
        <v>0</v>
      </c>
      <c r="E76" s="26" t="s">
        <v>4</v>
      </c>
      <c r="F76" s="28">
        <v>0</v>
      </c>
      <c r="G76" s="384">
        <v>0</v>
      </c>
      <c r="H76" s="27">
        <f>SUM(F76:G76)</f>
        <v>0</v>
      </c>
    </row>
    <row r="77" spans="1:8" ht="14.95" thickBot="1" x14ac:dyDescent="0.3">
      <c r="A77" s="72" t="s">
        <v>1419</v>
      </c>
      <c r="B77" s="74">
        <v>0</v>
      </c>
      <c r="C77" s="548">
        <v>0</v>
      </c>
      <c r="D77" s="73">
        <f>SUM(B77:C77)</f>
        <v>0</v>
      </c>
      <c r="E77" s="26" t="s">
        <v>1419</v>
      </c>
      <c r="F77" s="28">
        <v>0</v>
      </c>
      <c r="G77" s="384">
        <v>0</v>
      </c>
      <c r="H77" s="27">
        <f>SUM(F77:G77)</f>
        <v>0</v>
      </c>
    </row>
    <row r="78" spans="1:8" ht="14.95" thickBot="1" x14ac:dyDescent="0.3">
      <c r="A78" s="72" t="s">
        <v>520</v>
      </c>
      <c r="B78" s="74">
        <v>0</v>
      </c>
      <c r="C78" s="548">
        <v>0</v>
      </c>
      <c r="D78" s="73">
        <f>SUM(B78:C78)</f>
        <v>0</v>
      </c>
      <c r="E78" s="26" t="s">
        <v>520</v>
      </c>
      <c r="F78" s="28">
        <v>0</v>
      </c>
      <c r="G78" s="384">
        <v>0</v>
      </c>
      <c r="H78" s="27">
        <f>SUM(F78:G78)</f>
        <v>0</v>
      </c>
    </row>
    <row r="79" spans="1:8" ht="14.95" thickBot="1" x14ac:dyDescent="0.3">
      <c r="A79" s="72" t="s">
        <v>1206</v>
      </c>
      <c r="B79" s="74">
        <v>0</v>
      </c>
      <c r="C79" s="548">
        <v>0</v>
      </c>
      <c r="D79" s="73">
        <f>SUM(B79:C79)</f>
        <v>0</v>
      </c>
      <c r="E79" s="26" t="s">
        <v>1206</v>
      </c>
      <c r="F79" s="28">
        <v>0</v>
      </c>
      <c r="G79" s="384">
        <v>0</v>
      </c>
      <c r="H79" s="27">
        <f>SUM(F79:G79)</f>
        <v>0</v>
      </c>
    </row>
    <row r="80" spans="1:8" ht="14.95" thickBot="1" x14ac:dyDescent="0.3">
      <c r="A80" s="72" t="s">
        <v>390</v>
      </c>
      <c r="B80" s="74">
        <v>0</v>
      </c>
      <c r="C80" s="548">
        <v>0</v>
      </c>
      <c r="D80" s="73">
        <f>SUM(B80:C80)</f>
        <v>0</v>
      </c>
      <c r="E80" s="26" t="s">
        <v>390</v>
      </c>
      <c r="F80" s="28">
        <v>0</v>
      </c>
      <c r="G80" s="384">
        <v>0</v>
      </c>
      <c r="H80" s="27">
        <f>SUM(F80:G80)</f>
        <v>0</v>
      </c>
    </row>
    <row r="81" spans="1:8" ht="14.95" thickBot="1" x14ac:dyDescent="0.3">
      <c r="A81" s="72" t="s">
        <v>969</v>
      </c>
      <c r="B81" s="74">
        <v>0</v>
      </c>
      <c r="C81" s="548">
        <v>0</v>
      </c>
      <c r="D81" s="73">
        <f>SUM(B81:C81)</f>
        <v>0</v>
      </c>
      <c r="E81" s="26" t="s">
        <v>969</v>
      </c>
      <c r="F81" s="28">
        <v>0</v>
      </c>
      <c r="G81" s="384">
        <v>0</v>
      </c>
      <c r="H81" s="27">
        <f>SUM(F81:G81)</f>
        <v>0</v>
      </c>
    </row>
    <row r="82" spans="1:8" ht="14.95" thickBot="1" x14ac:dyDescent="0.3">
      <c r="A82" s="72" t="s">
        <v>801</v>
      </c>
      <c r="B82" s="74">
        <v>0</v>
      </c>
      <c r="C82" s="548">
        <v>0</v>
      </c>
      <c r="D82" s="73">
        <f>SUM(B82:C82)</f>
        <v>0</v>
      </c>
      <c r="E82" s="26" t="s">
        <v>801</v>
      </c>
      <c r="F82" s="28">
        <v>0</v>
      </c>
      <c r="G82" s="384">
        <v>0</v>
      </c>
      <c r="H82" s="27">
        <f>SUM(F82:G82)</f>
        <v>0</v>
      </c>
    </row>
    <row r="83" spans="1:8" ht="14.95" thickBot="1" x14ac:dyDescent="0.3">
      <c r="A83" s="72" t="s">
        <v>802</v>
      </c>
      <c r="B83" s="74">
        <v>0</v>
      </c>
      <c r="C83" s="548">
        <v>0</v>
      </c>
      <c r="D83" s="73">
        <f>SUM(B83:C83)</f>
        <v>0</v>
      </c>
      <c r="E83" s="26" t="s">
        <v>802</v>
      </c>
      <c r="F83" s="28">
        <v>0</v>
      </c>
      <c r="G83" s="384">
        <v>0</v>
      </c>
      <c r="H83" s="27">
        <f>SUM(F83:G83)</f>
        <v>0</v>
      </c>
    </row>
    <row r="84" spans="1:8" ht="14.95" thickBot="1" x14ac:dyDescent="0.3">
      <c r="A84" s="72" t="s">
        <v>344</v>
      </c>
      <c r="B84" s="74">
        <v>0</v>
      </c>
      <c r="C84" s="548">
        <v>0</v>
      </c>
      <c r="D84" s="73">
        <f>SUM(B84:C84)</f>
        <v>0</v>
      </c>
      <c r="E84" s="26" t="s">
        <v>344</v>
      </c>
      <c r="F84" s="28">
        <v>0</v>
      </c>
      <c r="G84" s="384">
        <v>0</v>
      </c>
      <c r="H84" s="27">
        <f>SUM(F84:G84)</f>
        <v>0</v>
      </c>
    </row>
    <row r="85" spans="1:8" ht="14.95" thickBot="1" x14ac:dyDescent="0.3">
      <c r="A85" s="72" t="s">
        <v>803</v>
      </c>
      <c r="B85" s="74">
        <v>0</v>
      </c>
      <c r="C85" s="548">
        <v>0</v>
      </c>
      <c r="D85" s="73">
        <f>SUM(B85:C85)</f>
        <v>0</v>
      </c>
      <c r="E85" s="26" t="s">
        <v>803</v>
      </c>
      <c r="F85" s="28">
        <v>0</v>
      </c>
      <c r="G85" s="384">
        <v>0</v>
      </c>
      <c r="H85" s="27">
        <f>SUM(F85:G85)</f>
        <v>0</v>
      </c>
    </row>
    <row r="86" spans="1:8" ht="14.95" thickBot="1" x14ac:dyDescent="0.3">
      <c r="A86" s="72" t="s">
        <v>342</v>
      </c>
      <c r="B86" s="74">
        <v>0</v>
      </c>
      <c r="C86" s="548">
        <v>0</v>
      </c>
      <c r="D86" s="73">
        <f>SUM(B86:C86)</f>
        <v>0</v>
      </c>
      <c r="E86" s="26" t="s">
        <v>342</v>
      </c>
      <c r="F86" s="28">
        <v>0</v>
      </c>
      <c r="G86" s="384">
        <v>0</v>
      </c>
      <c r="H86" s="27">
        <f>SUM(F86:G86)</f>
        <v>0</v>
      </c>
    </row>
    <row r="87" spans="1:8" ht="14.95" thickBot="1" x14ac:dyDescent="0.3">
      <c r="A87" s="72" t="s">
        <v>796</v>
      </c>
      <c r="B87" s="74">
        <v>0</v>
      </c>
      <c r="C87" s="548">
        <v>0</v>
      </c>
      <c r="D87" s="73">
        <f>SUM(B87:C87)</f>
        <v>0</v>
      </c>
      <c r="E87" s="26" t="s">
        <v>796</v>
      </c>
      <c r="F87" s="28">
        <v>0</v>
      </c>
      <c r="G87" s="384">
        <v>0</v>
      </c>
      <c r="H87" s="27">
        <f>SUM(F87:G87)</f>
        <v>0</v>
      </c>
    </row>
    <row r="88" spans="1:8" ht="14.95" thickBot="1" x14ac:dyDescent="0.3">
      <c r="A88" s="72" t="s">
        <v>565</v>
      </c>
      <c r="B88" s="74">
        <v>0</v>
      </c>
      <c r="C88" s="548">
        <v>0</v>
      </c>
      <c r="D88" s="73">
        <f>SUM(B88:C88)</f>
        <v>0</v>
      </c>
      <c r="E88" s="26" t="s">
        <v>565</v>
      </c>
      <c r="F88" s="28">
        <v>0</v>
      </c>
      <c r="G88" s="384">
        <v>0</v>
      </c>
      <c r="H88" s="27">
        <f>SUM(F88:G88)</f>
        <v>0</v>
      </c>
    </row>
    <row r="89" spans="1:8" ht="14.95" thickBot="1" x14ac:dyDescent="0.3">
      <c r="A89" s="72" t="s">
        <v>617</v>
      </c>
      <c r="B89" s="74">
        <v>0</v>
      </c>
      <c r="C89" s="548">
        <v>0</v>
      </c>
      <c r="D89" s="73">
        <f>SUM(B89:C89)</f>
        <v>0</v>
      </c>
      <c r="E89" s="26" t="s">
        <v>617</v>
      </c>
      <c r="F89" s="28">
        <v>0</v>
      </c>
      <c r="G89" s="384">
        <v>0</v>
      </c>
      <c r="H89" s="27">
        <f>SUM(F89:G89)</f>
        <v>0</v>
      </c>
    </row>
    <row r="90" spans="1:8" ht="14.95" thickBot="1" x14ac:dyDescent="0.3">
      <c r="A90" s="72" t="s">
        <v>564</v>
      </c>
      <c r="B90" s="74">
        <v>0</v>
      </c>
      <c r="C90" s="548">
        <v>0</v>
      </c>
      <c r="D90" s="73">
        <f>SUM(B90:C90)</f>
        <v>0</v>
      </c>
      <c r="E90" s="26" t="s">
        <v>564</v>
      </c>
      <c r="F90" s="28">
        <v>0</v>
      </c>
      <c r="G90" s="384">
        <v>0</v>
      </c>
      <c r="H90" s="27">
        <f>SUM(F90:G90)</f>
        <v>0</v>
      </c>
    </row>
    <row r="91" spans="1:8" ht="14.95" thickBot="1" x14ac:dyDescent="0.3">
      <c r="A91" s="72" t="s">
        <v>3</v>
      </c>
      <c r="B91" s="74">
        <f>SUM(B49:B90)</f>
        <v>7</v>
      </c>
      <c r="C91" s="548">
        <f>SUM(C49:C90)</f>
        <v>0</v>
      </c>
      <c r="D91" s="73">
        <f t="shared" ref="D49:D91" si="2">SUM(B91:C91)</f>
        <v>7</v>
      </c>
      <c r="E91" s="25" t="s">
        <v>3</v>
      </c>
      <c r="F91" s="28">
        <f>SUM(F49:F90)</f>
        <v>59</v>
      </c>
      <c r="G91" s="384">
        <f>SUM(G49:G90)</f>
        <v>0</v>
      </c>
      <c r="H91" s="27">
        <f t="shared" ref="H49:H91" si="3">SUM(F91:G91)</f>
        <v>59</v>
      </c>
    </row>
    <row r="92" spans="1:8" ht="16.3" x14ac:dyDescent="0.3">
      <c r="A92" s="487" t="s">
        <v>28</v>
      </c>
    </row>
  </sheetData>
  <sortState xmlns:xlrd2="http://schemas.microsoft.com/office/spreadsheetml/2017/richdata2" ref="E49:H90">
    <sortCondition descending="1" ref="H49:H90"/>
  </sortState>
  <mergeCells count="34">
    <mergeCell ref="AK13:AM14"/>
    <mergeCell ref="S13:U14"/>
    <mergeCell ref="I25:I26"/>
    <mergeCell ref="J25:L26"/>
    <mergeCell ref="AB13:AD14"/>
    <mergeCell ref="Y13:AA14"/>
    <mergeCell ref="A1:H1"/>
    <mergeCell ref="J1:L2"/>
    <mergeCell ref="AH13:AJ14"/>
    <mergeCell ref="M25:O26"/>
    <mergeCell ref="AE1:AG2"/>
    <mergeCell ref="AE13:AG14"/>
    <mergeCell ref="Q1:S2"/>
    <mergeCell ref="M13:O14"/>
    <mergeCell ref="P25:R26"/>
    <mergeCell ref="P13:R14"/>
    <mergeCell ref="AB1:AD2"/>
    <mergeCell ref="Y1:AA2"/>
    <mergeCell ref="AT13:AV14"/>
    <mergeCell ref="AW13:AY14"/>
    <mergeCell ref="AT1:AV2"/>
    <mergeCell ref="I13:I14"/>
    <mergeCell ref="P1:P2"/>
    <mergeCell ref="V13:V14"/>
    <mergeCell ref="AQ1:AS2"/>
    <mergeCell ref="AQ13:AS14"/>
    <mergeCell ref="M1:O2"/>
    <mergeCell ref="J13:L14"/>
    <mergeCell ref="I1:I2"/>
    <mergeCell ref="AN1:AP2"/>
    <mergeCell ref="AN13:AP14"/>
    <mergeCell ref="T1:V2"/>
    <mergeCell ref="AK1:AM2"/>
    <mergeCell ref="AH1:AJ2"/>
  </mergeCells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14F1EC-BD6E-41FC-B7D4-9AF7627E20BC}">
  <dimension ref="A1:K108"/>
  <sheetViews>
    <sheetView workbookViewId="0">
      <selection activeCell="R25" sqref="R25"/>
    </sheetView>
  </sheetViews>
  <sheetFormatPr defaultRowHeight="14.3" x14ac:dyDescent="0.25"/>
  <cols>
    <col min="1" max="1" width="18.625" customWidth="1"/>
    <col min="2" max="2" width="5.125" bestFit="1" customWidth="1"/>
    <col min="3" max="3" width="5.625" customWidth="1"/>
    <col min="4" max="4" width="18.625" customWidth="1"/>
    <col min="5" max="5" width="5.125" bestFit="1" customWidth="1"/>
    <col min="6" max="6" width="5.625" customWidth="1"/>
    <col min="7" max="7" width="16.625" customWidth="1"/>
    <col min="8" max="8" width="4.5" bestFit="1" customWidth="1"/>
    <col min="9" max="9" width="4" bestFit="1" customWidth="1"/>
    <col min="10" max="10" width="4.125" bestFit="1" customWidth="1"/>
    <col min="11" max="11" width="4.125" customWidth="1"/>
  </cols>
  <sheetData>
    <row r="1" spans="1:11" ht="14.95" customHeight="1" x14ac:dyDescent="0.25">
      <c r="A1" s="443" t="s">
        <v>1459</v>
      </c>
      <c r="B1" s="443"/>
      <c r="C1" s="444"/>
      <c r="D1" s="444"/>
    </row>
    <row r="2" spans="1:11" ht="14.95" customHeight="1" thickBot="1" x14ac:dyDescent="0.3">
      <c r="A2" s="340" t="s">
        <v>1225</v>
      </c>
    </row>
    <row r="3" spans="1:11" ht="14.95" customHeight="1" thickBot="1" x14ac:dyDescent="0.3">
      <c r="A3" s="480" t="s">
        <v>0</v>
      </c>
      <c r="B3" s="481" t="s">
        <v>174</v>
      </c>
      <c r="C3" s="482" t="s">
        <v>20</v>
      </c>
      <c r="D3" s="483" t="s">
        <v>2</v>
      </c>
      <c r="E3" s="483" t="s">
        <v>174</v>
      </c>
      <c r="F3" s="484" t="s">
        <v>20</v>
      </c>
      <c r="G3" s="485" t="s">
        <v>295</v>
      </c>
      <c r="H3" s="485" t="s">
        <v>174</v>
      </c>
      <c r="I3" s="486" t="s">
        <v>180</v>
      </c>
      <c r="J3" s="486" t="s">
        <v>181</v>
      </c>
      <c r="K3" s="486" t="s">
        <v>13</v>
      </c>
    </row>
    <row r="4" spans="1:11" ht="14.95" customHeight="1" thickBot="1" x14ac:dyDescent="0.3">
      <c r="A4" s="454" t="s">
        <v>234</v>
      </c>
      <c r="B4" s="455" t="s">
        <v>170</v>
      </c>
      <c r="C4" s="456">
        <f>Marxrsarctries</f>
        <v>0</v>
      </c>
      <c r="D4" s="460" t="s">
        <v>513</v>
      </c>
      <c r="E4" s="461" t="s">
        <v>171</v>
      </c>
      <c r="F4" s="462">
        <f>carrerassarggtrcpts</f>
        <v>0</v>
      </c>
      <c r="G4" s="454" t="s">
        <v>513</v>
      </c>
      <c r="H4" s="455" t="s">
        <v>171</v>
      </c>
      <c r="I4" s="457">
        <f>Carreras_Sargtrcgls</f>
        <v>27</v>
      </c>
      <c r="J4" s="457">
        <f>carrerassargtrcatt</f>
        <v>29</v>
      </c>
      <c r="K4" s="458">
        <f t="shared" ref="K4:K15" si="0">SUM(I4/J4)*100</f>
        <v>93.103448275862064</v>
      </c>
    </row>
    <row r="5" spans="1:11" ht="14.95" customHeight="1" thickBot="1" x14ac:dyDescent="0.3">
      <c r="A5" s="454" t="s">
        <v>1332</v>
      </c>
      <c r="B5" s="455" t="s">
        <v>165</v>
      </c>
      <c r="C5" s="456">
        <f>Suaaliiaustrctries</f>
        <v>0</v>
      </c>
      <c r="D5" s="460" t="s">
        <v>946</v>
      </c>
      <c r="E5" s="461" t="s">
        <v>170</v>
      </c>
      <c r="F5" s="462">
        <f>feinbergmngomezulursatrcpts</f>
        <v>0</v>
      </c>
      <c r="G5" s="454" t="s">
        <v>946</v>
      </c>
      <c r="H5" s="455" t="s">
        <v>170</v>
      </c>
      <c r="I5" s="457">
        <f>Feinberg_M_zulursatrcgls</f>
        <v>16</v>
      </c>
      <c r="J5" s="457">
        <f>Feinberg_M_zulursatrcatt</f>
        <v>18</v>
      </c>
      <c r="K5" s="458">
        <f t="shared" si="0"/>
        <v>88.888888888888886</v>
      </c>
    </row>
    <row r="6" spans="1:11" ht="14.95" customHeight="1" thickBot="1" x14ac:dyDescent="0.3">
      <c r="A6" s="454" t="s">
        <v>1366</v>
      </c>
      <c r="B6" s="455" t="s">
        <v>166</v>
      </c>
      <c r="C6" s="456">
        <f>Carternzlrctries</f>
        <v>0</v>
      </c>
      <c r="D6" s="460" t="s">
        <v>151</v>
      </c>
      <c r="E6" s="461" t="s">
        <v>166</v>
      </c>
      <c r="F6" s="462">
        <f>McKenzieNZLTRCPTS</f>
        <v>0</v>
      </c>
      <c r="G6" s="454" t="s">
        <v>875</v>
      </c>
      <c r="H6" s="455" t="s">
        <v>170</v>
      </c>
      <c r="I6" s="457">
        <f>Pollardrsarcgls</f>
        <v>7</v>
      </c>
      <c r="J6" s="457">
        <f>pollardrsarcatt</f>
        <v>8</v>
      </c>
      <c r="K6" s="458">
        <f t="shared" si="0"/>
        <v>87.5</v>
      </c>
    </row>
    <row r="7" spans="1:11" ht="14.95" customHeight="1" thickBot="1" x14ac:dyDescent="0.3">
      <c r="A7" s="454" t="s">
        <v>1115</v>
      </c>
      <c r="B7" s="455" t="s">
        <v>171</v>
      </c>
      <c r="C7" s="456">
        <f>Delguyargrctries</f>
        <v>0</v>
      </c>
      <c r="D7" s="460" t="s">
        <v>1334</v>
      </c>
      <c r="E7" s="461" t="s">
        <v>165</v>
      </c>
      <c r="F7" s="462">
        <f>O_Connoraustrcpts</f>
        <v>0</v>
      </c>
      <c r="G7" s="454" t="s">
        <v>973</v>
      </c>
      <c r="H7" s="455" t="s">
        <v>171</v>
      </c>
      <c r="I7" s="457">
        <f>Albornozargrcgls</f>
        <v>5</v>
      </c>
      <c r="J7" s="457">
        <f>Albornozargrcatt</f>
        <v>6</v>
      </c>
      <c r="K7" s="458">
        <f t="shared" si="0"/>
        <v>83.333333333333343</v>
      </c>
    </row>
    <row r="8" spans="1:11" ht="14.95" customHeight="1" thickBot="1" x14ac:dyDescent="0.3">
      <c r="A8" s="454" t="s">
        <v>946</v>
      </c>
      <c r="B8" s="455" t="s">
        <v>170</v>
      </c>
      <c r="C8" s="456">
        <f>feinbergmngomezulursatrctries</f>
        <v>0</v>
      </c>
      <c r="D8" s="460" t="s">
        <v>572</v>
      </c>
      <c r="E8" s="461" t="s">
        <v>170</v>
      </c>
      <c r="F8" s="462">
        <f>Libbokrsatrcpts</f>
        <v>0</v>
      </c>
      <c r="G8" s="454" t="s">
        <v>572</v>
      </c>
      <c r="H8" s="455" t="s">
        <v>170</v>
      </c>
      <c r="I8" s="457">
        <f>Libbokrsatrcgls</f>
        <v>9</v>
      </c>
      <c r="J8" s="457">
        <f>libbokrsatrcatt</f>
        <v>11</v>
      </c>
      <c r="K8" s="458">
        <f t="shared" si="0"/>
        <v>81.818181818181827</v>
      </c>
    </row>
    <row r="9" spans="1:11" ht="14.95" customHeight="1" thickBot="1" x14ac:dyDescent="0.3">
      <c r="A9" s="454" t="s">
        <v>244</v>
      </c>
      <c r="B9" s="455" t="s">
        <v>170</v>
      </c>
      <c r="C9" s="456">
        <f>Kolbersatrctries</f>
        <v>0</v>
      </c>
      <c r="D9" s="460" t="s">
        <v>973</v>
      </c>
      <c r="E9" s="461" t="s">
        <v>171</v>
      </c>
      <c r="F9" s="462">
        <f>Albornozargtrcpts</f>
        <v>0</v>
      </c>
      <c r="G9" s="454" t="s">
        <v>1364</v>
      </c>
      <c r="H9" s="455" t="s">
        <v>165</v>
      </c>
      <c r="I9" s="457">
        <f>Edmedausrcgls</f>
        <v>4</v>
      </c>
      <c r="J9" s="457">
        <f>Edmedausrcatt</f>
        <v>5</v>
      </c>
      <c r="K9" s="458">
        <f t="shared" si="0"/>
        <v>80</v>
      </c>
    </row>
    <row r="10" spans="1:11" ht="14.95" customHeight="1" thickBot="1" x14ac:dyDescent="0.3">
      <c r="A10" s="454" t="s">
        <v>1095</v>
      </c>
      <c r="B10" s="455" t="s">
        <v>170</v>
      </c>
      <c r="C10" s="456">
        <f>reinachrsatrctries</f>
        <v>0</v>
      </c>
      <c r="D10" s="460" t="s">
        <v>234</v>
      </c>
      <c r="E10" s="461" t="s">
        <v>170</v>
      </c>
      <c r="F10" s="462">
        <f>Marxrsarcpts</f>
        <v>0</v>
      </c>
      <c r="G10" s="454" t="s">
        <v>151</v>
      </c>
      <c r="H10" s="455" t="s">
        <v>166</v>
      </c>
      <c r="I10" s="457">
        <f>McKenzie_Dnzltrcgls</f>
        <v>13</v>
      </c>
      <c r="J10" s="457">
        <f>mckenzienzltrcatt</f>
        <v>17</v>
      </c>
      <c r="K10" s="458">
        <f t="shared" si="0"/>
        <v>76.470588235294116</v>
      </c>
    </row>
    <row r="11" spans="1:11" ht="14.95" customHeight="1" thickBot="1" x14ac:dyDescent="0.3">
      <c r="A11" s="454" t="s">
        <v>412</v>
      </c>
      <c r="B11" s="455" t="s">
        <v>166</v>
      </c>
      <c r="C11" s="456">
        <f>Taukei_ahoNZLRCTRIES</f>
        <v>0</v>
      </c>
      <c r="D11" s="460" t="s">
        <v>1332</v>
      </c>
      <c r="E11" s="461" t="s">
        <v>165</v>
      </c>
      <c r="F11" s="462">
        <f>Suaaliiaustrcpts</f>
        <v>0</v>
      </c>
      <c r="G11" s="454" t="s">
        <v>1334</v>
      </c>
      <c r="H11" s="455" t="s">
        <v>165</v>
      </c>
      <c r="I11" s="457">
        <f>O_Connoraustrcgls</f>
        <v>15</v>
      </c>
      <c r="J11" s="457">
        <f>O_Connoraustrcatt</f>
        <v>21</v>
      </c>
      <c r="K11" s="458">
        <f t="shared" si="0"/>
        <v>71.428571428571431</v>
      </c>
    </row>
    <row r="12" spans="1:11" ht="14.95" customHeight="1" thickBot="1" x14ac:dyDescent="0.3">
      <c r="A12" s="454" t="s">
        <v>1357</v>
      </c>
      <c r="B12" s="455" t="s">
        <v>166</v>
      </c>
      <c r="C12" s="456">
        <f>Tupaeanzlrctriescorrect</f>
        <v>0</v>
      </c>
      <c r="D12" s="460" t="s">
        <v>117</v>
      </c>
      <c r="E12" s="461" t="s">
        <v>166</v>
      </c>
      <c r="F12" s="462">
        <f>Barrett_Bnzlrcpts</f>
        <v>0</v>
      </c>
      <c r="G12" s="454" t="s">
        <v>117</v>
      </c>
      <c r="H12" s="455" t="s">
        <v>166</v>
      </c>
      <c r="I12" s="457">
        <f>Barrett_Bnzlrcgls</f>
        <v>8</v>
      </c>
      <c r="J12" s="457">
        <f>Barrett_Bnzlrcatt</f>
        <v>15</v>
      </c>
      <c r="K12" s="458">
        <f t="shared" si="0"/>
        <v>53.333333333333336</v>
      </c>
    </row>
    <row r="13" spans="1:11" ht="14.95" customHeight="1" thickBot="1" x14ac:dyDescent="0.3">
      <c r="A13" s="454" t="s">
        <v>973</v>
      </c>
      <c r="B13" s="455" t="s">
        <v>171</v>
      </c>
      <c r="C13" s="456">
        <f>Albornozargtrctries</f>
        <v>0</v>
      </c>
      <c r="D13" s="460" t="s">
        <v>875</v>
      </c>
      <c r="E13" s="461" t="s">
        <v>170</v>
      </c>
      <c r="F13" s="462">
        <f>pollardrsatrcpts</f>
        <v>0</v>
      </c>
      <c r="G13" s="454" t="s">
        <v>968</v>
      </c>
      <c r="H13" s="455" t="s">
        <v>165</v>
      </c>
      <c r="I13" s="457">
        <f>Lynaghaustrcgls</f>
        <v>2</v>
      </c>
      <c r="J13" s="459">
        <f>lynaghaustrcattcorrect</f>
        <v>2</v>
      </c>
      <c r="K13" s="458">
        <f t="shared" si="0"/>
        <v>100</v>
      </c>
    </row>
    <row r="14" spans="1:11" ht="14.95" customHeight="1" thickBot="1" x14ac:dyDescent="0.3">
      <c r="A14" s="454" t="s">
        <v>356</v>
      </c>
      <c r="B14" s="455" t="s">
        <v>165</v>
      </c>
      <c r="C14" s="456">
        <f>Daugunuausrctries</f>
        <v>0</v>
      </c>
      <c r="D14" s="460" t="s">
        <v>1366</v>
      </c>
      <c r="E14" s="461" t="s">
        <v>166</v>
      </c>
      <c r="F14" s="462">
        <f>Carternzlrcpts</f>
        <v>0</v>
      </c>
      <c r="G14" s="454" t="s">
        <v>340</v>
      </c>
      <c r="H14" s="455" t="s">
        <v>171</v>
      </c>
      <c r="I14" s="457">
        <f>Malliaargrcgls</f>
        <v>2</v>
      </c>
      <c r="J14" s="459">
        <f>Malliaargrcatt</f>
        <v>2</v>
      </c>
      <c r="K14" s="458">
        <f t="shared" si="0"/>
        <v>100</v>
      </c>
    </row>
    <row r="15" spans="1:11" ht="14.95" customHeight="1" thickBot="1" x14ac:dyDescent="0.3">
      <c r="A15" s="454" t="s">
        <v>283</v>
      </c>
      <c r="B15" s="455" t="s">
        <v>170</v>
      </c>
      <c r="C15" s="456">
        <f>du_Toit_P_Srsatrctreis</f>
        <v>0</v>
      </c>
      <c r="D15" s="460" t="s">
        <v>1115</v>
      </c>
      <c r="E15" s="461" t="s">
        <v>171</v>
      </c>
      <c r="F15" s="462">
        <f>Delguyargrcpts</f>
        <v>0</v>
      </c>
      <c r="G15" s="454" t="s">
        <v>149</v>
      </c>
      <c r="H15" s="455" t="s">
        <v>166</v>
      </c>
      <c r="I15" s="457">
        <f>Barrett_Jnzlrcgls</f>
        <v>1</v>
      </c>
      <c r="J15" s="459">
        <f>Barrett_Jnzlrcatt</f>
        <v>2</v>
      </c>
      <c r="K15" s="458">
        <f t="shared" si="0"/>
        <v>50</v>
      </c>
    </row>
    <row r="16" spans="1:11" ht="14.95" customHeight="1" thickBot="1" x14ac:dyDescent="0.3">
      <c r="A16" s="454" t="s">
        <v>1330</v>
      </c>
      <c r="B16" s="455" t="s">
        <v>170</v>
      </c>
      <c r="C16" s="456">
        <f>esterhuizenrsatrctries</f>
        <v>0</v>
      </c>
      <c r="D16" s="460" t="s">
        <v>244</v>
      </c>
      <c r="E16" s="461" t="s">
        <v>170</v>
      </c>
      <c r="F16" s="462">
        <f>Kolbersatrcpts</f>
        <v>0</v>
      </c>
      <c r="G16" s="236" t="s">
        <v>1155</v>
      </c>
      <c r="H16" s="11"/>
    </row>
    <row r="17" spans="1:6" ht="14.95" customHeight="1" thickBot="1" x14ac:dyDescent="0.3">
      <c r="A17" s="454" t="s">
        <v>694</v>
      </c>
      <c r="B17" s="455" t="s">
        <v>171</v>
      </c>
      <c r="C17" s="456">
        <f>Isgroargtrctries</f>
        <v>0</v>
      </c>
      <c r="D17" s="460" t="s">
        <v>1095</v>
      </c>
      <c r="E17" s="461" t="s">
        <v>170</v>
      </c>
      <c r="F17" s="462">
        <f>reinachrsatrcpts</f>
        <v>0</v>
      </c>
    </row>
    <row r="18" spans="1:6" ht="14.95" customHeight="1" thickBot="1" x14ac:dyDescent="0.3">
      <c r="A18" s="454" t="s">
        <v>1112</v>
      </c>
      <c r="B18" s="455" t="s">
        <v>165</v>
      </c>
      <c r="C18" s="456">
        <f>Jorgensenaustrctries</f>
        <v>0</v>
      </c>
      <c r="D18" s="460" t="s">
        <v>412</v>
      </c>
      <c r="E18" s="461" t="s">
        <v>166</v>
      </c>
      <c r="F18" s="462">
        <f>Taukei_ahoNZLRCPTS</f>
        <v>0</v>
      </c>
    </row>
    <row r="19" spans="1:6" ht="14.95" customHeight="1" thickBot="1" x14ac:dyDescent="0.3">
      <c r="A19" s="454" t="s">
        <v>950</v>
      </c>
      <c r="B19" s="455" t="s">
        <v>166</v>
      </c>
      <c r="C19" s="456">
        <f>Retallicknzltries</f>
        <v>0</v>
      </c>
      <c r="D19" s="460" t="s">
        <v>1357</v>
      </c>
      <c r="E19" s="461" t="s">
        <v>166</v>
      </c>
      <c r="F19" s="462">
        <f>Tupaeanzlrcptscorrect</f>
        <v>0</v>
      </c>
    </row>
    <row r="20" spans="1:6" ht="14.95" customHeight="1" thickBot="1" x14ac:dyDescent="0.3">
      <c r="A20" s="454" t="s">
        <v>663</v>
      </c>
      <c r="B20" s="455" t="s">
        <v>166</v>
      </c>
      <c r="C20" s="456">
        <f>roigardnzlrctries</f>
        <v>0</v>
      </c>
      <c r="D20" s="460" t="s">
        <v>1364</v>
      </c>
      <c r="E20" s="461" t="s">
        <v>165</v>
      </c>
      <c r="F20" s="462">
        <f>Edmedausrcpts</f>
        <v>0</v>
      </c>
    </row>
    <row r="21" spans="1:6" ht="14.95" customHeight="1" thickBot="1" x14ac:dyDescent="0.3">
      <c r="A21" s="454" t="s">
        <v>386</v>
      </c>
      <c r="B21" s="455" t="s">
        <v>170</v>
      </c>
      <c r="C21" s="456">
        <f>Smithrsarctries</f>
        <v>0</v>
      </c>
      <c r="D21" s="460" t="s">
        <v>356</v>
      </c>
      <c r="E21" s="461" t="s">
        <v>165</v>
      </c>
      <c r="F21" s="462">
        <f>Daugunuausrcpts</f>
        <v>0</v>
      </c>
    </row>
    <row r="22" spans="1:6" ht="14.95" customHeight="1" thickBot="1" x14ac:dyDescent="0.3">
      <c r="A22" s="454" t="s">
        <v>1110</v>
      </c>
      <c r="B22" s="455" t="s">
        <v>165</v>
      </c>
      <c r="C22" s="456">
        <f>Wilsonaustrctries</f>
        <v>0</v>
      </c>
      <c r="D22" s="460" t="s">
        <v>283</v>
      </c>
      <c r="E22" s="461" t="s">
        <v>170</v>
      </c>
      <c r="F22" s="462">
        <f>du_Toit_P_Srsatrcpts</f>
        <v>0</v>
      </c>
    </row>
    <row r="23" spans="1:6" ht="14.95" customHeight="1" thickBot="1" x14ac:dyDescent="0.3">
      <c r="A23" s="454" t="s">
        <v>527</v>
      </c>
      <c r="B23" s="455" t="s">
        <v>170</v>
      </c>
      <c r="C23" s="456">
        <f>Arendsersatrctries</f>
        <v>0</v>
      </c>
      <c r="D23" s="460" t="s">
        <v>1330</v>
      </c>
      <c r="E23" s="461" t="s">
        <v>170</v>
      </c>
      <c r="F23" s="462">
        <f>esterhuizenrsatrcpts</f>
        <v>0</v>
      </c>
    </row>
    <row r="24" spans="1:6" ht="14.95" customHeight="1" thickBot="1" x14ac:dyDescent="0.3">
      <c r="A24" s="454" t="s">
        <v>723</v>
      </c>
      <c r="B24" s="455" t="s">
        <v>165</v>
      </c>
      <c r="C24" s="456">
        <f>Bellausrctries</f>
        <v>0</v>
      </c>
      <c r="D24" s="460" t="s">
        <v>694</v>
      </c>
      <c r="E24" s="461" t="s">
        <v>171</v>
      </c>
      <c r="F24" s="462">
        <f>Isgroargtrcpts</f>
        <v>0</v>
      </c>
    </row>
    <row r="25" spans="1:6" ht="14.95" customHeight="1" thickBot="1" x14ac:dyDescent="0.3">
      <c r="A25" s="454" t="s">
        <v>1384</v>
      </c>
      <c r="B25" s="455" t="s">
        <v>166</v>
      </c>
      <c r="C25" s="456">
        <f>Bowernzlrctriescorrect</f>
        <v>0</v>
      </c>
      <c r="D25" s="460" t="s">
        <v>1112</v>
      </c>
      <c r="E25" s="461" t="s">
        <v>165</v>
      </c>
      <c r="F25" s="462">
        <f>Jorgensenaustrcpts</f>
        <v>0</v>
      </c>
    </row>
    <row r="26" spans="1:6" ht="14.95" customHeight="1" thickBot="1" x14ac:dyDescent="0.3">
      <c r="A26" s="454" t="s">
        <v>633</v>
      </c>
      <c r="B26" s="455" t="s">
        <v>171</v>
      </c>
      <c r="C26" s="456">
        <f>Carreras_Margtrctries</f>
        <v>0</v>
      </c>
      <c r="D26" s="460" t="s">
        <v>950</v>
      </c>
      <c r="E26" s="461" t="s">
        <v>166</v>
      </c>
      <c r="F26" s="462">
        <f>Retallicknzlpts</f>
        <v>0</v>
      </c>
    </row>
    <row r="27" spans="1:6" ht="14.95" customHeight="1" thickBot="1" x14ac:dyDescent="0.3">
      <c r="A27" s="454" t="s">
        <v>693</v>
      </c>
      <c r="B27" s="455" t="s">
        <v>171</v>
      </c>
      <c r="C27" s="456">
        <f>Chocobaresargrctries</f>
        <v>0</v>
      </c>
      <c r="D27" s="460" t="s">
        <v>663</v>
      </c>
      <c r="E27" s="461" t="s">
        <v>166</v>
      </c>
      <c r="F27" s="462">
        <f>roigardnzlrcpts</f>
        <v>0</v>
      </c>
    </row>
    <row r="28" spans="1:6" ht="14.95" customHeight="1" thickBot="1" x14ac:dyDescent="0.3">
      <c r="A28" s="454" t="s">
        <v>531</v>
      </c>
      <c r="B28" s="455" t="s">
        <v>166</v>
      </c>
      <c r="C28" s="456">
        <f>Clarkenzlrctries</f>
        <v>0</v>
      </c>
      <c r="D28" s="460" t="s">
        <v>386</v>
      </c>
      <c r="E28" s="461" t="s">
        <v>170</v>
      </c>
      <c r="F28" s="462">
        <f>Smithrsarcpts</f>
        <v>0</v>
      </c>
    </row>
    <row r="29" spans="1:6" ht="14.95" customHeight="1" thickBot="1" x14ac:dyDescent="0.3">
      <c r="A29" s="454" t="s">
        <v>284</v>
      </c>
      <c r="B29" s="455" t="s">
        <v>170</v>
      </c>
      <c r="C29" s="456">
        <f>Etzebethrsatrctries</f>
        <v>0</v>
      </c>
      <c r="D29" s="460" t="s">
        <v>1110</v>
      </c>
      <c r="E29" s="461" t="s">
        <v>165</v>
      </c>
      <c r="F29" s="462">
        <f>Wilsonaustrcpts</f>
        <v>0</v>
      </c>
    </row>
    <row r="30" spans="1:6" ht="14.95" customHeight="1" thickBot="1" x14ac:dyDescent="0.3">
      <c r="A30" s="454" t="s">
        <v>1340</v>
      </c>
      <c r="B30" s="455" t="s">
        <v>171</v>
      </c>
      <c r="C30" s="456">
        <f>Galloargrctries</f>
        <v>0</v>
      </c>
      <c r="D30" s="460" t="s">
        <v>4</v>
      </c>
      <c r="E30" s="461" t="s">
        <v>171</v>
      </c>
      <c r="F30" s="462">
        <f>Penalty_Triesargrcpts</f>
        <v>0</v>
      </c>
    </row>
    <row r="31" spans="1:6" ht="14.95" customHeight="1" thickBot="1" x14ac:dyDescent="0.3">
      <c r="A31" s="454" t="s">
        <v>634</v>
      </c>
      <c r="B31" s="455" t="s">
        <v>171</v>
      </c>
      <c r="C31" s="456">
        <f>Gonzalezargrctries</f>
        <v>0</v>
      </c>
      <c r="D31" s="460" t="s">
        <v>340</v>
      </c>
      <c r="E31" s="461" t="s">
        <v>171</v>
      </c>
      <c r="F31" s="462">
        <f>Malliaargtrcpts</f>
        <v>0</v>
      </c>
    </row>
    <row r="32" spans="1:6" ht="14.95" customHeight="1" thickBot="1" x14ac:dyDescent="0.3">
      <c r="A32" s="454" t="s">
        <v>426</v>
      </c>
      <c r="B32" s="455" t="s">
        <v>165</v>
      </c>
      <c r="C32" s="456">
        <f>Ikitauausrcrtries</f>
        <v>0</v>
      </c>
      <c r="D32" s="460" t="s">
        <v>527</v>
      </c>
      <c r="E32" s="461" t="s">
        <v>170</v>
      </c>
      <c r="F32" s="462">
        <f>Arendsersatrcpts</f>
        <v>0</v>
      </c>
    </row>
    <row r="33" spans="1:6" ht="14.95" customHeight="1" thickBot="1" x14ac:dyDescent="0.3">
      <c r="A33" s="454" t="s">
        <v>371</v>
      </c>
      <c r="B33" s="455" t="s">
        <v>166</v>
      </c>
      <c r="C33" s="456">
        <f>Jordannzlrctries</f>
        <v>0</v>
      </c>
      <c r="D33" s="460" t="s">
        <v>723</v>
      </c>
      <c r="E33" s="461" t="s">
        <v>165</v>
      </c>
      <c r="F33" s="462">
        <f>Bellausrcpts</f>
        <v>0</v>
      </c>
    </row>
    <row r="34" spans="1:6" ht="14.95" customHeight="1" thickBot="1" x14ac:dyDescent="0.3">
      <c r="A34" s="454" t="s">
        <v>418</v>
      </c>
      <c r="B34" s="455" t="s">
        <v>165</v>
      </c>
      <c r="C34" s="456">
        <f>Kellawayausrctries</f>
        <v>0</v>
      </c>
      <c r="D34" s="460" t="s">
        <v>1384</v>
      </c>
      <c r="E34" s="461" t="s">
        <v>166</v>
      </c>
      <c r="F34" s="462">
        <f>Bowernzltcpts</f>
        <v>0</v>
      </c>
    </row>
    <row r="35" spans="1:6" ht="14.95" customHeight="1" thickBot="1" x14ac:dyDescent="0.3">
      <c r="A35" s="454" t="s">
        <v>237</v>
      </c>
      <c r="B35" s="455" t="s">
        <v>170</v>
      </c>
      <c r="C35" s="456">
        <f>Kolisirsarctries</f>
        <v>0</v>
      </c>
      <c r="D35" s="460" t="s">
        <v>633</v>
      </c>
      <c r="E35" s="461" t="s">
        <v>171</v>
      </c>
      <c r="F35" s="462">
        <f>Carreras_Margtrcpts</f>
        <v>0</v>
      </c>
    </row>
    <row r="36" spans="1:6" ht="14.95" customHeight="1" thickBot="1" x14ac:dyDescent="0.3">
      <c r="A36" s="454" t="s">
        <v>572</v>
      </c>
      <c r="B36" s="455" t="s">
        <v>170</v>
      </c>
      <c r="C36" s="456">
        <f>Libbokrsatrctries</f>
        <v>0</v>
      </c>
      <c r="D36" s="460" t="s">
        <v>693</v>
      </c>
      <c r="E36" s="461" t="s">
        <v>171</v>
      </c>
      <c r="F36" s="462">
        <f>Chocobaresargrcpts</f>
        <v>0</v>
      </c>
    </row>
    <row r="37" spans="1:6" ht="14.95" customHeight="1" thickBot="1" x14ac:dyDescent="0.3">
      <c r="A37" s="454" t="s">
        <v>223</v>
      </c>
      <c r="B37" s="455" t="s">
        <v>171</v>
      </c>
      <c r="C37" s="456">
        <f>Montoyaargtrctries</f>
        <v>0</v>
      </c>
      <c r="D37" s="460" t="s">
        <v>531</v>
      </c>
      <c r="E37" s="461" t="s">
        <v>166</v>
      </c>
      <c r="F37" s="462">
        <f>Clarkenzlrcpts</f>
        <v>0</v>
      </c>
    </row>
    <row r="38" spans="1:6" ht="14.95" customHeight="1" thickBot="1" x14ac:dyDescent="0.3">
      <c r="A38" s="454" t="s">
        <v>533</v>
      </c>
      <c r="B38" s="455" t="s">
        <v>170</v>
      </c>
      <c r="C38" s="456">
        <f>Moodiersarctries</f>
        <v>0</v>
      </c>
      <c r="D38" s="460" t="s">
        <v>284</v>
      </c>
      <c r="E38" s="461" t="s">
        <v>170</v>
      </c>
      <c r="F38" s="462">
        <f>Etzebethrsatrcpts</f>
        <v>0</v>
      </c>
    </row>
    <row r="39" spans="1:6" ht="14.95" customHeight="1" thickBot="1" x14ac:dyDescent="0.3">
      <c r="A39" s="454" t="s">
        <v>632</v>
      </c>
      <c r="B39" s="455" t="s">
        <v>166</v>
      </c>
      <c r="C39" s="456">
        <f>Narawanzltrctries</f>
        <v>0</v>
      </c>
      <c r="D39" s="460" t="s">
        <v>1340</v>
      </c>
      <c r="E39" s="461" t="s">
        <v>171</v>
      </c>
      <c r="F39" s="462">
        <f>Galloargrcpts</f>
        <v>0</v>
      </c>
    </row>
    <row r="40" spans="1:6" ht="14.95" customHeight="1" thickBot="1" x14ac:dyDescent="0.3">
      <c r="A40" s="454" t="s">
        <v>662</v>
      </c>
      <c r="B40" s="455" t="s">
        <v>166</v>
      </c>
      <c r="C40" s="456">
        <f>Newellnzlrctries</f>
        <v>0</v>
      </c>
      <c r="D40" s="460" t="s">
        <v>634</v>
      </c>
      <c r="E40" s="461" t="s">
        <v>171</v>
      </c>
      <c r="F40" s="462">
        <f>Gonzalezargrcpts</f>
        <v>0</v>
      </c>
    </row>
    <row r="41" spans="1:6" ht="14.95" customHeight="1" thickBot="1" x14ac:dyDescent="0.3">
      <c r="A41" s="454" t="s">
        <v>1034</v>
      </c>
      <c r="B41" s="455" t="s">
        <v>171</v>
      </c>
      <c r="C41" s="456">
        <f>Oviedoargtrctries</f>
        <v>0</v>
      </c>
      <c r="D41" s="460" t="s">
        <v>426</v>
      </c>
      <c r="E41" s="461" t="s">
        <v>165</v>
      </c>
      <c r="F41" s="462">
        <f>Ikitauausrcrpts</f>
        <v>0</v>
      </c>
    </row>
    <row r="42" spans="1:6" ht="14.95" customHeight="1" thickBot="1" x14ac:dyDescent="0.3">
      <c r="A42" s="454" t="s">
        <v>1339</v>
      </c>
      <c r="B42" s="455" t="s">
        <v>165</v>
      </c>
      <c r="C42" s="456">
        <f>Paenga_Amosaausrctries</f>
        <v>0</v>
      </c>
      <c r="D42" s="460" t="s">
        <v>371</v>
      </c>
      <c r="E42" s="461" t="s">
        <v>166</v>
      </c>
      <c r="F42" s="462">
        <f>Jordannzlrcpts</f>
        <v>0</v>
      </c>
    </row>
    <row r="43" spans="1:6" ht="14.95" customHeight="1" thickBot="1" x14ac:dyDescent="0.3">
      <c r="A43" s="454" t="s">
        <v>4</v>
      </c>
      <c r="B43" s="455" t="s">
        <v>171</v>
      </c>
      <c r="C43" s="456">
        <f>Penalty_Triesargrctries</f>
        <v>0</v>
      </c>
      <c r="D43" s="460" t="s">
        <v>418</v>
      </c>
      <c r="E43" s="461" t="s">
        <v>165</v>
      </c>
      <c r="F43" s="462">
        <f>Kellawayausrcpts</f>
        <v>0</v>
      </c>
    </row>
    <row r="44" spans="1:6" ht="14.95" customHeight="1" thickBot="1" x14ac:dyDescent="0.3">
      <c r="A44" s="454" t="s">
        <v>1329</v>
      </c>
      <c r="B44" s="455" t="s">
        <v>165</v>
      </c>
      <c r="C44" s="456">
        <f>Pietschaustrctries</f>
        <v>0</v>
      </c>
      <c r="D44" s="460" t="s">
        <v>237</v>
      </c>
      <c r="E44" s="461" t="s">
        <v>170</v>
      </c>
      <c r="F44" s="462">
        <f>Kolisirsarcpts</f>
        <v>0</v>
      </c>
    </row>
    <row r="45" spans="1:6" ht="14.95" customHeight="1" thickBot="1" x14ac:dyDescent="0.3">
      <c r="A45" s="454" t="s">
        <v>1382</v>
      </c>
      <c r="B45" s="455" t="s">
        <v>165</v>
      </c>
      <c r="C45" s="456">
        <f>Pollardausrctries</f>
        <v>0</v>
      </c>
      <c r="D45" s="460" t="s">
        <v>223</v>
      </c>
      <c r="E45" s="461" t="s">
        <v>171</v>
      </c>
      <c r="F45" s="462">
        <f>Montoyaargtrcpts</f>
        <v>0</v>
      </c>
    </row>
    <row r="46" spans="1:6" ht="14.95" customHeight="1" thickBot="1" x14ac:dyDescent="0.3">
      <c r="A46" s="454" t="s">
        <v>1143</v>
      </c>
      <c r="B46" s="455" t="s">
        <v>165</v>
      </c>
      <c r="C46" s="456">
        <f>Potterausrctries</f>
        <v>0</v>
      </c>
      <c r="D46" s="460" t="s">
        <v>533</v>
      </c>
      <c r="E46" s="461" t="s">
        <v>170</v>
      </c>
      <c r="F46" s="462">
        <f>Moodiersarcpts</f>
        <v>0</v>
      </c>
    </row>
    <row r="47" spans="1:6" ht="14.95" customHeight="1" thickBot="1" x14ac:dyDescent="0.3">
      <c r="A47" s="454" t="s">
        <v>1010</v>
      </c>
      <c r="B47" s="455" t="s">
        <v>166</v>
      </c>
      <c r="C47" s="456">
        <f>proctornzlrctries</f>
        <v>0</v>
      </c>
      <c r="D47" s="460" t="s">
        <v>632</v>
      </c>
      <c r="E47" s="461" t="s">
        <v>166</v>
      </c>
      <c r="F47" s="462">
        <f>Narawanzltrcpts</f>
        <v>0</v>
      </c>
    </row>
    <row r="48" spans="1:6" ht="14.95" customHeight="1" thickBot="1" x14ac:dyDescent="0.3">
      <c r="A48" s="454" t="s">
        <v>1008</v>
      </c>
      <c r="B48" s="455" t="s">
        <v>166</v>
      </c>
      <c r="C48" s="456">
        <f>ratimanzltrctries</f>
        <v>0</v>
      </c>
      <c r="D48" s="460" t="s">
        <v>662</v>
      </c>
      <c r="E48" s="461" t="s">
        <v>166</v>
      </c>
      <c r="F48" s="462">
        <f>Newellnzlrcpts</f>
        <v>0</v>
      </c>
    </row>
    <row r="49" spans="1:6" ht="14.95" customHeight="1" thickBot="1" x14ac:dyDescent="0.3">
      <c r="A49" s="454" t="s">
        <v>631</v>
      </c>
      <c r="B49" s="455" t="s">
        <v>166</v>
      </c>
      <c r="C49" s="456">
        <f>Saveanzltries</f>
        <v>0</v>
      </c>
      <c r="D49" s="460" t="s">
        <v>1034</v>
      </c>
      <c r="E49" s="461" t="s">
        <v>171</v>
      </c>
      <c r="F49" s="462">
        <f>Oviedoargtrcpts</f>
        <v>0</v>
      </c>
    </row>
    <row r="50" spans="1:6" ht="14.95" customHeight="1" thickBot="1" x14ac:dyDescent="0.3">
      <c r="A50" s="454" t="s">
        <v>706</v>
      </c>
      <c r="B50" s="455" t="s">
        <v>170</v>
      </c>
      <c r="C50" s="456">
        <f>Steyn_Frsarctries</f>
        <v>0</v>
      </c>
      <c r="D50" s="460" t="s">
        <v>1339</v>
      </c>
      <c r="E50" s="461" t="s">
        <v>165</v>
      </c>
      <c r="F50" s="462">
        <f>Paenga_Amosaausrcpts</f>
        <v>0</v>
      </c>
    </row>
    <row r="51" spans="1:6" ht="14.95" customHeight="1" thickBot="1" x14ac:dyDescent="0.3">
      <c r="A51" s="454" t="s">
        <v>1085</v>
      </c>
      <c r="B51" s="455" t="s">
        <v>165</v>
      </c>
      <c r="C51" s="456">
        <f>SlipperAUSRCTRIES</f>
        <v>0</v>
      </c>
      <c r="D51" s="460" t="s">
        <v>1329</v>
      </c>
      <c r="E51" s="461" t="s">
        <v>165</v>
      </c>
      <c r="F51" s="462">
        <f>Pietschaustrcpts</f>
        <v>0</v>
      </c>
    </row>
    <row r="52" spans="1:6" ht="14.95" customHeight="1" thickBot="1" x14ac:dyDescent="0.3">
      <c r="A52" s="454" t="s">
        <v>1337</v>
      </c>
      <c r="B52" s="455" t="s">
        <v>165</v>
      </c>
      <c r="C52" s="456">
        <f>Tooleausrctries</f>
        <v>0</v>
      </c>
      <c r="D52" s="460" t="s">
        <v>1382</v>
      </c>
      <c r="E52" s="461" t="s">
        <v>165</v>
      </c>
      <c r="F52" s="462">
        <f>Pollardausrcpts</f>
        <v>0</v>
      </c>
    </row>
    <row r="53" spans="1:6" ht="14.95" customHeight="1" thickBot="1" x14ac:dyDescent="0.3">
      <c r="A53" s="454" t="s">
        <v>1239</v>
      </c>
      <c r="B53" s="455" t="s">
        <v>170</v>
      </c>
      <c r="C53" s="456">
        <f>vandenbergrsarctries</f>
        <v>0</v>
      </c>
      <c r="D53" s="460" t="s">
        <v>1143</v>
      </c>
      <c r="E53" s="461" t="s">
        <v>165</v>
      </c>
      <c r="F53" s="462">
        <f>Potterausrcpts</f>
        <v>0</v>
      </c>
    </row>
    <row r="54" spans="1:6" ht="14.95" customHeight="1" thickBot="1" x14ac:dyDescent="0.3">
      <c r="A54" s="454" t="s">
        <v>1355</v>
      </c>
      <c r="B54" s="455" t="s">
        <v>165</v>
      </c>
      <c r="C54" s="456">
        <f>Whiteaustrctries</f>
        <v>0</v>
      </c>
      <c r="D54" s="460" t="s">
        <v>1010</v>
      </c>
      <c r="E54" s="461" t="s">
        <v>166</v>
      </c>
      <c r="F54" s="462">
        <f>proctornzlrcpts</f>
        <v>0</v>
      </c>
    </row>
    <row r="55" spans="1:6" ht="14.95" customHeight="1" thickBot="1" x14ac:dyDescent="0.3">
      <c r="A55" s="454" t="s">
        <v>512</v>
      </c>
      <c r="B55" s="455" t="s">
        <v>170</v>
      </c>
      <c r="C55" s="456">
        <f>Willemsersarctries</f>
        <v>0</v>
      </c>
      <c r="D55" s="460" t="s">
        <v>1008</v>
      </c>
      <c r="E55" s="461" t="s">
        <v>166</v>
      </c>
      <c r="F55" s="462">
        <f>ratimanzltrcpts</f>
        <v>0</v>
      </c>
    </row>
    <row r="56" spans="1:6" ht="14.95" customHeight="1" thickBot="1" x14ac:dyDescent="0.3">
      <c r="A56" s="454" t="s">
        <v>966</v>
      </c>
      <c r="B56" s="455" t="s">
        <v>165</v>
      </c>
      <c r="C56" s="456">
        <f>Whiteausrctries</f>
        <v>0</v>
      </c>
      <c r="D56" s="460" t="s">
        <v>631</v>
      </c>
      <c r="E56" s="461" t="s">
        <v>166</v>
      </c>
      <c r="F56" s="462">
        <f>Saveanzlpts</f>
        <v>0</v>
      </c>
    </row>
    <row r="57" spans="1:6" ht="14.95" customHeight="1" thickBot="1" x14ac:dyDescent="0.3">
      <c r="A57" s="454" t="s">
        <v>117</v>
      </c>
      <c r="B57" s="455" t="s">
        <v>166</v>
      </c>
      <c r="C57" s="456">
        <f>Barrett_Bnzlrctries</f>
        <v>0</v>
      </c>
      <c r="D57" s="460" t="s">
        <v>706</v>
      </c>
      <c r="E57" s="461" t="s">
        <v>170</v>
      </c>
      <c r="F57" s="462">
        <f>Steyn_Frsarcpts</f>
        <v>0</v>
      </c>
    </row>
    <row r="58" spans="1:6" ht="14.95" customHeight="1" thickBot="1" x14ac:dyDescent="0.3">
      <c r="A58" s="454" t="s">
        <v>149</v>
      </c>
      <c r="B58" s="455" t="s">
        <v>166</v>
      </c>
      <c r="C58" s="456">
        <f>Barrett_Jnzltries</f>
        <v>0</v>
      </c>
      <c r="D58" s="460" t="s">
        <v>1085</v>
      </c>
      <c r="E58" s="461" t="s">
        <v>165</v>
      </c>
      <c r="F58" s="462">
        <f>SlipperAUSRCPTS</f>
        <v>0</v>
      </c>
    </row>
    <row r="59" spans="1:6" ht="14.95" customHeight="1" thickBot="1" x14ac:dyDescent="0.3">
      <c r="A59" s="454" t="s">
        <v>1415</v>
      </c>
      <c r="B59" s="455" t="s">
        <v>171</v>
      </c>
      <c r="C59" s="456">
        <f>Bertranouargrctries</f>
        <v>0</v>
      </c>
      <c r="D59" s="460" t="s">
        <v>1337</v>
      </c>
      <c r="E59" s="461" t="s">
        <v>165</v>
      </c>
      <c r="F59" s="462">
        <f>Tooleausrcpts</f>
        <v>0</v>
      </c>
    </row>
    <row r="60" spans="1:6" ht="14.95" customHeight="1" thickBot="1" x14ac:dyDescent="0.3">
      <c r="A60" s="454" t="s">
        <v>427</v>
      </c>
      <c r="B60" s="455" t="s">
        <v>171</v>
      </c>
      <c r="C60" s="456">
        <f>Boffelliargrctries</f>
        <v>0</v>
      </c>
      <c r="D60" s="460" t="s">
        <v>1239</v>
      </c>
      <c r="E60" s="461" t="s">
        <v>170</v>
      </c>
      <c r="F60" s="462">
        <f>vandenbergrsarcpts</f>
        <v>0</v>
      </c>
    </row>
    <row r="61" spans="1:6" ht="14.95" customHeight="1" thickBot="1" x14ac:dyDescent="0.3">
      <c r="A61" s="454" t="s">
        <v>513</v>
      </c>
      <c r="B61" s="455" t="s">
        <v>171</v>
      </c>
      <c r="C61" s="456">
        <f>Carreras_Sargtrctries</f>
        <v>0</v>
      </c>
      <c r="D61" s="460" t="s">
        <v>1355</v>
      </c>
      <c r="E61" s="461" t="s">
        <v>165</v>
      </c>
      <c r="F61" s="462">
        <f>Whiteaustrcpts</f>
        <v>0</v>
      </c>
    </row>
    <row r="62" spans="1:6" ht="14.95" customHeight="1" thickBot="1" x14ac:dyDescent="0.3">
      <c r="A62" s="454" t="s">
        <v>1058</v>
      </c>
      <c r="B62" s="455" t="s">
        <v>171</v>
      </c>
      <c r="C62" s="456">
        <f>Cintiargtrctries</f>
        <v>0</v>
      </c>
      <c r="D62" s="460" t="s">
        <v>512</v>
      </c>
      <c r="E62" s="461" t="s">
        <v>170</v>
      </c>
      <c r="F62" s="462">
        <f>Willemsersarcpts</f>
        <v>0</v>
      </c>
    </row>
    <row r="63" spans="1:6" ht="14.95" customHeight="1" thickBot="1" x14ac:dyDescent="0.3">
      <c r="A63" s="454" t="s">
        <v>627</v>
      </c>
      <c r="B63" s="455" t="s">
        <v>171</v>
      </c>
      <c r="C63" s="456">
        <f>Creevyargtrctriescorrect</f>
        <v>0</v>
      </c>
      <c r="D63" s="460" t="s">
        <v>966</v>
      </c>
      <c r="E63" s="461" t="s">
        <v>165</v>
      </c>
      <c r="F63" s="462">
        <f>Whiteausrcpts</f>
        <v>0</v>
      </c>
    </row>
    <row r="64" spans="1:6" ht="14.95" customHeight="1" thickBot="1" x14ac:dyDescent="0.3">
      <c r="A64" s="454" t="s">
        <v>1055</v>
      </c>
      <c r="B64" s="455" t="s">
        <v>166</v>
      </c>
      <c r="C64" s="456">
        <f>ColesNZLTRCTRIES</f>
        <v>0</v>
      </c>
      <c r="D64" s="460" t="s">
        <v>968</v>
      </c>
      <c r="E64" s="461" t="s">
        <v>165</v>
      </c>
      <c r="F64" s="462">
        <f>Lynaghaustrcpts</f>
        <v>0</v>
      </c>
    </row>
    <row r="65" spans="1:6" ht="14.95" customHeight="1" thickBot="1" x14ac:dyDescent="0.3">
      <c r="A65" s="454" t="s">
        <v>246</v>
      </c>
      <c r="B65" s="455" t="s">
        <v>170</v>
      </c>
      <c r="C65" s="456">
        <f>de_AllendeRSARCTRIES</f>
        <v>0</v>
      </c>
      <c r="D65" s="460" t="s">
        <v>149</v>
      </c>
      <c r="E65" s="461" t="s">
        <v>166</v>
      </c>
      <c r="F65" s="462">
        <f>Barrett_JNZLRCPTS</f>
        <v>0</v>
      </c>
    </row>
    <row r="66" spans="1:6" ht="14.95" customHeight="1" thickBot="1" x14ac:dyDescent="0.3">
      <c r="A66" s="454" t="s">
        <v>209</v>
      </c>
      <c r="B66" s="455" t="s">
        <v>170</v>
      </c>
      <c r="C66" s="456">
        <f>de_Klerkrsatrctries</f>
        <v>0</v>
      </c>
      <c r="D66" s="460" t="s">
        <v>1415</v>
      </c>
      <c r="E66" s="461" t="s">
        <v>171</v>
      </c>
      <c r="F66" s="462">
        <f>Bertranouargrcpts</f>
        <v>0</v>
      </c>
    </row>
    <row r="67" spans="1:6" ht="14.95" thickBot="1" x14ac:dyDescent="0.3">
      <c r="A67" s="454" t="s">
        <v>1418</v>
      </c>
      <c r="B67" s="455" t="s">
        <v>170</v>
      </c>
      <c r="C67" s="456">
        <f>Hookerrsarctries</f>
        <v>0</v>
      </c>
      <c r="D67" s="460" t="s">
        <v>427</v>
      </c>
      <c r="E67" s="461" t="s">
        <v>171</v>
      </c>
      <c r="F67" s="462">
        <f>Boffelliargrcpts</f>
        <v>0</v>
      </c>
    </row>
    <row r="68" spans="1:6" ht="14.95" thickBot="1" x14ac:dyDescent="0.3">
      <c r="A68" s="454" t="s">
        <v>562</v>
      </c>
      <c r="B68" s="455" t="s">
        <v>165</v>
      </c>
      <c r="C68" s="456">
        <f>donaldsonaustrctries</f>
        <v>0</v>
      </c>
      <c r="D68" s="460" t="s">
        <v>1058</v>
      </c>
      <c r="E68" s="461" t="s">
        <v>171</v>
      </c>
      <c r="F68" s="462">
        <f>Cintiargtrcpts</f>
        <v>0</v>
      </c>
    </row>
    <row r="69" spans="1:6" ht="14.95" thickBot="1" x14ac:dyDescent="0.3">
      <c r="A69" s="454" t="s">
        <v>1364</v>
      </c>
      <c r="B69" s="455" t="s">
        <v>165</v>
      </c>
      <c r="C69" s="456">
        <f>Edmedausrctries</f>
        <v>0</v>
      </c>
      <c r="D69" s="460" t="s">
        <v>627</v>
      </c>
      <c r="E69" s="461" t="s">
        <v>171</v>
      </c>
      <c r="F69" s="462">
        <f>Creevyargtrcptscorrect</f>
        <v>0</v>
      </c>
    </row>
    <row r="70" spans="1:6" ht="14.95" thickBot="1" x14ac:dyDescent="0.3">
      <c r="A70" s="454" t="s">
        <v>1094</v>
      </c>
      <c r="B70" s="455" t="s">
        <v>165</v>
      </c>
      <c r="C70" s="456">
        <f>Faessleraustries</f>
        <v>0</v>
      </c>
      <c r="D70" s="460" t="s">
        <v>1055</v>
      </c>
      <c r="E70" s="461" t="s">
        <v>166</v>
      </c>
      <c r="F70" s="462">
        <f>ColesNZLTRCPTS</f>
        <v>0</v>
      </c>
    </row>
    <row r="71" spans="1:6" ht="14.95" thickBot="1" x14ac:dyDescent="0.3">
      <c r="A71" s="454" t="s">
        <v>1062</v>
      </c>
      <c r="B71" s="455" t="s">
        <v>170</v>
      </c>
      <c r="C71" s="456">
        <f>fassirsatrctries</f>
        <v>0</v>
      </c>
      <c r="D71" s="460" t="s">
        <v>246</v>
      </c>
      <c r="E71" s="461" t="s">
        <v>170</v>
      </c>
      <c r="F71" s="462">
        <f>de_AllendeRSARCPTS</f>
        <v>0</v>
      </c>
    </row>
    <row r="72" spans="1:6" ht="14.95" thickBot="1" x14ac:dyDescent="0.3">
      <c r="A72" s="454" t="s">
        <v>335</v>
      </c>
      <c r="B72" s="455" t="s">
        <v>166</v>
      </c>
      <c r="C72" s="456">
        <f>FrizellNZLRCTRIES</f>
        <v>0</v>
      </c>
      <c r="D72" s="460" t="s">
        <v>209</v>
      </c>
      <c r="E72" s="461" t="s">
        <v>170</v>
      </c>
      <c r="F72" s="462">
        <f>de_Klerkrsatrcpts</f>
        <v>0</v>
      </c>
    </row>
    <row r="73" spans="1:6" ht="14.95" thickBot="1" x14ac:dyDescent="0.3">
      <c r="A73" s="454" t="s">
        <v>625</v>
      </c>
      <c r="B73" s="455" t="s">
        <v>165</v>
      </c>
      <c r="C73" s="456">
        <f>Gordon_Caustrctries</f>
        <v>0</v>
      </c>
      <c r="D73" s="460" t="s">
        <v>1418</v>
      </c>
      <c r="E73" s="461" t="s">
        <v>170</v>
      </c>
      <c r="F73" s="462">
        <f>Hookerrsarcpts</f>
        <v>0</v>
      </c>
    </row>
    <row r="74" spans="1:6" ht="14.95" thickBot="1" x14ac:dyDescent="0.3">
      <c r="A74" s="454" t="s">
        <v>407</v>
      </c>
      <c r="B74" s="455" t="s">
        <v>165</v>
      </c>
      <c r="C74" s="456">
        <f>Gordon_Jaustrctries</f>
        <v>0</v>
      </c>
      <c r="D74" s="460" t="s">
        <v>562</v>
      </c>
      <c r="E74" s="461" t="s">
        <v>165</v>
      </c>
      <c r="F74" s="462">
        <f>donaldsonaustrcpts</f>
        <v>0</v>
      </c>
    </row>
    <row r="75" spans="1:6" ht="14.95" thickBot="1" x14ac:dyDescent="0.3">
      <c r="A75" s="454" t="s">
        <v>1416</v>
      </c>
      <c r="B75" s="455" t="s">
        <v>171</v>
      </c>
      <c r="C75" s="456">
        <f>Grondona_Sargrctries</f>
        <v>0</v>
      </c>
      <c r="D75" s="460" t="s">
        <v>1416</v>
      </c>
      <c r="E75" s="461" t="s">
        <v>171</v>
      </c>
      <c r="F75" s="462">
        <f>Grondona_Sargrcpts</f>
        <v>0</v>
      </c>
    </row>
    <row r="76" spans="1:6" ht="14.95" thickBot="1" x14ac:dyDescent="0.3">
      <c r="A76" s="454" t="s">
        <v>1096</v>
      </c>
      <c r="B76" s="455" t="s">
        <v>170</v>
      </c>
      <c r="C76" s="456">
        <f>hendriksejadenrsarctries</f>
        <v>0</v>
      </c>
      <c r="D76" s="460" t="s">
        <v>1094</v>
      </c>
      <c r="E76" s="461" t="s">
        <v>165</v>
      </c>
      <c r="F76" s="462">
        <f>Faesslerauspts</f>
        <v>0</v>
      </c>
    </row>
    <row r="77" spans="1:6" ht="14.95" thickBot="1" x14ac:dyDescent="0.3">
      <c r="A77" s="454" t="s">
        <v>205</v>
      </c>
      <c r="B77" s="455" t="s">
        <v>166</v>
      </c>
      <c r="C77" s="456">
        <f>Ioane_Rnzltries</f>
        <v>0</v>
      </c>
      <c r="D77" s="460" t="s">
        <v>1062</v>
      </c>
      <c r="E77" s="461" t="s">
        <v>170</v>
      </c>
      <c r="F77" s="462">
        <f>fassirsatrcpts</f>
        <v>0</v>
      </c>
    </row>
    <row r="78" spans="1:6" ht="14.95" thickBot="1" x14ac:dyDescent="0.3">
      <c r="A78" s="454" t="s">
        <v>282</v>
      </c>
      <c r="B78" s="455" t="s">
        <v>165</v>
      </c>
      <c r="C78" s="456">
        <f>Kereviaustrctries</f>
        <v>0</v>
      </c>
      <c r="D78" s="460" t="s">
        <v>335</v>
      </c>
      <c r="E78" s="461" t="s">
        <v>166</v>
      </c>
      <c r="F78" s="462">
        <f>FrizellNZLRCPTS</f>
        <v>0</v>
      </c>
    </row>
    <row r="79" spans="1:6" ht="14.95" thickBot="1" x14ac:dyDescent="0.3">
      <c r="A79" s="454" t="s">
        <v>256</v>
      </c>
      <c r="B79" s="455" t="s">
        <v>165</v>
      </c>
      <c r="C79" s="456">
        <f>Koroibeteausrctries</f>
        <v>0</v>
      </c>
      <c r="D79" s="460" t="s">
        <v>625</v>
      </c>
      <c r="E79" s="461" t="s">
        <v>165</v>
      </c>
      <c r="F79" s="462">
        <f>Gordon_Caustrcpts</f>
        <v>0</v>
      </c>
    </row>
    <row r="80" spans="1:6" ht="14.95" thickBot="1" x14ac:dyDescent="0.3">
      <c r="A80" s="454" t="s">
        <v>705</v>
      </c>
      <c r="B80" s="455" t="s">
        <v>170</v>
      </c>
      <c r="C80" s="456">
        <f>Krielrsatrctrires</f>
        <v>0</v>
      </c>
      <c r="D80" s="460" t="s">
        <v>407</v>
      </c>
      <c r="E80" s="461" t="s">
        <v>165</v>
      </c>
      <c r="F80" s="462">
        <f>Gordon_Jaustrcpts</f>
        <v>0</v>
      </c>
    </row>
    <row r="81" spans="1:6" ht="14.95" thickBot="1" x14ac:dyDescent="0.3">
      <c r="A81" s="454" t="s">
        <v>257</v>
      </c>
      <c r="B81" s="455" t="s">
        <v>166</v>
      </c>
      <c r="C81" s="456">
        <f>lienertbrownnzltrctries</f>
        <v>0</v>
      </c>
      <c r="D81" s="460" t="s">
        <v>1096</v>
      </c>
      <c r="E81" s="461" t="s">
        <v>170</v>
      </c>
      <c r="F81" s="462">
        <f>hendriksejadenrsarcpts</f>
        <v>0</v>
      </c>
    </row>
    <row r="82" spans="1:6" ht="14.95" thickBot="1" x14ac:dyDescent="0.3">
      <c r="A82" s="454" t="s">
        <v>967</v>
      </c>
      <c r="B82" s="455" t="s">
        <v>165</v>
      </c>
      <c r="C82" s="456">
        <f>Lolesioaustrctries</f>
        <v>0</v>
      </c>
      <c r="D82" s="460" t="s">
        <v>205</v>
      </c>
      <c r="E82" s="461" t="s">
        <v>166</v>
      </c>
      <c r="F82" s="462">
        <f>Ioane_Rnzlpts</f>
        <v>0</v>
      </c>
    </row>
    <row r="83" spans="1:6" ht="14.95" thickBot="1" x14ac:dyDescent="0.3">
      <c r="A83" s="454" t="s">
        <v>968</v>
      </c>
      <c r="B83" s="455" t="s">
        <v>165</v>
      </c>
      <c r="C83" s="456">
        <f>Lynaghaustrctries</f>
        <v>0</v>
      </c>
      <c r="D83" s="460" t="s">
        <v>282</v>
      </c>
      <c r="E83" s="461" t="s">
        <v>165</v>
      </c>
      <c r="F83" s="462">
        <f>Kereviaustrcpts</f>
        <v>0</v>
      </c>
    </row>
    <row r="84" spans="1:6" ht="14.95" thickBot="1" x14ac:dyDescent="0.3">
      <c r="A84" s="454" t="s">
        <v>340</v>
      </c>
      <c r="B84" s="455" t="s">
        <v>171</v>
      </c>
      <c r="C84" s="456">
        <f>Malliaargtrctries</f>
        <v>0</v>
      </c>
      <c r="D84" s="460" t="s">
        <v>256</v>
      </c>
      <c r="E84" s="461" t="s">
        <v>165</v>
      </c>
      <c r="F84" s="462">
        <f>Koroibeteausrcpts</f>
        <v>0</v>
      </c>
    </row>
    <row r="85" spans="1:6" ht="14.95" thickBot="1" x14ac:dyDescent="0.3">
      <c r="A85" s="454" t="s">
        <v>233</v>
      </c>
      <c r="B85" s="455" t="s">
        <v>171</v>
      </c>
      <c r="C85" s="456">
        <f>materaargrctries</f>
        <v>0</v>
      </c>
      <c r="D85" s="460" t="s">
        <v>705</v>
      </c>
      <c r="E85" s="461" t="s">
        <v>170</v>
      </c>
      <c r="F85" s="462">
        <f>Krielrsatrcpts</f>
        <v>0</v>
      </c>
    </row>
    <row r="86" spans="1:6" ht="14.95" thickBot="1" x14ac:dyDescent="0.3">
      <c r="A86" s="454" t="s">
        <v>242</v>
      </c>
      <c r="B86" s="455" t="s">
        <v>170</v>
      </c>
      <c r="C86" s="456">
        <f>mbonambirsatrctries</f>
        <v>0</v>
      </c>
      <c r="D86" s="460" t="s">
        <v>257</v>
      </c>
      <c r="E86" s="461" t="s">
        <v>166</v>
      </c>
      <c r="F86" s="462">
        <f>lienertbrownnzltrcpts</f>
        <v>0</v>
      </c>
    </row>
    <row r="87" spans="1:6" ht="14.95" thickBot="1" x14ac:dyDescent="0.3">
      <c r="A87" s="454" t="s">
        <v>408</v>
      </c>
      <c r="B87" s="455" t="s">
        <v>165</v>
      </c>
      <c r="C87" s="456">
        <f>McDermottaustrctries</f>
        <v>0</v>
      </c>
      <c r="D87" s="460" t="s">
        <v>967</v>
      </c>
      <c r="E87" s="461" t="s">
        <v>165</v>
      </c>
      <c r="F87" s="462">
        <f>Lolesioaustrcpts</f>
        <v>0</v>
      </c>
    </row>
    <row r="88" spans="1:6" ht="14.95" thickBot="1" x14ac:dyDescent="0.3">
      <c r="A88" s="454" t="s">
        <v>151</v>
      </c>
      <c r="B88" s="455" t="s">
        <v>166</v>
      </c>
      <c r="C88" s="456">
        <f>mckenzienzltrctries</f>
        <v>0</v>
      </c>
      <c r="D88" s="460" t="s">
        <v>233</v>
      </c>
      <c r="E88" s="461" t="s">
        <v>171</v>
      </c>
      <c r="F88" s="462">
        <f>materaargrcpts</f>
        <v>0</v>
      </c>
    </row>
    <row r="89" spans="1:6" ht="14.95" thickBot="1" x14ac:dyDescent="0.3">
      <c r="A89" s="454" t="s">
        <v>529</v>
      </c>
      <c r="B89" s="455" t="s">
        <v>165</v>
      </c>
      <c r="C89" s="456">
        <f>McReightausrctries</f>
        <v>0</v>
      </c>
      <c r="D89" s="460" t="s">
        <v>242</v>
      </c>
      <c r="E89" s="461" t="s">
        <v>170</v>
      </c>
      <c r="F89" s="462">
        <f>mbonambirsatrcpts</f>
        <v>0</v>
      </c>
    </row>
    <row r="90" spans="1:6" ht="14.95" thickBot="1" x14ac:dyDescent="0.3">
      <c r="A90" s="454" t="s">
        <v>1057</v>
      </c>
      <c r="B90" s="455" t="s">
        <v>171</v>
      </c>
      <c r="C90" s="456">
        <f>Molinaargtrctries</f>
        <v>0</v>
      </c>
      <c r="D90" s="460" t="s">
        <v>408</v>
      </c>
      <c r="E90" s="461" t="s">
        <v>165</v>
      </c>
      <c r="F90" s="462">
        <f>McDermottaustrcpts</f>
        <v>0</v>
      </c>
    </row>
    <row r="91" spans="1:6" ht="14.95" thickBot="1" x14ac:dyDescent="0.3">
      <c r="A91" s="454" t="s">
        <v>239</v>
      </c>
      <c r="B91" s="455" t="s">
        <v>166</v>
      </c>
      <c r="C91" s="456">
        <f>Mo_unganzlrctries</f>
        <v>0</v>
      </c>
      <c r="D91" s="460" t="s">
        <v>529</v>
      </c>
      <c r="E91" s="461" t="s">
        <v>165</v>
      </c>
      <c r="F91" s="462">
        <f>McReightausrcpts</f>
        <v>0</v>
      </c>
    </row>
    <row r="92" spans="1:6" ht="14.95" thickBot="1" x14ac:dyDescent="0.3">
      <c r="A92" s="454" t="s">
        <v>1445</v>
      </c>
      <c r="B92" s="455" t="s">
        <v>170</v>
      </c>
      <c r="C92" s="456">
        <f>nortjeRSArctries</f>
        <v>0</v>
      </c>
      <c r="D92" s="460" t="s">
        <v>1445</v>
      </c>
      <c r="E92" s="461" t="s">
        <v>170</v>
      </c>
      <c r="F92" s="462">
        <f>nortjeRSArcpts</f>
        <v>0</v>
      </c>
    </row>
    <row r="93" spans="1:6" ht="14.95" thickBot="1" x14ac:dyDescent="0.3">
      <c r="A93" s="454" t="s">
        <v>1413</v>
      </c>
      <c r="B93" s="455" t="s">
        <v>171</v>
      </c>
      <c r="C93" s="456">
        <f>Prisciantelliargrctries</f>
        <v>0</v>
      </c>
      <c r="D93" s="460" t="s">
        <v>1413</v>
      </c>
      <c r="E93" s="461" t="s">
        <v>171</v>
      </c>
      <c r="F93" s="462">
        <f>Prisciantelliargrcpts</f>
        <v>0</v>
      </c>
    </row>
    <row r="94" spans="1:6" ht="14.95" thickBot="1" x14ac:dyDescent="0.3">
      <c r="A94" s="454" t="s">
        <v>1334</v>
      </c>
      <c r="B94" s="455" t="s">
        <v>165</v>
      </c>
      <c r="C94" s="456">
        <f>O_Connoraustrctries</f>
        <v>0</v>
      </c>
      <c r="D94" s="460" t="s">
        <v>1057</v>
      </c>
      <c r="E94" s="461" t="s">
        <v>171</v>
      </c>
      <c r="F94" s="462">
        <f>Molinaargtrcpts</f>
        <v>0</v>
      </c>
    </row>
    <row r="95" spans="1:6" ht="14.95" thickBot="1" x14ac:dyDescent="0.3">
      <c r="A95" s="454" t="s">
        <v>1016</v>
      </c>
      <c r="B95" s="455" t="s">
        <v>165</v>
      </c>
      <c r="C95" s="456">
        <f>Paisamiaustrctries</f>
        <v>0</v>
      </c>
      <c r="D95" s="460" t="s">
        <v>239</v>
      </c>
      <c r="E95" s="461" t="s">
        <v>166</v>
      </c>
      <c r="F95" s="462">
        <f>MOUNGANZLRCPTS</f>
        <v>0</v>
      </c>
    </row>
    <row r="96" spans="1:6" ht="14.95" thickBot="1" x14ac:dyDescent="0.3">
      <c r="A96" s="454" t="s">
        <v>4</v>
      </c>
      <c r="B96" s="455" t="s">
        <v>170</v>
      </c>
      <c r="C96" s="456">
        <f>Penalty_Triesrsatrctries</f>
        <v>0</v>
      </c>
      <c r="D96" s="460" t="s">
        <v>1016</v>
      </c>
      <c r="E96" s="461" t="s">
        <v>165</v>
      </c>
      <c r="F96" s="462">
        <f>Paisamiaustrcpts</f>
        <v>0</v>
      </c>
    </row>
    <row r="97" spans="1:6" ht="14.95" thickBot="1" x14ac:dyDescent="0.3">
      <c r="A97" s="454" t="s">
        <v>875</v>
      </c>
      <c r="B97" s="455" t="s">
        <v>170</v>
      </c>
      <c r="C97" s="456">
        <f>pollardrsatrctries</f>
        <v>0</v>
      </c>
      <c r="D97" s="460" t="s">
        <v>4</v>
      </c>
      <c r="E97" s="461" t="s">
        <v>170</v>
      </c>
      <c r="F97" s="462">
        <f>Penalty_Triesrsatrcpts</f>
        <v>0</v>
      </c>
    </row>
    <row r="98" spans="1:6" ht="14.95" thickBot="1" x14ac:dyDescent="0.3">
      <c r="A98" s="454" t="s">
        <v>1424</v>
      </c>
      <c r="B98" s="455" t="s">
        <v>171</v>
      </c>
      <c r="C98" s="456">
        <f>Piccardoargrctries</f>
        <v>0</v>
      </c>
      <c r="D98" s="460" t="s">
        <v>1424</v>
      </c>
      <c r="E98" s="461" t="s">
        <v>171</v>
      </c>
      <c r="F98" s="462">
        <f>Piccardoargrcpts</f>
        <v>0</v>
      </c>
    </row>
    <row r="99" spans="1:6" ht="14.95" thickBot="1" x14ac:dyDescent="0.3">
      <c r="A99" s="454" t="s">
        <v>695</v>
      </c>
      <c r="B99" s="455" t="s">
        <v>171</v>
      </c>
      <c r="C99" s="456">
        <f>Sclaviargrctries</f>
        <v>0</v>
      </c>
      <c r="D99" s="460" t="s">
        <v>695</v>
      </c>
      <c r="E99" s="461" t="s">
        <v>171</v>
      </c>
      <c r="F99" s="462">
        <f>Sclaviargrcpts</f>
        <v>0</v>
      </c>
    </row>
    <row r="100" spans="1:6" ht="14.95" thickBot="1" x14ac:dyDescent="0.3">
      <c r="A100" s="454" t="s">
        <v>628</v>
      </c>
      <c r="B100" s="455" t="s">
        <v>171</v>
      </c>
      <c r="C100" s="456">
        <f>Sordoniargtrctries</f>
        <v>0</v>
      </c>
      <c r="D100" s="460" t="s">
        <v>628</v>
      </c>
      <c r="E100" s="461" t="s">
        <v>171</v>
      </c>
      <c r="F100" s="462">
        <f>Sordoniargtrcpts</f>
        <v>0</v>
      </c>
    </row>
    <row r="101" spans="1:6" ht="14.95" thickBot="1" x14ac:dyDescent="0.3">
      <c r="A101" s="454" t="s">
        <v>185</v>
      </c>
      <c r="B101" s="455" t="s">
        <v>166</v>
      </c>
      <c r="C101" s="456">
        <f>Taylornzlrctrioes</f>
        <v>0</v>
      </c>
      <c r="D101" s="460" t="s">
        <v>185</v>
      </c>
      <c r="E101" s="461" t="s">
        <v>166</v>
      </c>
      <c r="F101" s="462">
        <f>Taylornzlrcpts</f>
        <v>0</v>
      </c>
    </row>
    <row r="102" spans="1:6" ht="14.95" thickBot="1" x14ac:dyDescent="0.3">
      <c r="A102" s="454" t="s">
        <v>996</v>
      </c>
      <c r="B102" s="455" t="s">
        <v>166</v>
      </c>
      <c r="C102" s="456">
        <f>TeleaNZLTRCTRIES</f>
        <v>0</v>
      </c>
      <c r="D102" s="460" t="s">
        <v>996</v>
      </c>
      <c r="E102" s="461" t="s">
        <v>166</v>
      </c>
      <c r="F102" s="462">
        <f>TeleaNZLTRCPTS</f>
        <v>0</v>
      </c>
    </row>
    <row r="103" spans="1:6" ht="14.95" thickBot="1" x14ac:dyDescent="0.3">
      <c r="A103" s="454" t="s">
        <v>535</v>
      </c>
      <c r="B103" s="455" t="s">
        <v>165</v>
      </c>
      <c r="C103" s="456">
        <f>Valetiniausrctries</f>
        <v>0</v>
      </c>
      <c r="D103" s="460" t="s">
        <v>535</v>
      </c>
      <c r="E103" s="461" t="s">
        <v>165</v>
      </c>
      <c r="F103" s="462">
        <f>Valetiniausrcpts</f>
        <v>0</v>
      </c>
    </row>
    <row r="104" spans="1:6" ht="14.95" thickBot="1" x14ac:dyDescent="0.3">
      <c r="A104" s="454" t="s">
        <v>707</v>
      </c>
      <c r="B104" s="455" t="s">
        <v>170</v>
      </c>
      <c r="C104" s="456">
        <f>vanstadenrsatrctries</f>
        <v>0</v>
      </c>
      <c r="D104" s="460" t="s">
        <v>707</v>
      </c>
      <c r="E104" s="461" t="s">
        <v>170</v>
      </c>
      <c r="F104" s="462">
        <f>vanstadenrsatrcpts</f>
        <v>0</v>
      </c>
    </row>
    <row r="105" spans="1:6" ht="14.95" thickBot="1" x14ac:dyDescent="0.3">
      <c r="A105" s="454" t="s">
        <v>708</v>
      </c>
      <c r="B105" s="455" t="s">
        <v>170</v>
      </c>
      <c r="C105" s="456">
        <f>williamsrsatrctries</f>
        <v>0</v>
      </c>
      <c r="D105" s="460" t="s">
        <v>708</v>
      </c>
      <c r="E105" s="461" t="s">
        <v>170</v>
      </c>
      <c r="F105" s="462">
        <f>williamsrsatrcpts</f>
        <v>0</v>
      </c>
    </row>
    <row r="106" spans="1:6" ht="14.95" thickBot="1" x14ac:dyDescent="0.3">
      <c r="A106" s="454" t="s">
        <v>564</v>
      </c>
      <c r="B106" s="455" t="s">
        <v>166</v>
      </c>
      <c r="C106" s="456">
        <f>Whitelocknxlrctries</f>
        <v>0</v>
      </c>
      <c r="D106" s="460" t="s">
        <v>564</v>
      </c>
      <c r="E106" s="461" t="s">
        <v>166</v>
      </c>
      <c r="F106" s="462">
        <f>Whitelocknzlrcpts</f>
        <v>0</v>
      </c>
    </row>
    <row r="107" spans="1:6" x14ac:dyDescent="0.25">
      <c r="C107">
        <f>SUM(C1:C106)</f>
        <v>0</v>
      </c>
      <c r="F107">
        <f>SUM(F1:F106)</f>
        <v>0</v>
      </c>
    </row>
    <row r="108" spans="1:6" ht="16.3" x14ac:dyDescent="0.3">
      <c r="A108" s="487" t="s">
        <v>28</v>
      </c>
    </row>
  </sheetData>
  <sortState xmlns:xlrd2="http://schemas.microsoft.com/office/spreadsheetml/2017/richdata2" ref="G4:K15">
    <sortCondition sortBy="fontColor" ref="J4:J15" dxfId="6"/>
    <sortCondition descending="1" ref="K4:K15"/>
    <sortCondition descending="1" ref="J4:J15"/>
    <sortCondition ref="G4:G15"/>
  </sortState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V50"/>
  <sheetViews>
    <sheetView zoomScaleNormal="100" workbookViewId="0">
      <selection activeCell="V20" sqref="V20"/>
    </sheetView>
  </sheetViews>
  <sheetFormatPr defaultRowHeight="14.3" x14ac:dyDescent="0.25"/>
  <cols>
    <col min="1" max="1" width="16.5" customWidth="1"/>
    <col min="2" max="3" width="4.5" customWidth="1"/>
    <col min="4" max="4" width="4.625" customWidth="1"/>
    <col min="5" max="5" width="16.5" customWidth="1"/>
    <col min="6" max="8" width="5.375" customWidth="1"/>
    <col min="9" max="9" width="15.5" customWidth="1"/>
    <col min="10" max="21" width="5.5" customWidth="1"/>
    <col min="22" max="22" width="5.625" customWidth="1"/>
    <col min="23" max="25" width="5.5" customWidth="1"/>
    <col min="26" max="48" width="5.625" customWidth="1"/>
  </cols>
  <sheetData>
    <row r="1" spans="1:48" ht="16" customHeight="1" thickBot="1" x14ac:dyDescent="0.35">
      <c r="A1" s="591" t="s">
        <v>1454</v>
      </c>
      <c r="B1" s="592"/>
      <c r="C1" s="592"/>
      <c r="D1" s="592"/>
      <c r="E1" s="592"/>
      <c r="F1" s="592"/>
      <c r="G1" s="592"/>
      <c r="H1" s="593"/>
      <c r="I1" s="594" t="s">
        <v>112</v>
      </c>
      <c r="J1" s="583">
        <v>2026</v>
      </c>
      <c r="K1" s="584"/>
      <c r="L1" s="585"/>
      <c r="M1" s="583" t="s">
        <v>32</v>
      </c>
      <c r="N1" s="584"/>
      <c r="O1" s="585"/>
      <c r="P1" s="579" t="s">
        <v>121</v>
      </c>
      <c r="Q1" s="568">
        <v>2025</v>
      </c>
      <c r="R1" s="569"/>
      <c r="S1" s="570"/>
      <c r="T1" s="568">
        <v>2024</v>
      </c>
      <c r="U1" s="569"/>
      <c r="V1" s="570"/>
      <c r="W1" s="81"/>
      <c r="X1" s="121"/>
      <c r="Y1" s="568">
        <v>2023</v>
      </c>
      <c r="Z1" s="569"/>
      <c r="AA1" s="570"/>
      <c r="AB1" s="568">
        <v>2022</v>
      </c>
      <c r="AC1" s="569"/>
      <c r="AD1" s="570"/>
      <c r="AE1" s="568">
        <v>2021</v>
      </c>
      <c r="AF1" s="569"/>
      <c r="AG1" s="570"/>
      <c r="AH1" s="557">
        <v>2020</v>
      </c>
      <c r="AI1" s="563"/>
      <c r="AJ1" s="564"/>
      <c r="AK1" s="557">
        <v>2019</v>
      </c>
      <c r="AL1" s="563"/>
      <c r="AM1" s="564"/>
      <c r="AN1" s="557">
        <v>2018</v>
      </c>
      <c r="AO1" s="563"/>
      <c r="AP1" s="564"/>
      <c r="AQ1" s="557">
        <v>2017</v>
      </c>
      <c r="AR1" s="563"/>
      <c r="AS1" s="564"/>
      <c r="AT1" s="557">
        <v>2016</v>
      </c>
      <c r="AU1" s="563"/>
      <c r="AV1" s="564"/>
    </row>
    <row r="2" spans="1:48" ht="14.95" customHeight="1" thickBot="1" x14ac:dyDescent="0.3">
      <c r="A2" s="330" t="s">
        <v>0</v>
      </c>
      <c r="B2" s="463" t="s">
        <v>1354</v>
      </c>
      <c r="C2" s="272" t="s">
        <v>31</v>
      </c>
      <c r="D2" s="332" t="s">
        <v>1</v>
      </c>
      <c r="E2" s="337" t="s">
        <v>2</v>
      </c>
      <c r="F2" s="465" t="s">
        <v>1354</v>
      </c>
      <c r="G2" s="201" t="s">
        <v>31</v>
      </c>
      <c r="H2" s="336" t="s">
        <v>1</v>
      </c>
      <c r="I2" s="595"/>
      <c r="J2" s="586"/>
      <c r="K2" s="587"/>
      <c r="L2" s="588"/>
      <c r="M2" s="586"/>
      <c r="N2" s="587"/>
      <c r="O2" s="588"/>
      <c r="P2" s="580"/>
      <c r="Q2" s="571"/>
      <c r="R2" s="572"/>
      <c r="S2" s="573"/>
      <c r="T2" s="571"/>
      <c r="U2" s="572"/>
      <c r="V2" s="573"/>
      <c r="W2" s="81"/>
      <c r="X2" s="121"/>
      <c r="Y2" s="571"/>
      <c r="Z2" s="572"/>
      <c r="AA2" s="573"/>
      <c r="AB2" s="571"/>
      <c r="AC2" s="572"/>
      <c r="AD2" s="573"/>
      <c r="AE2" s="571"/>
      <c r="AF2" s="572"/>
      <c r="AG2" s="573"/>
      <c r="AH2" s="565"/>
      <c r="AI2" s="566"/>
      <c r="AJ2" s="567"/>
      <c r="AK2" s="565"/>
      <c r="AL2" s="566"/>
      <c r="AM2" s="567"/>
      <c r="AN2" s="565"/>
      <c r="AO2" s="566"/>
      <c r="AP2" s="567"/>
      <c r="AQ2" s="565"/>
      <c r="AR2" s="566"/>
      <c r="AS2" s="567"/>
      <c r="AT2" s="565"/>
      <c r="AU2" s="566"/>
      <c r="AV2" s="567"/>
    </row>
    <row r="3" spans="1:48" ht="14.95" customHeight="1" thickBot="1" x14ac:dyDescent="0.3">
      <c r="A3" s="331" t="s">
        <v>972</v>
      </c>
      <c r="B3" s="464">
        <v>0</v>
      </c>
      <c r="C3" s="271">
        <v>0</v>
      </c>
      <c r="D3" s="333">
        <f t="shared" ref="D3:D46" si="0">SUM(B3:C3)</f>
        <v>0</v>
      </c>
      <c r="E3" s="339" t="s">
        <v>972</v>
      </c>
      <c r="F3" s="466">
        <v>0</v>
      </c>
      <c r="G3" s="53">
        <v>0</v>
      </c>
      <c r="H3" s="338">
        <f t="shared" ref="H3" si="1">SUM(F3:G3)</f>
        <v>0</v>
      </c>
      <c r="I3" s="4"/>
      <c r="J3" s="53" t="s">
        <v>152</v>
      </c>
      <c r="K3" s="53" t="s">
        <v>12</v>
      </c>
      <c r="L3" s="53" t="s">
        <v>13</v>
      </c>
      <c r="M3" s="181" t="s">
        <v>152</v>
      </c>
      <c r="N3" s="53" t="s">
        <v>12</v>
      </c>
      <c r="O3" s="53" t="s">
        <v>13</v>
      </c>
      <c r="P3" s="1"/>
      <c r="Q3" s="128" t="s">
        <v>152</v>
      </c>
      <c r="R3" s="128" t="s">
        <v>12</v>
      </c>
      <c r="S3" s="128" t="s">
        <v>13</v>
      </c>
      <c r="T3" s="128" t="s">
        <v>152</v>
      </c>
      <c r="U3" s="128" t="s">
        <v>12</v>
      </c>
      <c r="V3" s="128" t="s">
        <v>13</v>
      </c>
      <c r="W3" s="121"/>
      <c r="X3" s="121"/>
      <c r="Y3" s="228" t="s">
        <v>152</v>
      </c>
      <c r="Z3" s="128" t="s">
        <v>12</v>
      </c>
      <c r="AA3" s="128" t="s">
        <v>13</v>
      </c>
      <c r="AB3" s="228" t="s">
        <v>152</v>
      </c>
      <c r="AC3" s="128" t="s">
        <v>12</v>
      </c>
      <c r="AD3" s="128" t="s">
        <v>13</v>
      </c>
      <c r="AE3" s="228" t="s">
        <v>152</v>
      </c>
      <c r="AF3" s="128" t="s">
        <v>12</v>
      </c>
      <c r="AG3" s="128" t="s">
        <v>13</v>
      </c>
      <c r="AH3" s="228" t="s">
        <v>152</v>
      </c>
      <c r="AI3" s="128" t="s">
        <v>12</v>
      </c>
      <c r="AJ3" s="128" t="s">
        <v>13</v>
      </c>
      <c r="AK3" s="228" t="s">
        <v>152</v>
      </c>
      <c r="AL3" s="128" t="s">
        <v>12</v>
      </c>
      <c r="AM3" s="128" t="s">
        <v>13</v>
      </c>
      <c r="AN3" s="228" t="s">
        <v>152</v>
      </c>
      <c r="AO3" s="128" t="s">
        <v>12</v>
      </c>
      <c r="AP3" s="128" t="s">
        <v>13</v>
      </c>
      <c r="AQ3" s="228" t="s">
        <v>152</v>
      </c>
      <c r="AR3" s="128" t="s">
        <v>12</v>
      </c>
      <c r="AS3" s="128" t="s">
        <v>13</v>
      </c>
      <c r="AT3" s="228" t="s">
        <v>152</v>
      </c>
      <c r="AU3" s="128" t="s">
        <v>12</v>
      </c>
      <c r="AV3" s="128" t="s">
        <v>13</v>
      </c>
    </row>
    <row r="4" spans="1:48" ht="14.95" customHeight="1" thickBot="1" x14ac:dyDescent="0.3">
      <c r="A4" s="331" t="s">
        <v>48</v>
      </c>
      <c r="B4" s="464">
        <v>0</v>
      </c>
      <c r="C4" s="271">
        <v>0</v>
      </c>
      <c r="D4" s="333">
        <f t="shared" si="0"/>
        <v>0</v>
      </c>
      <c r="E4" s="52" t="s">
        <v>48</v>
      </c>
      <c r="F4" s="466">
        <v>0</v>
      </c>
      <c r="G4" s="1">
        <v>0</v>
      </c>
      <c r="H4" s="338">
        <f t="shared" ref="H4:H46" si="2">SUM(F4:G4)</f>
        <v>0</v>
      </c>
      <c r="I4" s="331" t="s">
        <v>972</v>
      </c>
      <c r="J4" s="333" t="s">
        <v>17</v>
      </c>
      <c r="K4" s="333" t="s">
        <v>17</v>
      </c>
      <c r="L4" s="334" t="s">
        <v>17</v>
      </c>
      <c r="M4" s="333">
        <v>3</v>
      </c>
      <c r="N4" s="333">
        <v>3</v>
      </c>
      <c r="O4" s="334">
        <f>SUM(M4/N4)*100</f>
        <v>100</v>
      </c>
      <c r="P4" s="333">
        <v>8</v>
      </c>
      <c r="Q4" s="228">
        <v>8</v>
      </c>
      <c r="R4" s="128">
        <v>9</v>
      </c>
      <c r="S4" s="231">
        <v>88.888888888888886</v>
      </c>
      <c r="T4" s="228">
        <v>41</v>
      </c>
      <c r="U4" s="128">
        <v>52</v>
      </c>
      <c r="V4" s="231">
        <v>78.84615384615384</v>
      </c>
      <c r="W4" s="121"/>
      <c r="X4" s="121"/>
      <c r="Y4" s="228" t="s">
        <v>17</v>
      </c>
      <c r="Z4" s="128" t="s">
        <v>17</v>
      </c>
      <c r="AA4" s="231" t="s">
        <v>17</v>
      </c>
      <c r="AB4" s="228" t="s">
        <v>17</v>
      </c>
      <c r="AC4" s="128" t="s">
        <v>17</v>
      </c>
      <c r="AD4" s="231" t="s">
        <v>17</v>
      </c>
      <c r="AE4" s="228" t="s">
        <v>17</v>
      </c>
      <c r="AF4" s="128" t="s">
        <v>17</v>
      </c>
      <c r="AG4" s="231" t="s">
        <v>17</v>
      </c>
      <c r="AH4" s="228" t="s">
        <v>17</v>
      </c>
      <c r="AI4" s="128" t="s">
        <v>17</v>
      </c>
      <c r="AJ4" s="231" t="s">
        <v>17</v>
      </c>
      <c r="AK4" s="228" t="s">
        <v>17</v>
      </c>
      <c r="AL4" s="128" t="s">
        <v>17</v>
      </c>
      <c r="AM4" s="231" t="s">
        <v>17</v>
      </c>
      <c r="AN4" s="228" t="s">
        <v>17</v>
      </c>
      <c r="AO4" s="128" t="s">
        <v>17</v>
      </c>
      <c r="AP4" s="231" t="s">
        <v>17</v>
      </c>
      <c r="AQ4" s="228" t="s">
        <v>17</v>
      </c>
      <c r="AR4" s="128" t="s">
        <v>17</v>
      </c>
      <c r="AS4" s="231" t="s">
        <v>17</v>
      </c>
      <c r="AT4" s="228" t="s">
        <v>17</v>
      </c>
      <c r="AU4" s="128" t="s">
        <v>17</v>
      </c>
      <c r="AV4" s="231" t="s">
        <v>17</v>
      </c>
    </row>
    <row r="5" spans="1:48" ht="14.95" customHeight="1" thickBot="1" x14ac:dyDescent="0.3">
      <c r="A5" s="331" t="s">
        <v>687</v>
      </c>
      <c r="B5" s="464">
        <v>0</v>
      </c>
      <c r="C5" s="271">
        <v>0</v>
      </c>
      <c r="D5" s="333">
        <f t="shared" si="0"/>
        <v>0</v>
      </c>
      <c r="E5" s="52" t="s">
        <v>687</v>
      </c>
      <c r="F5" s="466">
        <v>0</v>
      </c>
      <c r="G5" s="1">
        <v>0</v>
      </c>
      <c r="H5" s="338">
        <f t="shared" si="2"/>
        <v>0</v>
      </c>
      <c r="I5" s="331" t="s">
        <v>124</v>
      </c>
      <c r="J5" s="333" t="s">
        <v>17</v>
      </c>
      <c r="K5" s="333" t="s">
        <v>17</v>
      </c>
      <c r="L5" s="334" t="s">
        <v>17</v>
      </c>
      <c r="M5" s="333" t="s">
        <v>17</v>
      </c>
      <c r="N5" s="333" t="s">
        <v>17</v>
      </c>
      <c r="O5" s="334" t="s">
        <v>17</v>
      </c>
      <c r="P5" s="333">
        <v>12</v>
      </c>
      <c r="Q5" s="128" t="s">
        <v>17</v>
      </c>
      <c r="R5" s="128" t="s">
        <v>17</v>
      </c>
      <c r="S5" s="231" t="s">
        <v>17</v>
      </c>
      <c r="T5" s="128" t="s">
        <v>17</v>
      </c>
      <c r="U5" s="128" t="s">
        <v>17</v>
      </c>
      <c r="V5" s="231" t="s">
        <v>17</v>
      </c>
      <c r="W5" s="121"/>
      <c r="X5" s="121"/>
      <c r="Y5" s="228">
        <v>31</v>
      </c>
      <c r="Z5" s="128">
        <v>38</v>
      </c>
      <c r="AA5" s="231">
        <f>SUM(Y5/Z5)*100</f>
        <v>81.578947368421055</v>
      </c>
      <c r="AB5" s="228">
        <v>49</v>
      </c>
      <c r="AC5" s="128">
        <v>59</v>
      </c>
      <c r="AD5" s="231">
        <v>83.050847457627114</v>
      </c>
      <c r="AE5" s="228">
        <v>15</v>
      </c>
      <c r="AF5" s="128">
        <v>24</v>
      </c>
      <c r="AG5" s="231">
        <f>SUM(AE5/AF5)*100</f>
        <v>62.5</v>
      </c>
      <c r="AH5" s="228" t="s">
        <v>17</v>
      </c>
      <c r="AI5" s="128" t="s">
        <v>17</v>
      </c>
      <c r="AJ5" s="231" t="s">
        <v>17</v>
      </c>
      <c r="AK5" s="228">
        <v>2</v>
      </c>
      <c r="AL5" s="128">
        <v>3</v>
      </c>
      <c r="AM5" s="231">
        <f>SUM(AK5/AL5)*100</f>
        <v>66.666666666666657</v>
      </c>
      <c r="AN5" s="228">
        <v>7</v>
      </c>
      <c r="AO5" s="128">
        <v>11</v>
      </c>
      <c r="AP5" s="231">
        <f>SUM(AN5/AO5)*100</f>
        <v>63.636363636363633</v>
      </c>
      <c r="AQ5" s="228">
        <v>5</v>
      </c>
      <c r="AR5" s="128">
        <v>8</v>
      </c>
      <c r="AS5" s="231">
        <f>SUM(AQ5/AR5)*100</f>
        <v>62.5</v>
      </c>
      <c r="AT5" s="228" t="s">
        <v>17</v>
      </c>
      <c r="AU5" s="128" t="s">
        <v>17</v>
      </c>
      <c r="AV5" s="128" t="s">
        <v>17</v>
      </c>
    </row>
    <row r="6" spans="1:48" ht="14.95" customHeight="1" thickBot="1" x14ac:dyDescent="0.3">
      <c r="A6" s="331" t="s">
        <v>684</v>
      </c>
      <c r="B6" s="464">
        <v>0</v>
      </c>
      <c r="C6" s="271">
        <v>0</v>
      </c>
      <c r="D6" s="333">
        <f t="shared" si="0"/>
        <v>0</v>
      </c>
      <c r="E6" s="52" t="s">
        <v>684</v>
      </c>
      <c r="F6" s="466">
        <v>0</v>
      </c>
      <c r="G6" s="1">
        <v>0</v>
      </c>
      <c r="H6" s="338">
        <f t="shared" si="2"/>
        <v>0</v>
      </c>
      <c r="I6" s="331" t="s">
        <v>513</v>
      </c>
      <c r="J6" s="333" t="s">
        <v>17</v>
      </c>
      <c r="K6" s="333" t="s">
        <v>17</v>
      </c>
      <c r="L6" s="334" t="s">
        <v>17</v>
      </c>
      <c r="M6" s="333">
        <v>2</v>
      </c>
      <c r="N6" s="333">
        <v>3</v>
      </c>
      <c r="O6" s="334">
        <f>SUM(M6/N6)*100</f>
        <v>66.666666666666657</v>
      </c>
      <c r="P6" s="333">
        <v>2</v>
      </c>
      <c r="Q6" s="128">
        <v>45</v>
      </c>
      <c r="R6" s="128">
        <v>50</v>
      </c>
      <c r="S6" s="231">
        <v>90</v>
      </c>
      <c r="T6" s="128">
        <v>18</v>
      </c>
      <c r="U6" s="128">
        <v>20</v>
      </c>
      <c r="V6" s="231">
        <v>90</v>
      </c>
      <c r="W6" s="121"/>
      <c r="X6" s="121"/>
      <c r="Y6" s="228">
        <v>6</v>
      </c>
      <c r="Z6" s="128">
        <v>9</v>
      </c>
      <c r="AA6" s="231">
        <f>SUM(Y6/Z6)*100</f>
        <v>66.666666666666657</v>
      </c>
      <c r="AB6" s="228" t="s">
        <v>17</v>
      </c>
      <c r="AC6" s="128" t="s">
        <v>17</v>
      </c>
      <c r="AD6" s="231" t="s">
        <v>17</v>
      </c>
      <c r="AE6" s="228" t="s">
        <v>17</v>
      </c>
      <c r="AF6" s="128" t="s">
        <v>17</v>
      </c>
      <c r="AG6" s="231" t="s">
        <v>17</v>
      </c>
      <c r="AH6" s="228" t="s">
        <v>17</v>
      </c>
      <c r="AI6" s="128" t="s">
        <v>17</v>
      </c>
      <c r="AJ6" s="231" t="s">
        <v>17</v>
      </c>
      <c r="AK6" s="228" t="s">
        <v>17</v>
      </c>
      <c r="AL6" s="128" t="s">
        <v>17</v>
      </c>
      <c r="AM6" s="231" t="s">
        <v>17</v>
      </c>
      <c r="AN6" s="228" t="s">
        <v>17</v>
      </c>
      <c r="AO6" s="128" t="s">
        <v>17</v>
      </c>
      <c r="AP6" s="231" t="s">
        <v>17</v>
      </c>
      <c r="AQ6" s="228" t="s">
        <v>17</v>
      </c>
      <c r="AR6" s="128" t="s">
        <v>17</v>
      </c>
      <c r="AS6" s="231" t="s">
        <v>17</v>
      </c>
      <c r="AT6" s="228" t="s">
        <v>17</v>
      </c>
      <c r="AU6" s="128" t="s">
        <v>17</v>
      </c>
      <c r="AV6" s="231" t="s">
        <v>17</v>
      </c>
    </row>
    <row r="7" spans="1:48" ht="14.95" customHeight="1" thickBot="1" x14ac:dyDescent="0.3">
      <c r="A7" s="331" t="s">
        <v>1414</v>
      </c>
      <c r="B7" s="464">
        <v>0</v>
      </c>
      <c r="C7" s="271">
        <v>0</v>
      </c>
      <c r="D7" s="333">
        <f t="shared" si="0"/>
        <v>0</v>
      </c>
      <c r="E7" s="52" t="s">
        <v>1414</v>
      </c>
      <c r="F7" s="466">
        <v>0</v>
      </c>
      <c r="G7" s="1">
        <v>0</v>
      </c>
      <c r="H7" s="338">
        <f t="shared" si="2"/>
        <v>0</v>
      </c>
      <c r="I7" s="331" t="s">
        <v>339</v>
      </c>
      <c r="J7" s="333" t="s">
        <v>17</v>
      </c>
      <c r="K7" s="333" t="s">
        <v>17</v>
      </c>
      <c r="L7" s="334" t="s">
        <v>17</v>
      </c>
      <c r="M7" s="333" t="s">
        <v>17</v>
      </c>
      <c r="N7" s="333" t="s">
        <v>17</v>
      </c>
      <c r="O7" s="334" t="s">
        <v>17</v>
      </c>
      <c r="P7" s="333">
        <v>-2</v>
      </c>
      <c r="Q7" s="128">
        <v>2</v>
      </c>
      <c r="R7" s="128">
        <v>4</v>
      </c>
      <c r="S7" s="231">
        <v>50</v>
      </c>
      <c r="T7" s="128" t="s">
        <v>17</v>
      </c>
      <c r="U7" s="128" t="s">
        <v>17</v>
      </c>
      <c r="V7" s="231" t="s">
        <v>17</v>
      </c>
      <c r="W7" s="121"/>
      <c r="X7" s="121"/>
      <c r="Y7" s="228" t="s">
        <v>17</v>
      </c>
      <c r="Z7" s="128" t="s">
        <v>17</v>
      </c>
      <c r="AA7" s="231" t="s">
        <v>17</v>
      </c>
      <c r="AB7" s="232" t="s">
        <v>17</v>
      </c>
      <c r="AC7" s="128" t="s">
        <v>17</v>
      </c>
      <c r="AD7" s="231" t="s">
        <v>17</v>
      </c>
      <c r="AE7" s="128" t="s">
        <v>17</v>
      </c>
      <c r="AF7" s="128" t="s">
        <v>17</v>
      </c>
      <c r="AG7" s="231" t="s">
        <v>17</v>
      </c>
      <c r="AH7" s="128" t="s">
        <v>17</v>
      </c>
      <c r="AI7" s="128" t="s">
        <v>17</v>
      </c>
      <c r="AJ7" s="231" t="s">
        <v>17</v>
      </c>
      <c r="AK7" s="128" t="s">
        <v>17</v>
      </c>
      <c r="AL7" s="128" t="s">
        <v>17</v>
      </c>
      <c r="AM7" s="231" t="s">
        <v>17</v>
      </c>
      <c r="AN7" s="128" t="s">
        <v>17</v>
      </c>
      <c r="AO7" s="128" t="s">
        <v>17</v>
      </c>
      <c r="AP7" s="231" t="s">
        <v>17</v>
      </c>
      <c r="AQ7" s="128" t="s">
        <v>17</v>
      </c>
      <c r="AR7" s="128" t="s">
        <v>17</v>
      </c>
      <c r="AS7" s="231" t="s">
        <v>17</v>
      </c>
      <c r="AT7" s="128" t="s">
        <v>17</v>
      </c>
      <c r="AU7" s="128" t="s">
        <v>17</v>
      </c>
      <c r="AV7" s="231" t="s">
        <v>17</v>
      </c>
    </row>
    <row r="8" spans="1:48" ht="14.95" customHeight="1" thickBot="1" x14ac:dyDescent="0.3">
      <c r="A8" s="331" t="s">
        <v>124</v>
      </c>
      <c r="B8" s="464">
        <v>0</v>
      </c>
      <c r="C8" s="271">
        <v>0</v>
      </c>
      <c r="D8" s="333">
        <f t="shared" si="0"/>
        <v>0</v>
      </c>
      <c r="E8" s="52" t="s">
        <v>124</v>
      </c>
      <c r="F8" s="466">
        <v>0</v>
      </c>
      <c r="G8" s="1">
        <v>0</v>
      </c>
      <c r="H8" s="338">
        <f t="shared" si="2"/>
        <v>0</v>
      </c>
      <c r="I8" s="331" t="s">
        <v>1307</v>
      </c>
      <c r="J8" s="333" t="s">
        <v>17</v>
      </c>
      <c r="K8" s="333" t="s">
        <v>17</v>
      </c>
      <c r="L8" s="334" t="s">
        <v>17</v>
      </c>
      <c r="M8" s="333" t="s">
        <v>17</v>
      </c>
      <c r="N8" s="333" t="s">
        <v>17</v>
      </c>
      <c r="O8" s="334" t="s">
        <v>17</v>
      </c>
      <c r="P8" s="333">
        <v>4</v>
      </c>
      <c r="Q8" s="128">
        <v>5</v>
      </c>
      <c r="R8" s="128">
        <v>7</v>
      </c>
      <c r="S8" s="231">
        <v>71.428571428571431</v>
      </c>
      <c r="T8" s="128" t="s">
        <v>17</v>
      </c>
      <c r="U8" s="128" t="s">
        <v>17</v>
      </c>
      <c r="V8" s="231" t="s">
        <v>17</v>
      </c>
      <c r="W8" s="121"/>
      <c r="X8" s="121"/>
      <c r="Y8" s="228" t="s">
        <v>17</v>
      </c>
      <c r="Z8" s="128" t="s">
        <v>17</v>
      </c>
      <c r="AA8" s="231" t="s">
        <v>17</v>
      </c>
      <c r="AB8" s="232" t="s">
        <v>17</v>
      </c>
      <c r="AC8" s="128" t="s">
        <v>17</v>
      </c>
      <c r="AD8" s="231" t="s">
        <v>17</v>
      </c>
      <c r="AE8" s="128" t="s">
        <v>17</v>
      </c>
      <c r="AF8" s="128" t="s">
        <v>17</v>
      </c>
      <c r="AG8" s="231" t="s">
        <v>17</v>
      </c>
      <c r="AH8" s="128" t="s">
        <v>17</v>
      </c>
      <c r="AI8" s="128" t="s">
        <v>17</v>
      </c>
      <c r="AJ8" s="231" t="s">
        <v>17</v>
      </c>
      <c r="AK8" s="128" t="s">
        <v>17</v>
      </c>
      <c r="AL8" s="128" t="s">
        <v>17</v>
      </c>
      <c r="AM8" s="231" t="s">
        <v>17</v>
      </c>
      <c r="AN8" s="128" t="s">
        <v>17</v>
      </c>
      <c r="AO8" s="128" t="s">
        <v>17</v>
      </c>
      <c r="AP8" s="231" t="s">
        <v>17</v>
      </c>
      <c r="AQ8" s="128" t="s">
        <v>17</v>
      </c>
      <c r="AR8" s="128" t="s">
        <v>17</v>
      </c>
      <c r="AS8" s="231" t="s">
        <v>17</v>
      </c>
      <c r="AT8" s="128" t="s">
        <v>17</v>
      </c>
      <c r="AU8" s="128" t="s">
        <v>17</v>
      </c>
      <c r="AV8" s="231" t="s">
        <v>17</v>
      </c>
    </row>
    <row r="9" spans="1:48" ht="14.95" customHeight="1" thickBot="1" x14ac:dyDescent="0.3">
      <c r="A9" s="331" t="s">
        <v>691</v>
      </c>
      <c r="B9" s="464">
        <v>0</v>
      </c>
      <c r="C9" s="271">
        <v>0</v>
      </c>
      <c r="D9" s="333">
        <f t="shared" si="0"/>
        <v>0</v>
      </c>
      <c r="E9" s="52" t="s">
        <v>691</v>
      </c>
      <c r="F9" s="466">
        <v>0</v>
      </c>
      <c r="G9" s="1">
        <v>0</v>
      </c>
      <c r="H9" s="338">
        <f t="shared" si="2"/>
        <v>0</v>
      </c>
      <c r="I9" s="40"/>
      <c r="J9" s="118"/>
      <c r="K9" s="41"/>
      <c r="L9" s="43"/>
      <c r="M9" s="118"/>
      <c r="N9" s="41"/>
      <c r="O9" s="43"/>
      <c r="P9" s="118"/>
    </row>
    <row r="10" spans="1:48" ht="14.95" customHeight="1" thickBot="1" x14ac:dyDescent="0.3">
      <c r="A10" s="331" t="s">
        <v>633</v>
      </c>
      <c r="B10" s="464">
        <v>0</v>
      </c>
      <c r="C10" s="271">
        <v>0</v>
      </c>
      <c r="D10" s="333">
        <f t="shared" si="0"/>
        <v>0</v>
      </c>
      <c r="E10" s="52" t="s">
        <v>633</v>
      </c>
      <c r="F10" s="466">
        <v>0</v>
      </c>
      <c r="G10" s="1">
        <v>0</v>
      </c>
      <c r="H10" s="338">
        <f t="shared" si="2"/>
        <v>0</v>
      </c>
      <c r="I10" s="607" t="s">
        <v>34</v>
      </c>
      <c r="J10" s="596">
        <v>2025</v>
      </c>
      <c r="K10" s="597"/>
      <c r="L10" s="598"/>
      <c r="M10" s="568">
        <v>2024</v>
      </c>
      <c r="N10" s="602"/>
      <c r="O10" s="603"/>
      <c r="P10" s="568">
        <v>2023</v>
      </c>
      <c r="Q10" s="602"/>
      <c r="R10" s="603"/>
      <c r="S10" s="568">
        <v>2022</v>
      </c>
      <c r="T10" s="558"/>
      <c r="U10" s="559"/>
      <c r="V10" s="614"/>
      <c r="W10" s="121"/>
      <c r="X10" s="244"/>
      <c r="Y10" s="568">
        <v>2021</v>
      </c>
      <c r="Z10" s="602"/>
      <c r="AA10" s="603"/>
      <c r="AB10" s="568">
        <v>2020</v>
      </c>
      <c r="AC10" s="609"/>
      <c r="AD10" s="610"/>
      <c r="AE10" s="568">
        <v>2019</v>
      </c>
      <c r="AF10" s="609"/>
      <c r="AG10" s="610"/>
      <c r="AH10" s="568">
        <v>2018</v>
      </c>
      <c r="AI10" s="609"/>
      <c r="AJ10" s="610"/>
      <c r="AK10" s="568">
        <v>2017</v>
      </c>
      <c r="AL10" s="609"/>
      <c r="AM10" s="610"/>
      <c r="AN10" s="568">
        <v>2016</v>
      </c>
      <c r="AO10" s="609"/>
      <c r="AP10" s="610"/>
      <c r="AQ10" s="557">
        <v>2015</v>
      </c>
      <c r="AR10" s="563"/>
      <c r="AS10" s="564"/>
      <c r="AT10" s="557">
        <v>2014</v>
      </c>
      <c r="AU10" s="617"/>
      <c r="AV10" s="618"/>
    </row>
    <row r="11" spans="1:48" ht="14.95" customHeight="1" thickBot="1" x14ac:dyDescent="0.3">
      <c r="A11" s="331" t="s">
        <v>513</v>
      </c>
      <c r="B11" s="464">
        <v>0</v>
      </c>
      <c r="C11" s="271">
        <v>0</v>
      </c>
      <c r="D11" s="333">
        <f t="shared" si="0"/>
        <v>0</v>
      </c>
      <c r="E11" s="52" t="s">
        <v>513</v>
      </c>
      <c r="F11" s="466">
        <v>0</v>
      </c>
      <c r="G11" s="1">
        <v>0</v>
      </c>
      <c r="H11" s="338">
        <f t="shared" si="2"/>
        <v>0</v>
      </c>
      <c r="I11" s="608"/>
      <c r="J11" s="599"/>
      <c r="K11" s="600"/>
      <c r="L11" s="601"/>
      <c r="M11" s="604"/>
      <c r="N11" s="605"/>
      <c r="O11" s="606"/>
      <c r="P11" s="604"/>
      <c r="Q11" s="605"/>
      <c r="R11" s="606"/>
      <c r="S11" s="560"/>
      <c r="T11" s="561"/>
      <c r="U11" s="562"/>
      <c r="V11" s="615"/>
      <c r="W11" s="121"/>
      <c r="X11" s="244"/>
      <c r="Y11" s="604"/>
      <c r="Z11" s="605"/>
      <c r="AA11" s="606"/>
      <c r="AB11" s="611"/>
      <c r="AC11" s="612"/>
      <c r="AD11" s="613"/>
      <c r="AE11" s="611"/>
      <c r="AF11" s="612"/>
      <c r="AG11" s="613"/>
      <c r="AH11" s="611"/>
      <c r="AI11" s="612"/>
      <c r="AJ11" s="613"/>
      <c r="AK11" s="611"/>
      <c r="AL11" s="612"/>
      <c r="AM11" s="613"/>
      <c r="AN11" s="611"/>
      <c r="AO11" s="612"/>
      <c r="AP11" s="613"/>
      <c r="AQ11" s="565"/>
      <c r="AR11" s="566"/>
      <c r="AS11" s="567"/>
      <c r="AT11" s="619"/>
      <c r="AU11" s="620"/>
      <c r="AV11" s="621"/>
    </row>
    <row r="12" spans="1:48" ht="14.95" customHeight="1" thickBot="1" x14ac:dyDescent="0.3">
      <c r="A12" s="331" t="s">
        <v>688</v>
      </c>
      <c r="B12" s="464">
        <v>0</v>
      </c>
      <c r="C12" s="271">
        <v>0</v>
      </c>
      <c r="D12" s="333">
        <f t="shared" si="0"/>
        <v>0</v>
      </c>
      <c r="E12" s="52" t="s">
        <v>688</v>
      </c>
      <c r="F12" s="466">
        <v>0</v>
      </c>
      <c r="G12" s="1">
        <v>0</v>
      </c>
      <c r="H12" s="338">
        <f t="shared" si="2"/>
        <v>0</v>
      </c>
      <c r="I12" s="4"/>
      <c r="J12" s="188" t="s">
        <v>152</v>
      </c>
      <c r="K12" s="1" t="s">
        <v>12</v>
      </c>
      <c r="L12" s="1" t="s">
        <v>13</v>
      </c>
      <c r="M12" s="158" t="s">
        <v>152</v>
      </c>
      <c r="N12" s="128" t="s">
        <v>12</v>
      </c>
      <c r="O12" s="128" t="s">
        <v>13</v>
      </c>
      <c r="P12" s="158" t="s">
        <v>152</v>
      </c>
      <c r="Q12" s="128" t="s">
        <v>12</v>
      </c>
      <c r="R12" s="128" t="s">
        <v>13</v>
      </c>
      <c r="S12" s="172" t="s">
        <v>152</v>
      </c>
      <c r="T12" s="128" t="s">
        <v>12</v>
      </c>
      <c r="U12" s="128" t="s">
        <v>13</v>
      </c>
      <c r="V12" s="343"/>
      <c r="W12" s="121"/>
      <c r="X12" s="244"/>
      <c r="Y12" s="260" t="s">
        <v>152</v>
      </c>
      <c r="Z12" s="128" t="s">
        <v>12</v>
      </c>
      <c r="AA12" s="128" t="s">
        <v>13</v>
      </c>
      <c r="AB12" s="172" t="s">
        <v>152</v>
      </c>
      <c r="AC12" s="119" t="s">
        <v>12</v>
      </c>
      <c r="AD12" s="119" t="s">
        <v>13</v>
      </c>
      <c r="AE12" s="260" t="s">
        <v>152</v>
      </c>
      <c r="AF12" s="119" t="s">
        <v>12</v>
      </c>
      <c r="AG12" s="119" t="s">
        <v>13</v>
      </c>
      <c r="AH12" s="260" t="s">
        <v>152</v>
      </c>
      <c r="AI12" s="119" t="s">
        <v>12</v>
      </c>
      <c r="AJ12" s="119" t="s">
        <v>13</v>
      </c>
      <c r="AK12" s="260" t="s">
        <v>152</v>
      </c>
      <c r="AL12" s="119" t="s">
        <v>12</v>
      </c>
      <c r="AM12" s="119" t="s">
        <v>13</v>
      </c>
      <c r="AN12" s="260" t="s">
        <v>152</v>
      </c>
      <c r="AO12" s="119" t="s">
        <v>12</v>
      </c>
      <c r="AP12" s="119" t="s">
        <v>13</v>
      </c>
      <c r="AQ12" s="171" t="s">
        <v>152</v>
      </c>
      <c r="AR12" s="119" t="s">
        <v>12</v>
      </c>
      <c r="AS12" s="119" t="s">
        <v>13</v>
      </c>
      <c r="AT12" s="171" t="s">
        <v>152</v>
      </c>
      <c r="AU12" s="119" t="s">
        <v>12</v>
      </c>
      <c r="AV12" s="119" t="s">
        <v>13</v>
      </c>
    </row>
    <row r="13" spans="1:48" ht="14.95" customHeight="1" thickBot="1" x14ac:dyDescent="0.3">
      <c r="A13" s="331" t="s">
        <v>689</v>
      </c>
      <c r="B13" s="464">
        <v>0</v>
      </c>
      <c r="C13" s="271">
        <v>0</v>
      </c>
      <c r="D13" s="333">
        <f t="shared" si="0"/>
        <v>0</v>
      </c>
      <c r="E13" s="52" t="s">
        <v>689</v>
      </c>
      <c r="F13" s="466">
        <v>0</v>
      </c>
      <c r="G13" s="1">
        <v>0</v>
      </c>
      <c r="H13" s="338">
        <f t="shared" si="2"/>
        <v>0</v>
      </c>
      <c r="I13" s="331" t="s">
        <v>972</v>
      </c>
      <c r="J13" s="333">
        <v>5</v>
      </c>
      <c r="K13" s="333">
        <v>6</v>
      </c>
      <c r="L13" s="334">
        <f>SUM(J13/K13)*100</f>
        <v>83.333333333333343</v>
      </c>
      <c r="M13" s="128">
        <v>15</v>
      </c>
      <c r="N13" s="128">
        <v>19</v>
      </c>
      <c r="O13" s="231">
        <f>SUM(M13/N13)*100</f>
        <v>78.94736842105263</v>
      </c>
      <c r="P13" s="128" t="s">
        <v>17</v>
      </c>
      <c r="Q13" s="128" t="s">
        <v>17</v>
      </c>
      <c r="R13" s="231" t="s">
        <v>17</v>
      </c>
      <c r="S13" s="128" t="s">
        <v>17</v>
      </c>
      <c r="T13" s="128" t="s">
        <v>17</v>
      </c>
      <c r="U13" s="231" t="s">
        <v>17</v>
      </c>
      <c r="V13" s="343"/>
      <c r="W13" s="121"/>
      <c r="X13" s="244"/>
      <c r="Y13" s="128" t="s">
        <v>17</v>
      </c>
      <c r="Z13" s="128" t="s">
        <v>17</v>
      </c>
      <c r="AA13" s="231" t="s">
        <v>17</v>
      </c>
      <c r="AB13" s="128" t="s">
        <v>17</v>
      </c>
      <c r="AC13" s="128" t="s">
        <v>17</v>
      </c>
      <c r="AD13" s="231" t="s">
        <v>17</v>
      </c>
      <c r="AE13" s="128" t="s">
        <v>17</v>
      </c>
      <c r="AF13" s="128" t="s">
        <v>17</v>
      </c>
      <c r="AG13" s="231" t="s">
        <v>17</v>
      </c>
      <c r="AH13" s="128" t="s">
        <v>17</v>
      </c>
      <c r="AI13" s="128" t="s">
        <v>17</v>
      </c>
      <c r="AJ13" s="231" t="s">
        <v>17</v>
      </c>
      <c r="AK13" s="128" t="s">
        <v>17</v>
      </c>
      <c r="AL13" s="128" t="s">
        <v>17</v>
      </c>
      <c r="AM13" s="231" t="s">
        <v>17</v>
      </c>
      <c r="AN13" s="128" t="s">
        <v>17</v>
      </c>
      <c r="AO13" s="128" t="s">
        <v>17</v>
      </c>
      <c r="AP13" s="231" t="s">
        <v>17</v>
      </c>
      <c r="AQ13" s="128" t="s">
        <v>17</v>
      </c>
      <c r="AR13" s="128" t="s">
        <v>17</v>
      </c>
      <c r="AS13" s="231" t="s">
        <v>17</v>
      </c>
      <c r="AT13" s="128" t="s">
        <v>17</v>
      </c>
      <c r="AU13" s="128" t="s">
        <v>17</v>
      </c>
      <c r="AV13" s="231" t="s">
        <v>17</v>
      </c>
    </row>
    <row r="14" spans="1:48" ht="14.95" customHeight="1" thickBot="1" x14ac:dyDescent="0.3">
      <c r="A14" s="331" t="s">
        <v>1035</v>
      </c>
      <c r="B14" s="464">
        <v>0</v>
      </c>
      <c r="C14" s="271">
        <v>0</v>
      </c>
      <c r="D14" s="333">
        <f t="shared" si="0"/>
        <v>0</v>
      </c>
      <c r="E14" s="52" t="s">
        <v>1035</v>
      </c>
      <c r="F14" s="466">
        <v>0</v>
      </c>
      <c r="G14" s="1">
        <v>0</v>
      </c>
      <c r="H14" s="338">
        <f t="shared" si="2"/>
        <v>0</v>
      </c>
      <c r="I14" s="331" t="s">
        <v>124</v>
      </c>
      <c r="J14" s="333" t="s">
        <v>17</v>
      </c>
      <c r="K14" s="333" t="s">
        <v>17</v>
      </c>
      <c r="L14" s="334" t="s">
        <v>17</v>
      </c>
      <c r="M14" s="128" t="s">
        <v>17</v>
      </c>
      <c r="N14" s="128" t="s">
        <v>17</v>
      </c>
      <c r="O14" s="231" t="s">
        <v>17</v>
      </c>
      <c r="P14" s="128">
        <v>7</v>
      </c>
      <c r="Q14" s="128">
        <v>9</v>
      </c>
      <c r="R14" s="231">
        <f>SUM(P14/Q14)*100</f>
        <v>77.777777777777786</v>
      </c>
      <c r="S14" s="128">
        <v>26</v>
      </c>
      <c r="T14" s="128">
        <v>30</v>
      </c>
      <c r="U14" s="231">
        <v>86.666666666666671</v>
      </c>
      <c r="V14" s="41"/>
      <c r="W14" s="121"/>
      <c r="X14" s="244"/>
      <c r="Y14" s="228">
        <v>7</v>
      </c>
      <c r="Z14" s="128">
        <v>11</v>
      </c>
      <c r="AA14" s="231">
        <f>SUM(Y14/Z14)*100</f>
        <v>63.636363636363633</v>
      </c>
      <c r="AB14" s="128" t="s">
        <v>17</v>
      </c>
      <c r="AC14" s="128" t="s">
        <v>17</v>
      </c>
      <c r="AD14" s="128" t="s">
        <v>17</v>
      </c>
      <c r="AE14" s="228">
        <v>1</v>
      </c>
      <c r="AF14" s="128">
        <v>1</v>
      </c>
      <c r="AG14" s="231">
        <f>SUM(AE14/AF14)*100</f>
        <v>100</v>
      </c>
      <c r="AH14" s="228">
        <v>2</v>
      </c>
      <c r="AI14" s="128">
        <v>2</v>
      </c>
      <c r="AJ14" s="231">
        <f>SUM(AH14/AI14)*100</f>
        <v>100</v>
      </c>
      <c r="AK14" s="228">
        <v>4</v>
      </c>
      <c r="AL14" s="128">
        <v>5</v>
      </c>
      <c r="AM14" s="231">
        <f>SUM(AK14/AL14)*100</f>
        <v>80</v>
      </c>
      <c r="AN14" s="228" t="s">
        <v>17</v>
      </c>
      <c r="AO14" s="128" t="s">
        <v>17</v>
      </c>
      <c r="AP14" s="128" t="s">
        <v>17</v>
      </c>
      <c r="AQ14" s="228" t="s">
        <v>17</v>
      </c>
      <c r="AR14" s="128" t="s">
        <v>17</v>
      </c>
      <c r="AS14" s="128" t="s">
        <v>17</v>
      </c>
      <c r="AT14" s="228" t="s">
        <v>17</v>
      </c>
      <c r="AU14" s="128" t="s">
        <v>17</v>
      </c>
      <c r="AV14" s="128" t="s">
        <v>17</v>
      </c>
    </row>
    <row r="15" spans="1:48" ht="14.95" customHeight="1" thickBot="1" x14ac:dyDescent="0.3">
      <c r="A15" s="331" t="s">
        <v>1036</v>
      </c>
      <c r="B15" s="464">
        <v>0</v>
      </c>
      <c r="C15" s="271">
        <v>0</v>
      </c>
      <c r="D15" s="333">
        <f t="shared" si="0"/>
        <v>0</v>
      </c>
      <c r="E15" s="52" t="s">
        <v>1036</v>
      </c>
      <c r="F15" s="466">
        <v>0</v>
      </c>
      <c r="G15" s="1">
        <v>0</v>
      </c>
      <c r="H15" s="338">
        <f t="shared" si="2"/>
        <v>0</v>
      </c>
      <c r="I15" s="331" t="s">
        <v>513</v>
      </c>
      <c r="J15" s="333">
        <v>27</v>
      </c>
      <c r="K15" s="333">
        <v>29</v>
      </c>
      <c r="L15" s="334">
        <f>SUM(J15/K15)*100</f>
        <v>93.103448275862064</v>
      </c>
      <c r="M15" s="128">
        <v>14</v>
      </c>
      <c r="N15" s="128">
        <v>15</v>
      </c>
      <c r="O15" s="231">
        <f>SUM(M15/N15)*100</f>
        <v>93.333333333333329</v>
      </c>
      <c r="P15" s="128">
        <v>4</v>
      </c>
      <c r="Q15" s="128">
        <v>7</v>
      </c>
      <c r="R15" s="231">
        <f>SUM(P15/Q15)*100</f>
        <v>57.142857142857139</v>
      </c>
      <c r="S15" s="128" t="s">
        <v>17</v>
      </c>
      <c r="T15" s="128" t="s">
        <v>17</v>
      </c>
      <c r="U15" s="231" t="s">
        <v>17</v>
      </c>
      <c r="V15" s="41"/>
      <c r="W15" s="121"/>
      <c r="X15" s="244"/>
      <c r="Y15" s="228" t="s">
        <v>17</v>
      </c>
      <c r="Z15" s="128" t="s">
        <v>17</v>
      </c>
      <c r="AA15" s="231" t="s">
        <v>17</v>
      </c>
      <c r="AB15" s="128" t="s">
        <v>17</v>
      </c>
      <c r="AC15" s="128" t="s">
        <v>17</v>
      </c>
      <c r="AD15" s="128" t="s">
        <v>17</v>
      </c>
      <c r="AE15" s="228" t="s">
        <v>17</v>
      </c>
      <c r="AF15" s="128" t="s">
        <v>17</v>
      </c>
      <c r="AG15" s="128" t="s">
        <v>17</v>
      </c>
      <c r="AH15" s="228" t="s">
        <v>17</v>
      </c>
      <c r="AI15" s="128" t="s">
        <v>17</v>
      </c>
      <c r="AJ15" s="128" t="s">
        <v>17</v>
      </c>
      <c r="AK15" s="228" t="s">
        <v>17</v>
      </c>
      <c r="AL15" s="128" t="s">
        <v>17</v>
      </c>
      <c r="AM15" s="128" t="s">
        <v>17</v>
      </c>
      <c r="AN15" s="228" t="s">
        <v>17</v>
      </c>
      <c r="AO15" s="128" t="s">
        <v>17</v>
      </c>
      <c r="AP15" s="128" t="s">
        <v>17</v>
      </c>
      <c r="AQ15" s="228" t="s">
        <v>17</v>
      </c>
      <c r="AR15" s="128" t="s">
        <v>17</v>
      </c>
      <c r="AS15" s="128" t="s">
        <v>17</v>
      </c>
      <c r="AT15" s="228" t="s">
        <v>17</v>
      </c>
      <c r="AU15" s="128" t="s">
        <v>17</v>
      </c>
      <c r="AV15" s="128" t="s">
        <v>17</v>
      </c>
    </row>
    <row r="16" spans="1:48" ht="14.95" customHeight="1" thickBot="1" x14ac:dyDescent="0.3">
      <c r="A16" s="331" t="s">
        <v>1059</v>
      </c>
      <c r="B16" s="464">
        <v>0</v>
      </c>
      <c r="C16" s="271">
        <v>0</v>
      </c>
      <c r="D16" s="333">
        <f t="shared" si="0"/>
        <v>0</v>
      </c>
      <c r="E16" s="52" t="s">
        <v>1059</v>
      </c>
      <c r="F16" s="466">
        <v>0</v>
      </c>
      <c r="G16" s="1">
        <v>0</v>
      </c>
      <c r="H16" s="338">
        <f t="shared" si="2"/>
        <v>0</v>
      </c>
      <c r="I16" s="331" t="s">
        <v>339</v>
      </c>
      <c r="J16" s="333">
        <v>2</v>
      </c>
      <c r="K16" s="333">
        <v>2</v>
      </c>
      <c r="L16" s="334">
        <f>SUM(J16/K16)*100</f>
        <v>100</v>
      </c>
      <c r="M16" s="128" t="s">
        <v>17</v>
      </c>
      <c r="N16" s="128" t="s">
        <v>17</v>
      </c>
      <c r="O16" s="231" t="s">
        <v>17</v>
      </c>
      <c r="P16" s="128" t="s">
        <v>17</v>
      </c>
      <c r="Q16" s="128" t="s">
        <v>17</v>
      </c>
      <c r="R16" s="231" t="s">
        <v>17</v>
      </c>
      <c r="S16" s="128" t="s">
        <v>17</v>
      </c>
      <c r="T16" s="128" t="s">
        <v>17</v>
      </c>
      <c r="U16" s="231" t="s">
        <v>17</v>
      </c>
      <c r="V16" s="343"/>
      <c r="W16" s="121"/>
      <c r="X16" s="244"/>
      <c r="Y16" s="128" t="s">
        <v>17</v>
      </c>
      <c r="Z16" s="128" t="s">
        <v>17</v>
      </c>
      <c r="AA16" s="231" t="s">
        <v>17</v>
      </c>
      <c r="AB16" s="128" t="s">
        <v>17</v>
      </c>
      <c r="AC16" s="128" t="s">
        <v>17</v>
      </c>
      <c r="AD16" s="231" t="s">
        <v>17</v>
      </c>
      <c r="AE16" s="128" t="s">
        <v>17</v>
      </c>
      <c r="AF16" s="128" t="s">
        <v>17</v>
      </c>
      <c r="AG16" s="231" t="s">
        <v>17</v>
      </c>
      <c r="AH16" s="128" t="s">
        <v>17</v>
      </c>
      <c r="AI16" s="128" t="s">
        <v>17</v>
      </c>
      <c r="AJ16" s="231" t="s">
        <v>17</v>
      </c>
      <c r="AK16" s="128" t="s">
        <v>17</v>
      </c>
      <c r="AL16" s="128" t="s">
        <v>17</v>
      </c>
      <c r="AM16" s="231" t="s">
        <v>17</v>
      </c>
      <c r="AN16" s="128" t="s">
        <v>17</v>
      </c>
      <c r="AO16" s="128" t="s">
        <v>17</v>
      </c>
      <c r="AP16" s="231" t="s">
        <v>17</v>
      </c>
      <c r="AQ16" s="128" t="s">
        <v>17</v>
      </c>
      <c r="AR16" s="128" t="s">
        <v>17</v>
      </c>
      <c r="AS16" s="231" t="s">
        <v>17</v>
      </c>
      <c r="AT16" s="128" t="s">
        <v>17</v>
      </c>
      <c r="AU16" s="128" t="s">
        <v>17</v>
      </c>
      <c r="AV16" s="231" t="s">
        <v>17</v>
      </c>
    </row>
    <row r="17" spans="1:22" ht="14.95" customHeight="1" thickBot="1" x14ac:dyDescent="0.3">
      <c r="A17" s="331" t="s">
        <v>1410</v>
      </c>
      <c r="B17" s="464">
        <v>0</v>
      </c>
      <c r="C17" s="271">
        <v>0</v>
      </c>
      <c r="D17" s="333">
        <f t="shared" si="0"/>
        <v>0</v>
      </c>
      <c r="E17" s="52" t="s">
        <v>1410</v>
      </c>
      <c r="F17" s="466">
        <v>0</v>
      </c>
      <c r="G17" s="1">
        <v>0</v>
      </c>
      <c r="H17" s="338">
        <f t="shared" si="2"/>
        <v>0</v>
      </c>
    </row>
    <row r="18" spans="1:22" ht="14.95" customHeight="1" thickBot="1" x14ac:dyDescent="0.3">
      <c r="A18" s="331" t="s">
        <v>1114</v>
      </c>
      <c r="B18" s="464">
        <v>0</v>
      </c>
      <c r="C18" s="271">
        <v>0</v>
      </c>
      <c r="D18" s="333">
        <f t="shared" si="0"/>
        <v>0</v>
      </c>
      <c r="E18" s="52" t="s">
        <v>1114</v>
      </c>
      <c r="F18" s="466">
        <v>0</v>
      </c>
      <c r="G18" s="1">
        <v>0</v>
      </c>
      <c r="H18" s="338">
        <f t="shared" si="2"/>
        <v>0</v>
      </c>
      <c r="I18" s="577" t="s">
        <v>33</v>
      </c>
      <c r="J18" s="568">
        <v>2023</v>
      </c>
      <c r="K18" s="569"/>
      <c r="L18" s="570"/>
      <c r="M18" s="557">
        <v>2019</v>
      </c>
      <c r="N18" s="563"/>
      <c r="O18" s="564"/>
      <c r="P18" s="557">
        <v>2015</v>
      </c>
      <c r="Q18" s="563"/>
      <c r="R18" s="564"/>
      <c r="S18" s="616"/>
      <c r="T18" s="15"/>
      <c r="U18" s="15"/>
      <c r="V18" s="15"/>
    </row>
    <row r="19" spans="1:22" ht="14.95" customHeight="1" thickBot="1" x14ac:dyDescent="0.3">
      <c r="A19" s="331" t="s">
        <v>1186</v>
      </c>
      <c r="B19" s="464">
        <v>0</v>
      </c>
      <c r="C19" s="271">
        <v>0</v>
      </c>
      <c r="D19" s="333">
        <f t="shared" si="0"/>
        <v>0</v>
      </c>
      <c r="E19" s="52" t="s">
        <v>1186</v>
      </c>
      <c r="F19" s="466">
        <v>0</v>
      </c>
      <c r="G19" s="1">
        <v>0</v>
      </c>
      <c r="H19" s="338">
        <f t="shared" si="2"/>
        <v>0</v>
      </c>
      <c r="I19" s="578"/>
      <c r="J19" s="571"/>
      <c r="K19" s="572"/>
      <c r="L19" s="573"/>
      <c r="M19" s="565"/>
      <c r="N19" s="566"/>
      <c r="O19" s="567"/>
      <c r="P19" s="565"/>
      <c r="Q19" s="566"/>
      <c r="R19" s="567"/>
      <c r="S19" s="616"/>
    </row>
    <row r="20" spans="1:22" ht="15.8" customHeight="1" thickBot="1" x14ac:dyDescent="0.3">
      <c r="A20" s="331" t="s">
        <v>682</v>
      </c>
      <c r="B20" s="464">
        <v>0</v>
      </c>
      <c r="C20" s="271">
        <v>0</v>
      </c>
      <c r="D20" s="333">
        <f t="shared" si="0"/>
        <v>0</v>
      </c>
      <c r="E20" s="52" t="s">
        <v>682</v>
      </c>
      <c r="F20" s="466">
        <v>0</v>
      </c>
      <c r="G20" s="1">
        <v>0</v>
      </c>
      <c r="H20" s="338">
        <f t="shared" si="2"/>
        <v>0</v>
      </c>
      <c r="I20" s="4" t="s">
        <v>20</v>
      </c>
      <c r="J20" s="228" t="s">
        <v>152</v>
      </c>
      <c r="K20" s="128" t="s">
        <v>12</v>
      </c>
      <c r="L20" s="128" t="s">
        <v>13</v>
      </c>
      <c r="M20" s="171" t="s">
        <v>152</v>
      </c>
      <c r="N20" s="119" t="s">
        <v>12</v>
      </c>
      <c r="O20" s="119" t="s">
        <v>13</v>
      </c>
      <c r="P20" s="171" t="s">
        <v>152</v>
      </c>
      <c r="Q20" s="119" t="s">
        <v>12</v>
      </c>
      <c r="R20" s="119" t="s">
        <v>13</v>
      </c>
      <c r="S20" s="18"/>
    </row>
    <row r="21" spans="1:22" ht="15.8" customHeight="1" thickBot="1" x14ac:dyDescent="0.3">
      <c r="A21" s="331" t="s">
        <v>389</v>
      </c>
      <c r="B21" s="464">
        <v>0</v>
      </c>
      <c r="C21" s="271">
        <v>0</v>
      </c>
      <c r="D21" s="333">
        <f t="shared" si="0"/>
        <v>0</v>
      </c>
      <c r="E21" s="52" t="s">
        <v>389</v>
      </c>
      <c r="F21" s="466">
        <v>0</v>
      </c>
      <c r="G21" s="1">
        <v>0</v>
      </c>
      <c r="H21" s="338">
        <f t="shared" si="2"/>
        <v>0</v>
      </c>
      <c r="I21" s="335" t="s">
        <v>124</v>
      </c>
      <c r="J21" s="128">
        <v>21</v>
      </c>
      <c r="K21" s="128">
        <v>26</v>
      </c>
      <c r="L21" s="231">
        <f>SUM(J21/K21)*100</f>
        <v>80.769230769230774</v>
      </c>
      <c r="M21" s="128">
        <v>1</v>
      </c>
      <c r="N21" s="128">
        <v>2</v>
      </c>
      <c r="O21" s="231">
        <f>SUM(M21/N21)*100</f>
        <v>50</v>
      </c>
      <c r="P21" s="128" t="s">
        <v>17</v>
      </c>
      <c r="Q21" s="128" t="s">
        <v>17</v>
      </c>
      <c r="R21" s="128" t="s">
        <v>17</v>
      </c>
      <c r="S21" s="18"/>
    </row>
    <row r="22" spans="1:22" ht="14.95" customHeight="1" thickBot="1" x14ac:dyDescent="0.3">
      <c r="A22" s="331" t="s">
        <v>1416</v>
      </c>
      <c r="B22" s="464">
        <v>0</v>
      </c>
      <c r="C22" s="271">
        <v>0</v>
      </c>
      <c r="D22" s="333">
        <f t="shared" si="0"/>
        <v>0</v>
      </c>
      <c r="E22" s="52" t="s">
        <v>1416</v>
      </c>
      <c r="F22" s="466">
        <v>0</v>
      </c>
      <c r="G22" s="1">
        <v>0</v>
      </c>
      <c r="H22" s="338">
        <f t="shared" si="2"/>
        <v>0</v>
      </c>
      <c r="I22" s="331" t="s">
        <v>513</v>
      </c>
      <c r="J22" s="128">
        <v>2</v>
      </c>
      <c r="K22" s="128">
        <v>2</v>
      </c>
      <c r="L22" s="231">
        <f>SUM(J22/K22)*100</f>
        <v>100</v>
      </c>
      <c r="M22" s="128" t="s">
        <v>17</v>
      </c>
      <c r="N22" s="128" t="s">
        <v>17</v>
      </c>
      <c r="O22" s="231" t="s">
        <v>17</v>
      </c>
      <c r="P22" s="128" t="s">
        <v>17</v>
      </c>
      <c r="Q22" s="128" t="s">
        <v>17</v>
      </c>
      <c r="R22" s="231" t="s">
        <v>17</v>
      </c>
      <c r="S22" s="18"/>
    </row>
    <row r="23" spans="1:22" ht="14.95" thickBot="1" x14ac:dyDescent="0.3">
      <c r="A23" s="331" t="s">
        <v>319</v>
      </c>
      <c r="B23" s="464">
        <v>0</v>
      </c>
      <c r="C23" s="271">
        <v>0</v>
      </c>
      <c r="D23" s="333">
        <f t="shared" si="0"/>
        <v>0</v>
      </c>
      <c r="E23" s="52" t="s">
        <v>319</v>
      </c>
      <c r="F23" s="466">
        <v>0</v>
      </c>
      <c r="G23" s="1">
        <v>0</v>
      </c>
      <c r="H23" s="338">
        <f t="shared" si="2"/>
        <v>0</v>
      </c>
      <c r="I23" s="331" t="s">
        <v>99</v>
      </c>
      <c r="J23" s="128" t="s">
        <v>17</v>
      </c>
      <c r="K23" s="128" t="s">
        <v>17</v>
      </c>
      <c r="L23" s="128" t="s">
        <v>17</v>
      </c>
      <c r="M23" s="128" t="s">
        <v>17</v>
      </c>
      <c r="N23" s="128" t="s">
        <v>17</v>
      </c>
      <c r="O23" s="128" t="s">
        <v>17</v>
      </c>
      <c r="P23" s="228">
        <v>5</v>
      </c>
      <c r="Q23" s="128">
        <v>7</v>
      </c>
      <c r="R23" s="231">
        <f>SUM(P23/Q23)*100</f>
        <v>71.428571428571431</v>
      </c>
      <c r="S23" s="41"/>
    </row>
    <row r="24" spans="1:22" ht="14.95" thickBot="1" x14ac:dyDescent="0.3">
      <c r="A24" s="331" t="s">
        <v>690</v>
      </c>
      <c r="B24" s="464">
        <v>0</v>
      </c>
      <c r="C24" s="271">
        <v>0</v>
      </c>
      <c r="D24" s="333">
        <f t="shared" si="0"/>
        <v>0</v>
      </c>
      <c r="E24" s="52" t="s">
        <v>690</v>
      </c>
      <c r="F24" s="466">
        <v>0</v>
      </c>
      <c r="G24" s="1">
        <v>0</v>
      </c>
      <c r="H24" s="338">
        <f t="shared" si="2"/>
        <v>0</v>
      </c>
      <c r="I24" s="331" t="s">
        <v>50</v>
      </c>
      <c r="J24" s="128">
        <v>12</v>
      </c>
      <c r="K24" s="128">
        <v>13</v>
      </c>
      <c r="L24" s="231">
        <f>SUM(J24/K24)*100</f>
        <v>92.307692307692307</v>
      </c>
      <c r="M24" s="228">
        <v>7</v>
      </c>
      <c r="N24" s="128">
        <v>11</v>
      </c>
      <c r="O24" s="231">
        <f>SUM(M24/N24)*100</f>
        <v>63.636363636363633</v>
      </c>
      <c r="P24" s="228">
        <v>33</v>
      </c>
      <c r="Q24" s="128">
        <v>37</v>
      </c>
      <c r="R24" s="231">
        <f>SUM(P24/Q24)*100</f>
        <v>89.189189189189193</v>
      </c>
      <c r="S24" s="41"/>
    </row>
    <row r="25" spans="1:22" ht="14.95" customHeight="1" thickBot="1" x14ac:dyDescent="0.3">
      <c r="A25" s="331" t="s">
        <v>160</v>
      </c>
      <c r="B25" s="464">
        <v>0</v>
      </c>
      <c r="C25" s="271">
        <v>0</v>
      </c>
      <c r="D25" s="333">
        <f t="shared" si="0"/>
        <v>0</v>
      </c>
      <c r="E25" s="52" t="s">
        <v>160</v>
      </c>
      <c r="F25" s="466">
        <v>0</v>
      </c>
      <c r="G25" s="1">
        <v>0</v>
      </c>
      <c r="H25" s="338">
        <f t="shared" si="2"/>
        <v>0</v>
      </c>
      <c r="I25" s="331" t="s">
        <v>25</v>
      </c>
      <c r="J25" s="128" t="s">
        <v>17</v>
      </c>
      <c r="K25" s="128" t="s">
        <v>17</v>
      </c>
      <c r="L25" s="128" t="s">
        <v>17</v>
      </c>
      <c r="M25" s="128" t="s">
        <v>17</v>
      </c>
      <c r="N25" s="128" t="s">
        <v>17</v>
      </c>
      <c r="O25" s="128" t="s">
        <v>17</v>
      </c>
      <c r="P25" s="228">
        <v>4</v>
      </c>
      <c r="Q25" s="128">
        <v>4</v>
      </c>
      <c r="R25" s="231">
        <f>SUM(P25/Q25)*100</f>
        <v>100</v>
      </c>
      <c r="S25" s="41"/>
    </row>
    <row r="26" spans="1:22" ht="14.95" customHeight="1" thickBot="1" x14ac:dyDescent="0.3">
      <c r="A26" s="331" t="s">
        <v>49</v>
      </c>
      <c r="B26" s="464">
        <v>0</v>
      </c>
      <c r="C26" s="271">
        <v>0</v>
      </c>
      <c r="D26" s="333">
        <f t="shared" si="0"/>
        <v>0</v>
      </c>
      <c r="E26" s="52" t="s">
        <v>49</v>
      </c>
      <c r="F26" s="466">
        <v>0</v>
      </c>
      <c r="G26" s="1">
        <v>0</v>
      </c>
      <c r="H26" s="338">
        <f t="shared" si="2"/>
        <v>0</v>
      </c>
      <c r="I26" s="331" t="s">
        <v>326</v>
      </c>
      <c r="J26" s="128" t="s">
        <v>17</v>
      </c>
      <c r="K26" s="128" t="s">
        <v>17</v>
      </c>
      <c r="L26" s="128" t="s">
        <v>17</v>
      </c>
      <c r="M26" s="128">
        <v>8</v>
      </c>
      <c r="N26" s="128">
        <v>8</v>
      </c>
      <c r="O26" s="231">
        <f>SUM(M26/N26)*100</f>
        <v>100</v>
      </c>
      <c r="P26" s="128" t="s">
        <v>17</v>
      </c>
      <c r="Q26" s="128" t="s">
        <v>17</v>
      </c>
      <c r="R26" s="128" t="s">
        <v>17</v>
      </c>
      <c r="S26" s="41"/>
    </row>
    <row r="27" spans="1:22" ht="14.95" thickBot="1" x14ac:dyDescent="0.3">
      <c r="A27" s="331" t="s">
        <v>339</v>
      </c>
      <c r="B27" s="464">
        <v>0</v>
      </c>
      <c r="C27" s="271">
        <v>0</v>
      </c>
      <c r="D27" s="333">
        <f t="shared" si="0"/>
        <v>0</v>
      </c>
      <c r="E27" s="52" t="s">
        <v>339</v>
      </c>
      <c r="F27" s="466">
        <v>0</v>
      </c>
      <c r="G27" s="1">
        <v>0</v>
      </c>
      <c r="H27" s="338">
        <f t="shared" si="2"/>
        <v>0</v>
      </c>
    </row>
    <row r="28" spans="1:22" ht="14.95" thickBot="1" x14ac:dyDescent="0.3">
      <c r="A28" s="331" t="s">
        <v>23</v>
      </c>
      <c r="B28" s="464">
        <v>0</v>
      </c>
      <c r="C28" s="271">
        <v>0</v>
      </c>
      <c r="D28" s="333">
        <f t="shared" si="0"/>
        <v>0</v>
      </c>
      <c r="E28" s="52" t="s">
        <v>23</v>
      </c>
      <c r="F28" s="466">
        <v>0</v>
      </c>
      <c r="G28" s="1">
        <v>0</v>
      </c>
      <c r="H28" s="338">
        <f t="shared" si="2"/>
        <v>0</v>
      </c>
    </row>
    <row r="29" spans="1:22" ht="14.95" thickBot="1" x14ac:dyDescent="0.3">
      <c r="A29" s="331" t="s">
        <v>1029</v>
      </c>
      <c r="B29" s="464">
        <v>0</v>
      </c>
      <c r="C29" s="271">
        <v>0</v>
      </c>
      <c r="D29" s="333">
        <f t="shared" si="0"/>
        <v>0</v>
      </c>
      <c r="E29" s="52" t="s">
        <v>1029</v>
      </c>
      <c r="F29" s="466">
        <v>0</v>
      </c>
      <c r="G29" s="1">
        <v>0</v>
      </c>
      <c r="H29" s="338">
        <f t="shared" si="2"/>
        <v>0</v>
      </c>
    </row>
    <row r="30" spans="1:22" ht="14.95" thickBot="1" x14ac:dyDescent="0.3">
      <c r="A30" s="331" t="s">
        <v>1056</v>
      </c>
      <c r="B30" s="464">
        <v>0</v>
      </c>
      <c r="C30" s="271">
        <v>0</v>
      </c>
      <c r="D30" s="333">
        <f t="shared" si="0"/>
        <v>0</v>
      </c>
      <c r="E30" s="52" t="s">
        <v>1056</v>
      </c>
      <c r="F30" s="466">
        <v>0</v>
      </c>
      <c r="G30" s="1">
        <v>0</v>
      </c>
      <c r="H30" s="338">
        <f t="shared" si="2"/>
        <v>0</v>
      </c>
    </row>
    <row r="31" spans="1:22" ht="14.95" thickBot="1" x14ac:dyDescent="0.3">
      <c r="A31" s="331" t="s">
        <v>222</v>
      </c>
      <c r="B31" s="464">
        <v>0</v>
      </c>
      <c r="C31" s="271">
        <v>0</v>
      </c>
      <c r="D31" s="333">
        <f t="shared" si="0"/>
        <v>0</v>
      </c>
      <c r="E31" s="52" t="s">
        <v>222</v>
      </c>
      <c r="F31" s="466">
        <v>0</v>
      </c>
      <c r="G31" s="1">
        <v>0</v>
      </c>
      <c r="H31" s="338">
        <f t="shared" si="2"/>
        <v>0</v>
      </c>
    </row>
    <row r="32" spans="1:22" ht="14.95" thickBot="1" x14ac:dyDescent="0.3">
      <c r="A32" s="331" t="s">
        <v>1031</v>
      </c>
      <c r="B32" s="464">
        <v>0</v>
      </c>
      <c r="C32" s="271">
        <v>0</v>
      </c>
      <c r="D32" s="333">
        <f t="shared" si="0"/>
        <v>0</v>
      </c>
      <c r="E32" s="52" t="s">
        <v>1031</v>
      </c>
      <c r="F32" s="466">
        <v>0</v>
      </c>
      <c r="G32" s="1">
        <v>0</v>
      </c>
      <c r="H32" s="338">
        <f t="shared" si="2"/>
        <v>0</v>
      </c>
    </row>
    <row r="33" spans="1:8" ht="14.95" thickBot="1" x14ac:dyDescent="0.3">
      <c r="A33" s="331" t="s">
        <v>1303</v>
      </c>
      <c r="B33" s="464">
        <v>0</v>
      </c>
      <c r="C33" s="271">
        <v>0</v>
      </c>
      <c r="D33" s="333">
        <f t="shared" si="0"/>
        <v>0</v>
      </c>
      <c r="E33" s="52" t="s">
        <v>1303</v>
      </c>
      <c r="F33" s="466">
        <v>0</v>
      </c>
      <c r="G33" s="1">
        <v>0</v>
      </c>
      <c r="H33" s="338">
        <f t="shared" si="2"/>
        <v>0</v>
      </c>
    </row>
    <row r="34" spans="1:8" ht="14.95" thickBot="1" x14ac:dyDescent="0.3">
      <c r="A34" s="331" t="s">
        <v>1305</v>
      </c>
      <c r="B34" s="464">
        <v>0</v>
      </c>
      <c r="C34" s="271">
        <v>0</v>
      </c>
      <c r="D34" s="333">
        <f t="shared" si="0"/>
        <v>0</v>
      </c>
      <c r="E34" s="52" t="s">
        <v>1305</v>
      </c>
      <c r="F34" s="466">
        <v>0</v>
      </c>
      <c r="G34" s="1">
        <v>0</v>
      </c>
      <c r="H34" s="338">
        <f t="shared" si="2"/>
        <v>0</v>
      </c>
    </row>
    <row r="35" spans="1:8" ht="14.95" thickBot="1" x14ac:dyDescent="0.3">
      <c r="A35" s="331" t="s">
        <v>1033</v>
      </c>
      <c r="B35" s="464">
        <v>0</v>
      </c>
      <c r="C35" s="271">
        <v>0</v>
      </c>
      <c r="D35" s="333">
        <f t="shared" si="0"/>
        <v>0</v>
      </c>
      <c r="E35" s="52" t="s">
        <v>1033</v>
      </c>
      <c r="F35" s="466">
        <v>0</v>
      </c>
      <c r="G35" s="1">
        <v>0</v>
      </c>
      <c r="H35" s="338">
        <f t="shared" si="2"/>
        <v>0</v>
      </c>
    </row>
    <row r="36" spans="1:8" ht="14.95" thickBot="1" x14ac:dyDescent="0.3">
      <c r="A36" s="331" t="s">
        <v>4</v>
      </c>
      <c r="B36" s="464">
        <v>0</v>
      </c>
      <c r="C36" s="271">
        <v>0</v>
      </c>
      <c r="D36" s="333">
        <f t="shared" si="0"/>
        <v>0</v>
      </c>
      <c r="E36" s="52" t="s">
        <v>4</v>
      </c>
      <c r="F36" s="466">
        <v>0</v>
      </c>
      <c r="G36" s="1">
        <v>0</v>
      </c>
      <c r="H36" s="338">
        <f t="shared" si="2"/>
        <v>0</v>
      </c>
    </row>
    <row r="37" spans="1:8" ht="14.95" thickBot="1" x14ac:dyDescent="0.3">
      <c r="A37" s="331" t="s">
        <v>685</v>
      </c>
      <c r="B37" s="464">
        <v>0</v>
      </c>
      <c r="C37" s="271">
        <v>0</v>
      </c>
      <c r="D37" s="333">
        <f t="shared" si="0"/>
        <v>0</v>
      </c>
      <c r="E37" s="52" t="s">
        <v>685</v>
      </c>
      <c r="F37" s="466">
        <v>0</v>
      </c>
      <c r="G37" s="1">
        <v>0</v>
      </c>
      <c r="H37" s="338">
        <f t="shared" si="2"/>
        <v>0</v>
      </c>
    </row>
    <row r="38" spans="1:8" ht="14.95" thickBot="1" x14ac:dyDescent="0.3">
      <c r="A38" s="331" t="s">
        <v>1304</v>
      </c>
      <c r="B38" s="464">
        <v>0</v>
      </c>
      <c r="C38" s="271">
        <v>0</v>
      </c>
      <c r="D38" s="333">
        <f t="shared" si="0"/>
        <v>0</v>
      </c>
      <c r="E38" s="52" t="s">
        <v>1304</v>
      </c>
      <c r="F38" s="466">
        <v>0</v>
      </c>
      <c r="G38" s="1">
        <v>0</v>
      </c>
      <c r="H38" s="338">
        <f t="shared" si="2"/>
        <v>0</v>
      </c>
    </row>
    <row r="39" spans="1:8" ht="14.95" thickBot="1" x14ac:dyDescent="0.3">
      <c r="A39" s="331" t="s">
        <v>1412</v>
      </c>
      <c r="B39" s="464">
        <v>0</v>
      </c>
      <c r="C39" s="271">
        <v>0</v>
      </c>
      <c r="D39" s="333">
        <f t="shared" si="0"/>
        <v>0</v>
      </c>
      <c r="E39" s="52" t="s">
        <v>1412</v>
      </c>
      <c r="F39" s="466">
        <v>0</v>
      </c>
      <c r="G39" s="1">
        <v>0</v>
      </c>
      <c r="H39" s="338">
        <f t="shared" si="2"/>
        <v>0</v>
      </c>
    </row>
    <row r="40" spans="1:8" ht="14.95" thickBot="1" x14ac:dyDescent="0.3">
      <c r="A40" s="331" t="s">
        <v>1307</v>
      </c>
      <c r="B40" s="464">
        <v>0</v>
      </c>
      <c r="C40" s="271">
        <v>0</v>
      </c>
      <c r="D40" s="333">
        <f t="shared" si="0"/>
        <v>0</v>
      </c>
      <c r="E40" s="52" t="s">
        <v>1307</v>
      </c>
      <c r="F40" s="466">
        <v>0</v>
      </c>
      <c r="G40" s="1">
        <v>0</v>
      </c>
      <c r="H40" s="338">
        <f t="shared" si="2"/>
        <v>0</v>
      </c>
    </row>
    <row r="41" spans="1:8" ht="14.95" thickBot="1" x14ac:dyDescent="0.3">
      <c r="A41" s="331" t="s">
        <v>686</v>
      </c>
      <c r="B41" s="464">
        <v>0</v>
      </c>
      <c r="C41" s="271">
        <v>0</v>
      </c>
      <c r="D41" s="333">
        <f t="shared" si="0"/>
        <v>0</v>
      </c>
      <c r="E41" s="52" t="s">
        <v>686</v>
      </c>
      <c r="F41" s="466">
        <v>0</v>
      </c>
      <c r="G41" s="1">
        <v>0</v>
      </c>
      <c r="H41" s="338">
        <f t="shared" si="2"/>
        <v>0</v>
      </c>
    </row>
    <row r="42" spans="1:8" ht="14.95" thickBot="1" x14ac:dyDescent="0.3">
      <c r="A42" s="331" t="s">
        <v>577</v>
      </c>
      <c r="B42" s="464">
        <v>0</v>
      </c>
      <c r="C42" s="271">
        <v>0</v>
      </c>
      <c r="D42" s="333">
        <f t="shared" si="0"/>
        <v>0</v>
      </c>
      <c r="E42" s="52" t="s">
        <v>577</v>
      </c>
      <c r="F42" s="466">
        <v>0</v>
      </c>
      <c r="G42" s="1">
        <v>0</v>
      </c>
      <c r="H42" s="338">
        <f t="shared" si="2"/>
        <v>0</v>
      </c>
    </row>
    <row r="43" spans="1:8" ht="14.95" thickBot="1" x14ac:dyDescent="0.3">
      <c r="A43" s="331" t="s">
        <v>50</v>
      </c>
      <c r="B43" s="464">
        <v>0</v>
      </c>
      <c r="C43" s="271">
        <v>0</v>
      </c>
      <c r="D43" s="333">
        <f t="shared" si="0"/>
        <v>0</v>
      </c>
      <c r="E43" s="52" t="s">
        <v>50</v>
      </c>
      <c r="F43" s="466">
        <v>0</v>
      </c>
      <c r="G43" s="1">
        <v>0</v>
      </c>
      <c r="H43" s="338">
        <f t="shared" si="2"/>
        <v>0</v>
      </c>
    </row>
    <row r="44" spans="1:8" ht="14.95" thickBot="1" x14ac:dyDescent="0.3">
      <c r="A44" s="331" t="s">
        <v>683</v>
      </c>
      <c r="B44" s="464">
        <v>0</v>
      </c>
      <c r="C44" s="271">
        <v>0</v>
      </c>
      <c r="D44" s="333">
        <f t="shared" si="0"/>
        <v>0</v>
      </c>
      <c r="E44" s="52" t="s">
        <v>683</v>
      </c>
      <c r="F44" s="466">
        <v>0</v>
      </c>
      <c r="G44" s="1">
        <v>0</v>
      </c>
      <c r="H44" s="338">
        <f t="shared" si="2"/>
        <v>0</v>
      </c>
    </row>
    <row r="45" spans="1:8" ht="14.95" thickBot="1" x14ac:dyDescent="0.3">
      <c r="A45" s="331" t="s">
        <v>626</v>
      </c>
      <c r="B45" s="464">
        <v>0</v>
      </c>
      <c r="C45" s="271">
        <v>0</v>
      </c>
      <c r="D45" s="333">
        <f t="shared" si="0"/>
        <v>0</v>
      </c>
      <c r="E45" s="52" t="s">
        <v>626</v>
      </c>
      <c r="F45" s="466">
        <v>0</v>
      </c>
      <c r="G45" s="1">
        <v>0</v>
      </c>
      <c r="H45" s="338">
        <f t="shared" si="2"/>
        <v>0</v>
      </c>
    </row>
    <row r="46" spans="1:8" ht="14.95" thickBot="1" x14ac:dyDescent="0.3">
      <c r="A46" s="331" t="s">
        <v>521</v>
      </c>
      <c r="B46" s="464">
        <v>0</v>
      </c>
      <c r="C46" s="271">
        <v>0</v>
      </c>
      <c r="D46" s="333">
        <f t="shared" si="0"/>
        <v>0</v>
      </c>
      <c r="E46" s="52" t="s">
        <v>521</v>
      </c>
      <c r="F46" s="466">
        <v>0</v>
      </c>
      <c r="G46" s="1">
        <v>0</v>
      </c>
      <c r="H46" s="338">
        <f t="shared" si="2"/>
        <v>0</v>
      </c>
    </row>
    <row r="47" spans="1:8" ht="14.95" thickBot="1" x14ac:dyDescent="0.3">
      <c r="A47" s="331" t="s">
        <v>3</v>
      </c>
      <c r="B47" s="464">
        <f>SUM(B3:B46)</f>
        <v>0</v>
      </c>
      <c r="C47" s="271">
        <f>SUM(C3:C46)</f>
        <v>0</v>
      </c>
      <c r="D47" s="333">
        <f>SUM(D3:D46)</f>
        <v>0</v>
      </c>
      <c r="E47" s="339" t="s">
        <v>3</v>
      </c>
      <c r="F47" s="466">
        <f>SUM(F3:F46)</f>
        <v>0</v>
      </c>
      <c r="G47" s="1">
        <f>SUM(G3:G46)</f>
        <v>0</v>
      </c>
      <c r="H47" s="338">
        <f>SUM(H3:H46)</f>
        <v>0</v>
      </c>
    </row>
    <row r="48" spans="1:8" x14ac:dyDescent="0.25">
      <c r="B48" s="22"/>
      <c r="C48" s="22"/>
      <c r="E48" s="11"/>
      <c r="F48" s="23"/>
      <c r="G48" s="22"/>
    </row>
    <row r="49" spans="1:8" x14ac:dyDescent="0.25">
      <c r="A49" t="s">
        <v>15</v>
      </c>
      <c r="B49" s="22"/>
      <c r="C49" s="22"/>
      <c r="E49" s="9"/>
      <c r="F49" s="5"/>
      <c r="G49" s="5"/>
      <c r="H49" s="9"/>
    </row>
    <row r="50" spans="1:8" ht="16.3" x14ac:dyDescent="0.3">
      <c r="A50" s="487" t="s">
        <v>28</v>
      </c>
    </row>
  </sheetData>
  <mergeCells count="34">
    <mergeCell ref="AT10:AV11"/>
    <mergeCell ref="AH1:AJ2"/>
    <mergeCell ref="AE1:AG2"/>
    <mergeCell ref="AB1:AD2"/>
    <mergeCell ref="Y10:AA11"/>
    <mergeCell ref="Y1:AA2"/>
    <mergeCell ref="AT1:AV2"/>
    <mergeCell ref="I18:I19"/>
    <mergeCell ref="J18:L19"/>
    <mergeCell ref="I10:I11"/>
    <mergeCell ref="AN10:AP11"/>
    <mergeCell ref="M18:O19"/>
    <mergeCell ref="S10:U11"/>
    <mergeCell ref="P10:R11"/>
    <mergeCell ref="V10:V11"/>
    <mergeCell ref="AK10:AM11"/>
    <mergeCell ref="AE10:AG11"/>
    <mergeCell ref="P18:R19"/>
    <mergeCell ref="S18:S19"/>
    <mergeCell ref="AB10:AD11"/>
    <mergeCell ref="AH10:AJ11"/>
    <mergeCell ref="P1:P2"/>
    <mergeCell ref="AQ10:AS11"/>
    <mergeCell ref="A1:H1"/>
    <mergeCell ref="I1:I2"/>
    <mergeCell ref="J1:L2"/>
    <mergeCell ref="M1:O2"/>
    <mergeCell ref="J10:L11"/>
    <mergeCell ref="M10:O11"/>
    <mergeCell ref="AQ1:AS2"/>
    <mergeCell ref="AN1:AP2"/>
    <mergeCell ref="Q1:S2"/>
    <mergeCell ref="T1:V2"/>
    <mergeCell ref="AK1:AM2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V57"/>
  <sheetViews>
    <sheetView workbookViewId="0">
      <selection activeCell="O60" sqref="O60"/>
    </sheetView>
  </sheetViews>
  <sheetFormatPr defaultRowHeight="14.3" x14ac:dyDescent="0.25"/>
  <cols>
    <col min="1" max="1" width="16.5" customWidth="1"/>
    <col min="2" max="4" width="4.5" customWidth="1"/>
    <col min="5" max="5" width="16.5" customWidth="1"/>
    <col min="6" max="8" width="4.5" customWidth="1"/>
    <col min="9" max="9" width="15.5" customWidth="1"/>
    <col min="10" max="12" width="5.625" customWidth="1"/>
    <col min="13" max="22" width="5.5" customWidth="1"/>
    <col min="23" max="48" width="5.625" customWidth="1"/>
  </cols>
  <sheetData>
    <row r="1" spans="1:48" ht="14.95" customHeight="1" thickBot="1" x14ac:dyDescent="0.3">
      <c r="A1" s="494" t="s">
        <v>1453</v>
      </c>
      <c r="B1" s="166"/>
      <c r="C1" s="166"/>
      <c r="D1" s="166"/>
      <c r="E1" s="166"/>
      <c r="F1" s="166"/>
      <c r="G1" s="166"/>
      <c r="H1" s="167"/>
      <c r="I1" s="623" t="s">
        <v>112</v>
      </c>
      <c r="J1" s="583">
        <v>2026</v>
      </c>
      <c r="K1" s="584"/>
      <c r="L1" s="585"/>
      <c r="M1" s="583" t="s">
        <v>32</v>
      </c>
      <c r="N1" s="584"/>
      <c r="O1" s="585"/>
      <c r="P1" s="579" t="s">
        <v>121</v>
      </c>
      <c r="Q1" s="568">
        <v>2025</v>
      </c>
      <c r="R1" s="569"/>
      <c r="S1" s="570"/>
      <c r="T1" s="568">
        <v>2024</v>
      </c>
      <c r="U1" s="569"/>
      <c r="V1" s="570"/>
      <c r="W1" s="81"/>
      <c r="X1" s="81"/>
      <c r="Y1" s="568">
        <v>2023</v>
      </c>
      <c r="Z1" s="569"/>
      <c r="AA1" s="570"/>
      <c r="AB1" s="568">
        <v>2022</v>
      </c>
      <c r="AC1" s="569"/>
      <c r="AD1" s="570"/>
      <c r="AE1" s="568">
        <v>2021</v>
      </c>
      <c r="AF1" s="569"/>
      <c r="AG1" s="570"/>
      <c r="AH1" s="557">
        <v>2020</v>
      </c>
      <c r="AI1" s="563"/>
      <c r="AJ1" s="564"/>
      <c r="AK1" s="557">
        <v>2019</v>
      </c>
      <c r="AL1" s="563"/>
      <c r="AM1" s="564"/>
      <c r="AN1" s="557">
        <v>2018</v>
      </c>
      <c r="AO1" s="563"/>
      <c r="AP1" s="564"/>
      <c r="AQ1" s="557">
        <v>2017</v>
      </c>
      <c r="AR1" s="563"/>
      <c r="AS1" s="564"/>
      <c r="AT1" s="557">
        <v>2016</v>
      </c>
      <c r="AU1" s="563"/>
      <c r="AV1" s="564"/>
    </row>
    <row r="2" spans="1:48" ht="14.95" customHeight="1" thickBot="1" x14ac:dyDescent="0.3">
      <c r="A2" s="495" t="s">
        <v>0</v>
      </c>
      <c r="B2" s="450" t="s">
        <v>1354</v>
      </c>
      <c r="C2" s="168" t="s">
        <v>31</v>
      </c>
      <c r="D2" s="500" t="s">
        <v>1</v>
      </c>
      <c r="E2" s="497" t="s">
        <v>2</v>
      </c>
      <c r="F2" s="452" t="s">
        <v>1354</v>
      </c>
      <c r="G2" s="169" t="s">
        <v>31</v>
      </c>
      <c r="H2" s="502" t="s">
        <v>1</v>
      </c>
      <c r="I2" s="624"/>
      <c r="J2" s="586"/>
      <c r="K2" s="587"/>
      <c r="L2" s="588"/>
      <c r="M2" s="586"/>
      <c r="N2" s="587"/>
      <c r="O2" s="588"/>
      <c r="P2" s="580"/>
      <c r="Q2" s="571"/>
      <c r="R2" s="572"/>
      <c r="S2" s="573"/>
      <c r="T2" s="571"/>
      <c r="U2" s="572"/>
      <c r="V2" s="573"/>
      <c r="W2" s="81"/>
      <c r="X2" s="81"/>
      <c r="Y2" s="571"/>
      <c r="Z2" s="572"/>
      <c r="AA2" s="573"/>
      <c r="AB2" s="571"/>
      <c r="AC2" s="572"/>
      <c r="AD2" s="573"/>
      <c r="AE2" s="571"/>
      <c r="AF2" s="572"/>
      <c r="AG2" s="573"/>
      <c r="AH2" s="565"/>
      <c r="AI2" s="566"/>
      <c r="AJ2" s="567"/>
      <c r="AK2" s="565"/>
      <c r="AL2" s="566"/>
      <c r="AM2" s="567"/>
      <c r="AN2" s="565"/>
      <c r="AO2" s="566"/>
      <c r="AP2" s="567"/>
      <c r="AQ2" s="565"/>
      <c r="AR2" s="566"/>
      <c r="AS2" s="567"/>
      <c r="AT2" s="565"/>
      <c r="AU2" s="566"/>
      <c r="AV2" s="567"/>
    </row>
    <row r="3" spans="1:48" ht="14.95" customHeight="1" thickBot="1" x14ac:dyDescent="0.3">
      <c r="A3" s="496" t="s">
        <v>737</v>
      </c>
      <c r="B3" s="451">
        <v>0</v>
      </c>
      <c r="C3" s="152">
        <v>0</v>
      </c>
      <c r="D3" s="501">
        <f t="shared" ref="D3:D54" si="0">SUM(B3:C3)</f>
        <v>0</v>
      </c>
      <c r="E3" s="498" t="s">
        <v>737</v>
      </c>
      <c r="F3" s="453">
        <v>0</v>
      </c>
      <c r="G3" s="170">
        <v>0</v>
      </c>
      <c r="H3" s="503">
        <f t="shared" ref="H3:H54" si="1">SUM(F3:G3)</f>
        <v>0</v>
      </c>
      <c r="I3" s="4"/>
      <c r="J3" s="53" t="s">
        <v>152</v>
      </c>
      <c r="K3" s="53" t="s">
        <v>12</v>
      </c>
      <c r="L3" s="53" t="s">
        <v>13</v>
      </c>
      <c r="M3" s="181" t="s">
        <v>152</v>
      </c>
      <c r="N3" s="53" t="s">
        <v>12</v>
      </c>
      <c r="O3" s="53" t="s">
        <v>13</v>
      </c>
      <c r="P3" s="1"/>
      <c r="Q3" s="128" t="s">
        <v>152</v>
      </c>
      <c r="R3" s="128" t="s">
        <v>12</v>
      </c>
      <c r="S3" s="128" t="s">
        <v>13</v>
      </c>
      <c r="T3" s="128" t="s">
        <v>152</v>
      </c>
      <c r="U3" s="128" t="s">
        <v>12</v>
      </c>
      <c r="V3" s="128" t="s">
        <v>13</v>
      </c>
      <c r="W3" s="121"/>
      <c r="X3" s="121"/>
      <c r="Y3" s="228" t="s">
        <v>152</v>
      </c>
      <c r="Z3" s="128" t="s">
        <v>12</v>
      </c>
      <c r="AA3" s="128" t="s">
        <v>13</v>
      </c>
      <c r="AB3" s="228" t="s">
        <v>152</v>
      </c>
      <c r="AC3" s="128" t="s">
        <v>12</v>
      </c>
      <c r="AD3" s="128" t="s">
        <v>13</v>
      </c>
      <c r="AE3" s="228" t="s">
        <v>152</v>
      </c>
      <c r="AF3" s="128" t="s">
        <v>12</v>
      </c>
      <c r="AG3" s="128" t="s">
        <v>13</v>
      </c>
      <c r="AH3" s="228" t="s">
        <v>152</v>
      </c>
      <c r="AI3" s="128" t="s">
        <v>12</v>
      </c>
      <c r="AJ3" s="128" t="s">
        <v>13</v>
      </c>
      <c r="AK3" s="232" t="s">
        <v>152</v>
      </c>
      <c r="AL3" s="128" t="s">
        <v>12</v>
      </c>
      <c r="AM3" s="128" t="s">
        <v>13</v>
      </c>
      <c r="AN3" s="232" t="s">
        <v>152</v>
      </c>
      <c r="AO3" s="128" t="s">
        <v>12</v>
      </c>
      <c r="AP3" s="128" t="s">
        <v>13</v>
      </c>
      <c r="AQ3" s="228" t="s">
        <v>152</v>
      </c>
      <c r="AR3" s="128" t="s">
        <v>12</v>
      </c>
      <c r="AS3" s="128" t="s">
        <v>13</v>
      </c>
      <c r="AT3" s="228" t="s">
        <v>152</v>
      </c>
      <c r="AU3" s="128" t="s">
        <v>12</v>
      </c>
      <c r="AV3" s="128" t="s">
        <v>13</v>
      </c>
    </row>
    <row r="4" spans="1:48" ht="14.95" customHeight="1" thickBot="1" x14ac:dyDescent="0.3">
      <c r="A4" s="496" t="s">
        <v>711</v>
      </c>
      <c r="B4" s="451">
        <v>0</v>
      </c>
      <c r="C4" s="152">
        <v>0</v>
      </c>
      <c r="D4" s="501">
        <f t="shared" si="0"/>
        <v>0</v>
      </c>
      <c r="E4" s="498" t="s">
        <v>711</v>
      </c>
      <c r="F4" s="453">
        <v>0</v>
      </c>
      <c r="G4" s="170">
        <v>0</v>
      </c>
      <c r="H4" s="503">
        <f t="shared" si="1"/>
        <v>0</v>
      </c>
      <c r="I4" s="504" t="s">
        <v>561</v>
      </c>
      <c r="J4" s="501" t="s">
        <v>17</v>
      </c>
      <c r="K4" s="501" t="s">
        <v>17</v>
      </c>
      <c r="L4" s="505" t="s">
        <v>17</v>
      </c>
      <c r="M4" s="501" t="s">
        <v>17</v>
      </c>
      <c r="N4" s="501" t="s">
        <v>17</v>
      </c>
      <c r="O4" s="505" t="s">
        <v>17</v>
      </c>
      <c r="P4" s="501">
        <v>17</v>
      </c>
      <c r="Q4" s="128">
        <v>5</v>
      </c>
      <c r="R4" s="128">
        <v>5</v>
      </c>
      <c r="S4" s="231">
        <v>100</v>
      </c>
      <c r="T4" s="128">
        <v>14</v>
      </c>
      <c r="U4" s="128">
        <v>15</v>
      </c>
      <c r="V4" s="231">
        <f>SUM(T4/U4)*100</f>
        <v>93.333333333333329</v>
      </c>
      <c r="W4" s="121"/>
      <c r="X4" s="121"/>
      <c r="Y4" s="228">
        <v>14</v>
      </c>
      <c r="Z4" s="128">
        <v>19</v>
      </c>
      <c r="AA4" s="231">
        <f>SUM(Y4/Z4)*100</f>
        <v>73.68421052631578</v>
      </c>
      <c r="AB4" s="228">
        <v>3</v>
      </c>
      <c r="AC4" s="128">
        <v>4</v>
      </c>
      <c r="AD4" s="231">
        <v>75</v>
      </c>
      <c r="AE4" s="228" t="s">
        <v>17</v>
      </c>
      <c r="AF4" s="128" t="s">
        <v>17</v>
      </c>
      <c r="AG4" s="231" t="s">
        <v>17</v>
      </c>
      <c r="AH4" s="232" t="s">
        <v>17</v>
      </c>
      <c r="AI4" s="128" t="s">
        <v>17</v>
      </c>
      <c r="AJ4" s="231" t="s">
        <v>17</v>
      </c>
      <c r="AK4" s="128" t="s">
        <v>17</v>
      </c>
      <c r="AL4" s="128" t="s">
        <v>17</v>
      </c>
      <c r="AM4" s="231" t="s">
        <v>17</v>
      </c>
      <c r="AN4" s="128" t="s">
        <v>17</v>
      </c>
      <c r="AO4" s="128" t="s">
        <v>17</v>
      </c>
      <c r="AP4" s="231" t="s">
        <v>17</v>
      </c>
      <c r="AQ4" s="128" t="s">
        <v>17</v>
      </c>
      <c r="AR4" s="128" t="s">
        <v>17</v>
      </c>
      <c r="AS4" s="231" t="s">
        <v>17</v>
      </c>
      <c r="AT4" s="128" t="s">
        <v>17</v>
      </c>
      <c r="AU4" s="128" t="s">
        <v>17</v>
      </c>
      <c r="AV4" s="231" t="s">
        <v>17</v>
      </c>
    </row>
    <row r="5" spans="1:48" ht="14.95" customHeight="1" thickBot="1" x14ac:dyDescent="0.3">
      <c r="A5" s="496" t="s">
        <v>1385</v>
      </c>
      <c r="B5" s="451">
        <v>0</v>
      </c>
      <c r="C5" s="152">
        <v>0</v>
      </c>
      <c r="D5" s="501">
        <f t="shared" si="0"/>
        <v>0</v>
      </c>
      <c r="E5" s="498" t="s">
        <v>1385</v>
      </c>
      <c r="F5" s="453">
        <v>0</v>
      </c>
      <c r="G5" s="170">
        <v>0</v>
      </c>
      <c r="H5" s="503">
        <f t="shared" si="1"/>
        <v>0</v>
      </c>
      <c r="I5" s="496" t="s">
        <v>1363</v>
      </c>
      <c r="J5" s="501" t="s">
        <v>17</v>
      </c>
      <c r="K5" s="501" t="s">
        <v>17</v>
      </c>
      <c r="L5" s="505" t="s">
        <v>17</v>
      </c>
      <c r="M5" s="501">
        <v>4</v>
      </c>
      <c r="N5" s="501">
        <v>6</v>
      </c>
      <c r="O5" s="505">
        <f>SUM(M5/N5)*100</f>
        <v>66.666666666666657</v>
      </c>
      <c r="P5" s="501">
        <v>4</v>
      </c>
      <c r="Q5" s="128">
        <v>11</v>
      </c>
      <c r="R5" s="128">
        <v>16</v>
      </c>
      <c r="S5" s="231">
        <v>68.75</v>
      </c>
      <c r="T5" s="128" t="s">
        <v>17</v>
      </c>
      <c r="U5" s="128" t="s">
        <v>17</v>
      </c>
      <c r="V5" s="231" t="s">
        <v>17</v>
      </c>
      <c r="W5" s="121"/>
      <c r="X5" s="121"/>
      <c r="Y5" s="228" t="s">
        <v>17</v>
      </c>
      <c r="Z5" s="128" t="s">
        <v>17</v>
      </c>
      <c r="AA5" s="231" t="s">
        <v>17</v>
      </c>
      <c r="AB5" s="228" t="s">
        <v>17</v>
      </c>
      <c r="AC5" s="128" t="s">
        <v>17</v>
      </c>
      <c r="AD5" s="231" t="s">
        <v>17</v>
      </c>
      <c r="AE5" s="228" t="s">
        <v>17</v>
      </c>
      <c r="AF5" s="128" t="s">
        <v>17</v>
      </c>
      <c r="AG5" s="231" t="s">
        <v>17</v>
      </c>
      <c r="AH5" s="228" t="s">
        <v>17</v>
      </c>
      <c r="AI5" s="128" t="s">
        <v>17</v>
      </c>
      <c r="AJ5" s="231" t="s">
        <v>17</v>
      </c>
      <c r="AK5" s="228" t="s">
        <v>17</v>
      </c>
      <c r="AL5" s="128" t="s">
        <v>17</v>
      </c>
      <c r="AM5" s="231" t="s">
        <v>17</v>
      </c>
      <c r="AN5" s="228" t="s">
        <v>17</v>
      </c>
      <c r="AO5" s="128" t="s">
        <v>17</v>
      </c>
      <c r="AP5" s="231" t="s">
        <v>17</v>
      </c>
      <c r="AQ5" s="228" t="s">
        <v>17</v>
      </c>
      <c r="AR5" s="128" t="s">
        <v>17</v>
      </c>
      <c r="AS5" s="231" t="s">
        <v>17</v>
      </c>
      <c r="AT5" s="228" t="s">
        <v>17</v>
      </c>
      <c r="AU5" s="128" t="s">
        <v>17</v>
      </c>
      <c r="AV5" s="231" t="s">
        <v>17</v>
      </c>
    </row>
    <row r="6" spans="1:48" ht="14.95" customHeight="1" thickBot="1" x14ac:dyDescent="0.3">
      <c r="A6" s="496" t="s">
        <v>561</v>
      </c>
      <c r="B6" s="451">
        <v>0</v>
      </c>
      <c r="C6" s="152">
        <v>0</v>
      </c>
      <c r="D6" s="501">
        <f t="shared" si="0"/>
        <v>0</v>
      </c>
      <c r="E6" s="498" t="s">
        <v>561</v>
      </c>
      <c r="F6" s="453">
        <v>0</v>
      </c>
      <c r="G6" s="170">
        <v>0</v>
      </c>
      <c r="H6" s="503">
        <f t="shared" si="1"/>
        <v>0</v>
      </c>
      <c r="I6" s="496" t="s">
        <v>625</v>
      </c>
      <c r="J6" s="501" t="s">
        <v>17</v>
      </c>
      <c r="K6" s="501" t="s">
        <v>17</v>
      </c>
      <c r="L6" s="505" t="s">
        <v>17</v>
      </c>
      <c r="M6" s="501" t="s">
        <v>17</v>
      </c>
      <c r="N6" s="501" t="s">
        <v>17</v>
      </c>
      <c r="O6" s="505" t="s">
        <v>17</v>
      </c>
      <c r="P6" s="501">
        <v>1</v>
      </c>
      <c r="Q6" s="128" t="s">
        <v>17</v>
      </c>
      <c r="R6" s="128" t="s">
        <v>17</v>
      </c>
      <c r="S6" s="231" t="s">
        <v>17</v>
      </c>
      <c r="T6" s="128" t="s">
        <v>17</v>
      </c>
      <c r="U6" s="128" t="s">
        <v>17</v>
      </c>
      <c r="V6" s="231" t="s">
        <v>17</v>
      </c>
      <c r="W6" s="121"/>
      <c r="X6" s="121"/>
      <c r="Y6" s="228">
        <v>6</v>
      </c>
      <c r="Z6" s="128">
        <v>12</v>
      </c>
      <c r="AA6" s="231">
        <f>SUM(Y6/Z6)*100</f>
        <v>50</v>
      </c>
      <c r="AB6" s="228" t="s">
        <v>17</v>
      </c>
      <c r="AC6" s="128" t="s">
        <v>17</v>
      </c>
      <c r="AD6" s="231" t="s">
        <v>17</v>
      </c>
      <c r="AE6" s="228" t="s">
        <v>17</v>
      </c>
      <c r="AF6" s="128" t="s">
        <v>17</v>
      </c>
      <c r="AG6" s="231" t="s">
        <v>17</v>
      </c>
      <c r="AH6" s="232" t="s">
        <v>17</v>
      </c>
      <c r="AI6" s="128" t="s">
        <v>17</v>
      </c>
      <c r="AJ6" s="231" t="s">
        <v>17</v>
      </c>
      <c r="AK6" s="128" t="s">
        <v>17</v>
      </c>
      <c r="AL6" s="128" t="s">
        <v>17</v>
      </c>
      <c r="AM6" s="231" t="s">
        <v>17</v>
      </c>
      <c r="AN6" s="128" t="s">
        <v>17</v>
      </c>
      <c r="AO6" s="128" t="s">
        <v>17</v>
      </c>
      <c r="AP6" s="231" t="s">
        <v>17</v>
      </c>
      <c r="AQ6" s="128" t="s">
        <v>17</v>
      </c>
      <c r="AR6" s="128" t="s">
        <v>17</v>
      </c>
      <c r="AS6" s="231" t="s">
        <v>17</v>
      </c>
      <c r="AT6" s="128" t="s">
        <v>17</v>
      </c>
      <c r="AU6" s="128" t="s">
        <v>17</v>
      </c>
      <c r="AV6" s="231" t="s">
        <v>17</v>
      </c>
    </row>
    <row r="7" spans="1:48" ht="14.95" customHeight="1" thickBot="1" x14ac:dyDescent="0.3">
      <c r="A7" s="496" t="s">
        <v>964</v>
      </c>
      <c r="B7" s="451">
        <v>0</v>
      </c>
      <c r="C7" s="152">
        <v>0</v>
      </c>
      <c r="D7" s="501">
        <f t="shared" si="0"/>
        <v>0</v>
      </c>
      <c r="E7" s="498" t="s">
        <v>964</v>
      </c>
      <c r="F7" s="453">
        <v>0</v>
      </c>
      <c r="G7" s="170">
        <v>0</v>
      </c>
      <c r="H7" s="503">
        <f t="shared" si="1"/>
        <v>0</v>
      </c>
      <c r="I7" s="504" t="s">
        <v>114</v>
      </c>
      <c r="J7" s="501" t="s">
        <v>17</v>
      </c>
      <c r="K7" s="501" t="s">
        <v>17</v>
      </c>
      <c r="L7" s="505" t="s">
        <v>17</v>
      </c>
      <c r="M7" s="501" t="s">
        <v>17</v>
      </c>
      <c r="N7" s="501" t="s">
        <v>17</v>
      </c>
      <c r="O7" s="505" t="s">
        <v>17</v>
      </c>
      <c r="P7" s="501">
        <v>-4</v>
      </c>
      <c r="Q7" s="128" t="s">
        <v>17</v>
      </c>
      <c r="R7" s="128" t="s">
        <v>17</v>
      </c>
      <c r="S7" s="231" t="s">
        <v>17</v>
      </c>
      <c r="T7" s="128" t="s">
        <v>17</v>
      </c>
      <c r="U7" s="128" t="s">
        <v>17</v>
      </c>
      <c r="V7" s="231" t="s">
        <v>17</v>
      </c>
      <c r="W7" s="121"/>
      <c r="X7" s="121"/>
      <c r="Y7" s="228">
        <v>0</v>
      </c>
      <c r="Z7" s="128">
        <v>3</v>
      </c>
      <c r="AA7" s="231">
        <f>SUM(Y7/Z7)*100</f>
        <v>0</v>
      </c>
      <c r="AB7" s="228">
        <v>6</v>
      </c>
      <c r="AC7" s="128">
        <v>8</v>
      </c>
      <c r="AD7" s="231">
        <v>75</v>
      </c>
      <c r="AE7" s="228">
        <v>2</v>
      </c>
      <c r="AF7" s="128">
        <v>2</v>
      </c>
      <c r="AG7" s="231">
        <f>SUM(AE7/AF7)*100</f>
        <v>100</v>
      </c>
      <c r="AH7" s="228">
        <v>14</v>
      </c>
      <c r="AI7" s="128">
        <v>19</v>
      </c>
      <c r="AJ7" s="231">
        <f>SUM(AH7/AI7)*100</f>
        <v>73.68421052631578</v>
      </c>
      <c r="AK7" s="228">
        <v>1</v>
      </c>
      <c r="AL7" s="128">
        <v>2</v>
      </c>
      <c r="AM7" s="164">
        <f>SUM(AK7/AL7)*100</f>
        <v>50</v>
      </c>
      <c r="AN7" s="232">
        <v>2</v>
      </c>
      <c r="AO7" s="128">
        <v>2</v>
      </c>
      <c r="AP7" s="231">
        <f>SUM(AN7/AO7)*100</f>
        <v>100</v>
      </c>
      <c r="AQ7" s="228">
        <v>13</v>
      </c>
      <c r="AR7" s="128">
        <v>18</v>
      </c>
      <c r="AS7" s="231">
        <f>SUM(AQ7/AR7)*100</f>
        <v>72.222222222222214</v>
      </c>
      <c r="AT7" s="228">
        <v>2</v>
      </c>
      <c r="AU7" s="128">
        <v>7</v>
      </c>
      <c r="AV7" s="231">
        <f>SUM(AT7/AU7)*100</f>
        <v>28.571428571428569</v>
      </c>
    </row>
    <row r="8" spans="1:48" ht="14.95" customHeight="1" thickBot="1" x14ac:dyDescent="0.3">
      <c r="A8" s="496" t="s">
        <v>1363</v>
      </c>
      <c r="B8" s="451">
        <v>0</v>
      </c>
      <c r="C8" s="152">
        <v>0</v>
      </c>
      <c r="D8" s="501">
        <f t="shared" si="0"/>
        <v>0</v>
      </c>
      <c r="E8" s="498" t="s">
        <v>1363</v>
      </c>
      <c r="F8" s="453">
        <v>0</v>
      </c>
      <c r="G8" s="170">
        <v>0</v>
      </c>
      <c r="H8" s="503">
        <f t="shared" si="1"/>
        <v>0</v>
      </c>
      <c r="I8" s="504" t="s">
        <v>417</v>
      </c>
      <c r="J8" s="501" t="s">
        <v>17</v>
      </c>
      <c r="K8" s="501" t="s">
        <v>17</v>
      </c>
      <c r="L8" s="505" t="s">
        <v>17</v>
      </c>
      <c r="M8" s="501" t="s">
        <v>17</v>
      </c>
      <c r="N8" s="501" t="s">
        <v>17</v>
      </c>
      <c r="O8" s="505" t="s">
        <v>17</v>
      </c>
      <c r="P8" s="501">
        <v>2</v>
      </c>
      <c r="Q8" s="128">
        <v>2</v>
      </c>
      <c r="R8" s="128">
        <v>3</v>
      </c>
      <c r="S8" s="231">
        <v>67</v>
      </c>
      <c r="T8" s="128" t="s">
        <v>17</v>
      </c>
      <c r="U8" s="128" t="s">
        <v>17</v>
      </c>
      <c r="V8" s="231" t="s">
        <v>17</v>
      </c>
      <c r="W8" s="121"/>
      <c r="X8" s="121"/>
      <c r="Y8" s="228" t="s">
        <v>17</v>
      </c>
      <c r="Z8" s="128" t="s">
        <v>17</v>
      </c>
      <c r="AA8" s="231" t="s">
        <v>17</v>
      </c>
      <c r="AB8" s="232" t="s">
        <v>17</v>
      </c>
      <c r="AC8" s="128" t="s">
        <v>17</v>
      </c>
      <c r="AD8" s="231" t="s">
        <v>17</v>
      </c>
      <c r="AE8" s="128" t="s">
        <v>17</v>
      </c>
      <c r="AF8" s="128" t="s">
        <v>17</v>
      </c>
      <c r="AG8" s="231" t="s">
        <v>17</v>
      </c>
      <c r="AH8" s="128" t="s">
        <v>17</v>
      </c>
      <c r="AI8" s="128" t="s">
        <v>17</v>
      </c>
      <c r="AJ8" s="231" t="s">
        <v>17</v>
      </c>
      <c r="AK8" s="128" t="s">
        <v>17</v>
      </c>
      <c r="AL8" s="128" t="s">
        <v>17</v>
      </c>
      <c r="AM8" s="231" t="s">
        <v>17</v>
      </c>
      <c r="AN8" s="128" t="s">
        <v>17</v>
      </c>
      <c r="AO8" s="128" t="s">
        <v>17</v>
      </c>
      <c r="AP8" s="231" t="s">
        <v>17</v>
      </c>
      <c r="AQ8" s="128" t="s">
        <v>17</v>
      </c>
      <c r="AR8" s="128" t="s">
        <v>17</v>
      </c>
      <c r="AS8" s="231" t="s">
        <v>17</v>
      </c>
      <c r="AT8" s="128" t="s">
        <v>17</v>
      </c>
      <c r="AU8" s="128" t="s">
        <v>17</v>
      </c>
      <c r="AV8" s="231" t="s">
        <v>17</v>
      </c>
    </row>
    <row r="9" spans="1:48" ht="14.95" customHeight="1" thickBot="1" x14ac:dyDescent="0.3">
      <c r="A9" s="496" t="s">
        <v>709</v>
      </c>
      <c r="B9" s="451">
        <v>0</v>
      </c>
      <c r="C9" s="152">
        <v>0</v>
      </c>
      <c r="D9" s="501">
        <f t="shared" si="0"/>
        <v>0</v>
      </c>
      <c r="E9" s="498" t="s">
        <v>709</v>
      </c>
      <c r="F9" s="453">
        <v>0</v>
      </c>
      <c r="G9" s="170">
        <v>0</v>
      </c>
      <c r="H9" s="503">
        <f t="shared" si="1"/>
        <v>0</v>
      </c>
      <c r="I9" s="504" t="s">
        <v>364</v>
      </c>
      <c r="J9" s="501" t="s">
        <v>17</v>
      </c>
      <c r="K9" s="501" t="s">
        <v>17</v>
      </c>
      <c r="L9" s="505" t="s">
        <v>17</v>
      </c>
      <c r="M9" s="501" t="s">
        <v>17</v>
      </c>
      <c r="N9" s="501" t="s">
        <v>17</v>
      </c>
      <c r="O9" s="505" t="s">
        <v>17</v>
      </c>
      <c r="P9" s="501">
        <v>9</v>
      </c>
      <c r="Q9" s="128">
        <v>2</v>
      </c>
      <c r="R9" s="128">
        <v>2</v>
      </c>
      <c r="S9" s="231">
        <v>100</v>
      </c>
      <c r="T9" s="128">
        <v>40</v>
      </c>
      <c r="U9" s="128">
        <v>49</v>
      </c>
      <c r="V9" s="231">
        <f>SUM(T9/U9)*100</f>
        <v>81.632653061224488</v>
      </c>
      <c r="W9" s="121"/>
      <c r="X9" s="121"/>
      <c r="Y9" s="228" t="s">
        <v>17</v>
      </c>
      <c r="Z9" s="128" t="s">
        <v>17</v>
      </c>
      <c r="AA9" s="231" t="s">
        <v>17</v>
      </c>
      <c r="AB9" s="228">
        <v>22</v>
      </c>
      <c r="AC9" s="128">
        <v>26</v>
      </c>
      <c r="AD9" s="231">
        <v>84.615384615384613</v>
      </c>
      <c r="AE9" s="228">
        <v>24</v>
      </c>
      <c r="AF9" s="128">
        <v>32</v>
      </c>
      <c r="AG9" s="231">
        <f>SUM(AE9/AF9)*100</f>
        <v>75</v>
      </c>
      <c r="AH9" s="228">
        <v>0</v>
      </c>
      <c r="AI9" s="128">
        <v>1</v>
      </c>
      <c r="AJ9" s="231">
        <f>SUM(AH9/AI9)*100</f>
        <v>0</v>
      </c>
      <c r="AK9" s="228" t="s">
        <v>17</v>
      </c>
      <c r="AL9" s="128" t="s">
        <v>17</v>
      </c>
      <c r="AM9" s="128" t="s">
        <v>17</v>
      </c>
      <c r="AN9" s="232" t="s">
        <v>17</v>
      </c>
      <c r="AO9" s="128" t="s">
        <v>17</v>
      </c>
      <c r="AP9" s="128" t="s">
        <v>17</v>
      </c>
      <c r="AQ9" s="228" t="s">
        <v>17</v>
      </c>
      <c r="AR9" s="128" t="s">
        <v>17</v>
      </c>
      <c r="AS9" s="128" t="s">
        <v>17</v>
      </c>
      <c r="AT9" s="228" t="s">
        <v>17</v>
      </c>
      <c r="AU9" s="128" t="s">
        <v>17</v>
      </c>
      <c r="AV9" s="128" t="s">
        <v>17</v>
      </c>
    </row>
    <row r="10" spans="1:48" ht="14.95" customHeight="1" thickBot="1" x14ac:dyDescent="0.3">
      <c r="A10" s="496" t="s">
        <v>713</v>
      </c>
      <c r="B10" s="451">
        <v>0</v>
      </c>
      <c r="C10" s="152">
        <v>0</v>
      </c>
      <c r="D10" s="501">
        <f t="shared" si="0"/>
        <v>0</v>
      </c>
      <c r="E10" s="498" t="s">
        <v>713</v>
      </c>
      <c r="F10" s="453">
        <v>0</v>
      </c>
      <c r="G10" s="170">
        <v>0</v>
      </c>
      <c r="H10" s="503">
        <f t="shared" si="1"/>
        <v>0</v>
      </c>
      <c r="I10" s="504" t="s">
        <v>911</v>
      </c>
      <c r="J10" s="501" t="s">
        <v>17</v>
      </c>
      <c r="K10" s="501" t="s">
        <v>17</v>
      </c>
      <c r="L10" s="505" t="s">
        <v>17</v>
      </c>
      <c r="M10" s="501" t="s">
        <v>17</v>
      </c>
      <c r="N10" s="501" t="s">
        <v>17</v>
      </c>
      <c r="O10" s="505" t="s">
        <v>17</v>
      </c>
      <c r="P10" s="501">
        <v>3</v>
      </c>
      <c r="Q10" s="128">
        <v>7</v>
      </c>
      <c r="R10" s="128">
        <v>11</v>
      </c>
      <c r="S10" s="231">
        <v>63.636363636363633</v>
      </c>
      <c r="T10" s="128">
        <v>3</v>
      </c>
      <c r="U10" s="128">
        <v>3</v>
      </c>
      <c r="V10" s="231">
        <f>SUM(T10/U10)*100</f>
        <v>100</v>
      </c>
      <c r="W10" s="121"/>
      <c r="X10" s="121"/>
      <c r="Y10" s="228" t="s">
        <v>17</v>
      </c>
      <c r="Z10" s="128" t="s">
        <v>17</v>
      </c>
      <c r="AA10" s="231" t="s">
        <v>17</v>
      </c>
      <c r="AB10" s="232" t="s">
        <v>17</v>
      </c>
      <c r="AC10" s="128" t="s">
        <v>17</v>
      </c>
      <c r="AD10" s="231" t="s">
        <v>17</v>
      </c>
      <c r="AE10" s="128" t="s">
        <v>17</v>
      </c>
      <c r="AF10" s="128" t="s">
        <v>17</v>
      </c>
      <c r="AG10" s="231" t="s">
        <v>17</v>
      </c>
      <c r="AH10" s="128" t="s">
        <v>17</v>
      </c>
      <c r="AI10" s="128" t="s">
        <v>17</v>
      </c>
      <c r="AJ10" s="231" t="s">
        <v>17</v>
      </c>
      <c r="AK10" s="228" t="s">
        <v>17</v>
      </c>
      <c r="AL10" s="128" t="s">
        <v>17</v>
      </c>
      <c r="AM10" s="128" t="s">
        <v>17</v>
      </c>
      <c r="AN10" s="232" t="s">
        <v>17</v>
      </c>
      <c r="AO10" s="128" t="s">
        <v>17</v>
      </c>
      <c r="AP10" s="128" t="s">
        <v>17</v>
      </c>
      <c r="AQ10" s="228" t="s">
        <v>17</v>
      </c>
      <c r="AR10" s="128" t="s">
        <v>17</v>
      </c>
      <c r="AS10" s="128" t="s">
        <v>17</v>
      </c>
      <c r="AT10" s="228" t="s">
        <v>17</v>
      </c>
      <c r="AU10" s="128" t="s">
        <v>17</v>
      </c>
      <c r="AV10" s="128" t="s">
        <v>17</v>
      </c>
    </row>
    <row r="11" spans="1:48" ht="14.95" customHeight="1" thickBot="1" x14ac:dyDescent="0.3">
      <c r="A11" s="496" t="s">
        <v>718</v>
      </c>
      <c r="B11" s="451">
        <v>0</v>
      </c>
      <c r="C11" s="152">
        <v>0</v>
      </c>
      <c r="D11" s="501">
        <f t="shared" si="0"/>
        <v>0</v>
      </c>
      <c r="E11" s="498" t="s">
        <v>718</v>
      </c>
      <c r="F11" s="453">
        <v>0</v>
      </c>
      <c r="G11" s="170">
        <v>0</v>
      </c>
      <c r="H11" s="503">
        <f t="shared" si="1"/>
        <v>0</v>
      </c>
      <c r="I11" s="504" t="s">
        <v>1333</v>
      </c>
      <c r="J11" s="501" t="s">
        <v>17</v>
      </c>
      <c r="K11" s="501" t="s">
        <v>17</v>
      </c>
      <c r="L11" s="505" t="s">
        <v>17</v>
      </c>
      <c r="M11" s="501" t="s">
        <v>17</v>
      </c>
      <c r="N11" s="501" t="s">
        <v>17</v>
      </c>
      <c r="O11" s="505" t="s">
        <v>17</v>
      </c>
      <c r="P11" s="501">
        <v>7</v>
      </c>
      <c r="Q11" s="128">
        <v>17</v>
      </c>
      <c r="R11" s="128">
        <v>23</v>
      </c>
      <c r="S11" s="231">
        <v>73.91304347826086</v>
      </c>
      <c r="T11" s="128" t="s">
        <v>17</v>
      </c>
      <c r="U11" s="128" t="s">
        <v>17</v>
      </c>
      <c r="V11" s="231" t="s">
        <v>17</v>
      </c>
      <c r="W11" s="121"/>
      <c r="X11" s="121"/>
      <c r="Y11" s="228" t="s">
        <v>17</v>
      </c>
      <c r="Z11" s="128" t="s">
        <v>17</v>
      </c>
      <c r="AA11" s="231" t="s">
        <v>17</v>
      </c>
      <c r="AB11" s="232" t="s">
        <v>17</v>
      </c>
      <c r="AC11" s="128" t="s">
        <v>17</v>
      </c>
      <c r="AD11" s="231" t="s">
        <v>17</v>
      </c>
      <c r="AE11" s="228" t="s">
        <v>17</v>
      </c>
      <c r="AF11" s="128" t="s">
        <v>17</v>
      </c>
      <c r="AG11" s="231" t="s">
        <v>17</v>
      </c>
      <c r="AH11" s="228" t="s">
        <v>17</v>
      </c>
      <c r="AI11" s="128" t="s">
        <v>17</v>
      </c>
      <c r="AJ11" s="231" t="s">
        <v>17</v>
      </c>
      <c r="AK11" s="228" t="s">
        <v>17</v>
      </c>
      <c r="AL11" s="128" t="s">
        <v>17</v>
      </c>
      <c r="AM11" s="128" t="s">
        <v>17</v>
      </c>
      <c r="AN11" s="232" t="s">
        <v>17</v>
      </c>
      <c r="AO11" s="128" t="s">
        <v>17</v>
      </c>
      <c r="AP11" s="128" t="s">
        <v>17</v>
      </c>
      <c r="AQ11" s="228" t="s">
        <v>17</v>
      </c>
      <c r="AR11" s="128" t="s">
        <v>17</v>
      </c>
      <c r="AS11" s="128" t="s">
        <v>17</v>
      </c>
      <c r="AT11" s="228" t="s">
        <v>17</v>
      </c>
      <c r="AU11" s="128" t="s">
        <v>17</v>
      </c>
      <c r="AV11" s="128" t="s">
        <v>17</v>
      </c>
    </row>
    <row r="12" spans="1:48" ht="14.95" customHeight="1" thickBot="1" x14ac:dyDescent="0.3">
      <c r="A12" s="496" t="s">
        <v>1387</v>
      </c>
      <c r="B12" s="451">
        <v>0</v>
      </c>
      <c r="C12" s="152">
        <v>0</v>
      </c>
      <c r="D12" s="501">
        <f t="shared" si="0"/>
        <v>0</v>
      </c>
      <c r="E12" s="498" t="s">
        <v>1387</v>
      </c>
      <c r="F12" s="453">
        <v>0</v>
      </c>
      <c r="G12" s="170">
        <v>0</v>
      </c>
      <c r="H12" s="503">
        <f t="shared" si="1"/>
        <v>0</v>
      </c>
      <c r="Q12" s="81"/>
      <c r="R12" s="81"/>
      <c r="W12" s="18"/>
      <c r="X12" s="18"/>
    </row>
    <row r="13" spans="1:48" ht="14.95" customHeight="1" thickBot="1" x14ac:dyDescent="0.3">
      <c r="A13" s="496" t="s">
        <v>715</v>
      </c>
      <c r="B13" s="451">
        <v>0</v>
      </c>
      <c r="C13" s="152">
        <v>0</v>
      </c>
      <c r="D13" s="501">
        <f t="shared" si="0"/>
        <v>0</v>
      </c>
      <c r="E13" s="498" t="s">
        <v>715</v>
      </c>
      <c r="F13" s="453">
        <v>0</v>
      </c>
      <c r="G13" s="170">
        <v>0</v>
      </c>
      <c r="H13" s="503">
        <f t="shared" si="1"/>
        <v>0</v>
      </c>
      <c r="I13" s="607" t="s">
        <v>34</v>
      </c>
      <c r="J13" s="596">
        <v>2025</v>
      </c>
      <c r="K13" s="625"/>
      <c r="L13" s="626"/>
      <c r="M13" s="568">
        <v>2024</v>
      </c>
      <c r="N13" s="602"/>
      <c r="O13" s="603"/>
      <c r="P13" s="568">
        <v>2023</v>
      </c>
      <c r="Q13" s="602"/>
      <c r="R13" s="603"/>
      <c r="S13" s="568">
        <v>2022</v>
      </c>
      <c r="T13" s="558"/>
      <c r="U13" s="559"/>
      <c r="V13" s="614"/>
      <c r="W13" s="253"/>
      <c r="X13" s="253"/>
      <c r="Y13" s="568">
        <v>2021</v>
      </c>
      <c r="Z13" s="602"/>
      <c r="AA13" s="603"/>
      <c r="AB13" s="568">
        <v>2020</v>
      </c>
      <c r="AC13" s="602"/>
      <c r="AD13" s="603"/>
      <c r="AE13" s="568">
        <v>2019</v>
      </c>
      <c r="AF13" s="609"/>
      <c r="AG13" s="610"/>
      <c r="AH13" s="568">
        <v>2018</v>
      </c>
      <c r="AI13" s="609"/>
      <c r="AJ13" s="610"/>
      <c r="AK13" s="568">
        <v>2017</v>
      </c>
      <c r="AL13" s="609"/>
      <c r="AM13" s="610"/>
      <c r="AN13" s="568">
        <v>2016</v>
      </c>
      <c r="AO13" s="609"/>
      <c r="AP13" s="610"/>
      <c r="AQ13" s="557">
        <v>2015</v>
      </c>
      <c r="AR13" s="563"/>
      <c r="AS13" s="564"/>
      <c r="AT13" s="557">
        <v>2014</v>
      </c>
      <c r="AU13" s="617"/>
      <c r="AV13" s="618"/>
    </row>
    <row r="14" spans="1:48" ht="14.95" customHeight="1" thickBot="1" x14ac:dyDescent="0.3">
      <c r="A14" s="496" t="s">
        <v>717</v>
      </c>
      <c r="B14" s="451">
        <v>0</v>
      </c>
      <c r="C14" s="152">
        <v>0</v>
      </c>
      <c r="D14" s="501">
        <f t="shared" si="0"/>
        <v>0</v>
      </c>
      <c r="E14" s="498" t="s">
        <v>717</v>
      </c>
      <c r="F14" s="453">
        <v>0</v>
      </c>
      <c r="G14" s="170">
        <v>0</v>
      </c>
      <c r="H14" s="503">
        <f t="shared" si="1"/>
        <v>0</v>
      </c>
      <c r="I14" s="608"/>
      <c r="J14" s="627"/>
      <c r="K14" s="628"/>
      <c r="L14" s="629"/>
      <c r="M14" s="604"/>
      <c r="N14" s="605"/>
      <c r="O14" s="606"/>
      <c r="P14" s="604"/>
      <c r="Q14" s="605"/>
      <c r="R14" s="606"/>
      <c r="S14" s="560"/>
      <c r="T14" s="561"/>
      <c r="U14" s="562"/>
      <c r="V14" s="622"/>
      <c r="W14" s="253"/>
      <c r="X14" s="253"/>
      <c r="Y14" s="604"/>
      <c r="Z14" s="605"/>
      <c r="AA14" s="606"/>
      <c r="AB14" s="604"/>
      <c r="AC14" s="605"/>
      <c r="AD14" s="606"/>
      <c r="AE14" s="611"/>
      <c r="AF14" s="612"/>
      <c r="AG14" s="613"/>
      <c r="AH14" s="611"/>
      <c r="AI14" s="612"/>
      <c r="AJ14" s="613"/>
      <c r="AK14" s="611"/>
      <c r="AL14" s="612"/>
      <c r="AM14" s="613"/>
      <c r="AN14" s="611"/>
      <c r="AO14" s="612"/>
      <c r="AP14" s="613"/>
      <c r="AQ14" s="565"/>
      <c r="AR14" s="566"/>
      <c r="AS14" s="567"/>
      <c r="AT14" s="619"/>
      <c r="AU14" s="620"/>
      <c r="AV14" s="621"/>
    </row>
    <row r="15" spans="1:48" ht="14.95" customHeight="1" thickBot="1" x14ac:dyDescent="0.3">
      <c r="A15" s="496" t="s">
        <v>625</v>
      </c>
      <c r="B15" s="451">
        <v>0</v>
      </c>
      <c r="C15" s="152">
        <v>0</v>
      </c>
      <c r="D15" s="501">
        <f t="shared" si="0"/>
        <v>0</v>
      </c>
      <c r="E15" s="498" t="s">
        <v>625</v>
      </c>
      <c r="F15" s="453">
        <v>0</v>
      </c>
      <c r="G15" s="170">
        <v>0</v>
      </c>
      <c r="H15" s="503">
        <f t="shared" si="1"/>
        <v>0</v>
      </c>
      <c r="I15" s="4"/>
      <c r="J15" s="188" t="s">
        <v>152</v>
      </c>
      <c r="K15" s="188" t="s">
        <v>12</v>
      </c>
      <c r="L15" s="182" t="s">
        <v>13</v>
      </c>
      <c r="M15" s="158" t="s">
        <v>152</v>
      </c>
      <c r="N15" s="158" t="s">
        <v>12</v>
      </c>
      <c r="O15" s="172" t="s">
        <v>13</v>
      </c>
      <c r="P15" s="158" t="s">
        <v>152</v>
      </c>
      <c r="Q15" s="158" t="s">
        <v>12</v>
      </c>
      <c r="R15" s="172" t="s">
        <v>13</v>
      </c>
      <c r="S15" s="172" t="s">
        <v>152</v>
      </c>
      <c r="T15" s="172" t="s">
        <v>12</v>
      </c>
      <c r="U15" s="172" t="s">
        <v>13</v>
      </c>
      <c r="V15" s="343"/>
      <c r="W15" s="121"/>
      <c r="X15" s="121"/>
      <c r="Y15" s="260" t="s">
        <v>152</v>
      </c>
      <c r="Z15" s="172" t="s">
        <v>12</v>
      </c>
      <c r="AA15" s="172" t="s">
        <v>13</v>
      </c>
      <c r="AB15" s="260" t="s">
        <v>152</v>
      </c>
      <c r="AC15" s="172" t="s">
        <v>12</v>
      </c>
      <c r="AD15" s="172" t="s">
        <v>13</v>
      </c>
      <c r="AE15" s="260" t="s">
        <v>152</v>
      </c>
      <c r="AF15" s="172" t="s">
        <v>12</v>
      </c>
      <c r="AG15" s="172" t="s">
        <v>13</v>
      </c>
      <c r="AH15" s="260" t="s">
        <v>152</v>
      </c>
      <c r="AI15" s="172" t="s">
        <v>12</v>
      </c>
      <c r="AJ15" s="172" t="s">
        <v>13</v>
      </c>
      <c r="AK15" s="171" t="s">
        <v>152</v>
      </c>
      <c r="AL15" s="119" t="s">
        <v>12</v>
      </c>
      <c r="AM15" s="119" t="s">
        <v>13</v>
      </c>
      <c r="AN15" s="171" t="s">
        <v>152</v>
      </c>
      <c r="AO15" s="119" t="s">
        <v>12</v>
      </c>
      <c r="AP15" s="119" t="s">
        <v>13</v>
      </c>
      <c r="AQ15" s="171" t="s">
        <v>152</v>
      </c>
      <c r="AR15" s="119" t="s">
        <v>12</v>
      </c>
      <c r="AS15" s="119" t="s">
        <v>13</v>
      </c>
      <c r="AT15" s="171" t="s">
        <v>152</v>
      </c>
      <c r="AU15" s="119" t="s">
        <v>12</v>
      </c>
      <c r="AV15" s="119" t="s">
        <v>13</v>
      </c>
    </row>
    <row r="16" spans="1:48" ht="14.95" customHeight="1" thickBot="1" x14ac:dyDescent="0.3">
      <c r="A16" s="496" t="s">
        <v>407</v>
      </c>
      <c r="B16" s="451">
        <v>0</v>
      </c>
      <c r="C16" s="152">
        <v>0</v>
      </c>
      <c r="D16" s="501">
        <f t="shared" si="0"/>
        <v>0</v>
      </c>
      <c r="E16" s="498" t="s">
        <v>407</v>
      </c>
      <c r="F16" s="453">
        <v>0</v>
      </c>
      <c r="G16" s="170">
        <v>0</v>
      </c>
      <c r="H16" s="503">
        <f t="shared" si="1"/>
        <v>0</v>
      </c>
      <c r="I16" s="504" t="s">
        <v>561</v>
      </c>
      <c r="J16" s="501" t="s">
        <v>17</v>
      </c>
      <c r="K16" s="501" t="s">
        <v>17</v>
      </c>
      <c r="L16" s="505" t="s">
        <v>17</v>
      </c>
      <c r="M16" s="128">
        <v>5</v>
      </c>
      <c r="N16" s="128">
        <v>5</v>
      </c>
      <c r="O16" s="231">
        <f>SUM(M16/N16)*100</f>
        <v>100</v>
      </c>
      <c r="P16" s="128" t="s">
        <v>17</v>
      </c>
      <c r="Q16" s="128" t="s">
        <v>17</v>
      </c>
      <c r="R16" s="231" t="s">
        <v>17</v>
      </c>
      <c r="S16" s="128" t="s">
        <v>17</v>
      </c>
      <c r="T16" s="128" t="s">
        <v>17</v>
      </c>
      <c r="U16" s="231" t="s">
        <v>17</v>
      </c>
      <c r="V16" s="41"/>
      <c r="W16" s="121"/>
      <c r="X16" s="121"/>
      <c r="Y16" s="228" t="s">
        <v>17</v>
      </c>
      <c r="Z16" s="128" t="s">
        <v>17</v>
      </c>
      <c r="AA16" s="231" t="s">
        <v>17</v>
      </c>
      <c r="AB16" s="232" t="s">
        <v>17</v>
      </c>
      <c r="AC16" s="128" t="s">
        <v>17</v>
      </c>
      <c r="AD16" s="231" t="s">
        <v>17</v>
      </c>
      <c r="AE16" s="128" t="s">
        <v>17</v>
      </c>
      <c r="AF16" s="128" t="s">
        <v>17</v>
      </c>
      <c r="AG16" s="231" t="s">
        <v>17</v>
      </c>
      <c r="AH16" s="128" t="s">
        <v>17</v>
      </c>
      <c r="AI16" s="128" t="s">
        <v>17</v>
      </c>
      <c r="AJ16" s="231" t="s">
        <v>17</v>
      </c>
      <c r="AK16" s="128" t="s">
        <v>17</v>
      </c>
      <c r="AL16" s="128" t="s">
        <v>17</v>
      </c>
      <c r="AM16" s="231" t="s">
        <v>17</v>
      </c>
      <c r="AN16" s="128" t="s">
        <v>17</v>
      </c>
      <c r="AO16" s="128" t="s">
        <v>17</v>
      </c>
      <c r="AP16" s="231" t="s">
        <v>17</v>
      </c>
      <c r="AQ16" s="128" t="s">
        <v>17</v>
      </c>
      <c r="AR16" s="128" t="s">
        <v>17</v>
      </c>
      <c r="AS16" s="231" t="s">
        <v>17</v>
      </c>
      <c r="AT16" s="128" t="s">
        <v>17</v>
      </c>
      <c r="AU16" s="128" t="s">
        <v>17</v>
      </c>
      <c r="AV16" s="231" t="s">
        <v>17</v>
      </c>
    </row>
    <row r="17" spans="1:48" ht="14.95" customHeight="1" thickBot="1" x14ac:dyDescent="0.3">
      <c r="A17" s="496" t="s">
        <v>674</v>
      </c>
      <c r="B17" s="451">
        <v>0</v>
      </c>
      <c r="C17" s="152">
        <v>0</v>
      </c>
      <c r="D17" s="501">
        <f t="shared" si="0"/>
        <v>0</v>
      </c>
      <c r="E17" s="498" t="s">
        <v>674</v>
      </c>
      <c r="F17" s="453">
        <v>0</v>
      </c>
      <c r="G17" s="170">
        <v>0</v>
      </c>
      <c r="H17" s="503">
        <f t="shared" si="1"/>
        <v>0</v>
      </c>
      <c r="I17" s="496" t="s">
        <v>1363</v>
      </c>
      <c r="J17" s="501">
        <v>4</v>
      </c>
      <c r="K17" s="501">
        <v>5</v>
      </c>
      <c r="L17" s="505">
        <f>SUM(J17/K17)*100</f>
        <v>80</v>
      </c>
      <c r="M17" s="128" t="s">
        <v>17</v>
      </c>
      <c r="N17" s="128" t="s">
        <v>17</v>
      </c>
      <c r="O17" s="231" t="s">
        <v>17</v>
      </c>
      <c r="P17" s="128" t="s">
        <v>17</v>
      </c>
      <c r="Q17" s="128" t="s">
        <v>17</v>
      </c>
      <c r="R17" s="231" t="s">
        <v>17</v>
      </c>
      <c r="S17" s="128" t="s">
        <v>17</v>
      </c>
      <c r="T17" s="128" t="s">
        <v>17</v>
      </c>
      <c r="U17" s="231" t="s">
        <v>17</v>
      </c>
      <c r="V17" s="41"/>
      <c r="W17" s="121"/>
      <c r="X17" s="121"/>
      <c r="Y17" s="228" t="s">
        <v>17</v>
      </c>
      <c r="Z17" s="128" t="s">
        <v>17</v>
      </c>
      <c r="AA17" s="231" t="s">
        <v>17</v>
      </c>
      <c r="AB17" s="228" t="s">
        <v>17</v>
      </c>
      <c r="AC17" s="128" t="s">
        <v>17</v>
      </c>
      <c r="AD17" s="231" t="s">
        <v>17</v>
      </c>
      <c r="AE17" s="128" t="s">
        <v>17</v>
      </c>
      <c r="AF17" s="128" t="s">
        <v>17</v>
      </c>
      <c r="AG17" s="231" t="s">
        <v>17</v>
      </c>
      <c r="AH17" s="128" t="s">
        <v>17</v>
      </c>
      <c r="AI17" s="128" t="s">
        <v>17</v>
      </c>
      <c r="AJ17" s="231" t="s">
        <v>17</v>
      </c>
      <c r="AK17" s="128" t="s">
        <v>17</v>
      </c>
      <c r="AL17" s="128" t="s">
        <v>17</v>
      </c>
      <c r="AM17" s="231" t="s">
        <v>17</v>
      </c>
      <c r="AN17" s="128" t="s">
        <v>17</v>
      </c>
      <c r="AO17" s="128" t="s">
        <v>17</v>
      </c>
      <c r="AP17" s="231" t="s">
        <v>17</v>
      </c>
      <c r="AQ17" s="128" t="s">
        <v>17</v>
      </c>
      <c r="AR17" s="128" t="s">
        <v>17</v>
      </c>
      <c r="AS17" s="231" t="s">
        <v>17</v>
      </c>
      <c r="AT17" s="128" t="s">
        <v>17</v>
      </c>
      <c r="AU17" s="128" t="s">
        <v>17</v>
      </c>
      <c r="AV17" s="231" t="s">
        <v>17</v>
      </c>
    </row>
    <row r="18" spans="1:48" ht="14.95" customHeight="1" thickBot="1" x14ac:dyDescent="0.3">
      <c r="A18" s="496" t="s">
        <v>425</v>
      </c>
      <c r="B18" s="451">
        <v>0</v>
      </c>
      <c r="C18" s="152">
        <v>0</v>
      </c>
      <c r="D18" s="501">
        <f t="shared" si="0"/>
        <v>0</v>
      </c>
      <c r="E18" s="498" t="s">
        <v>425</v>
      </c>
      <c r="F18" s="453">
        <v>0</v>
      </c>
      <c r="G18" s="170">
        <v>0</v>
      </c>
      <c r="H18" s="503">
        <f t="shared" si="1"/>
        <v>0</v>
      </c>
      <c r="I18" s="496" t="s">
        <v>625</v>
      </c>
      <c r="J18" s="501" t="s">
        <v>17</v>
      </c>
      <c r="K18" s="501" t="s">
        <v>17</v>
      </c>
      <c r="L18" s="505" t="s">
        <v>17</v>
      </c>
      <c r="M18" s="128" t="s">
        <v>17</v>
      </c>
      <c r="N18" s="128" t="s">
        <v>17</v>
      </c>
      <c r="O18" s="231" t="s">
        <v>17</v>
      </c>
      <c r="P18" s="128">
        <v>2</v>
      </c>
      <c r="Q18" s="128">
        <v>3</v>
      </c>
      <c r="R18" s="231">
        <f>SUM(P18/Q18)*100</f>
        <v>66.666666666666657</v>
      </c>
      <c r="S18" s="128" t="s">
        <v>17</v>
      </c>
      <c r="T18" s="128" t="s">
        <v>17</v>
      </c>
      <c r="U18" s="231" t="s">
        <v>17</v>
      </c>
      <c r="V18" s="41"/>
      <c r="W18" s="121"/>
      <c r="X18" s="121"/>
      <c r="Y18" s="228" t="s">
        <v>17</v>
      </c>
      <c r="Z18" s="128" t="s">
        <v>17</v>
      </c>
      <c r="AA18" s="231" t="s">
        <v>17</v>
      </c>
      <c r="AB18" s="228" t="s">
        <v>17</v>
      </c>
      <c r="AC18" s="128" t="s">
        <v>17</v>
      </c>
      <c r="AD18" s="231" t="s">
        <v>17</v>
      </c>
      <c r="AE18" s="232" t="s">
        <v>17</v>
      </c>
      <c r="AF18" s="128" t="s">
        <v>17</v>
      </c>
      <c r="AG18" s="231" t="s">
        <v>17</v>
      </c>
      <c r="AH18" s="128" t="s">
        <v>17</v>
      </c>
      <c r="AI18" s="128" t="s">
        <v>17</v>
      </c>
      <c r="AJ18" s="231" t="s">
        <v>17</v>
      </c>
      <c r="AK18" s="128" t="s">
        <v>17</v>
      </c>
      <c r="AL18" s="128" t="s">
        <v>17</v>
      </c>
      <c r="AM18" s="231" t="s">
        <v>17</v>
      </c>
      <c r="AN18" s="128" t="s">
        <v>17</v>
      </c>
      <c r="AO18" s="128" t="s">
        <v>17</v>
      </c>
      <c r="AP18" s="231" t="s">
        <v>17</v>
      </c>
      <c r="AQ18" s="128" t="s">
        <v>17</v>
      </c>
      <c r="AR18" s="128" t="s">
        <v>17</v>
      </c>
      <c r="AS18" s="231" t="s">
        <v>17</v>
      </c>
      <c r="AT18" s="128" t="s">
        <v>17</v>
      </c>
      <c r="AU18" s="128" t="s">
        <v>17</v>
      </c>
      <c r="AV18" s="231" t="s">
        <v>17</v>
      </c>
    </row>
    <row r="19" spans="1:48" ht="14.95" customHeight="1" thickBot="1" x14ac:dyDescent="0.3">
      <c r="A19" s="496" t="s">
        <v>1111</v>
      </c>
      <c r="B19" s="451">
        <v>0</v>
      </c>
      <c r="C19" s="152">
        <v>0</v>
      </c>
      <c r="D19" s="501">
        <f t="shared" si="0"/>
        <v>0</v>
      </c>
      <c r="E19" s="498" t="s">
        <v>1111</v>
      </c>
      <c r="F19" s="453">
        <v>0</v>
      </c>
      <c r="G19" s="170">
        <v>0</v>
      </c>
      <c r="H19" s="503">
        <f t="shared" si="1"/>
        <v>0</v>
      </c>
      <c r="I19" s="496" t="s">
        <v>114</v>
      </c>
      <c r="J19" s="501" t="s">
        <v>17</v>
      </c>
      <c r="K19" s="501" t="s">
        <v>17</v>
      </c>
      <c r="L19" s="505" t="s">
        <v>17</v>
      </c>
      <c r="M19" s="128" t="s">
        <v>17</v>
      </c>
      <c r="N19" s="128" t="s">
        <v>17</v>
      </c>
      <c r="O19" s="231" t="s">
        <v>17</v>
      </c>
      <c r="P19" s="128">
        <v>0</v>
      </c>
      <c r="Q19" s="128">
        <v>3</v>
      </c>
      <c r="R19" s="231">
        <f>SUM(P19/Q19)*100</f>
        <v>0</v>
      </c>
      <c r="S19" s="128">
        <v>5</v>
      </c>
      <c r="T19" s="128">
        <v>6</v>
      </c>
      <c r="U19" s="231">
        <v>83.333333333333343</v>
      </c>
      <c r="V19" s="41"/>
      <c r="W19" s="121"/>
      <c r="X19" s="121"/>
      <c r="Y19" s="228">
        <v>2</v>
      </c>
      <c r="Z19" s="128">
        <v>2</v>
      </c>
      <c r="AA19" s="231">
        <f>SUM(Y19/Z19)*100</f>
        <v>100</v>
      </c>
      <c r="AB19" s="228">
        <v>10</v>
      </c>
      <c r="AC19" s="128">
        <v>13</v>
      </c>
      <c r="AD19" s="231">
        <f>SUM(AB19/AC19)*100</f>
        <v>76.923076923076934</v>
      </c>
      <c r="AE19" s="228" t="s">
        <v>17</v>
      </c>
      <c r="AF19" s="128" t="s">
        <v>17</v>
      </c>
      <c r="AG19" s="128" t="s">
        <v>17</v>
      </c>
      <c r="AH19" s="228">
        <v>2</v>
      </c>
      <c r="AI19" s="128">
        <v>2</v>
      </c>
      <c r="AJ19" s="231">
        <f>SUM(AH19/AI19)*100</f>
        <v>100</v>
      </c>
      <c r="AK19" s="228">
        <v>0</v>
      </c>
      <c r="AL19" s="128">
        <v>2</v>
      </c>
      <c r="AM19" s="128" t="s">
        <v>17</v>
      </c>
      <c r="AN19" s="245">
        <v>2</v>
      </c>
      <c r="AO19" s="163">
        <v>6</v>
      </c>
      <c r="AP19" s="164">
        <f>SUM(AN19/AO19)*100</f>
        <v>33.333333333333329</v>
      </c>
      <c r="AQ19" s="228" t="s">
        <v>17</v>
      </c>
      <c r="AR19" s="128" t="s">
        <v>17</v>
      </c>
      <c r="AS19" s="128" t="s">
        <v>17</v>
      </c>
      <c r="AT19" s="228" t="s">
        <v>17</v>
      </c>
      <c r="AU19" s="128" t="s">
        <v>17</v>
      </c>
      <c r="AV19" s="128" t="s">
        <v>17</v>
      </c>
    </row>
    <row r="20" spans="1:48" ht="14.95" customHeight="1" thickBot="1" x14ac:dyDescent="0.3">
      <c r="A20" s="496" t="s">
        <v>1013</v>
      </c>
      <c r="B20" s="451">
        <v>0</v>
      </c>
      <c r="C20" s="152">
        <v>0</v>
      </c>
      <c r="D20" s="501">
        <f t="shared" si="0"/>
        <v>0</v>
      </c>
      <c r="E20" s="498" t="s">
        <v>1013</v>
      </c>
      <c r="F20" s="453">
        <v>0</v>
      </c>
      <c r="G20" s="170">
        <v>0</v>
      </c>
      <c r="H20" s="503">
        <f t="shared" si="1"/>
        <v>0</v>
      </c>
      <c r="I20" s="504" t="s">
        <v>364</v>
      </c>
      <c r="J20" s="501" t="s">
        <v>17</v>
      </c>
      <c r="K20" s="501" t="s">
        <v>17</v>
      </c>
      <c r="L20" s="505" t="s">
        <v>17</v>
      </c>
      <c r="M20" s="128">
        <v>14</v>
      </c>
      <c r="N20" s="128">
        <v>16</v>
      </c>
      <c r="O20" s="231">
        <f>SUM(M20/N20)*100</f>
        <v>87.5</v>
      </c>
      <c r="P20" s="128" t="s">
        <v>17</v>
      </c>
      <c r="Q20" s="128" t="s">
        <v>17</v>
      </c>
      <c r="R20" s="231" t="s">
        <v>17</v>
      </c>
      <c r="S20" s="128">
        <v>5</v>
      </c>
      <c r="T20" s="128">
        <v>6</v>
      </c>
      <c r="U20" s="231">
        <v>83.333333333333343</v>
      </c>
      <c r="V20" s="41"/>
      <c r="W20" s="121"/>
      <c r="X20" s="121"/>
      <c r="Y20" s="228">
        <v>4</v>
      </c>
      <c r="Z20" s="128">
        <v>6</v>
      </c>
      <c r="AA20" s="231">
        <f>SUM(Y20/Z20)*100</f>
        <v>66.666666666666657</v>
      </c>
      <c r="AB20" s="228">
        <v>0</v>
      </c>
      <c r="AC20" s="128">
        <v>1</v>
      </c>
      <c r="AD20" s="231">
        <f>SUM(AB20/AC20)*100</f>
        <v>0</v>
      </c>
      <c r="AE20" s="228" t="s">
        <v>17</v>
      </c>
      <c r="AF20" s="128" t="s">
        <v>17</v>
      </c>
      <c r="AG20" s="128" t="s">
        <v>17</v>
      </c>
      <c r="AH20" s="228" t="s">
        <v>17</v>
      </c>
      <c r="AI20" s="128" t="s">
        <v>17</v>
      </c>
      <c r="AJ20" s="128" t="s">
        <v>17</v>
      </c>
      <c r="AK20" s="232" t="s">
        <v>17</v>
      </c>
      <c r="AL20" s="128" t="s">
        <v>17</v>
      </c>
      <c r="AM20" s="128" t="s">
        <v>17</v>
      </c>
      <c r="AN20" s="232" t="s">
        <v>17</v>
      </c>
      <c r="AO20" s="128" t="s">
        <v>17</v>
      </c>
      <c r="AP20" s="128" t="s">
        <v>17</v>
      </c>
      <c r="AQ20" s="128" t="s">
        <v>17</v>
      </c>
      <c r="AR20" s="128" t="s">
        <v>17</v>
      </c>
      <c r="AS20" s="128" t="s">
        <v>17</v>
      </c>
      <c r="AT20" s="128" t="s">
        <v>17</v>
      </c>
      <c r="AU20" s="128" t="s">
        <v>17</v>
      </c>
      <c r="AV20" s="128" t="s">
        <v>17</v>
      </c>
    </row>
    <row r="21" spans="1:48" ht="14.95" customHeight="1" thickBot="1" x14ac:dyDescent="0.3">
      <c r="A21" s="496" t="s">
        <v>417</v>
      </c>
      <c r="B21" s="451">
        <v>0</v>
      </c>
      <c r="C21" s="152">
        <v>0</v>
      </c>
      <c r="D21" s="501">
        <f t="shared" si="0"/>
        <v>0</v>
      </c>
      <c r="E21" s="498" t="s">
        <v>417</v>
      </c>
      <c r="F21" s="453">
        <v>0</v>
      </c>
      <c r="G21" s="170">
        <v>0</v>
      </c>
      <c r="H21" s="503">
        <f t="shared" si="1"/>
        <v>0</v>
      </c>
      <c r="I21" s="504" t="s">
        <v>911</v>
      </c>
      <c r="J21" s="501">
        <v>2</v>
      </c>
      <c r="K21" s="501">
        <v>2</v>
      </c>
      <c r="L21" s="505">
        <f>SUM(J21/K21)*100</f>
        <v>100</v>
      </c>
      <c r="M21" s="128">
        <v>2</v>
      </c>
      <c r="N21" s="128">
        <v>2</v>
      </c>
      <c r="O21" s="231">
        <f>SUM(M21/N21)*100</f>
        <v>100</v>
      </c>
      <c r="P21" s="128" t="s">
        <v>17</v>
      </c>
      <c r="Q21" s="128" t="s">
        <v>17</v>
      </c>
      <c r="R21" s="231" t="s">
        <v>17</v>
      </c>
      <c r="S21" s="128" t="s">
        <v>17</v>
      </c>
      <c r="T21" s="128" t="s">
        <v>17</v>
      </c>
      <c r="U21" s="231" t="s">
        <v>17</v>
      </c>
      <c r="V21" s="41"/>
      <c r="W21" s="121"/>
      <c r="X21" s="121"/>
      <c r="Y21" s="228" t="s">
        <v>17</v>
      </c>
      <c r="Z21" s="128" t="s">
        <v>17</v>
      </c>
      <c r="AA21" s="231" t="s">
        <v>17</v>
      </c>
      <c r="AB21" s="228" t="s">
        <v>17</v>
      </c>
      <c r="AC21" s="128" t="s">
        <v>17</v>
      </c>
      <c r="AD21" s="231" t="s">
        <v>17</v>
      </c>
      <c r="AE21" s="228" t="s">
        <v>17</v>
      </c>
      <c r="AF21" s="128" t="s">
        <v>17</v>
      </c>
      <c r="AG21" s="128" t="s">
        <v>17</v>
      </c>
      <c r="AH21" s="228" t="s">
        <v>17</v>
      </c>
      <c r="AI21" s="128" t="s">
        <v>17</v>
      </c>
      <c r="AJ21" s="128" t="s">
        <v>17</v>
      </c>
      <c r="AK21" s="232" t="s">
        <v>17</v>
      </c>
      <c r="AL21" s="128" t="s">
        <v>17</v>
      </c>
      <c r="AM21" s="128" t="s">
        <v>17</v>
      </c>
      <c r="AN21" s="232" t="s">
        <v>17</v>
      </c>
      <c r="AO21" s="128" t="s">
        <v>17</v>
      </c>
      <c r="AP21" s="128" t="s">
        <v>17</v>
      </c>
      <c r="AQ21" s="128" t="s">
        <v>17</v>
      </c>
      <c r="AR21" s="128" t="s">
        <v>17</v>
      </c>
      <c r="AS21" s="128" t="s">
        <v>17</v>
      </c>
      <c r="AT21" s="128" t="s">
        <v>17</v>
      </c>
      <c r="AU21" s="128" t="s">
        <v>17</v>
      </c>
      <c r="AV21" s="128" t="s">
        <v>17</v>
      </c>
    </row>
    <row r="22" spans="1:48" ht="14.95" customHeight="1" thickBot="1" x14ac:dyDescent="0.3">
      <c r="A22" s="496" t="s">
        <v>721</v>
      </c>
      <c r="B22" s="451">
        <v>0</v>
      </c>
      <c r="C22" s="152">
        <v>0</v>
      </c>
      <c r="D22" s="501">
        <f t="shared" si="0"/>
        <v>0</v>
      </c>
      <c r="E22" s="498" t="s">
        <v>721</v>
      </c>
      <c r="F22" s="453">
        <v>0</v>
      </c>
      <c r="G22" s="170">
        <v>0</v>
      </c>
      <c r="H22" s="503">
        <f t="shared" si="1"/>
        <v>0</v>
      </c>
      <c r="I22" s="504" t="s">
        <v>1333</v>
      </c>
      <c r="J22" s="501">
        <v>15</v>
      </c>
      <c r="K22" s="501">
        <v>21</v>
      </c>
      <c r="L22" s="505">
        <f>SUM(J22/K22)*100</f>
        <v>71.428571428571431</v>
      </c>
      <c r="M22" s="128" t="s">
        <v>17</v>
      </c>
      <c r="N22" s="128" t="s">
        <v>17</v>
      </c>
      <c r="O22" s="231" t="s">
        <v>17</v>
      </c>
      <c r="P22" s="128" t="s">
        <v>17</v>
      </c>
      <c r="Q22" s="128" t="s">
        <v>17</v>
      </c>
      <c r="R22" s="231" t="s">
        <v>17</v>
      </c>
      <c r="S22" s="128" t="s">
        <v>17</v>
      </c>
      <c r="T22" s="128" t="s">
        <v>17</v>
      </c>
      <c r="U22" s="231" t="s">
        <v>17</v>
      </c>
      <c r="V22" s="41"/>
      <c r="W22" s="121"/>
      <c r="X22" s="121"/>
      <c r="Y22" s="228" t="s">
        <v>17</v>
      </c>
      <c r="Z22" s="128" t="s">
        <v>17</v>
      </c>
      <c r="AA22" s="231" t="s">
        <v>17</v>
      </c>
      <c r="AB22" s="228" t="s">
        <v>17</v>
      </c>
      <c r="AC22" s="128" t="s">
        <v>17</v>
      </c>
      <c r="AD22" s="231" t="s">
        <v>17</v>
      </c>
      <c r="AE22" s="228" t="s">
        <v>17</v>
      </c>
      <c r="AF22" s="128" t="s">
        <v>17</v>
      </c>
      <c r="AG22" s="128" t="s">
        <v>17</v>
      </c>
      <c r="AH22" s="228" t="s">
        <v>17</v>
      </c>
      <c r="AI22" s="128" t="s">
        <v>17</v>
      </c>
      <c r="AJ22" s="128" t="s">
        <v>17</v>
      </c>
      <c r="AK22" s="232" t="s">
        <v>17</v>
      </c>
      <c r="AL22" s="128" t="s">
        <v>17</v>
      </c>
      <c r="AM22" s="128" t="s">
        <v>17</v>
      </c>
      <c r="AN22" s="232" t="s">
        <v>17</v>
      </c>
      <c r="AO22" s="128" t="s">
        <v>17</v>
      </c>
      <c r="AP22" s="128" t="s">
        <v>17</v>
      </c>
      <c r="AQ22" s="128" t="s">
        <v>17</v>
      </c>
      <c r="AR22" s="128" t="s">
        <v>17</v>
      </c>
      <c r="AS22" s="128" t="s">
        <v>17</v>
      </c>
      <c r="AT22" s="128" t="s">
        <v>17</v>
      </c>
      <c r="AU22" s="128" t="s">
        <v>17</v>
      </c>
      <c r="AV22" s="128" t="s">
        <v>17</v>
      </c>
    </row>
    <row r="23" spans="1:48" ht="14.95" customHeight="1" thickBot="1" x14ac:dyDescent="0.3">
      <c r="A23" s="496" t="s">
        <v>115</v>
      </c>
      <c r="B23" s="451">
        <v>0</v>
      </c>
      <c r="C23" s="152">
        <v>0</v>
      </c>
      <c r="D23" s="501">
        <f t="shared" si="0"/>
        <v>0</v>
      </c>
      <c r="E23" s="498" t="s">
        <v>115</v>
      </c>
      <c r="F23" s="453">
        <v>0</v>
      </c>
      <c r="G23" s="170">
        <v>0</v>
      </c>
      <c r="H23" s="503">
        <f t="shared" si="1"/>
        <v>0</v>
      </c>
      <c r="I23" s="283"/>
      <c r="J23" s="11"/>
      <c r="K23" s="11"/>
      <c r="L23" s="11"/>
      <c r="M23" s="11"/>
      <c r="N23" s="11"/>
      <c r="O23" s="11"/>
    </row>
    <row r="24" spans="1:48" ht="14.95" customHeight="1" thickBot="1" x14ac:dyDescent="0.3">
      <c r="A24" s="496" t="s">
        <v>154</v>
      </c>
      <c r="B24" s="451">
        <v>0</v>
      </c>
      <c r="C24" s="152">
        <v>0</v>
      </c>
      <c r="D24" s="501">
        <f t="shared" si="0"/>
        <v>0</v>
      </c>
      <c r="E24" s="498" t="s">
        <v>154</v>
      </c>
      <c r="F24" s="453">
        <v>0</v>
      </c>
      <c r="G24" s="170">
        <v>0</v>
      </c>
      <c r="H24" s="503">
        <f t="shared" si="1"/>
        <v>0</v>
      </c>
      <c r="I24" s="577" t="s">
        <v>33</v>
      </c>
      <c r="J24" s="568">
        <v>2023</v>
      </c>
      <c r="K24" s="569"/>
      <c r="L24" s="570"/>
      <c r="M24" s="557">
        <v>2019</v>
      </c>
      <c r="N24" s="563"/>
      <c r="O24" s="564"/>
      <c r="P24" s="557">
        <v>2015</v>
      </c>
      <c r="Q24" s="563"/>
      <c r="R24" s="564"/>
    </row>
    <row r="25" spans="1:48" ht="14.95" customHeight="1" thickBot="1" x14ac:dyDescent="0.3">
      <c r="A25" s="496" t="s">
        <v>433</v>
      </c>
      <c r="B25" s="451">
        <v>0</v>
      </c>
      <c r="C25" s="152">
        <v>0</v>
      </c>
      <c r="D25" s="501">
        <f t="shared" si="0"/>
        <v>0</v>
      </c>
      <c r="E25" s="498" t="s">
        <v>433</v>
      </c>
      <c r="F25" s="453">
        <v>0</v>
      </c>
      <c r="G25" s="170">
        <v>0</v>
      </c>
      <c r="H25" s="503">
        <f t="shared" si="1"/>
        <v>0</v>
      </c>
      <c r="I25" s="578"/>
      <c r="J25" s="571"/>
      <c r="K25" s="572"/>
      <c r="L25" s="573"/>
      <c r="M25" s="565"/>
      <c r="N25" s="566"/>
      <c r="O25" s="567"/>
      <c r="P25" s="565"/>
      <c r="Q25" s="566"/>
      <c r="R25" s="567"/>
    </row>
    <row r="26" spans="1:48" ht="14.95" customHeight="1" thickBot="1" x14ac:dyDescent="0.3">
      <c r="A26" s="496" t="s">
        <v>364</v>
      </c>
      <c r="B26" s="451">
        <v>0</v>
      </c>
      <c r="C26" s="152">
        <v>0</v>
      </c>
      <c r="D26" s="501">
        <f t="shared" si="0"/>
        <v>0</v>
      </c>
      <c r="E26" s="498" t="s">
        <v>364</v>
      </c>
      <c r="F26" s="453">
        <v>0</v>
      </c>
      <c r="G26" s="170">
        <v>0</v>
      </c>
      <c r="H26" s="503">
        <f t="shared" si="1"/>
        <v>0</v>
      </c>
      <c r="I26" s="4"/>
      <c r="J26" s="128" t="s">
        <v>152</v>
      </c>
      <c r="K26" s="128" t="s">
        <v>12</v>
      </c>
      <c r="L26" s="128" t="s">
        <v>13</v>
      </c>
      <c r="M26" s="119" t="s">
        <v>152</v>
      </c>
      <c r="N26" s="119" t="s">
        <v>12</v>
      </c>
      <c r="O26" s="119" t="s">
        <v>13</v>
      </c>
      <c r="P26" s="119" t="s">
        <v>152</v>
      </c>
      <c r="Q26" s="119" t="s">
        <v>12</v>
      </c>
      <c r="R26" s="119" t="s">
        <v>13</v>
      </c>
    </row>
    <row r="27" spans="1:48" ht="14.95" customHeight="1" thickBot="1" x14ac:dyDescent="0.3">
      <c r="A27" s="496" t="s">
        <v>911</v>
      </c>
      <c r="B27" s="451">
        <v>0</v>
      </c>
      <c r="C27" s="152">
        <v>0</v>
      </c>
      <c r="D27" s="501">
        <f t="shared" si="0"/>
        <v>0</v>
      </c>
      <c r="E27" s="498" t="s">
        <v>911</v>
      </c>
      <c r="F27" s="453">
        <v>0</v>
      </c>
      <c r="G27" s="170">
        <v>0</v>
      </c>
      <c r="H27" s="503">
        <f t="shared" si="1"/>
        <v>0</v>
      </c>
      <c r="I27" s="504" t="s">
        <v>561</v>
      </c>
      <c r="J27" s="128">
        <v>14</v>
      </c>
      <c r="K27" s="128">
        <v>19</v>
      </c>
      <c r="L27" s="231">
        <f>SUM(J27/K27)*100</f>
        <v>73.68421052631578</v>
      </c>
      <c r="M27" s="128" t="s">
        <v>17</v>
      </c>
      <c r="N27" s="128" t="s">
        <v>17</v>
      </c>
      <c r="O27" s="231" t="s">
        <v>17</v>
      </c>
      <c r="P27" s="128" t="s">
        <v>17</v>
      </c>
      <c r="Q27" s="128" t="s">
        <v>17</v>
      </c>
      <c r="R27" s="231" t="s">
        <v>17</v>
      </c>
    </row>
    <row r="28" spans="1:48" ht="14.95" customHeight="1" thickBot="1" x14ac:dyDescent="0.3">
      <c r="A28" s="496" t="s">
        <v>719</v>
      </c>
      <c r="B28" s="451">
        <v>0</v>
      </c>
      <c r="C28" s="152">
        <v>0</v>
      </c>
      <c r="D28" s="501">
        <f t="shared" si="0"/>
        <v>0</v>
      </c>
      <c r="E28" s="498" t="s">
        <v>719</v>
      </c>
      <c r="F28" s="453">
        <v>0</v>
      </c>
      <c r="G28" s="170">
        <v>0</v>
      </c>
      <c r="H28" s="503">
        <f t="shared" si="1"/>
        <v>0</v>
      </c>
      <c r="I28" s="496" t="s">
        <v>114</v>
      </c>
      <c r="J28" s="128" t="s">
        <v>17</v>
      </c>
      <c r="K28" s="128" t="s">
        <v>17</v>
      </c>
      <c r="L28" s="231" t="s">
        <v>17</v>
      </c>
      <c r="M28" s="128">
        <v>1</v>
      </c>
      <c r="N28" s="128">
        <v>2</v>
      </c>
      <c r="O28" s="164">
        <f>SUM(M28/N28)*100</f>
        <v>50</v>
      </c>
      <c r="P28" s="128">
        <v>5</v>
      </c>
      <c r="Q28" s="128">
        <v>11</v>
      </c>
      <c r="R28" s="164">
        <f>SUM(P28/Q28)*100</f>
        <v>45.454545454545453</v>
      </c>
    </row>
    <row r="29" spans="1:48" ht="14.95" customHeight="1" thickBot="1" x14ac:dyDescent="0.3">
      <c r="A29" s="496" t="s">
        <v>528</v>
      </c>
      <c r="B29" s="451">
        <v>0</v>
      </c>
      <c r="C29" s="152">
        <v>0</v>
      </c>
      <c r="D29" s="501">
        <f t="shared" si="0"/>
        <v>0</v>
      </c>
      <c r="E29" s="498" t="s">
        <v>528</v>
      </c>
      <c r="F29" s="453">
        <v>0</v>
      </c>
      <c r="G29" s="170">
        <v>0</v>
      </c>
      <c r="H29" s="503">
        <f t="shared" si="1"/>
        <v>0</v>
      </c>
    </row>
    <row r="30" spans="1:48" ht="14.95" customHeight="1" thickBot="1" x14ac:dyDescent="0.3">
      <c r="A30" s="496" t="s">
        <v>1432</v>
      </c>
      <c r="B30" s="451">
        <v>0</v>
      </c>
      <c r="C30" s="152">
        <v>0</v>
      </c>
      <c r="D30" s="501">
        <f t="shared" si="0"/>
        <v>0</v>
      </c>
      <c r="E30" s="498" t="s">
        <v>1432</v>
      </c>
      <c r="F30" s="453">
        <v>0</v>
      </c>
      <c r="G30" s="170">
        <v>0</v>
      </c>
      <c r="H30" s="503">
        <f t="shared" si="1"/>
        <v>0</v>
      </c>
    </row>
    <row r="31" spans="1:48" ht="14.95" customHeight="1" thickBot="1" x14ac:dyDescent="0.3">
      <c r="A31" s="496" t="s">
        <v>1333</v>
      </c>
      <c r="B31" s="451">
        <v>0</v>
      </c>
      <c r="C31" s="152">
        <v>0</v>
      </c>
      <c r="D31" s="501">
        <f t="shared" si="0"/>
        <v>0</v>
      </c>
      <c r="E31" s="498" t="s">
        <v>1333</v>
      </c>
      <c r="F31" s="453">
        <v>0</v>
      </c>
      <c r="G31" s="170">
        <v>0</v>
      </c>
      <c r="H31" s="503">
        <f t="shared" si="1"/>
        <v>0</v>
      </c>
    </row>
    <row r="32" spans="1:48" ht="14.95" customHeight="1" thickBot="1" x14ac:dyDescent="0.3">
      <c r="A32" s="496" t="s">
        <v>1338</v>
      </c>
      <c r="B32" s="451">
        <v>0</v>
      </c>
      <c r="C32" s="152">
        <v>0</v>
      </c>
      <c r="D32" s="501">
        <f t="shared" si="0"/>
        <v>0</v>
      </c>
      <c r="E32" s="498" t="s">
        <v>1338</v>
      </c>
      <c r="F32" s="453">
        <v>0</v>
      </c>
      <c r="G32" s="170">
        <v>0</v>
      </c>
      <c r="H32" s="503">
        <f t="shared" si="1"/>
        <v>0</v>
      </c>
    </row>
    <row r="33" spans="1:8" ht="14.95" customHeight="1" thickBot="1" x14ac:dyDescent="0.3">
      <c r="A33" s="496" t="s">
        <v>1015</v>
      </c>
      <c r="B33" s="451">
        <v>0</v>
      </c>
      <c r="C33" s="152">
        <v>0</v>
      </c>
      <c r="D33" s="501">
        <f t="shared" si="0"/>
        <v>0</v>
      </c>
      <c r="E33" s="498" t="s">
        <v>1015</v>
      </c>
      <c r="F33" s="453">
        <v>0</v>
      </c>
      <c r="G33" s="170">
        <v>0</v>
      </c>
      <c r="H33" s="503">
        <f t="shared" si="1"/>
        <v>0</v>
      </c>
    </row>
    <row r="34" spans="1:8" ht="14.95" customHeight="1" thickBot="1" x14ac:dyDescent="0.3">
      <c r="A34" s="496" t="s">
        <v>4</v>
      </c>
      <c r="B34" s="451">
        <v>0</v>
      </c>
      <c r="C34" s="152">
        <v>0</v>
      </c>
      <c r="D34" s="501">
        <f t="shared" si="0"/>
        <v>0</v>
      </c>
      <c r="E34" s="498" t="s">
        <v>4</v>
      </c>
      <c r="F34" s="453">
        <v>0</v>
      </c>
      <c r="G34" s="170">
        <v>0</v>
      </c>
      <c r="H34" s="503">
        <f t="shared" si="1"/>
        <v>0</v>
      </c>
    </row>
    <row r="35" spans="1:8" ht="14.95" customHeight="1" thickBot="1" x14ac:dyDescent="0.3">
      <c r="A35" s="496" t="s">
        <v>720</v>
      </c>
      <c r="B35" s="451">
        <v>0</v>
      </c>
      <c r="C35" s="152">
        <v>0</v>
      </c>
      <c r="D35" s="501">
        <f t="shared" si="0"/>
        <v>0</v>
      </c>
      <c r="E35" s="498" t="s">
        <v>720</v>
      </c>
      <c r="F35" s="453">
        <v>0</v>
      </c>
      <c r="G35" s="170">
        <v>0</v>
      </c>
      <c r="H35" s="503">
        <f t="shared" si="1"/>
        <v>0</v>
      </c>
    </row>
    <row r="36" spans="1:8" ht="14.95" customHeight="1" thickBot="1" x14ac:dyDescent="0.3">
      <c r="A36" s="496" t="s">
        <v>336</v>
      </c>
      <c r="B36" s="451">
        <v>0</v>
      </c>
      <c r="C36" s="152">
        <v>0</v>
      </c>
      <c r="D36" s="501">
        <f t="shared" si="0"/>
        <v>0</v>
      </c>
      <c r="E36" s="498" t="s">
        <v>336</v>
      </c>
      <c r="F36" s="453">
        <v>0</v>
      </c>
      <c r="G36" s="170">
        <v>0</v>
      </c>
      <c r="H36" s="503">
        <f t="shared" si="1"/>
        <v>0</v>
      </c>
    </row>
    <row r="37" spans="1:8" ht="14.95" customHeight="1" thickBot="1" x14ac:dyDescent="0.3">
      <c r="A37" s="496" t="s">
        <v>1328</v>
      </c>
      <c r="B37" s="451">
        <v>0</v>
      </c>
      <c r="C37" s="152">
        <v>0</v>
      </c>
      <c r="D37" s="501">
        <f t="shared" si="0"/>
        <v>0</v>
      </c>
      <c r="E37" s="498" t="s">
        <v>1328</v>
      </c>
      <c r="F37" s="453">
        <v>0</v>
      </c>
      <c r="G37" s="170">
        <v>0</v>
      </c>
      <c r="H37" s="503">
        <f t="shared" si="1"/>
        <v>0</v>
      </c>
    </row>
    <row r="38" spans="1:8" ht="14.95" customHeight="1" thickBot="1" x14ac:dyDescent="0.3">
      <c r="A38" s="496" t="s">
        <v>81</v>
      </c>
      <c r="B38" s="451">
        <v>0</v>
      </c>
      <c r="C38" s="152">
        <v>0</v>
      </c>
      <c r="D38" s="501">
        <f t="shared" si="0"/>
        <v>0</v>
      </c>
      <c r="E38" s="498" t="s">
        <v>81</v>
      </c>
      <c r="F38" s="453">
        <v>0</v>
      </c>
      <c r="G38" s="170">
        <v>0</v>
      </c>
      <c r="H38" s="503">
        <f t="shared" si="1"/>
        <v>0</v>
      </c>
    </row>
    <row r="39" spans="1:8" ht="14.95" customHeight="1" thickBot="1" x14ac:dyDescent="0.3">
      <c r="A39" s="496" t="s">
        <v>712</v>
      </c>
      <c r="B39" s="451">
        <v>0</v>
      </c>
      <c r="C39" s="152">
        <v>0</v>
      </c>
      <c r="D39" s="501">
        <f t="shared" si="0"/>
        <v>0</v>
      </c>
      <c r="E39" s="498" t="s">
        <v>712</v>
      </c>
      <c r="F39" s="453">
        <v>0</v>
      </c>
      <c r="G39" s="170">
        <v>0</v>
      </c>
      <c r="H39" s="503">
        <f t="shared" si="1"/>
        <v>0</v>
      </c>
    </row>
    <row r="40" spans="1:8" ht="14.95" customHeight="1" thickBot="1" x14ac:dyDescent="0.3">
      <c r="A40" s="496" t="s">
        <v>1142</v>
      </c>
      <c r="B40" s="451">
        <v>0</v>
      </c>
      <c r="C40" s="152">
        <v>0</v>
      </c>
      <c r="D40" s="501">
        <f t="shared" si="0"/>
        <v>0</v>
      </c>
      <c r="E40" s="498" t="s">
        <v>1142</v>
      </c>
      <c r="F40" s="453">
        <v>0</v>
      </c>
      <c r="G40" s="170">
        <v>0</v>
      </c>
      <c r="H40" s="503">
        <f t="shared" si="1"/>
        <v>0</v>
      </c>
    </row>
    <row r="41" spans="1:8" ht="14.95" customHeight="1" thickBot="1" x14ac:dyDescent="0.3">
      <c r="A41" s="496" t="s">
        <v>710</v>
      </c>
      <c r="B41" s="451">
        <v>0</v>
      </c>
      <c r="C41" s="152">
        <v>0</v>
      </c>
      <c r="D41" s="501">
        <f t="shared" si="0"/>
        <v>0</v>
      </c>
      <c r="E41" s="498" t="s">
        <v>710</v>
      </c>
      <c r="F41" s="453">
        <v>0</v>
      </c>
      <c r="G41" s="170">
        <v>0</v>
      </c>
      <c r="H41" s="503">
        <f t="shared" si="1"/>
        <v>0</v>
      </c>
    </row>
    <row r="42" spans="1:8" ht="14.95" thickBot="1" x14ac:dyDescent="0.3">
      <c r="A42" s="496" t="s">
        <v>716</v>
      </c>
      <c r="B42" s="451">
        <v>0</v>
      </c>
      <c r="C42" s="152">
        <v>0</v>
      </c>
      <c r="D42" s="501">
        <f t="shared" si="0"/>
        <v>0</v>
      </c>
      <c r="E42" s="498" t="s">
        <v>716</v>
      </c>
      <c r="F42" s="453">
        <v>0</v>
      </c>
      <c r="G42" s="170">
        <v>0</v>
      </c>
      <c r="H42" s="503">
        <f t="shared" si="1"/>
        <v>0</v>
      </c>
    </row>
    <row r="43" spans="1:8" ht="14.95" thickBot="1" x14ac:dyDescent="0.3">
      <c r="A43" s="496" t="s">
        <v>51</v>
      </c>
      <c r="B43" s="451">
        <v>0</v>
      </c>
      <c r="C43" s="152">
        <v>0</v>
      </c>
      <c r="D43" s="501">
        <f t="shared" si="0"/>
        <v>0</v>
      </c>
      <c r="E43" s="498" t="s">
        <v>51</v>
      </c>
      <c r="F43" s="453">
        <v>0</v>
      </c>
      <c r="G43" s="170">
        <v>0</v>
      </c>
      <c r="H43" s="503">
        <f t="shared" si="1"/>
        <v>0</v>
      </c>
    </row>
    <row r="44" spans="1:8" ht="14.95" thickBot="1" x14ac:dyDescent="0.3">
      <c r="A44" s="496" t="s">
        <v>1331</v>
      </c>
      <c r="B44" s="451">
        <v>0</v>
      </c>
      <c r="C44" s="152">
        <v>0</v>
      </c>
      <c r="D44" s="501">
        <f t="shared" si="0"/>
        <v>0</v>
      </c>
      <c r="E44" s="498" t="s">
        <v>1331</v>
      </c>
      <c r="F44" s="453">
        <v>0</v>
      </c>
      <c r="G44" s="170">
        <v>0</v>
      </c>
      <c r="H44" s="503">
        <f t="shared" si="1"/>
        <v>0</v>
      </c>
    </row>
    <row r="45" spans="1:8" ht="14.95" thickBot="1" x14ac:dyDescent="0.3">
      <c r="A45" s="496" t="s">
        <v>1084</v>
      </c>
      <c r="B45" s="451">
        <v>0</v>
      </c>
      <c r="C45" s="152">
        <v>0</v>
      </c>
      <c r="D45" s="501">
        <f t="shared" si="0"/>
        <v>0</v>
      </c>
      <c r="E45" s="498" t="s">
        <v>1084</v>
      </c>
      <c r="F45" s="453">
        <v>0</v>
      </c>
      <c r="G45" s="170">
        <v>0</v>
      </c>
      <c r="H45" s="503">
        <f t="shared" si="1"/>
        <v>0</v>
      </c>
    </row>
    <row r="46" spans="1:8" ht="14.95" thickBot="1" x14ac:dyDescent="0.3">
      <c r="A46" s="496" t="s">
        <v>1336</v>
      </c>
      <c r="B46" s="451">
        <v>0</v>
      </c>
      <c r="C46" s="152">
        <v>0</v>
      </c>
      <c r="D46" s="501">
        <f t="shared" si="0"/>
        <v>0</v>
      </c>
      <c r="E46" s="498" t="s">
        <v>1336</v>
      </c>
      <c r="F46" s="453">
        <v>0</v>
      </c>
      <c r="G46" s="170">
        <v>0</v>
      </c>
      <c r="H46" s="503">
        <f t="shared" si="1"/>
        <v>0</v>
      </c>
    </row>
    <row r="47" spans="1:8" ht="14.95" thickBot="1" x14ac:dyDescent="0.3">
      <c r="A47" s="496" t="s">
        <v>218</v>
      </c>
      <c r="B47" s="451">
        <v>0</v>
      </c>
      <c r="C47" s="152">
        <v>0</v>
      </c>
      <c r="D47" s="501">
        <f t="shared" si="0"/>
        <v>0</v>
      </c>
      <c r="E47" s="498" t="s">
        <v>218</v>
      </c>
      <c r="F47" s="453">
        <v>0</v>
      </c>
      <c r="G47" s="170">
        <v>0</v>
      </c>
      <c r="H47" s="503">
        <f t="shared" si="1"/>
        <v>0</v>
      </c>
    </row>
    <row r="48" spans="1:8" ht="14.95" thickBot="1" x14ac:dyDescent="0.3">
      <c r="A48" s="496" t="s">
        <v>714</v>
      </c>
      <c r="B48" s="451">
        <v>0</v>
      </c>
      <c r="C48" s="152">
        <v>0</v>
      </c>
      <c r="D48" s="501">
        <f t="shared" si="0"/>
        <v>0</v>
      </c>
      <c r="E48" s="499" t="s">
        <v>714</v>
      </c>
      <c r="F48" s="453">
        <v>0</v>
      </c>
      <c r="G48" s="170">
        <v>0</v>
      </c>
      <c r="H48" s="503">
        <f t="shared" si="1"/>
        <v>0</v>
      </c>
    </row>
    <row r="49" spans="1:8" ht="14.95" thickBot="1" x14ac:dyDescent="0.3">
      <c r="A49" s="496" t="s">
        <v>534</v>
      </c>
      <c r="B49" s="451">
        <v>0</v>
      </c>
      <c r="C49" s="152">
        <v>0</v>
      </c>
      <c r="D49" s="501">
        <f t="shared" si="0"/>
        <v>0</v>
      </c>
      <c r="E49" s="499" t="s">
        <v>534</v>
      </c>
      <c r="F49" s="453">
        <v>0</v>
      </c>
      <c r="G49" s="170">
        <v>0</v>
      </c>
      <c r="H49" s="503">
        <f t="shared" si="1"/>
        <v>0</v>
      </c>
    </row>
    <row r="50" spans="1:8" ht="14.95" thickBot="1" x14ac:dyDescent="0.3">
      <c r="A50" s="496" t="s">
        <v>423</v>
      </c>
      <c r="B50" s="451">
        <v>0</v>
      </c>
      <c r="C50" s="152">
        <v>0</v>
      </c>
      <c r="D50" s="501">
        <f t="shared" si="0"/>
        <v>0</v>
      </c>
      <c r="E50" s="499" t="s">
        <v>423</v>
      </c>
      <c r="F50" s="453">
        <v>0</v>
      </c>
      <c r="G50" s="170">
        <v>0</v>
      </c>
      <c r="H50" s="503">
        <f t="shared" si="1"/>
        <v>0</v>
      </c>
    </row>
    <row r="51" spans="1:8" ht="14.95" thickBot="1" x14ac:dyDescent="0.3">
      <c r="A51" s="496" t="s">
        <v>655</v>
      </c>
      <c r="B51" s="451">
        <v>0</v>
      </c>
      <c r="C51" s="152">
        <v>0</v>
      </c>
      <c r="D51" s="501">
        <f t="shared" si="0"/>
        <v>0</v>
      </c>
      <c r="E51" s="499" t="s">
        <v>655</v>
      </c>
      <c r="F51" s="453">
        <v>0</v>
      </c>
      <c r="G51" s="170">
        <v>0</v>
      </c>
      <c r="H51" s="503">
        <f t="shared" si="1"/>
        <v>0</v>
      </c>
    </row>
    <row r="52" spans="1:8" ht="14.95" thickBot="1" x14ac:dyDescent="0.3">
      <c r="A52" s="496" t="s">
        <v>7</v>
      </c>
      <c r="B52" s="451">
        <v>0</v>
      </c>
      <c r="C52" s="152">
        <v>0</v>
      </c>
      <c r="D52" s="501">
        <f t="shared" si="0"/>
        <v>0</v>
      </c>
      <c r="E52" s="499" t="s">
        <v>7</v>
      </c>
      <c r="F52" s="453">
        <v>0</v>
      </c>
      <c r="G52" s="170">
        <v>0</v>
      </c>
      <c r="H52" s="503">
        <f t="shared" si="1"/>
        <v>0</v>
      </c>
    </row>
    <row r="53" spans="1:8" ht="14.95" thickBot="1" x14ac:dyDescent="0.3">
      <c r="A53" s="496" t="s">
        <v>965</v>
      </c>
      <c r="B53" s="451">
        <v>0</v>
      </c>
      <c r="C53" s="152">
        <v>0</v>
      </c>
      <c r="D53" s="501">
        <f t="shared" si="0"/>
        <v>0</v>
      </c>
      <c r="E53" s="499" t="s">
        <v>965</v>
      </c>
      <c r="F53" s="453">
        <v>0</v>
      </c>
      <c r="G53" s="170">
        <v>0</v>
      </c>
      <c r="H53" s="503">
        <f t="shared" si="1"/>
        <v>0</v>
      </c>
    </row>
    <row r="54" spans="1:8" ht="14.3" customHeight="1" thickBot="1" x14ac:dyDescent="0.3">
      <c r="A54" s="496" t="s">
        <v>3</v>
      </c>
      <c r="B54" s="451">
        <f>SUM(B3:B53)</f>
        <v>0</v>
      </c>
      <c r="C54" s="152">
        <f>SUM(C3:C53)</f>
        <v>0</v>
      </c>
      <c r="D54" s="501">
        <f t="shared" si="0"/>
        <v>0</v>
      </c>
      <c r="E54" s="499" t="s">
        <v>3</v>
      </c>
      <c r="F54" s="453">
        <f>SUM(F3:F53)</f>
        <v>0</v>
      </c>
      <c r="G54" s="170">
        <f>SUM(G3:G53)</f>
        <v>0</v>
      </c>
      <c r="H54" s="503">
        <f t="shared" si="1"/>
        <v>0</v>
      </c>
    </row>
    <row r="55" spans="1:8" ht="16.3" x14ac:dyDescent="0.25">
      <c r="C55" s="278"/>
      <c r="E55" s="12"/>
      <c r="F55" s="13"/>
      <c r="G55" s="276"/>
      <c r="H55" s="14"/>
    </row>
    <row r="56" spans="1:8" x14ac:dyDescent="0.25">
      <c r="A56" t="s">
        <v>15</v>
      </c>
      <c r="C56" s="278"/>
      <c r="E56" s="151"/>
      <c r="F56" s="151"/>
      <c r="G56" s="277"/>
      <c r="H56" s="151"/>
    </row>
    <row r="57" spans="1:8" ht="16.3" x14ac:dyDescent="0.3">
      <c r="A57" s="487" t="s">
        <v>28</v>
      </c>
      <c r="C57" s="390"/>
      <c r="E57" s="390"/>
      <c r="G57" s="390"/>
    </row>
  </sheetData>
  <mergeCells count="32">
    <mergeCell ref="M1:O2"/>
    <mergeCell ref="J1:L2"/>
    <mergeCell ref="Q1:S2"/>
    <mergeCell ref="M13:O14"/>
    <mergeCell ref="I24:I25"/>
    <mergeCell ref="J24:L25"/>
    <mergeCell ref="M24:O25"/>
    <mergeCell ref="P24:R25"/>
    <mergeCell ref="I1:I2"/>
    <mergeCell ref="I13:I14"/>
    <mergeCell ref="J13:L14"/>
    <mergeCell ref="AB13:AD14"/>
    <mergeCell ref="P1:P2"/>
    <mergeCell ref="T1:V2"/>
    <mergeCell ref="P13:R14"/>
    <mergeCell ref="AB1:AD2"/>
    <mergeCell ref="Y13:AA14"/>
    <mergeCell ref="V13:V14"/>
    <mergeCell ref="S13:U14"/>
    <mergeCell ref="Y1:AA2"/>
    <mergeCell ref="AN1:AP2"/>
    <mergeCell ref="AH1:AJ2"/>
    <mergeCell ref="AK13:AM14"/>
    <mergeCell ref="AE13:AG14"/>
    <mergeCell ref="AT1:AV2"/>
    <mergeCell ref="AQ1:AS2"/>
    <mergeCell ref="AK1:AM2"/>
    <mergeCell ref="AH13:AJ14"/>
    <mergeCell ref="AT13:AV14"/>
    <mergeCell ref="AN13:AP14"/>
    <mergeCell ref="AQ13:AS14"/>
    <mergeCell ref="AE1:AG2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Q94"/>
  <sheetViews>
    <sheetView workbookViewId="0">
      <selection activeCell="W14" sqref="W14"/>
    </sheetView>
  </sheetViews>
  <sheetFormatPr defaultRowHeight="14.3" x14ac:dyDescent="0.25"/>
  <cols>
    <col min="1" max="1" width="16.5" customWidth="1"/>
    <col min="2" max="2" width="4.625" customWidth="1"/>
    <col min="3" max="3" width="4.5" customWidth="1"/>
    <col min="4" max="4" width="4.625" customWidth="1"/>
    <col min="5" max="5" width="16.5" customWidth="1"/>
    <col min="6" max="6" width="4.625" customWidth="1"/>
    <col min="7" max="8" width="5.375" customWidth="1"/>
    <col min="9" max="9" width="15.5" bestFit="1" customWidth="1"/>
    <col min="10" max="22" width="5.5" customWidth="1"/>
    <col min="23" max="37" width="5.625" customWidth="1"/>
  </cols>
  <sheetData>
    <row r="1" spans="1:43" ht="14.95" customHeight="1" thickBot="1" x14ac:dyDescent="0.3">
      <c r="A1" s="636" t="s">
        <v>1156</v>
      </c>
      <c r="B1" s="637"/>
      <c r="C1" s="637"/>
      <c r="D1" s="637"/>
      <c r="E1" s="637"/>
      <c r="F1" s="637"/>
      <c r="G1" s="637"/>
      <c r="H1" s="638"/>
      <c r="I1" s="639" t="s">
        <v>112</v>
      </c>
      <c r="J1" s="583">
        <v>2025</v>
      </c>
      <c r="K1" s="584"/>
      <c r="L1" s="585"/>
      <c r="M1" s="583" t="s">
        <v>32</v>
      </c>
      <c r="N1" s="584"/>
      <c r="O1" s="585"/>
      <c r="P1" s="579" t="s">
        <v>121</v>
      </c>
      <c r="Q1" s="568">
        <v>2024</v>
      </c>
      <c r="R1" s="569"/>
      <c r="S1" s="570"/>
      <c r="T1" s="568">
        <v>2023</v>
      </c>
      <c r="U1" s="569"/>
      <c r="V1" s="570"/>
      <c r="W1" s="563"/>
      <c r="X1" s="563"/>
      <c r="Y1" s="563"/>
      <c r="Z1" s="557">
        <v>2022</v>
      </c>
      <c r="AA1" s="563"/>
      <c r="AB1" s="564"/>
      <c r="AC1" s="557">
        <v>2021</v>
      </c>
      <c r="AD1" s="563"/>
      <c r="AE1" s="564"/>
      <c r="AF1" s="557">
        <v>2020</v>
      </c>
      <c r="AG1" s="563"/>
      <c r="AH1" s="564"/>
      <c r="AI1" s="557">
        <v>2019</v>
      </c>
      <c r="AJ1" s="563"/>
      <c r="AK1" s="564"/>
      <c r="AL1" s="557">
        <v>2018</v>
      </c>
      <c r="AM1" s="563"/>
      <c r="AN1" s="564"/>
      <c r="AO1" s="557">
        <v>2017</v>
      </c>
      <c r="AP1" s="563"/>
      <c r="AQ1" s="564"/>
    </row>
    <row r="2" spans="1:43" ht="14.95" customHeight="1" thickBot="1" x14ac:dyDescent="0.3">
      <c r="A2" s="186" t="s">
        <v>0</v>
      </c>
      <c r="B2" s="392" t="s">
        <v>936</v>
      </c>
      <c r="C2" s="393" t="s">
        <v>31</v>
      </c>
      <c r="D2" s="187" t="s">
        <v>1</v>
      </c>
      <c r="E2" s="175" t="s">
        <v>2</v>
      </c>
      <c r="F2" s="391" t="s">
        <v>936</v>
      </c>
      <c r="G2" s="87" t="s">
        <v>31</v>
      </c>
      <c r="H2" s="178" t="s">
        <v>1</v>
      </c>
      <c r="I2" s="640"/>
      <c r="J2" s="586"/>
      <c r="K2" s="587"/>
      <c r="L2" s="588"/>
      <c r="M2" s="586"/>
      <c r="N2" s="587"/>
      <c r="O2" s="588"/>
      <c r="P2" s="580"/>
      <c r="Q2" s="571"/>
      <c r="R2" s="572"/>
      <c r="S2" s="573"/>
      <c r="T2" s="571"/>
      <c r="U2" s="572"/>
      <c r="V2" s="573"/>
      <c r="W2" s="616"/>
      <c r="X2" s="616"/>
      <c r="Y2" s="616"/>
      <c r="Z2" s="565"/>
      <c r="AA2" s="566"/>
      <c r="AB2" s="567"/>
      <c r="AC2" s="565"/>
      <c r="AD2" s="566"/>
      <c r="AE2" s="567"/>
      <c r="AF2" s="565"/>
      <c r="AG2" s="566"/>
      <c r="AH2" s="567"/>
      <c r="AI2" s="565"/>
      <c r="AJ2" s="566"/>
      <c r="AK2" s="567"/>
      <c r="AL2" s="565"/>
      <c r="AM2" s="566"/>
      <c r="AN2" s="567"/>
      <c r="AO2" s="565"/>
      <c r="AP2" s="566"/>
      <c r="AQ2" s="567"/>
    </row>
    <row r="3" spans="1:43" ht="14.95" customHeight="1" thickBot="1" x14ac:dyDescent="0.3">
      <c r="A3" s="72" t="s">
        <v>263</v>
      </c>
      <c r="B3" s="352">
        <v>4</v>
      </c>
      <c r="C3" s="394">
        <v>0</v>
      </c>
      <c r="D3" s="73">
        <f>SUM(B3:C3)</f>
        <v>4</v>
      </c>
      <c r="E3" s="25" t="s">
        <v>263</v>
      </c>
      <c r="F3" s="306">
        <v>20</v>
      </c>
      <c r="G3" s="34">
        <v>0</v>
      </c>
      <c r="H3" s="27">
        <f>SUM(F3:G3)</f>
        <v>20</v>
      </c>
      <c r="I3" s="4"/>
      <c r="J3" s="53" t="s">
        <v>152</v>
      </c>
      <c r="K3" s="53" t="s">
        <v>12</v>
      </c>
      <c r="L3" s="53" t="s">
        <v>13</v>
      </c>
      <c r="M3" s="181" t="s">
        <v>152</v>
      </c>
      <c r="N3" s="53" t="s">
        <v>12</v>
      </c>
      <c r="O3" s="53" t="s">
        <v>13</v>
      </c>
      <c r="P3" s="1"/>
      <c r="Q3" s="128" t="s">
        <v>152</v>
      </c>
      <c r="R3" s="128" t="s">
        <v>12</v>
      </c>
      <c r="S3" s="128" t="s">
        <v>13</v>
      </c>
      <c r="T3" s="128" t="s">
        <v>152</v>
      </c>
      <c r="U3" s="128" t="s">
        <v>12</v>
      </c>
      <c r="V3" s="128" t="s">
        <v>13</v>
      </c>
      <c r="W3" s="41"/>
      <c r="X3" s="41"/>
      <c r="Y3" s="41"/>
      <c r="Z3" s="228" t="s">
        <v>152</v>
      </c>
      <c r="AA3" s="128" t="s">
        <v>12</v>
      </c>
      <c r="AB3" s="128" t="s">
        <v>13</v>
      </c>
      <c r="AC3" s="228" t="s">
        <v>152</v>
      </c>
      <c r="AD3" s="128" t="s">
        <v>12</v>
      </c>
      <c r="AE3" s="128" t="s">
        <v>13</v>
      </c>
      <c r="AF3" s="228" t="s">
        <v>152</v>
      </c>
      <c r="AG3" s="128" t="s">
        <v>12</v>
      </c>
      <c r="AH3" s="128" t="s">
        <v>13</v>
      </c>
      <c r="AI3" s="228" t="s">
        <v>152</v>
      </c>
      <c r="AJ3" s="128" t="s">
        <v>12</v>
      </c>
      <c r="AK3" s="128" t="s">
        <v>13</v>
      </c>
      <c r="AL3" s="228" t="s">
        <v>152</v>
      </c>
      <c r="AM3" s="128" t="s">
        <v>12</v>
      </c>
      <c r="AN3" s="128" t="s">
        <v>13</v>
      </c>
      <c r="AO3" s="128" t="s">
        <v>152</v>
      </c>
      <c r="AP3" s="128" t="s">
        <v>12</v>
      </c>
      <c r="AQ3" s="128" t="s">
        <v>13</v>
      </c>
    </row>
    <row r="4" spans="1:43" ht="14.95" customHeight="1" thickBot="1" x14ac:dyDescent="0.3">
      <c r="A4" s="72" t="s">
        <v>198</v>
      </c>
      <c r="B4" s="352">
        <v>0</v>
      </c>
      <c r="C4" s="394">
        <v>0</v>
      </c>
      <c r="D4" s="73">
        <f t="shared" ref="D4:D46" si="0">SUM(B4:C4)</f>
        <v>0</v>
      </c>
      <c r="E4" s="26" t="s">
        <v>198</v>
      </c>
      <c r="F4" s="306">
        <v>0</v>
      </c>
      <c r="G4" s="34">
        <v>0</v>
      </c>
      <c r="H4" s="27">
        <f t="shared" ref="H4:H46" si="1">SUM(F4:G4)</f>
        <v>0</v>
      </c>
      <c r="I4" s="72" t="s">
        <v>519</v>
      </c>
      <c r="J4" s="73" t="s">
        <v>17</v>
      </c>
      <c r="K4" s="73" t="s">
        <v>17</v>
      </c>
      <c r="L4" s="80" t="s">
        <v>17</v>
      </c>
      <c r="M4" s="73" t="s">
        <v>17</v>
      </c>
      <c r="N4" s="73" t="s">
        <v>17</v>
      </c>
      <c r="O4" s="80" t="s">
        <v>17</v>
      </c>
      <c r="P4" s="73">
        <v>2</v>
      </c>
      <c r="Q4" s="128" t="s">
        <v>17</v>
      </c>
      <c r="R4" s="128" t="s">
        <v>17</v>
      </c>
      <c r="S4" s="231" t="s">
        <v>17</v>
      </c>
      <c r="T4" s="128" t="s">
        <v>17</v>
      </c>
      <c r="U4" s="128" t="s">
        <v>17</v>
      </c>
      <c r="V4" s="231" t="s">
        <v>17</v>
      </c>
      <c r="W4" s="41"/>
      <c r="X4" s="41"/>
      <c r="Y4" s="43"/>
      <c r="Z4" s="228">
        <v>2</v>
      </c>
      <c r="AA4" s="128">
        <v>2</v>
      </c>
      <c r="AB4" s="231">
        <f>SUM(Z4/AA4)*100</f>
        <v>100</v>
      </c>
      <c r="AC4" s="228" t="s">
        <v>17</v>
      </c>
      <c r="AD4" s="128" t="s">
        <v>17</v>
      </c>
      <c r="AE4" s="231" t="s">
        <v>17</v>
      </c>
      <c r="AF4" s="228" t="s">
        <v>17</v>
      </c>
      <c r="AG4" s="128" t="s">
        <v>17</v>
      </c>
      <c r="AH4" s="231" t="s">
        <v>17</v>
      </c>
      <c r="AI4" s="228" t="s">
        <v>17</v>
      </c>
      <c r="AJ4" s="128" t="s">
        <v>17</v>
      </c>
      <c r="AK4" s="231" t="s">
        <v>17</v>
      </c>
      <c r="AL4" s="228" t="s">
        <v>17</v>
      </c>
      <c r="AM4" s="128" t="s">
        <v>17</v>
      </c>
      <c r="AN4" s="128" t="s">
        <v>17</v>
      </c>
      <c r="AO4" s="128" t="s">
        <v>17</v>
      </c>
      <c r="AP4" s="128" t="s">
        <v>17</v>
      </c>
      <c r="AQ4" s="128" t="s">
        <v>17</v>
      </c>
    </row>
    <row r="5" spans="1:43" ht="14.95" customHeight="1" thickBot="1" x14ac:dyDescent="0.3">
      <c r="A5" s="72" t="s">
        <v>992</v>
      </c>
      <c r="B5" s="352">
        <v>0</v>
      </c>
      <c r="C5" s="394">
        <v>0</v>
      </c>
      <c r="D5" s="73">
        <f t="shared" si="0"/>
        <v>0</v>
      </c>
      <c r="E5" s="26" t="s">
        <v>992</v>
      </c>
      <c r="F5" s="306">
        <v>0</v>
      </c>
      <c r="G5" s="34">
        <v>0</v>
      </c>
      <c r="H5" s="27">
        <f t="shared" si="1"/>
        <v>0</v>
      </c>
      <c r="I5" s="72" t="s">
        <v>395</v>
      </c>
      <c r="J5" s="73">
        <v>1</v>
      </c>
      <c r="K5" s="73">
        <v>4</v>
      </c>
      <c r="L5" s="80">
        <f>SUM(J5/K5)*100</f>
        <v>25</v>
      </c>
      <c r="M5" s="73" t="s">
        <v>17</v>
      </c>
      <c r="N5" s="73" t="s">
        <v>17</v>
      </c>
      <c r="O5" s="80" t="s">
        <v>17</v>
      </c>
      <c r="P5" s="73">
        <v>-3</v>
      </c>
      <c r="Q5" s="128" t="s">
        <v>17</v>
      </c>
      <c r="R5" s="128" t="s">
        <v>17</v>
      </c>
      <c r="S5" s="231" t="s">
        <v>17</v>
      </c>
      <c r="T5" s="128" t="s">
        <v>17</v>
      </c>
      <c r="U5" s="128" t="s">
        <v>17</v>
      </c>
      <c r="V5" s="231" t="s">
        <v>17</v>
      </c>
      <c r="W5" s="41"/>
      <c r="X5" s="41"/>
      <c r="Y5" s="43"/>
      <c r="Z5" s="228">
        <v>16</v>
      </c>
      <c r="AA5" s="128">
        <v>16</v>
      </c>
      <c r="AB5" s="231">
        <f>SUM(Z5/AA5)*100</f>
        <v>100</v>
      </c>
      <c r="AC5" s="228">
        <v>1</v>
      </c>
      <c r="AD5" s="128">
        <v>1</v>
      </c>
      <c r="AE5" s="231">
        <f>SUM(AC5/AD5)*100</f>
        <v>100</v>
      </c>
      <c r="AF5" s="228" t="s">
        <v>17</v>
      </c>
      <c r="AG5" s="128" t="s">
        <v>17</v>
      </c>
      <c r="AH5" s="231" t="s">
        <v>17</v>
      </c>
      <c r="AI5" s="228" t="s">
        <v>17</v>
      </c>
      <c r="AJ5" s="128" t="s">
        <v>17</v>
      </c>
      <c r="AK5" s="231" t="s">
        <v>17</v>
      </c>
      <c r="AL5" s="228" t="s">
        <v>17</v>
      </c>
      <c r="AM5" s="128" t="s">
        <v>17</v>
      </c>
      <c r="AN5" s="128" t="s">
        <v>17</v>
      </c>
      <c r="AO5" s="128" t="s">
        <v>17</v>
      </c>
      <c r="AP5" s="128" t="s">
        <v>17</v>
      </c>
      <c r="AQ5" s="128" t="s">
        <v>17</v>
      </c>
    </row>
    <row r="6" spans="1:43" ht="14.95" customHeight="1" thickBot="1" x14ac:dyDescent="0.3">
      <c r="A6" s="72" t="s">
        <v>52</v>
      </c>
      <c r="B6" s="352">
        <v>0</v>
      </c>
      <c r="C6" s="394">
        <v>0</v>
      </c>
      <c r="D6" s="73">
        <f t="shared" si="0"/>
        <v>0</v>
      </c>
      <c r="E6" s="26" t="s">
        <v>52</v>
      </c>
      <c r="F6" s="306">
        <v>0</v>
      </c>
      <c r="G6" s="34">
        <v>0</v>
      </c>
      <c r="H6" s="27">
        <f t="shared" si="1"/>
        <v>0</v>
      </c>
      <c r="I6" s="72" t="s">
        <v>322</v>
      </c>
      <c r="J6" s="73">
        <v>24</v>
      </c>
      <c r="K6" s="73">
        <v>28</v>
      </c>
      <c r="L6" s="80">
        <f>SUM(J6/K6)*100</f>
        <v>85.714285714285708</v>
      </c>
      <c r="M6" s="73">
        <v>1</v>
      </c>
      <c r="N6" s="73">
        <v>1</v>
      </c>
      <c r="O6" s="80">
        <f>SUM(M6/N6)*100</f>
        <v>100</v>
      </c>
      <c r="P6" s="73">
        <v>13</v>
      </c>
      <c r="Q6" s="128">
        <v>23</v>
      </c>
      <c r="R6" s="128">
        <v>28</v>
      </c>
      <c r="S6" s="231">
        <f>SUM(Q6/R6)*100</f>
        <v>82.142857142857139</v>
      </c>
      <c r="T6" s="128">
        <v>2</v>
      </c>
      <c r="U6" s="128">
        <v>3</v>
      </c>
      <c r="V6" s="231">
        <f>SUM(T6/U6)*100</f>
        <v>66.666666666666657</v>
      </c>
      <c r="W6" s="41"/>
      <c r="X6" s="41"/>
      <c r="Y6" s="43"/>
      <c r="Z6" s="228">
        <v>9</v>
      </c>
      <c r="AA6" s="128">
        <v>9</v>
      </c>
      <c r="AB6" s="231" t="s">
        <v>17</v>
      </c>
      <c r="AC6" s="228">
        <v>16</v>
      </c>
      <c r="AD6" s="128">
        <v>20</v>
      </c>
      <c r="AE6" s="231">
        <f>SUM(AC6/AD6)*100</f>
        <v>80</v>
      </c>
      <c r="AF6" s="228" t="s">
        <v>17</v>
      </c>
      <c r="AG6" s="128" t="s">
        <v>17</v>
      </c>
      <c r="AH6" s="231" t="s">
        <v>17</v>
      </c>
      <c r="AI6" s="228">
        <v>5</v>
      </c>
      <c r="AJ6" s="128">
        <v>7</v>
      </c>
      <c r="AK6" s="231">
        <f>SUM(AI6/AJ6)*100</f>
        <v>71.428571428571431</v>
      </c>
      <c r="AL6" s="228" t="s">
        <v>17</v>
      </c>
      <c r="AM6" s="128" t="s">
        <v>17</v>
      </c>
      <c r="AN6" s="231" t="s">
        <v>17</v>
      </c>
      <c r="AO6" s="128" t="s">
        <v>17</v>
      </c>
      <c r="AP6" s="128" t="s">
        <v>17</v>
      </c>
      <c r="AQ6" s="128" t="s">
        <v>17</v>
      </c>
    </row>
    <row r="7" spans="1:43" ht="14.95" customHeight="1" thickBot="1" x14ac:dyDescent="0.3">
      <c r="A7" s="72" t="s">
        <v>519</v>
      </c>
      <c r="B7" s="352">
        <v>0</v>
      </c>
      <c r="C7" s="394">
        <v>0</v>
      </c>
      <c r="D7" s="73">
        <f t="shared" si="0"/>
        <v>0</v>
      </c>
      <c r="E7" s="26" t="s">
        <v>519</v>
      </c>
      <c r="F7" s="306">
        <v>0</v>
      </c>
      <c r="G7" s="34">
        <v>0</v>
      </c>
      <c r="H7" s="27">
        <f t="shared" si="1"/>
        <v>0</v>
      </c>
      <c r="I7" s="72" t="s">
        <v>458</v>
      </c>
      <c r="J7" s="73" t="s">
        <v>17</v>
      </c>
      <c r="K7" s="73" t="s">
        <v>17</v>
      </c>
      <c r="L7" s="80" t="s">
        <v>17</v>
      </c>
      <c r="M7" s="73" t="s">
        <v>17</v>
      </c>
      <c r="N7" s="73" t="s">
        <v>17</v>
      </c>
      <c r="O7" s="80" t="s">
        <v>17</v>
      </c>
      <c r="P7" s="73">
        <v>-1</v>
      </c>
      <c r="Q7" s="128" t="s">
        <v>17</v>
      </c>
      <c r="R7" s="128" t="s">
        <v>17</v>
      </c>
      <c r="S7" s="231" t="s">
        <v>17</v>
      </c>
      <c r="T7" s="128" t="s">
        <v>17</v>
      </c>
      <c r="U7" s="128" t="s">
        <v>17</v>
      </c>
      <c r="V7" s="231" t="s">
        <v>17</v>
      </c>
      <c r="W7" s="41"/>
      <c r="X7" s="41"/>
      <c r="Y7" s="43"/>
      <c r="Z7" s="228" t="s">
        <v>17</v>
      </c>
      <c r="AA7" s="128" t="s">
        <v>17</v>
      </c>
      <c r="AB7" s="231" t="s">
        <v>17</v>
      </c>
      <c r="AC7" s="228">
        <v>3</v>
      </c>
      <c r="AD7" s="128">
        <v>4</v>
      </c>
      <c r="AE7" s="231">
        <f>SUM(AC7/AD7)*100</f>
        <v>75</v>
      </c>
      <c r="AF7" s="228" t="s">
        <v>17</v>
      </c>
      <c r="AG7" s="128" t="s">
        <v>17</v>
      </c>
      <c r="AH7" s="231" t="s">
        <v>17</v>
      </c>
      <c r="AI7" s="228" t="s">
        <v>17</v>
      </c>
      <c r="AJ7" s="128" t="s">
        <v>17</v>
      </c>
      <c r="AK7" s="231" t="s">
        <v>17</v>
      </c>
      <c r="AL7" s="228">
        <v>10</v>
      </c>
      <c r="AM7" s="128">
        <v>14</v>
      </c>
      <c r="AN7" s="231">
        <f>SUM(AL7/AM7)*100</f>
        <v>71.428571428571431</v>
      </c>
      <c r="AO7" s="163">
        <v>5</v>
      </c>
      <c r="AP7" s="163">
        <v>9</v>
      </c>
      <c r="AQ7" s="231">
        <f>SUM(AO7/AP7)*100</f>
        <v>55.555555555555557</v>
      </c>
    </row>
    <row r="8" spans="1:43" ht="14.95" customHeight="1" thickBot="1" x14ac:dyDescent="0.3">
      <c r="A8" s="72" t="s">
        <v>10</v>
      </c>
      <c r="B8" s="352">
        <v>0</v>
      </c>
      <c r="C8" s="394">
        <v>0</v>
      </c>
      <c r="D8" s="73">
        <f t="shared" si="0"/>
        <v>0</v>
      </c>
      <c r="E8" s="26" t="s">
        <v>10</v>
      </c>
      <c r="F8" s="306">
        <v>0</v>
      </c>
      <c r="G8" s="34">
        <v>0</v>
      </c>
      <c r="H8" s="27">
        <f t="shared" si="1"/>
        <v>0</v>
      </c>
      <c r="I8" s="72" t="s">
        <v>129</v>
      </c>
      <c r="J8" s="73">
        <v>5</v>
      </c>
      <c r="K8" s="73">
        <v>7</v>
      </c>
      <c r="L8" s="80">
        <f>SUM(J8/K8)*100</f>
        <v>71.428571428571431</v>
      </c>
      <c r="M8" s="73">
        <v>5</v>
      </c>
      <c r="N8" s="73">
        <v>7</v>
      </c>
      <c r="O8" s="80">
        <f>SUM(M8/N8)*100</f>
        <v>71.428571428571431</v>
      </c>
      <c r="P8" s="73">
        <v>1</v>
      </c>
      <c r="Q8" s="128" t="s">
        <v>17</v>
      </c>
      <c r="R8" s="128" t="s">
        <v>17</v>
      </c>
      <c r="S8" s="231" t="s">
        <v>17</v>
      </c>
      <c r="T8" s="128" t="s">
        <v>17</v>
      </c>
      <c r="U8" s="128" t="s">
        <v>17</v>
      </c>
      <c r="V8" s="231" t="s">
        <v>17</v>
      </c>
      <c r="W8" s="41"/>
      <c r="X8" s="41"/>
      <c r="Y8" s="43"/>
      <c r="Z8" s="228" t="s">
        <v>17</v>
      </c>
      <c r="AA8" s="128" t="s">
        <v>17</v>
      </c>
      <c r="AB8" s="231" t="s">
        <v>17</v>
      </c>
      <c r="AC8" s="228">
        <v>5</v>
      </c>
      <c r="AD8" s="128">
        <v>9</v>
      </c>
      <c r="AE8" s="231">
        <f>SUM(AC8/AD8)*100</f>
        <v>55.555555555555557</v>
      </c>
      <c r="AF8" s="228" t="s">
        <v>17</v>
      </c>
      <c r="AG8" s="128" t="s">
        <v>17</v>
      </c>
      <c r="AH8" s="231" t="s">
        <v>17</v>
      </c>
      <c r="AI8" s="228" t="s">
        <v>17</v>
      </c>
      <c r="AJ8" s="128" t="s">
        <v>17</v>
      </c>
      <c r="AK8" s="231" t="s">
        <v>17</v>
      </c>
      <c r="AL8" s="228" t="s">
        <v>17</v>
      </c>
      <c r="AM8" s="128" t="s">
        <v>17</v>
      </c>
      <c r="AN8" s="128" t="s">
        <v>17</v>
      </c>
      <c r="AO8" s="163">
        <v>4</v>
      </c>
      <c r="AP8" s="163">
        <v>6</v>
      </c>
      <c r="AQ8" s="231">
        <f>SUM(AO8/AP8)*100</f>
        <v>66.666666666666657</v>
      </c>
    </row>
    <row r="9" spans="1:43" ht="15.8" customHeight="1" thickBot="1" x14ac:dyDescent="0.3">
      <c r="A9" s="72" t="s">
        <v>403</v>
      </c>
      <c r="B9" s="352">
        <v>0</v>
      </c>
      <c r="C9" s="394">
        <v>0</v>
      </c>
      <c r="D9" s="73">
        <f t="shared" si="0"/>
        <v>0</v>
      </c>
      <c r="E9" s="26" t="s">
        <v>403</v>
      </c>
      <c r="F9" s="306">
        <v>0</v>
      </c>
      <c r="G9" s="34">
        <v>0</v>
      </c>
      <c r="H9" s="27">
        <f t="shared" si="1"/>
        <v>0</v>
      </c>
      <c r="I9" s="72" t="s">
        <v>265</v>
      </c>
      <c r="J9" s="73" t="s">
        <v>17</v>
      </c>
      <c r="K9" s="73" t="s">
        <v>17</v>
      </c>
      <c r="L9" s="80" t="s">
        <v>17</v>
      </c>
      <c r="M9" s="73" t="s">
        <v>17</v>
      </c>
      <c r="N9" s="73" t="s">
        <v>17</v>
      </c>
      <c r="O9" s="80" t="s">
        <v>17</v>
      </c>
      <c r="P9" s="73">
        <v>-2</v>
      </c>
      <c r="Q9" s="128" t="s">
        <v>17</v>
      </c>
      <c r="R9" s="128" t="s">
        <v>17</v>
      </c>
      <c r="S9" s="231" t="s">
        <v>17</v>
      </c>
      <c r="T9" s="128" t="s">
        <v>17</v>
      </c>
      <c r="U9" s="128" t="s">
        <v>17</v>
      </c>
      <c r="V9" s="231" t="s">
        <v>17</v>
      </c>
      <c r="W9" s="41"/>
      <c r="X9" s="41"/>
      <c r="Y9" s="43"/>
      <c r="Z9" s="228" t="s">
        <v>17</v>
      </c>
      <c r="AA9" s="128" t="s">
        <v>17</v>
      </c>
      <c r="AB9" s="231" t="s">
        <v>17</v>
      </c>
      <c r="AC9" s="228" t="s">
        <v>17</v>
      </c>
      <c r="AD9" s="128" t="s">
        <v>17</v>
      </c>
      <c r="AE9" s="231" t="s">
        <v>17</v>
      </c>
      <c r="AF9" s="228" t="s">
        <v>17</v>
      </c>
      <c r="AG9" s="128" t="s">
        <v>17</v>
      </c>
      <c r="AH9" s="231" t="s">
        <v>17</v>
      </c>
      <c r="AI9" s="228">
        <v>1</v>
      </c>
      <c r="AJ9" s="128">
        <v>5</v>
      </c>
      <c r="AK9" s="231">
        <f>SUM(AI9/AJ9)*100</f>
        <v>20</v>
      </c>
      <c r="AL9" s="228">
        <v>1</v>
      </c>
      <c r="AM9" s="128">
        <v>1</v>
      </c>
      <c r="AN9" s="231">
        <f>SUM(AL9/AM9)*100</f>
        <v>100</v>
      </c>
      <c r="AO9" s="128" t="s">
        <v>17</v>
      </c>
      <c r="AP9" s="128" t="s">
        <v>17</v>
      </c>
      <c r="AQ9" s="128" t="s">
        <v>17</v>
      </c>
    </row>
    <row r="10" spans="1:43" ht="14.95" customHeight="1" thickBot="1" x14ac:dyDescent="0.3">
      <c r="A10" s="72" t="s">
        <v>138</v>
      </c>
      <c r="B10" s="352">
        <v>0</v>
      </c>
      <c r="C10" s="394">
        <v>0</v>
      </c>
      <c r="D10" s="73">
        <f t="shared" si="0"/>
        <v>0</v>
      </c>
      <c r="E10" s="26" t="s">
        <v>138</v>
      </c>
      <c r="F10" s="306">
        <v>0</v>
      </c>
      <c r="G10" s="34">
        <v>0</v>
      </c>
      <c r="H10" s="27">
        <f t="shared" si="1"/>
        <v>0</v>
      </c>
      <c r="I10" s="137"/>
      <c r="J10" s="138"/>
      <c r="K10" s="38"/>
      <c r="L10" s="24"/>
      <c r="M10" s="140"/>
      <c r="N10" s="38"/>
      <c r="O10" s="24"/>
      <c r="P10" s="140"/>
    </row>
    <row r="11" spans="1:43" ht="14.95" customHeight="1" thickBot="1" x14ac:dyDescent="0.3">
      <c r="A11" s="72" t="s">
        <v>395</v>
      </c>
      <c r="B11" s="352">
        <v>0</v>
      </c>
      <c r="C11" s="394">
        <v>0</v>
      </c>
      <c r="D11" s="73">
        <f t="shared" si="0"/>
        <v>0</v>
      </c>
      <c r="E11" s="26" t="s">
        <v>395</v>
      </c>
      <c r="F11" s="306">
        <v>0</v>
      </c>
      <c r="G11" s="34">
        <v>3</v>
      </c>
      <c r="H11" s="27">
        <f t="shared" si="1"/>
        <v>3</v>
      </c>
      <c r="I11" s="577" t="s">
        <v>33</v>
      </c>
      <c r="J11" s="568">
        <v>2023</v>
      </c>
      <c r="K11" s="569"/>
      <c r="L11" s="570"/>
      <c r="M11" s="568">
        <v>2019</v>
      </c>
      <c r="N11" s="569"/>
      <c r="O11" s="570"/>
      <c r="P11" s="557">
        <v>2015</v>
      </c>
      <c r="Q11" s="563"/>
      <c r="R11" s="564"/>
    </row>
    <row r="12" spans="1:43" ht="14.95" customHeight="1" thickBot="1" x14ac:dyDescent="0.3">
      <c r="A12" s="72" t="s">
        <v>1065</v>
      </c>
      <c r="B12" s="352">
        <v>0</v>
      </c>
      <c r="C12" s="394">
        <v>0</v>
      </c>
      <c r="D12" s="73">
        <f t="shared" si="0"/>
        <v>0</v>
      </c>
      <c r="E12" s="26" t="s">
        <v>1065</v>
      </c>
      <c r="F12" s="306">
        <v>0</v>
      </c>
      <c r="G12" s="34">
        <v>0</v>
      </c>
      <c r="H12" s="27">
        <f t="shared" si="1"/>
        <v>0</v>
      </c>
      <c r="I12" s="578"/>
      <c r="J12" s="571"/>
      <c r="K12" s="572"/>
      <c r="L12" s="573"/>
      <c r="M12" s="571"/>
      <c r="N12" s="572"/>
      <c r="O12" s="573"/>
      <c r="P12" s="565"/>
      <c r="Q12" s="566"/>
      <c r="R12" s="567"/>
    </row>
    <row r="13" spans="1:43" ht="14.95" thickBot="1" x14ac:dyDescent="0.3">
      <c r="A13" s="72" t="s">
        <v>1441</v>
      </c>
      <c r="B13" s="352">
        <v>0</v>
      </c>
      <c r="C13" s="394">
        <v>1</v>
      </c>
      <c r="D13" s="73">
        <f t="shared" si="0"/>
        <v>1</v>
      </c>
      <c r="E13" s="26" t="s">
        <v>1441</v>
      </c>
      <c r="F13" s="306">
        <v>0</v>
      </c>
      <c r="G13" s="34">
        <v>5</v>
      </c>
      <c r="H13" s="27">
        <f t="shared" si="1"/>
        <v>5</v>
      </c>
      <c r="I13" s="4" t="s">
        <v>20</v>
      </c>
      <c r="J13" s="128" t="s">
        <v>152</v>
      </c>
      <c r="K13" s="128" t="s">
        <v>12</v>
      </c>
      <c r="L13" s="128" t="s">
        <v>13</v>
      </c>
      <c r="M13" s="128" t="s">
        <v>152</v>
      </c>
      <c r="N13" s="128" t="s">
        <v>12</v>
      </c>
      <c r="O13" s="128" t="s">
        <v>13</v>
      </c>
      <c r="P13" s="119" t="s">
        <v>152</v>
      </c>
      <c r="Q13" s="119" t="s">
        <v>12</v>
      </c>
      <c r="R13" s="119" t="s">
        <v>13</v>
      </c>
    </row>
    <row r="14" spans="1:43" ht="14.95" thickBot="1" x14ac:dyDescent="0.3">
      <c r="A14" s="72" t="s">
        <v>194</v>
      </c>
      <c r="B14" s="352">
        <v>0</v>
      </c>
      <c r="C14" s="394">
        <v>0</v>
      </c>
      <c r="D14" s="73">
        <f t="shared" si="0"/>
        <v>0</v>
      </c>
      <c r="E14" s="26" t="s">
        <v>194</v>
      </c>
      <c r="F14" s="306">
        <v>0</v>
      </c>
      <c r="G14" s="34">
        <v>0</v>
      </c>
      <c r="H14" s="27">
        <f t="shared" si="1"/>
        <v>0</v>
      </c>
      <c r="I14" s="72" t="s">
        <v>53</v>
      </c>
      <c r="J14" s="128" t="s">
        <v>17</v>
      </c>
      <c r="K14" s="128" t="s">
        <v>17</v>
      </c>
      <c r="L14" s="128" t="s">
        <v>17</v>
      </c>
      <c r="M14" s="128" t="s">
        <v>17</v>
      </c>
      <c r="N14" s="128" t="s">
        <v>17</v>
      </c>
      <c r="O14" s="128" t="s">
        <v>17</v>
      </c>
      <c r="P14" s="128">
        <v>8</v>
      </c>
      <c r="Q14" s="128">
        <v>12</v>
      </c>
      <c r="R14" s="231">
        <f>SUM(P14/Q14)*100</f>
        <v>66.666666666666657</v>
      </c>
    </row>
    <row r="15" spans="1:43" ht="14.95" thickBot="1" x14ac:dyDescent="0.3">
      <c r="A15" s="72" t="s">
        <v>264</v>
      </c>
      <c r="B15" s="352">
        <v>0</v>
      </c>
      <c r="C15" s="394">
        <v>0</v>
      </c>
      <c r="D15" s="73">
        <f t="shared" si="0"/>
        <v>0</v>
      </c>
      <c r="E15" s="26" t="s">
        <v>264</v>
      </c>
      <c r="F15" s="306">
        <v>0</v>
      </c>
      <c r="G15" s="34">
        <v>0</v>
      </c>
      <c r="H15" s="27">
        <f t="shared" si="1"/>
        <v>0</v>
      </c>
      <c r="I15" s="72" t="s">
        <v>101</v>
      </c>
      <c r="J15" s="128" t="s">
        <v>17</v>
      </c>
      <c r="K15" s="128" t="s">
        <v>17</v>
      </c>
      <c r="L15" s="128" t="s">
        <v>17</v>
      </c>
      <c r="M15" s="128" t="s">
        <v>17</v>
      </c>
      <c r="N15" s="128" t="s">
        <v>17</v>
      </c>
      <c r="O15" s="128" t="s">
        <v>17</v>
      </c>
      <c r="P15" s="128">
        <v>1</v>
      </c>
      <c r="Q15" s="128">
        <v>5</v>
      </c>
      <c r="R15" s="231">
        <f>SUM(P15/Q15)*100</f>
        <v>20</v>
      </c>
    </row>
    <row r="16" spans="1:43" ht="14.95" thickBot="1" x14ac:dyDescent="0.3">
      <c r="A16" s="72" t="s">
        <v>1401</v>
      </c>
      <c r="B16" s="352">
        <v>0</v>
      </c>
      <c r="C16" s="394">
        <v>2</v>
      </c>
      <c r="D16" s="73">
        <f t="shared" si="0"/>
        <v>2</v>
      </c>
      <c r="E16" s="26" t="s">
        <v>1401</v>
      </c>
      <c r="F16" s="306">
        <v>0</v>
      </c>
      <c r="G16" s="34">
        <v>10</v>
      </c>
      <c r="H16" s="27">
        <f t="shared" si="1"/>
        <v>10</v>
      </c>
      <c r="I16" s="72" t="s">
        <v>322</v>
      </c>
      <c r="J16" s="128" t="s">
        <v>17</v>
      </c>
      <c r="K16" s="128" t="s">
        <v>17</v>
      </c>
      <c r="L16" s="128" t="s">
        <v>17</v>
      </c>
      <c r="M16" s="128">
        <v>2</v>
      </c>
      <c r="N16" s="128">
        <v>2</v>
      </c>
      <c r="O16" s="231">
        <f>SUM(M16/N16)*100</f>
        <v>100</v>
      </c>
      <c r="P16" s="128" t="s">
        <v>17</v>
      </c>
      <c r="Q16" s="128" t="s">
        <v>17</v>
      </c>
      <c r="R16" s="128" t="s">
        <v>17</v>
      </c>
    </row>
    <row r="17" spans="1:28" ht="14.95" customHeight="1" thickBot="1" x14ac:dyDescent="0.3">
      <c r="A17" s="72" t="s">
        <v>1133</v>
      </c>
      <c r="B17" s="352">
        <v>2</v>
      </c>
      <c r="C17" s="394">
        <v>1</v>
      </c>
      <c r="D17" s="73">
        <f t="shared" si="0"/>
        <v>3</v>
      </c>
      <c r="E17" s="26" t="s">
        <v>1133</v>
      </c>
      <c r="F17" s="306">
        <v>10</v>
      </c>
      <c r="G17" s="34">
        <v>5</v>
      </c>
      <c r="H17" s="27">
        <f t="shared" si="1"/>
        <v>15</v>
      </c>
      <c r="I17" s="72" t="s">
        <v>132</v>
      </c>
      <c r="J17" s="128" t="s">
        <v>17</v>
      </c>
      <c r="K17" s="128" t="s">
        <v>17</v>
      </c>
      <c r="L17" s="128" t="s">
        <v>17</v>
      </c>
      <c r="M17" s="128" t="s">
        <v>17</v>
      </c>
      <c r="N17" s="128" t="s">
        <v>17</v>
      </c>
      <c r="O17" s="128" t="s">
        <v>17</v>
      </c>
      <c r="P17" s="128" t="s">
        <v>17</v>
      </c>
      <c r="Q17" s="128" t="s">
        <v>17</v>
      </c>
      <c r="R17" s="128" t="s">
        <v>17</v>
      </c>
    </row>
    <row r="18" spans="1:28" ht="14.95" customHeight="1" thickBot="1" x14ac:dyDescent="0.3">
      <c r="A18" s="72" t="s">
        <v>431</v>
      </c>
      <c r="B18" s="352">
        <v>0</v>
      </c>
      <c r="C18" s="394">
        <v>0</v>
      </c>
      <c r="D18" s="73">
        <f t="shared" si="0"/>
        <v>0</v>
      </c>
      <c r="E18" s="26" t="s">
        <v>431</v>
      </c>
      <c r="F18" s="306">
        <v>0</v>
      </c>
      <c r="G18" s="34">
        <v>0</v>
      </c>
      <c r="H18" s="27">
        <f t="shared" si="1"/>
        <v>0</v>
      </c>
      <c r="J18" s="82"/>
      <c r="K18" s="82"/>
      <c r="L18" s="82"/>
      <c r="M18" s="82"/>
      <c r="N18" s="82"/>
      <c r="O18" s="82"/>
    </row>
    <row r="19" spans="1:28" ht="14.95" customHeight="1" thickBot="1" x14ac:dyDescent="0.3">
      <c r="A19" s="72" t="s">
        <v>432</v>
      </c>
      <c r="B19" s="352">
        <v>0</v>
      </c>
      <c r="C19" s="394">
        <v>0</v>
      </c>
      <c r="D19" s="73">
        <f t="shared" si="0"/>
        <v>0</v>
      </c>
      <c r="E19" s="26" t="s">
        <v>432</v>
      </c>
      <c r="F19" s="306">
        <v>0</v>
      </c>
      <c r="G19" s="34">
        <v>0</v>
      </c>
      <c r="H19" s="27">
        <f t="shared" si="1"/>
        <v>0</v>
      </c>
      <c r="I19" s="630" t="s">
        <v>1292</v>
      </c>
      <c r="J19" s="583">
        <v>2025</v>
      </c>
      <c r="K19" s="584"/>
      <c r="L19" s="585"/>
      <c r="M19" s="568">
        <v>2024</v>
      </c>
      <c r="N19" s="569"/>
      <c r="O19" s="570"/>
      <c r="P19" s="568">
        <v>2019</v>
      </c>
      <c r="Q19" s="569"/>
      <c r="R19" s="570"/>
      <c r="S19" s="568">
        <v>2015</v>
      </c>
      <c r="T19" s="569"/>
      <c r="U19" s="570"/>
      <c r="Z19" s="568">
        <v>2014</v>
      </c>
      <c r="AA19" s="569"/>
      <c r="AB19" s="570"/>
    </row>
    <row r="20" spans="1:28" ht="14.95" customHeight="1" thickBot="1" x14ac:dyDescent="0.3">
      <c r="A20" s="72" t="s">
        <v>458</v>
      </c>
      <c r="B20" s="352">
        <v>0</v>
      </c>
      <c r="C20" s="394">
        <v>0</v>
      </c>
      <c r="D20" s="73">
        <f t="shared" si="0"/>
        <v>0</v>
      </c>
      <c r="E20" s="26" t="s">
        <v>458</v>
      </c>
      <c r="F20" s="306">
        <v>0</v>
      </c>
      <c r="G20" s="34">
        <v>0</v>
      </c>
      <c r="H20" s="27">
        <f t="shared" si="1"/>
        <v>0</v>
      </c>
      <c r="I20" s="631"/>
      <c r="J20" s="586"/>
      <c r="K20" s="587"/>
      <c r="L20" s="588"/>
      <c r="M20" s="571"/>
      <c r="N20" s="572"/>
      <c r="O20" s="573"/>
      <c r="P20" s="571"/>
      <c r="Q20" s="572"/>
      <c r="R20" s="573"/>
      <c r="S20" s="571"/>
      <c r="T20" s="572"/>
      <c r="U20" s="573"/>
      <c r="Z20" s="571"/>
      <c r="AA20" s="572"/>
      <c r="AB20" s="573"/>
    </row>
    <row r="21" spans="1:28" ht="14.95" customHeight="1" thickBot="1" x14ac:dyDescent="0.3">
      <c r="A21" s="72" t="s">
        <v>556</v>
      </c>
      <c r="B21" s="352">
        <v>0</v>
      </c>
      <c r="C21" s="394">
        <v>0</v>
      </c>
      <c r="D21" s="73">
        <f t="shared" si="0"/>
        <v>0</v>
      </c>
      <c r="E21" s="26" t="s">
        <v>556</v>
      </c>
      <c r="F21" s="306">
        <v>0</v>
      </c>
      <c r="G21" s="34">
        <v>0</v>
      </c>
      <c r="H21" s="27">
        <f t="shared" si="1"/>
        <v>0</v>
      </c>
      <c r="I21" s="4" t="s">
        <v>20</v>
      </c>
      <c r="J21" s="53" t="s">
        <v>152</v>
      </c>
      <c r="K21" s="53" t="s">
        <v>12</v>
      </c>
      <c r="L21" s="53" t="s">
        <v>13</v>
      </c>
      <c r="M21" s="128" t="s">
        <v>152</v>
      </c>
      <c r="N21" s="128" t="s">
        <v>12</v>
      </c>
      <c r="O21" s="128" t="s">
        <v>13</v>
      </c>
      <c r="P21" s="128" t="s">
        <v>152</v>
      </c>
      <c r="Q21" s="128" t="s">
        <v>12</v>
      </c>
      <c r="R21" s="128" t="s">
        <v>13</v>
      </c>
      <c r="S21" s="128" t="s">
        <v>152</v>
      </c>
      <c r="T21" s="128" t="s">
        <v>12</v>
      </c>
      <c r="U21" s="128" t="s">
        <v>13</v>
      </c>
      <c r="Z21" s="228" t="s">
        <v>152</v>
      </c>
      <c r="AA21" s="128" t="s">
        <v>12</v>
      </c>
      <c r="AB21" s="128" t="s">
        <v>13</v>
      </c>
    </row>
    <row r="22" spans="1:28" ht="14.95" customHeight="1" thickBot="1" x14ac:dyDescent="0.3">
      <c r="A22" s="72" t="s">
        <v>420</v>
      </c>
      <c r="B22" s="352">
        <v>0</v>
      </c>
      <c r="C22" s="394">
        <v>0</v>
      </c>
      <c r="D22" s="73">
        <f t="shared" si="0"/>
        <v>0</v>
      </c>
      <c r="E22" s="26" t="s">
        <v>420</v>
      </c>
      <c r="F22" s="306">
        <v>0</v>
      </c>
      <c r="G22" s="34">
        <v>0</v>
      </c>
      <c r="H22" s="27">
        <f t="shared" si="1"/>
        <v>0</v>
      </c>
      <c r="I22" s="72" t="s">
        <v>101</v>
      </c>
      <c r="J22" s="73" t="s">
        <v>17</v>
      </c>
      <c r="K22" s="73" t="s">
        <v>17</v>
      </c>
      <c r="L22" s="80" t="s">
        <v>17</v>
      </c>
      <c r="M22" s="128" t="s">
        <v>17</v>
      </c>
      <c r="N22" s="128" t="s">
        <v>17</v>
      </c>
      <c r="O22" s="231" t="s">
        <v>17</v>
      </c>
      <c r="P22" s="128">
        <v>1</v>
      </c>
      <c r="Q22" s="128">
        <v>4</v>
      </c>
      <c r="R22" s="231">
        <f>SUM(P22/Q22)*100</f>
        <v>25</v>
      </c>
      <c r="S22" s="128">
        <v>5</v>
      </c>
      <c r="T22" s="128">
        <v>6</v>
      </c>
      <c r="U22" s="231">
        <f>SUM(S22/T22)*100</f>
        <v>83.333333333333343</v>
      </c>
      <c r="Z22" s="228" t="s">
        <v>17</v>
      </c>
      <c r="AA22" s="128" t="s">
        <v>17</v>
      </c>
      <c r="AB22" s="128" t="s">
        <v>17</v>
      </c>
    </row>
    <row r="23" spans="1:28" ht="14.95" customHeight="1" thickBot="1" x14ac:dyDescent="0.3">
      <c r="A23" s="72" t="s">
        <v>199</v>
      </c>
      <c r="B23" s="352">
        <v>0</v>
      </c>
      <c r="C23" s="394">
        <v>0</v>
      </c>
      <c r="D23" s="73">
        <f t="shared" si="0"/>
        <v>0</v>
      </c>
      <c r="E23" s="26" t="s">
        <v>199</v>
      </c>
      <c r="F23" s="306">
        <v>0</v>
      </c>
      <c r="G23" s="34">
        <v>0</v>
      </c>
      <c r="H23" s="27">
        <f t="shared" si="1"/>
        <v>0</v>
      </c>
      <c r="I23" s="72" t="s">
        <v>322</v>
      </c>
      <c r="J23" s="73">
        <v>12</v>
      </c>
      <c r="K23" s="73">
        <v>15</v>
      </c>
      <c r="L23" s="80">
        <f>SUM(J23/K23)*100</f>
        <v>80</v>
      </c>
      <c r="M23" s="128">
        <v>9</v>
      </c>
      <c r="N23" s="128">
        <v>10</v>
      </c>
      <c r="O23" s="231">
        <v>90</v>
      </c>
      <c r="P23" s="128">
        <v>1</v>
      </c>
      <c r="Q23" s="128">
        <v>3</v>
      </c>
      <c r="R23" s="231">
        <f>SUM(P23/Q23)*100</f>
        <v>33.333333333333329</v>
      </c>
      <c r="S23" s="128" t="s">
        <v>17</v>
      </c>
      <c r="T23" s="128" t="s">
        <v>17</v>
      </c>
      <c r="U23" s="128" t="s">
        <v>17</v>
      </c>
      <c r="Z23" s="228" t="s">
        <v>17</v>
      </c>
      <c r="AA23" s="128" t="s">
        <v>17</v>
      </c>
      <c r="AB23" s="128" t="s">
        <v>17</v>
      </c>
    </row>
    <row r="24" spans="1:28" ht="14.95" customHeight="1" thickBot="1" x14ac:dyDescent="0.3">
      <c r="A24" s="72" t="s">
        <v>1353</v>
      </c>
      <c r="B24" s="352">
        <v>1</v>
      </c>
      <c r="C24" s="394">
        <v>0</v>
      </c>
      <c r="D24" s="73">
        <f t="shared" si="0"/>
        <v>1</v>
      </c>
      <c r="E24" s="26" t="s">
        <v>1353</v>
      </c>
      <c r="F24" s="306">
        <v>5</v>
      </c>
      <c r="G24" s="34">
        <v>0</v>
      </c>
      <c r="H24" s="27">
        <f t="shared" si="1"/>
        <v>5</v>
      </c>
      <c r="I24" s="72" t="s">
        <v>132</v>
      </c>
      <c r="J24" s="73" t="s">
        <v>17</v>
      </c>
      <c r="K24" s="73" t="s">
        <v>17</v>
      </c>
      <c r="L24" s="80" t="s">
        <v>17</v>
      </c>
      <c r="M24" s="128" t="s">
        <v>17</v>
      </c>
      <c r="N24" s="128" t="s">
        <v>17</v>
      </c>
      <c r="O24" s="231" t="s">
        <v>17</v>
      </c>
      <c r="P24" s="128">
        <v>3</v>
      </c>
      <c r="Q24" s="128">
        <v>3</v>
      </c>
      <c r="R24" s="231">
        <f>SUM(P24/Q24)*100</f>
        <v>100</v>
      </c>
      <c r="S24" s="128" t="s">
        <v>17</v>
      </c>
      <c r="T24" s="128" t="s">
        <v>17</v>
      </c>
      <c r="U24" s="128" t="s">
        <v>17</v>
      </c>
      <c r="Z24" s="228" t="s">
        <v>17</v>
      </c>
      <c r="AA24" s="128" t="s">
        <v>17</v>
      </c>
      <c r="AB24" s="128" t="s">
        <v>17</v>
      </c>
    </row>
    <row r="25" spans="1:28" ht="14.95" customHeight="1" thickBot="1" x14ac:dyDescent="0.3">
      <c r="A25" s="72" t="s">
        <v>1067</v>
      </c>
      <c r="B25" s="352">
        <v>0</v>
      </c>
      <c r="C25" s="394">
        <v>0</v>
      </c>
      <c r="D25" s="73">
        <f t="shared" si="0"/>
        <v>0</v>
      </c>
      <c r="E25" s="26" t="s">
        <v>1067</v>
      </c>
      <c r="F25" s="306">
        <v>0</v>
      </c>
      <c r="G25" s="34">
        <v>0</v>
      </c>
      <c r="H25" s="27">
        <f t="shared" si="1"/>
        <v>0</v>
      </c>
      <c r="I25" s="72" t="s">
        <v>100</v>
      </c>
      <c r="J25" s="73" t="s">
        <v>17</v>
      </c>
      <c r="K25" s="73" t="s">
        <v>17</v>
      </c>
      <c r="L25" s="80" t="s">
        <v>17</v>
      </c>
      <c r="M25" s="128" t="s">
        <v>17</v>
      </c>
      <c r="N25" s="128" t="s">
        <v>17</v>
      </c>
      <c r="O25" s="231" t="s">
        <v>17</v>
      </c>
      <c r="P25" s="128" t="s">
        <v>17</v>
      </c>
      <c r="Q25" s="128" t="s">
        <v>17</v>
      </c>
      <c r="R25" s="231" t="s">
        <v>17</v>
      </c>
      <c r="S25" s="128">
        <v>4</v>
      </c>
      <c r="T25" s="128">
        <v>6</v>
      </c>
      <c r="U25" s="231">
        <f>SUM(S25/T25)*100</f>
        <v>66.666666666666657</v>
      </c>
      <c r="Z25" s="228">
        <v>9</v>
      </c>
      <c r="AA25" s="128">
        <v>11</v>
      </c>
      <c r="AB25" s="231">
        <f>SUM(Z25/AA25)*100</f>
        <v>81.818181818181827</v>
      </c>
    </row>
    <row r="26" spans="1:28" ht="14.95" customHeight="1" thickBot="1" x14ac:dyDescent="0.3">
      <c r="A26" s="72" t="s">
        <v>1066</v>
      </c>
      <c r="B26" s="352">
        <v>0</v>
      </c>
      <c r="C26" s="394">
        <v>0</v>
      </c>
      <c r="D26" s="73">
        <f t="shared" si="0"/>
        <v>0</v>
      </c>
      <c r="E26" s="26" t="s">
        <v>1066</v>
      </c>
      <c r="F26" s="306">
        <v>0</v>
      </c>
      <c r="G26" s="34">
        <v>0</v>
      </c>
      <c r="H26" s="27">
        <f t="shared" si="1"/>
        <v>0</v>
      </c>
      <c r="I26" s="72" t="s">
        <v>56</v>
      </c>
      <c r="J26" s="73" t="s">
        <v>17</v>
      </c>
      <c r="K26" s="73" t="s">
        <v>17</v>
      </c>
      <c r="L26" s="80" t="s">
        <v>17</v>
      </c>
      <c r="M26" s="128" t="s">
        <v>17</v>
      </c>
      <c r="N26" s="128" t="s">
        <v>17</v>
      </c>
      <c r="O26" s="231" t="s">
        <v>17</v>
      </c>
      <c r="P26" s="128" t="s">
        <v>17</v>
      </c>
      <c r="Q26" s="128" t="s">
        <v>17</v>
      </c>
      <c r="R26" s="231" t="s">
        <v>17</v>
      </c>
      <c r="S26" s="128">
        <v>3</v>
      </c>
      <c r="T26" s="128">
        <v>4</v>
      </c>
      <c r="U26" s="231">
        <f>SUM(S26/T26)*100</f>
        <v>75</v>
      </c>
      <c r="Z26" s="228" t="s">
        <v>17</v>
      </c>
      <c r="AA26" s="128" t="s">
        <v>17</v>
      </c>
      <c r="AB26" s="128" t="s">
        <v>17</v>
      </c>
    </row>
    <row r="27" spans="1:28" ht="14.95" thickBot="1" x14ac:dyDescent="0.3">
      <c r="A27" s="72" t="s">
        <v>1276</v>
      </c>
      <c r="B27" s="352">
        <v>0</v>
      </c>
      <c r="C27" s="394">
        <v>1</v>
      </c>
      <c r="D27" s="73">
        <f t="shared" si="0"/>
        <v>1</v>
      </c>
      <c r="E27" s="26" t="s">
        <v>1276</v>
      </c>
      <c r="F27" s="306">
        <v>0</v>
      </c>
      <c r="G27" s="34">
        <v>5</v>
      </c>
      <c r="H27" s="27">
        <f t="shared" si="1"/>
        <v>5</v>
      </c>
      <c r="I27" s="44"/>
      <c r="J27" s="15"/>
      <c r="K27" s="15"/>
      <c r="L27" s="24"/>
      <c r="M27" s="15"/>
      <c r="N27" s="15"/>
      <c r="O27" s="15"/>
    </row>
    <row r="28" spans="1:28" ht="14.95" thickBot="1" x14ac:dyDescent="0.3">
      <c r="A28" s="72" t="s">
        <v>322</v>
      </c>
      <c r="B28" s="352">
        <v>2</v>
      </c>
      <c r="C28" s="394">
        <v>0</v>
      </c>
      <c r="D28" s="73">
        <f t="shared" si="0"/>
        <v>2</v>
      </c>
      <c r="E28" s="26" t="s">
        <v>322</v>
      </c>
      <c r="F28" s="306">
        <v>38</v>
      </c>
      <c r="G28" s="34">
        <v>29</v>
      </c>
      <c r="H28" s="27">
        <f t="shared" si="1"/>
        <v>67</v>
      </c>
      <c r="I28" s="630" t="s">
        <v>1293</v>
      </c>
      <c r="J28" s="568">
        <v>2019</v>
      </c>
      <c r="K28" s="569"/>
      <c r="L28" s="570"/>
      <c r="M28" s="557" t="s">
        <v>190</v>
      </c>
      <c r="N28" s="563"/>
      <c r="O28" s="564"/>
      <c r="P28" s="557">
        <v>2017</v>
      </c>
      <c r="Q28" s="563"/>
      <c r="R28" s="564"/>
    </row>
    <row r="29" spans="1:28" ht="14.95" thickBot="1" x14ac:dyDescent="0.3">
      <c r="A29" s="72" t="s">
        <v>132</v>
      </c>
      <c r="B29" s="352">
        <v>0</v>
      </c>
      <c r="C29" s="394">
        <v>0</v>
      </c>
      <c r="D29" s="73">
        <f t="shared" si="0"/>
        <v>0</v>
      </c>
      <c r="E29" s="26" t="s">
        <v>132</v>
      </c>
      <c r="F29" s="306">
        <v>0</v>
      </c>
      <c r="G29" s="34">
        <v>0</v>
      </c>
      <c r="H29" s="27">
        <f t="shared" si="1"/>
        <v>0</v>
      </c>
      <c r="I29" s="631"/>
      <c r="J29" s="571"/>
      <c r="K29" s="572"/>
      <c r="L29" s="573"/>
      <c r="M29" s="565"/>
      <c r="N29" s="566"/>
      <c r="O29" s="567"/>
      <c r="P29" s="565"/>
      <c r="Q29" s="566"/>
      <c r="R29" s="567"/>
      <c r="W29" s="82"/>
    </row>
    <row r="30" spans="1:28" ht="14.95" thickBot="1" x14ac:dyDescent="0.3">
      <c r="A30" s="72" t="s">
        <v>54</v>
      </c>
      <c r="B30" s="352">
        <v>0</v>
      </c>
      <c r="C30" s="394">
        <v>0</v>
      </c>
      <c r="D30" s="73">
        <f t="shared" si="0"/>
        <v>0</v>
      </c>
      <c r="E30" s="26" t="s">
        <v>54</v>
      </c>
      <c r="F30" s="306">
        <v>0</v>
      </c>
      <c r="G30" s="34">
        <v>0</v>
      </c>
      <c r="H30" s="27">
        <f t="shared" si="1"/>
        <v>0</v>
      </c>
      <c r="I30" s="4" t="s">
        <v>20</v>
      </c>
      <c r="J30" s="128" t="s">
        <v>152</v>
      </c>
      <c r="K30" s="128" t="s">
        <v>12</v>
      </c>
      <c r="L30" s="128" t="s">
        <v>13</v>
      </c>
      <c r="M30" s="119" t="s">
        <v>152</v>
      </c>
      <c r="N30" s="119" t="s">
        <v>12</v>
      </c>
      <c r="O30" s="119" t="s">
        <v>13</v>
      </c>
      <c r="P30" s="119" t="s">
        <v>152</v>
      </c>
      <c r="Q30" s="119" t="s">
        <v>12</v>
      </c>
      <c r="R30" s="119" t="s">
        <v>13</v>
      </c>
    </row>
    <row r="31" spans="1:28" ht="15.8" customHeight="1" thickBot="1" x14ac:dyDescent="0.3">
      <c r="A31" s="72" t="s">
        <v>1291</v>
      </c>
      <c r="B31" s="352">
        <v>1</v>
      </c>
      <c r="C31" s="394">
        <v>2</v>
      </c>
      <c r="D31" s="73">
        <f t="shared" si="0"/>
        <v>3</v>
      </c>
      <c r="E31" s="26" t="s">
        <v>795</v>
      </c>
      <c r="F31" s="306">
        <v>5</v>
      </c>
      <c r="G31" s="34">
        <v>10</v>
      </c>
      <c r="H31" s="27">
        <f t="shared" si="1"/>
        <v>15</v>
      </c>
      <c r="I31" s="72" t="s">
        <v>10</v>
      </c>
      <c r="J31" s="128" t="s">
        <v>17</v>
      </c>
      <c r="K31" s="128" t="s">
        <v>17</v>
      </c>
      <c r="L31" s="231" t="s">
        <v>17</v>
      </c>
      <c r="M31" s="128">
        <v>3</v>
      </c>
      <c r="N31" s="128">
        <v>4</v>
      </c>
      <c r="O31" s="231">
        <f>SUM(M31/N31)*100</f>
        <v>75</v>
      </c>
      <c r="P31" s="128" t="s">
        <v>17</v>
      </c>
      <c r="Q31" s="128" t="s">
        <v>17</v>
      </c>
      <c r="R31" s="128" t="s">
        <v>17</v>
      </c>
    </row>
    <row r="32" spans="1:28" ht="15.8" customHeight="1" thickBot="1" x14ac:dyDescent="0.3">
      <c r="A32" s="72" t="s">
        <v>817</v>
      </c>
      <c r="B32" s="352">
        <v>1</v>
      </c>
      <c r="C32" s="394">
        <v>2</v>
      </c>
      <c r="D32" s="73">
        <f t="shared" si="0"/>
        <v>3</v>
      </c>
      <c r="E32" s="26" t="s">
        <v>817</v>
      </c>
      <c r="F32" s="306">
        <v>5</v>
      </c>
      <c r="G32" s="34">
        <v>10</v>
      </c>
      <c r="H32" s="27">
        <f t="shared" si="1"/>
        <v>15</v>
      </c>
      <c r="I32" s="72" t="s">
        <v>302</v>
      </c>
      <c r="J32" s="128">
        <v>8</v>
      </c>
      <c r="K32" s="128">
        <v>11</v>
      </c>
      <c r="L32" s="231">
        <f>SUM(J32/K32)*100</f>
        <v>72.727272727272734</v>
      </c>
      <c r="M32" s="128" t="s">
        <v>17</v>
      </c>
      <c r="N32" s="128" t="s">
        <v>17</v>
      </c>
      <c r="O32" s="128" t="s">
        <v>17</v>
      </c>
      <c r="P32" s="128" t="s">
        <v>17</v>
      </c>
      <c r="Q32" s="128" t="s">
        <v>17</v>
      </c>
      <c r="R32" s="128" t="s">
        <v>17</v>
      </c>
    </row>
    <row r="33" spans="1:19" ht="15.8" customHeight="1" thickBot="1" x14ac:dyDescent="0.3">
      <c r="A33" s="72" t="s">
        <v>4</v>
      </c>
      <c r="B33" s="352">
        <v>0</v>
      </c>
      <c r="C33" s="394">
        <v>0</v>
      </c>
      <c r="D33" s="73">
        <f t="shared" si="0"/>
        <v>0</v>
      </c>
      <c r="E33" s="26" t="s">
        <v>4</v>
      </c>
      <c r="F33" s="306">
        <v>0</v>
      </c>
      <c r="G33" s="34">
        <v>0</v>
      </c>
      <c r="H33" s="27">
        <f t="shared" si="1"/>
        <v>0</v>
      </c>
      <c r="I33" s="72" t="s">
        <v>101</v>
      </c>
      <c r="J33" s="128">
        <v>7</v>
      </c>
      <c r="K33" s="128">
        <v>8</v>
      </c>
      <c r="L33" s="231">
        <f>SUM(J33/K33)*100</f>
        <v>87.5</v>
      </c>
      <c r="M33" s="128">
        <v>5</v>
      </c>
      <c r="N33" s="128">
        <v>7</v>
      </c>
      <c r="O33" s="231">
        <f>SUM(M33/N33)*100</f>
        <v>71.428571428571431</v>
      </c>
      <c r="P33" s="128">
        <v>13</v>
      </c>
      <c r="Q33" s="128">
        <v>16</v>
      </c>
      <c r="R33" s="231">
        <f>SUM(P33/Q33)*100</f>
        <v>81.25</v>
      </c>
    </row>
    <row r="34" spans="1:19" ht="14.95" customHeight="1" thickBot="1" x14ac:dyDescent="0.3">
      <c r="A34" s="72" t="s">
        <v>129</v>
      </c>
      <c r="B34" s="352">
        <v>0</v>
      </c>
      <c r="C34" s="394">
        <v>0</v>
      </c>
      <c r="D34" s="73">
        <f t="shared" si="0"/>
        <v>0</v>
      </c>
      <c r="E34" s="26" t="s">
        <v>129</v>
      </c>
      <c r="F34" s="306">
        <v>0</v>
      </c>
      <c r="G34" s="34">
        <v>14</v>
      </c>
      <c r="H34" s="27">
        <f t="shared" si="1"/>
        <v>14</v>
      </c>
      <c r="I34" s="72" t="s">
        <v>132</v>
      </c>
      <c r="J34" s="128" t="s">
        <v>17</v>
      </c>
      <c r="K34" s="128" t="s">
        <v>17</v>
      </c>
      <c r="L34" s="231" t="s">
        <v>17</v>
      </c>
      <c r="M34" s="128">
        <v>5</v>
      </c>
      <c r="N34" s="128">
        <v>9</v>
      </c>
      <c r="O34" s="231">
        <f>SUM(M34/N34)*100</f>
        <v>55.555555555555557</v>
      </c>
      <c r="P34" s="128" t="s">
        <v>17</v>
      </c>
      <c r="Q34" s="128" t="s">
        <v>17</v>
      </c>
      <c r="R34" s="128" t="s">
        <v>17</v>
      </c>
    </row>
    <row r="35" spans="1:19" ht="14.95" customHeight="1" thickBot="1" x14ac:dyDescent="0.3">
      <c r="A35" s="72" t="s">
        <v>582</v>
      </c>
      <c r="B35" s="352">
        <v>0</v>
      </c>
      <c r="C35" s="394">
        <v>1</v>
      </c>
      <c r="D35" s="73">
        <f t="shared" si="0"/>
        <v>1</v>
      </c>
      <c r="E35" s="26" t="s">
        <v>582</v>
      </c>
      <c r="F35" s="306">
        <v>0</v>
      </c>
      <c r="G35" s="34">
        <v>5</v>
      </c>
      <c r="H35" s="27">
        <f t="shared" si="1"/>
        <v>5</v>
      </c>
      <c r="I35" s="72" t="s">
        <v>129</v>
      </c>
      <c r="J35" s="128" t="s">
        <v>17</v>
      </c>
      <c r="K35" s="128" t="s">
        <v>17</v>
      </c>
      <c r="L35" s="231" t="s">
        <v>17</v>
      </c>
      <c r="M35" s="128" t="s">
        <v>17</v>
      </c>
      <c r="N35" s="128" t="s">
        <v>17</v>
      </c>
      <c r="O35" s="128" t="s">
        <v>17</v>
      </c>
      <c r="P35" s="128">
        <v>4</v>
      </c>
      <c r="Q35" s="128">
        <v>6</v>
      </c>
      <c r="R35" s="231">
        <f>SUM(P35/Q35)*100</f>
        <v>66.666666666666657</v>
      </c>
    </row>
    <row r="36" spans="1:19" ht="14.95" thickBot="1" x14ac:dyDescent="0.3">
      <c r="A36" s="72" t="s">
        <v>200</v>
      </c>
      <c r="B36" s="352">
        <v>0</v>
      </c>
      <c r="C36" s="394">
        <v>0</v>
      </c>
      <c r="D36" s="73">
        <f t="shared" si="0"/>
        <v>0</v>
      </c>
      <c r="E36" s="26" t="s">
        <v>200</v>
      </c>
      <c r="F36" s="306">
        <v>0</v>
      </c>
      <c r="G36" s="34">
        <v>0</v>
      </c>
      <c r="H36" s="27">
        <f t="shared" si="1"/>
        <v>0</v>
      </c>
      <c r="I36" s="72" t="s">
        <v>265</v>
      </c>
      <c r="J36" s="128">
        <v>1</v>
      </c>
      <c r="K36" s="128">
        <v>5</v>
      </c>
      <c r="L36" s="231">
        <f>SUM(J36/K36)*100</f>
        <v>20</v>
      </c>
      <c r="M36" s="128" t="s">
        <v>17</v>
      </c>
      <c r="N36" s="128" t="s">
        <v>17</v>
      </c>
      <c r="O36" s="128" t="s">
        <v>17</v>
      </c>
      <c r="P36" s="128" t="s">
        <v>17</v>
      </c>
      <c r="Q36" s="128" t="s">
        <v>17</v>
      </c>
      <c r="R36" s="128" t="s">
        <v>17</v>
      </c>
    </row>
    <row r="37" spans="1:19" ht="14.95" thickBot="1" x14ac:dyDescent="0.3">
      <c r="A37" s="72" t="s">
        <v>265</v>
      </c>
      <c r="B37" s="352">
        <v>0</v>
      </c>
      <c r="C37" s="394">
        <v>0</v>
      </c>
      <c r="D37" s="73">
        <f t="shared" si="0"/>
        <v>0</v>
      </c>
      <c r="E37" s="26" t="s">
        <v>265</v>
      </c>
      <c r="F37" s="306">
        <v>0</v>
      </c>
      <c r="G37" s="34">
        <v>0</v>
      </c>
      <c r="H37" s="27">
        <f t="shared" si="1"/>
        <v>0</v>
      </c>
      <c r="I37" s="72" t="s">
        <v>131</v>
      </c>
      <c r="J37" s="128" t="s">
        <v>17</v>
      </c>
      <c r="K37" s="128" t="s">
        <v>17</v>
      </c>
      <c r="L37" s="231" t="s">
        <v>17</v>
      </c>
      <c r="M37" s="128">
        <v>3</v>
      </c>
      <c r="N37" s="128">
        <v>4</v>
      </c>
      <c r="O37" s="231">
        <f>SUM(M37/N37)*100</f>
        <v>75</v>
      </c>
      <c r="P37" s="128">
        <v>1</v>
      </c>
      <c r="Q37" s="128">
        <v>1</v>
      </c>
      <c r="R37" s="231">
        <f>SUM(P37/Q37)*100</f>
        <v>100</v>
      </c>
    </row>
    <row r="38" spans="1:19" ht="14.95" thickBot="1" x14ac:dyDescent="0.3">
      <c r="A38" s="72" t="s">
        <v>55</v>
      </c>
      <c r="B38" s="352">
        <v>0</v>
      </c>
      <c r="C38" s="394">
        <v>0</v>
      </c>
      <c r="D38" s="73">
        <f t="shared" si="0"/>
        <v>0</v>
      </c>
      <c r="E38" s="26" t="s">
        <v>55</v>
      </c>
      <c r="F38" s="306">
        <v>0</v>
      </c>
      <c r="G38" s="34">
        <v>0</v>
      </c>
      <c r="H38" s="27">
        <f t="shared" si="1"/>
        <v>0</v>
      </c>
      <c r="I38" s="634" t="s">
        <v>20</v>
      </c>
      <c r="J38" s="635"/>
      <c r="K38" s="635"/>
      <c r="L38" s="635"/>
      <c r="M38" s="635"/>
      <c r="N38" s="635"/>
      <c r="O38" s="635"/>
      <c r="P38" s="635"/>
      <c r="Q38" s="635"/>
      <c r="R38" s="635"/>
      <c r="S38" s="635"/>
    </row>
    <row r="39" spans="1:19" ht="14.95" thickBot="1" x14ac:dyDescent="0.3">
      <c r="A39" s="72" t="s">
        <v>21</v>
      </c>
      <c r="B39" s="352">
        <v>0</v>
      </c>
      <c r="C39" s="394">
        <v>0</v>
      </c>
      <c r="D39" s="73">
        <f t="shared" si="0"/>
        <v>0</v>
      </c>
      <c r="E39" s="26" t="s">
        <v>21</v>
      </c>
      <c r="F39" s="306">
        <v>0</v>
      </c>
      <c r="G39" s="34">
        <v>0</v>
      </c>
      <c r="H39" s="27">
        <f t="shared" si="1"/>
        <v>0</v>
      </c>
      <c r="I39" s="632" t="s">
        <v>148</v>
      </c>
      <c r="J39" s="568" t="s">
        <v>414</v>
      </c>
      <c r="K39" s="602"/>
      <c r="L39" s="603"/>
      <c r="M39" s="568" t="s">
        <v>188</v>
      </c>
      <c r="N39" s="609"/>
      <c r="O39" s="610"/>
      <c r="P39" s="9"/>
    </row>
    <row r="40" spans="1:19" ht="14.95" thickBot="1" x14ac:dyDescent="0.3">
      <c r="A40" s="72" t="s">
        <v>9</v>
      </c>
      <c r="B40" s="352">
        <v>0</v>
      </c>
      <c r="C40" s="394">
        <v>0</v>
      </c>
      <c r="D40" s="73">
        <f t="shared" si="0"/>
        <v>0</v>
      </c>
      <c r="E40" s="26" t="s">
        <v>9</v>
      </c>
      <c r="F40" s="306">
        <v>0</v>
      </c>
      <c r="G40" s="34">
        <v>0</v>
      </c>
      <c r="H40" s="27">
        <f t="shared" si="1"/>
        <v>0</v>
      </c>
      <c r="I40" s="633"/>
      <c r="J40" s="604"/>
      <c r="K40" s="605"/>
      <c r="L40" s="606"/>
      <c r="M40" s="611"/>
      <c r="N40" s="612"/>
      <c r="O40" s="613"/>
      <c r="P40" s="9"/>
    </row>
    <row r="41" spans="1:19" ht="14.95" thickBot="1" x14ac:dyDescent="0.3">
      <c r="A41" s="72" t="s">
        <v>158</v>
      </c>
      <c r="B41" s="352">
        <v>0</v>
      </c>
      <c r="C41" s="394">
        <v>0</v>
      </c>
      <c r="D41" s="73">
        <f t="shared" si="0"/>
        <v>0</v>
      </c>
      <c r="E41" s="26" t="s">
        <v>158</v>
      </c>
      <c r="F41" s="306">
        <v>0</v>
      </c>
      <c r="G41" s="34">
        <v>0</v>
      </c>
      <c r="H41" s="27">
        <f t="shared" si="1"/>
        <v>0</v>
      </c>
      <c r="I41" s="526" t="s">
        <v>20</v>
      </c>
      <c r="J41" s="158" t="s">
        <v>152</v>
      </c>
      <c r="K41" s="158" t="s">
        <v>12</v>
      </c>
      <c r="L41" s="158" t="s">
        <v>13</v>
      </c>
      <c r="M41" s="158" t="s">
        <v>152</v>
      </c>
      <c r="N41" s="158" t="s">
        <v>12</v>
      </c>
      <c r="O41" s="158" t="s">
        <v>13</v>
      </c>
      <c r="P41" s="9"/>
    </row>
    <row r="42" spans="1:19" ht="14.95" thickBot="1" x14ac:dyDescent="0.3">
      <c r="A42" s="72" t="s">
        <v>130</v>
      </c>
      <c r="B42" s="352">
        <v>0</v>
      </c>
      <c r="C42" s="394">
        <v>0</v>
      </c>
      <c r="D42" s="73">
        <f t="shared" si="0"/>
        <v>0</v>
      </c>
      <c r="E42" s="26" t="s">
        <v>130</v>
      </c>
      <c r="F42" s="306">
        <v>0</v>
      </c>
      <c r="G42" s="34">
        <v>0</v>
      </c>
      <c r="H42" s="27">
        <f t="shared" si="1"/>
        <v>0</v>
      </c>
      <c r="I42" s="72" t="s">
        <v>10</v>
      </c>
      <c r="J42" s="128" t="s">
        <v>17</v>
      </c>
      <c r="K42" s="128" t="s">
        <v>17</v>
      </c>
      <c r="L42" s="231" t="s">
        <v>17</v>
      </c>
      <c r="M42" s="128">
        <v>3</v>
      </c>
      <c r="N42" s="128">
        <v>4</v>
      </c>
      <c r="O42" s="231">
        <f>SUM(M42/N42)*100</f>
        <v>75</v>
      </c>
      <c r="P42" s="9"/>
    </row>
    <row r="43" spans="1:19" ht="14.95" thickBot="1" x14ac:dyDescent="0.3">
      <c r="A43" s="72" t="s">
        <v>56</v>
      </c>
      <c r="B43" s="352">
        <v>0</v>
      </c>
      <c r="C43" s="394">
        <v>0</v>
      </c>
      <c r="D43" s="73">
        <f t="shared" si="0"/>
        <v>0</v>
      </c>
      <c r="E43" s="26" t="s">
        <v>56</v>
      </c>
      <c r="F43" s="306">
        <v>0</v>
      </c>
      <c r="G43" s="34">
        <v>0</v>
      </c>
      <c r="H43" s="27">
        <f t="shared" si="1"/>
        <v>0</v>
      </c>
      <c r="I43" s="72" t="s">
        <v>395</v>
      </c>
      <c r="J43" s="128">
        <v>1</v>
      </c>
      <c r="K43" s="128">
        <v>1</v>
      </c>
      <c r="L43" s="231">
        <f>SUM(J43/K43)*100</f>
        <v>100</v>
      </c>
      <c r="M43" s="128" t="s">
        <v>17</v>
      </c>
      <c r="N43" s="128" t="s">
        <v>17</v>
      </c>
      <c r="O43" s="128" t="s">
        <v>17</v>
      </c>
      <c r="P43" s="9"/>
    </row>
    <row r="44" spans="1:19" ht="14.95" thickBot="1" x14ac:dyDescent="0.3">
      <c r="A44" s="72" t="s">
        <v>1400</v>
      </c>
      <c r="B44" s="352">
        <v>0</v>
      </c>
      <c r="C44" s="394">
        <v>1</v>
      </c>
      <c r="D44" s="73">
        <f t="shared" si="0"/>
        <v>1</v>
      </c>
      <c r="E44" s="26" t="s">
        <v>1400</v>
      </c>
      <c r="F44" s="306">
        <v>0</v>
      </c>
      <c r="G44" s="34">
        <v>5</v>
      </c>
      <c r="H44" s="27">
        <f t="shared" si="1"/>
        <v>5</v>
      </c>
      <c r="I44" s="72" t="s">
        <v>53</v>
      </c>
      <c r="J44" s="128" t="s">
        <v>17</v>
      </c>
      <c r="K44" s="128" t="s">
        <v>17</v>
      </c>
      <c r="L44" s="231" t="s">
        <v>17</v>
      </c>
      <c r="M44" s="128" t="s">
        <v>17</v>
      </c>
      <c r="N44" s="128" t="s">
        <v>17</v>
      </c>
      <c r="O44" s="128" t="s">
        <v>17</v>
      </c>
      <c r="P44" s="9"/>
    </row>
    <row r="45" spans="1:19" ht="14.95" customHeight="1" thickBot="1" x14ac:dyDescent="0.3">
      <c r="A45" s="72" t="s">
        <v>1399</v>
      </c>
      <c r="B45" s="352">
        <v>0</v>
      </c>
      <c r="C45" s="394">
        <v>1</v>
      </c>
      <c r="D45" s="73">
        <f t="shared" si="0"/>
        <v>1</v>
      </c>
      <c r="E45" s="26" t="s">
        <v>1399</v>
      </c>
      <c r="F45" s="306">
        <v>0</v>
      </c>
      <c r="G45" s="34">
        <v>5</v>
      </c>
      <c r="H45" s="27">
        <f t="shared" si="1"/>
        <v>5</v>
      </c>
      <c r="I45" s="72" t="s">
        <v>101</v>
      </c>
      <c r="J45" s="128" t="s">
        <v>17</v>
      </c>
      <c r="K45" s="128" t="s">
        <v>17</v>
      </c>
      <c r="L45" s="231" t="s">
        <v>17</v>
      </c>
      <c r="M45" s="128">
        <v>19</v>
      </c>
      <c r="N45" s="128">
        <v>25</v>
      </c>
      <c r="O45" s="231">
        <f>SUM(M45/N45)*100</f>
        <v>76</v>
      </c>
      <c r="P45" s="9"/>
    </row>
    <row r="46" spans="1:19" ht="14.95" customHeight="1" thickBot="1" x14ac:dyDescent="0.3">
      <c r="A46" s="72" t="s">
        <v>3</v>
      </c>
      <c r="B46" s="352">
        <f>SUM(B3:B45)</f>
        <v>11</v>
      </c>
      <c r="C46" s="394">
        <f>SUM(C3:C45)</f>
        <v>12</v>
      </c>
      <c r="D46" s="73">
        <f t="shared" si="0"/>
        <v>23</v>
      </c>
      <c r="E46" s="25" t="s">
        <v>3</v>
      </c>
      <c r="F46" s="306">
        <f>SUM(F3:F45)</f>
        <v>83</v>
      </c>
      <c r="G46" s="34">
        <f>SUM(G3:G45)</f>
        <v>106</v>
      </c>
      <c r="H46" s="27">
        <f t="shared" si="1"/>
        <v>189</v>
      </c>
      <c r="I46" s="72" t="s">
        <v>322</v>
      </c>
      <c r="J46" s="128">
        <v>13</v>
      </c>
      <c r="K46" s="128">
        <v>15</v>
      </c>
      <c r="L46" s="231">
        <f>SUM(J46/K46)*100</f>
        <v>86.666666666666671</v>
      </c>
      <c r="M46" s="128" t="s">
        <v>17</v>
      </c>
      <c r="N46" s="128" t="s">
        <v>17</v>
      </c>
      <c r="O46" s="128" t="s">
        <v>17</v>
      </c>
      <c r="P46" s="9"/>
    </row>
    <row r="47" spans="1:19" ht="14.95" thickBot="1" x14ac:dyDescent="0.3">
      <c r="D47" s="22"/>
      <c r="E47" s="10"/>
      <c r="F47" s="10"/>
      <c r="G47" s="10"/>
      <c r="H47" s="10"/>
      <c r="I47" s="72" t="s">
        <v>132</v>
      </c>
      <c r="J47" s="128" t="s">
        <v>17</v>
      </c>
      <c r="K47" s="128" t="s">
        <v>17</v>
      </c>
      <c r="L47" s="231" t="s">
        <v>17</v>
      </c>
      <c r="M47" s="163">
        <v>5</v>
      </c>
      <c r="N47" s="163">
        <v>9</v>
      </c>
      <c r="O47" s="231">
        <f>SUM(M47/N47)*100</f>
        <v>55.555555555555557</v>
      </c>
      <c r="P47" s="9"/>
    </row>
    <row r="48" spans="1:19" ht="14.95" thickBot="1" x14ac:dyDescent="0.3">
      <c r="A48" t="s">
        <v>16</v>
      </c>
      <c r="D48" s="22"/>
      <c r="E48" s="5"/>
      <c r="F48" s="5"/>
      <c r="G48" s="5"/>
      <c r="H48" s="5"/>
      <c r="I48" s="72" t="s">
        <v>129</v>
      </c>
      <c r="J48" s="128">
        <v>2</v>
      </c>
      <c r="K48" s="128">
        <v>2</v>
      </c>
      <c r="L48" s="231">
        <f>SUM(J48/K48)*100</f>
        <v>100</v>
      </c>
      <c r="M48" s="128" t="s">
        <v>17</v>
      </c>
      <c r="N48" s="128" t="s">
        <v>17</v>
      </c>
      <c r="O48" s="128" t="s">
        <v>17</v>
      </c>
      <c r="P48" s="9"/>
    </row>
    <row r="49" spans="1:16" ht="14.95" thickBot="1" x14ac:dyDescent="0.3">
      <c r="A49" s="186" t="s">
        <v>0</v>
      </c>
      <c r="B49" s="392" t="s">
        <v>936</v>
      </c>
      <c r="C49" s="393" t="s">
        <v>31</v>
      </c>
      <c r="D49" s="187" t="s">
        <v>1</v>
      </c>
      <c r="E49" s="175" t="s">
        <v>2</v>
      </c>
      <c r="F49" s="391" t="s">
        <v>936</v>
      </c>
      <c r="G49" s="87" t="s">
        <v>31</v>
      </c>
      <c r="H49" s="178" t="s">
        <v>1</v>
      </c>
      <c r="I49" s="72" t="s">
        <v>265</v>
      </c>
      <c r="J49" s="128" t="s">
        <v>17</v>
      </c>
      <c r="K49" s="128" t="s">
        <v>17</v>
      </c>
      <c r="L49" s="231" t="s">
        <v>17</v>
      </c>
      <c r="M49" s="128">
        <v>1</v>
      </c>
      <c r="N49" s="128">
        <v>1</v>
      </c>
      <c r="O49" s="231">
        <f>SUM(M49/N49)*100</f>
        <v>100</v>
      </c>
      <c r="P49" s="9"/>
    </row>
    <row r="50" spans="1:16" ht="14.95" thickBot="1" x14ac:dyDescent="0.3">
      <c r="A50" s="72" t="s">
        <v>263</v>
      </c>
      <c r="B50" s="352">
        <v>4</v>
      </c>
      <c r="C50" s="394">
        <v>0</v>
      </c>
      <c r="D50" s="73">
        <f t="shared" ref="D50:D92" si="2">SUM(B50:C50)</f>
        <v>4</v>
      </c>
      <c r="E50" s="25" t="s">
        <v>322</v>
      </c>
      <c r="F50" s="306">
        <v>38</v>
      </c>
      <c r="G50" s="34">
        <v>29</v>
      </c>
      <c r="H50" s="27">
        <f t="shared" ref="H50:H92" si="3">SUM(F50:G50)</f>
        <v>67</v>
      </c>
      <c r="I50" s="72" t="s">
        <v>131</v>
      </c>
      <c r="J50" s="128" t="s">
        <v>17</v>
      </c>
      <c r="K50" s="128" t="s">
        <v>17</v>
      </c>
      <c r="L50" s="231" t="s">
        <v>17</v>
      </c>
      <c r="M50" s="128">
        <v>4</v>
      </c>
      <c r="N50" s="128">
        <v>7</v>
      </c>
      <c r="O50" s="231">
        <f>SUM(M50/N50)*100</f>
        <v>57.142857142857139</v>
      </c>
      <c r="P50" s="9"/>
    </row>
    <row r="51" spans="1:16" ht="14.95" thickBot="1" x14ac:dyDescent="0.3">
      <c r="A51" s="72" t="s">
        <v>1133</v>
      </c>
      <c r="B51" s="352">
        <v>2</v>
      </c>
      <c r="C51" s="394">
        <v>1</v>
      </c>
      <c r="D51" s="73">
        <f t="shared" si="2"/>
        <v>3</v>
      </c>
      <c r="E51" s="26" t="s">
        <v>263</v>
      </c>
      <c r="F51" s="306">
        <v>20</v>
      </c>
      <c r="G51" s="34">
        <v>0</v>
      </c>
      <c r="H51" s="27">
        <f t="shared" si="3"/>
        <v>20</v>
      </c>
      <c r="P51" s="9"/>
    </row>
    <row r="52" spans="1:16" ht="14.95" thickBot="1" x14ac:dyDescent="0.3">
      <c r="A52" s="72" t="s">
        <v>1291</v>
      </c>
      <c r="B52" s="352">
        <v>1</v>
      </c>
      <c r="C52" s="394">
        <v>2</v>
      </c>
      <c r="D52" s="73">
        <f t="shared" si="2"/>
        <v>3</v>
      </c>
      <c r="E52" s="26" t="s">
        <v>1133</v>
      </c>
      <c r="F52" s="306">
        <v>10</v>
      </c>
      <c r="G52" s="34">
        <v>5</v>
      </c>
      <c r="H52" s="27">
        <f t="shared" si="3"/>
        <v>15</v>
      </c>
    </row>
    <row r="53" spans="1:16" ht="14.95" thickBot="1" x14ac:dyDescent="0.3">
      <c r="A53" s="72" t="s">
        <v>817</v>
      </c>
      <c r="B53" s="352">
        <v>1</v>
      </c>
      <c r="C53" s="394">
        <v>2</v>
      </c>
      <c r="D53" s="73">
        <f t="shared" si="2"/>
        <v>3</v>
      </c>
      <c r="E53" s="26" t="s">
        <v>795</v>
      </c>
      <c r="F53" s="306">
        <v>5</v>
      </c>
      <c r="G53" s="34">
        <v>10</v>
      </c>
      <c r="H53" s="27">
        <f t="shared" si="3"/>
        <v>15</v>
      </c>
    </row>
    <row r="54" spans="1:16" ht="14.95" thickBot="1" x14ac:dyDescent="0.3">
      <c r="A54" s="72" t="s">
        <v>1401</v>
      </c>
      <c r="B54" s="352">
        <v>0</v>
      </c>
      <c r="C54" s="394">
        <v>2</v>
      </c>
      <c r="D54" s="73">
        <f t="shared" si="2"/>
        <v>2</v>
      </c>
      <c r="E54" s="26" t="s">
        <v>817</v>
      </c>
      <c r="F54" s="306">
        <v>5</v>
      </c>
      <c r="G54" s="34">
        <v>10</v>
      </c>
      <c r="H54" s="27">
        <f t="shared" si="3"/>
        <v>15</v>
      </c>
    </row>
    <row r="55" spans="1:16" ht="14.95" thickBot="1" x14ac:dyDescent="0.3">
      <c r="A55" s="72" t="s">
        <v>322</v>
      </c>
      <c r="B55" s="352">
        <v>2</v>
      </c>
      <c r="C55" s="394">
        <v>0</v>
      </c>
      <c r="D55" s="73">
        <f t="shared" si="2"/>
        <v>2</v>
      </c>
      <c r="E55" s="26" t="s">
        <v>129</v>
      </c>
      <c r="F55" s="306">
        <v>0</v>
      </c>
      <c r="G55" s="34">
        <v>14</v>
      </c>
      <c r="H55" s="27">
        <f t="shared" si="3"/>
        <v>14</v>
      </c>
    </row>
    <row r="56" spans="1:16" ht="14.95" thickBot="1" x14ac:dyDescent="0.3">
      <c r="A56" s="72" t="s">
        <v>1441</v>
      </c>
      <c r="B56" s="352">
        <v>0</v>
      </c>
      <c r="C56" s="394">
        <v>1</v>
      </c>
      <c r="D56" s="73">
        <f t="shared" si="2"/>
        <v>1</v>
      </c>
      <c r="E56" s="26" t="s">
        <v>1401</v>
      </c>
      <c r="F56" s="306">
        <v>0</v>
      </c>
      <c r="G56" s="34">
        <v>10</v>
      </c>
      <c r="H56" s="27">
        <f t="shared" si="3"/>
        <v>10</v>
      </c>
    </row>
    <row r="57" spans="1:16" ht="14.95" thickBot="1" x14ac:dyDescent="0.3">
      <c r="A57" s="72" t="s">
        <v>1353</v>
      </c>
      <c r="B57" s="352">
        <v>1</v>
      </c>
      <c r="C57" s="394">
        <v>0</v>
      </c>
      <c r="D57" s="73">
        <f t="shared" si="2"/>
        <v>1</v>
      </c>
      <c r="E57" s="26" t="s">
        <v>1441</v>
      </c>
      <c r="F57" s="306">
        <v>0</v>
      </c>
      <c r="G57" s="34">
        <v>5</v>
      </c>
      <c r="H57" s="27">
        <f t="shared" si="3"/>
        <v>5</v>
      </c>
    </row>
    <row r="58" spans="1:16" ht="14.95" thickBot="1" x14ac:dyDescent="0.3">
      <c r="A58" s="72" t="s">
        <v>1276</v>
      </c>
      <c r="B58" s="352">
        <v>0</v>
      </c>
      <c r="C58" s="394">
        <v>1</v>
      </c>
      <c r="D58" s="73">
        <f t="shared" si="2"/>
        <v>1</v>
      </c>
      <c r="E58" s="26" t="s">
        <v>1353</v>
      </c>
      <c r="F58" s="306">
        <v>5</v>
      </c>
      <c r="G58" s="34">
        <v>0</v>
      </c>
      <c r="H58" s="27">
        <f t="shared" si="3"/>
        <v>5</v>
      </c>
    </row>
    <row r="59" spans="1:16" ht="14.95" thickBot="1" x14ac:dyDescent="0.3">
      <c r="A59" s="72" t="s">
        <v>582</v>
      </c>
      <c r="B59" s="352">
        <v>0</v>
      </c>
      <c r="C59" s="394">
        <v>1</v>
      </c>
      <c r="D59" s="73">
        <f t="shared" si="2"/>
        <v>1</v>
      </c>
      <c r="E59" s="26" t="s">
        <v>1276</v>
      </c>
      <c r="F59" s="306">
        <v>0</v>
      </c>
      <c r="G59" s="34">
        <v>5</v>
      </c>
      <c r="H59" s="27">
        <f t="shared" si="3"/>
        <v>5</v>
      </c>
    </row>
    <row r="60" spans="1:16" ht="14.95" thickBot="1" x14ac:dyDescent="0.3">
      <c r="A60" s="72" t="s">
        <v>1400</v>
      </c>
      <c r="B60" s="352">
        <v>0</v>
      </c>
      <c r="C60" s="394">
        <v>1</v>
      </c>
      <c r="D60" s="73">
        <f t="shared" si="2"/>
        <v>1</v>
      </c>
      <c r="E60" s="26" t="s">
        <v>582</v>
      </c>
      <c r="F60" s="306">
        <v>0</v>
      </c>
      <c r="G60" s="34">
        <v>5</v>
      </c>
      <c r="H60" s="27">
        <f t="shared" si="3"/>
        <v>5</v>
      </c>
    </row>
    <row r="61" spans="1:16" ht="14.95" thickBot="1" x14ac:dyDescent="0.3">
      <c r="A61" s="72" t="s">
        <v>1399</v>
      </c>
      <c r="B61" s="352">
        <v>0</v>
      </c>
      <c r="C61" s="394">
        <v>1</v>
      </c>
      <c r="D61" s="73">
        <f t="shared" si="2"/>
        <v>1</v>
      </c>
      <c r="E61" s="26" t="s">
        <v>1400</v>
      </c>
      <c r="F61" s="306">
        <v>0</v>
      </c>
      <c r="G61" s="34">
        <v>5</v>
      </c>
      <c r="H61" s="27">
        <f t="shared" si="3"/>
        <v>5</v>
      </c>
    </row>
    <row r="62" spans="1:16" ht="14.95" thickBot="1" x14ac:dyDescent="0.3">
      <c r="A62" s="72" t="s">
        <v>198</v>
      </c>
      <c r="B62" s="352">
        <v>0</v>
      </c>
      <c r="C62" s="394">
        <v>0</v>
      </c>
      <c r="D62" s="73">
        <f t="shared" si="2"/>
        <v>0</v>
      </c>
      <c r="E62" s="26" t="s">
        <v>1399</v>
      </c>
      <c r="F62" s="306">
        <v>0</v>
      </c>
      <c r="G62" s="34">
        <v>5</v>
      </c>
      <c r="H62" s="27">
        <f t="shared" si="3"/>
        <v>5</v>
      </c>
    </row>
    <row r="63" spans="1:16" ht="14.95" thickBot="1" x14ac:dyDescent="0.3">
      <c r="A63" s="72" t="s">
        <v>992</v>
      </c>
      <c r="B63" s="352">
        <v>0</v>
      </c>
      <c r="C63" s="394">
        <v>0</v>
      </c>
      <c r="D63" s="73">
        <f t="shared" si="2"/>
        <v>0</v>
      </c>
      <c r="E63" s="26" t="s">
        <v>395</v>
      </c>
      <c r="F63" s="306">
        <v>0</v>
      </c>
      <c r="G63" s="34">
        <v>3</v>
      </c>
      <c r="H63" s="27">
        <f t="shared" si="3"/>
        <v>3</v>
      </c>
    </row>
    <row r="64" spans="1:16" ht="14.95" thickBot="1" x14ac:dyDescent="0.3">
      <c r="A64" s="72" t="s">
        <v>52</v>
      </c>
      <c r="B64" s="352">
        <v>0</v>
      </c>
      <c r="C64" s="394">
        <v>0</v>
      </c>
      <c r="D64" s="73">
        <f t="shared" si="2"/>
        <v>0</v>
      </c>
      <c r="E64" s="26" t="s">
        <v>198</v>
      </c>
      <c r="F64" s="306">
        <v>0</v>
      </c>
      <c r="G64" s="34">
        <v>0</v>
      </c>
      <c r="H64" s="27">
        <f t="shared" si="3"/>
        <v>0</v>
      </c>
    </row>
    <row r="65" spans="1:8" ht="14.95" thickBot="1" x14ac:dyDescent="0.3">
      <c r="A65" s="72" t="s">
        <v>519</v>
      </c>
      <c r="B65" s="352">
        <v>0</v>
      </c>
      <c r="C65" s="394">
        <v>0</v>
      </c>
      <c r="D65" s="73">
        <f t="shared" si="2"/>
        <v>0</v>
      </c>
      <c r="E65" s="26" t="s">
        <v>992</v>
      </c>
      <c r="F65" s="306">
        <v>0</v>
      </c>
      <c r="G65" s="34">
        <v>0</v>
      </c>
      <c r="H65" s="27">
        <f t="shared" si="3"/>
        <v>0</v>
      </c>
    </row>
    <row r="66" spans="1:8" ht="14.95" thickBot="1" x14ac:dyDescent="0.3">
      <c r="A66" s="72" t="s">
        <v>10</v>
      </c>
      <c r="B66" s="352">
        <v>0</v>
      </c>
      <c r="C66" s="394">
        <v>0</v>
      </c>
      <c r="D66" s="73">
        <f t="shared" si="2"/>
        <v>0</v>
      </c>
      <c r="E66" s="26" t="s">
        <v>52</v>
      </c>
      <c r="F66" s="306">
        <v>0</v>
      </c>
      <c r="G66" s="34">
        <v>0</v>
      </c>
      <c r="H66" s="27">
        <f t="shared" si="3"/>
        <v>0</v>
      </c>
    </row>
    <row r="67" spans="1:8" ht="14.95" thickBot="1" x14ac:dyDescent="0.3">
      <c r="A67" s="72" t="s">
        <v>403</v>
      </c>
      <c r="B67" s="352">
        <v>0</v>
      </c>
      <c r="C67" s="394">
        <v>0</v>
      </c>
      <c r="D67" s="73">
        <f t="shared" si="2"/>
        <v>0</v>
      </c>
      <c r="E67" s="26" t="s">
        <v>519</v>
      </c>
      <c r="F67" s="306">
        <v>0</v>
      </c>
      <c r="G67" s="34">
        <v>0</v>
      </c>
      <c r="H67" s="27">
        <f t="shared" si="3"/>
        <v>0</v>
      </c>
    </row>
    <row r="68" spans="1:8" ht="14.95" thickBot="1" x14ac:dyDescent="0.3">
      <c r="A68" s="72" t="s">
        <v>138</v>
      </c>
      <c r="B68" s="352">
        <v>0</v>
      </c>
      <c r="C68" s="394">
        <v>0</v>
      </c>
      <c r="D68" s="73">
        <f t="shared" si="2"/>
        <v>0</v>
      </c>
      <c r="E68" s="26" t="s">
        <v>10</v>
      </c>
      <c r="F68" s="306">
        <v>0</v>
      </c>
      <c r="G68" s="34">
        <v>0</v>
      </c>
      <c r="H68" s="27">
        <f t="shared" si="3"/>
        <v>0</v>
      </c>
    </row>
    <row r="69" spans="1:8" ht="14.95" thickBot="1" x14ac:dyDescent="0.3">
      <c r="A69" s="72" t="s">
        <v>395</v>
      </c>
      <c r="B69" s="352">
        <v>0</v>
      </c>
      <c r="C69" s="394">
        <v>0</v>
      </c>
      <c r="D69" s="73">
        <f t="shared" si="2"/>
        <v>0</v>
      </c>
      <c r="E69" s="26" t="s">
        <v>403</v>
      </c>
      <c r="F69" s="306">
        <v>0</v>
      </c>
      <c r="G69" s="34">
        <v>0</v>
      </c>
      <c r="H69" s="27">
        <f t="shared" si="3"/>
        <v>0</v>
      </c>
    </row>
    <row r="70" spans="1:8" ht="14.95" thickBot="1" x14ac:dyDescent="0.3">
      <c r="A70" s="72" t="s">
        <v>1065</v>
      </c>
      <c r="B70" s="352">
        <v>0</v>
      </c>
      <c r="C70" s="394">
        <v>0</v>
      </c>
      <c r="D70" s="73">
        <f t="shared" si="2"/>
        <v>0</v>
      </c>
      <c r="E70" s="26" t="s">
        <v>138</v>
      </c>
      <c r="F70" s="306">
        <v>0</v>
      </c>
      <c r="G70" s="34">
        <v>0</v>
      </c>
      <c r="H70" s="27">
        <f t="shared" si="3"/>
        <v>0</v>
      </c>
    </row>
    <row r="71" spans="1:8" ht="14.95" thickBot="1" x14ac:dyDescent="0.3">
      <c r="A71" s="72" t="s">
        <v>194</v>
      </c>
      <c r="B71" s="352">
        <v>0</v>
      </c>
      <c r="C71" s="394">
        <v>0</v>
      </c>
      <c r="D71" s="73">
        <f t="shared" si="2"/>
        <v>0</v>
      </c>
      <c r="E71" s="26" t="s">
        <v>1065</v>
      </c>
      <c r="F71" s="306">
        <v>0</v>
      </c>
      <c r="G71" s="34">
        <v>0</v>
      </c>
      <c r="H71" s="27">
        <f t="shared" si="3"/>
        <v>0</v>
      </c>
    </row>
    <row r="72" spans="1:8" ht="14.95" thickBot="1" x14ac:dyDescent="0.3">
      <c r="A72" s="72" t="s">
        <v>264</v>
      </c>
      <c r="B72" s="352">
        <v>0</v>
      </c>
      <c r="C72" s="394">
        <v>0</v>
      </c>
      <c r="D72" s="73">
        <f t="shared" si="2"/>
        <v>0</v>
      </c>
      <c r="E72" s="26" t="s">
        <v>194</v>
      </c>
      <c r="F72" s="306">
        <v>0</v>
      </c>
      <c r="G72" s="34">
        <v>0</v>
      </c>
      <c r="H72" s="27">
        <f t="shared" si="3"/>
        <v>0</v>
      </c>
    </row>
    <row r="73" spans="1:8" ht="14.95" thickBot="1" x14ac:dyDescent="0.3">
      <c r="A73" s="72" t="s">
        <v>431</v>
      </c>
      <c r="B73" s="352">
        <v>0</v>
      </c>
      <c r="C73" s="394">
        <v>0</v>
      </c>
      <c r="D73" s="73">
        <f t="shared" si="2"/>
        <v>0</v>
      </c>
      <c r="E73" s="26" t="s">
        <v>264</v>
      </c>
      <c r="F73" s="306">
        <v>0</v>
      </c>
      <c r="G73" s="34">
        <v>0</v>
      </c>
      <c r="H73" s="27">
        <f t="shared" si="3"/>
        <v>0</v>
      </c>
    </row>
    <row r="74" spans="1:8" ht="14.95" thickBot="1" x14ac:dyDescent="0.3">
      <c r="A74" s="72" t="s">
        <v>432</v>
      </c>
      <c r="B74" s="352">
        <v>0</v>
      </c>
      <c r="C74" s="394">
        <v>0</v>
      </c>
      <c r="D74" s="73">
        <f t="shared" si="2"/>
        <v>0</v>
      </c>
      <c r="E74" s="26" t="s">
        <v>431</v>
      </c>
      <c r="F74" s="306">
        <v>0</v>
      </c>
      <c r="G74" s="34">
        <v>0</v>
      </c>
      <c r="H74" s="27">
        <f t="shared" si="3"/>
        <v>0</v>
      </c>
    </row>
    <row r="75" spans="1:8" ht="14.95" thickBot="1" x14ac:dyDescent="0.3">
      <c r="A75" s="72" t="s">
        <v>458</v>
      </c>
      <c r="B75" s="352">
        <v>0</v>
      </c>
      <c r="C75" s="394">
        <v>0</v>
      </c>
      <c r="D75" s="73">
        <f t="shared" si="2"/>
        <v>0</v>
      </c>
      <c r="E75" s="26" t="s">
        <v>432</v>
      </c>
      <c r="F75" s="306">
        <v>0</v>
      </c>
      <c r="G75" s="34">
        <v>0</v>
      </c>
      <c r="H75" s="27">
        <f t="shared" si="3"/>
        <v>0</v>
      </c>
    </row>
    <row r="76" spans="1:8" ht="14.95" thickBot="1" x14ac:dyDescent="0.3">
      <c r="A76" s="72" t="s">
        <v>556</v>
      </c>
      <c r="B76" s="352">
        <v>0</v>
      </c>
      <c r="C76" s="394">
        <v>0</v>
      </c>
      <c r="D76" s="73">
        <f t="shared" si="2"/>
        <v>0</v>
      </c>
      <c r="E76" s="26" t="s">
        <v>458</v>
      </c>
      <c r="F76" s="306">
        <v>0</v>
      </c>
      <c r="G76" s="34">
        <v>0</v>
      </c>
      <c r="H76" s="27">
        <f t="shared" si="3"/>
        <v>0</v>
      </c>
    </row>
    <row r="77" spans="1:8" ht="14.95" thickBot="1" x14ac:dyDescent="0.3">
      <c r="A77" s="72" t="s">
        <v>420</v>
      </c>
      <c r="B77" s="352">
        <v>0</v>
      </c>
      <c r="C77" s="394">
        <v>0</v>
      </c>
      <c r="D77" s="73">
        <f t="shared" si="2"/>
        <v>0</v>
      </c>
      <c r="E77" s="26" t="s">
        <v>556</v>
      </c>
      <c r="F77" s="306">
        <v>0</v>
      </c>
      <c r="G77" s="34">
        <v>0</v>
      </c>
      <c r="H77" s="27">
        <f t="shared" si="3"/>
        <v>0</v>
      </c>
    </row>
    <row r="78" spans="1:8" ht="14.95" thickBot="1" x14ac:dyDescent="0.3">
      <c r="A78" s="72" t="s">
        <v>199</v>
      </c>
      <c r="B78" s="352">
        <v>0</v>
      </c>
      <c r="C78" s="394">
        <v>0</v>
      </c>
      <c r="D78" s="73">
        <f t="shared" si="2"/>
        <v>0</v>
      </c>
      <c r="E78" s="26" t="s">
        <v>420</v>
      </c>
      <c r="F78" s="306">
        <v>0</v>
      </c>
      <c r="G78" s="34">
        <v>0</v>
      </c>
      <c r="H78" s="27">
        <f t="shared" si="3"/>
        <v>0</v>
      </c>
    </row>
    <row r="79" spans="1:8" ht="14.95" thickBot="1" x14ac:dyDescent="0.3">
      <c r="A79" s="72" t="s">
        <v>1067</v>
      </c>
      <c r="B79" s="352">
        <v>0</v>
      </c>
      <c r="C79" s="394">
        <v>0</v>
      </c>
      <c r="D79" s="73">
        <f t="shared" si="2"/>
        <v>0</v>
      </c>
      <c r="E79" s="26" t="s">
        <v>199</v>
      </c>
      <c r="F79" s="306">
        <v>0</v>
      </c>
      <c r="G79" s="34">
        <v>0</v>
      </c>
      <c r="H79" s="27">
        <f t="shared" si="3"/>
        <v>0</v>
      </c>
    </row>
    <row r="80" spans="1:8" ht="14.95" thickBot="1" x14ac:dyDescent="0.3">
      <c r="A80" s="72" t="s">
        <v>1066</v>
      </c>
      <c r="B80" s="352">
        <v>0</v>
      </c>
      <c r="C80" s="394">
        <v>0</v>
      </c>
      <c r="D80" s="73">
        <f t="shared" si="2"/>
        <v>0</v>
      </c>
      <c r="E80" s="26" t="s">
        <v>1067</v>
      </c>
      <c r="F80" s="306">
        <v>0</v>
      </c>
      <c r="G80" s="34">
        <v>0</v>
      </c>
      <c r="H80" s="27">
        <f t="shared" si="3"/>
        <v>0</v>
      </c>
    </row>
    <row r="81" spans="1:8" ht="14.95" thickBot="1" x14ac:dyDescent="0.3">
      <c r="A81" s="72" t="s">
        <v>132</v>
      </c>
      <c r="B81" s="352">
        <v>0</v>
      </c>
      <c r="C81" s="394">
        <v>0</v>
      </c>
      <c r="D81" s="73">
        <f t="shared" si="2"/>
        <v>0</v>
      </c>
      <c r="E81" s="26" t="s">
        <v>1066</v>
      </c>
      <c r="F81" s="306">
        <v>0</v>
      </c>
      <c r="G81" s="34">
        <v>0</v>
      </c>
      <c r="H81" s="27">
        <f t="shared" si="3"/>
        <v>0</v>
      </c>
    </row>
    <row r="82" spans="1:8" ht="14.95" thickBot="1" x14ac:dyDescent="0.3">
      <c r="A82" s="72" t="s">
        <v>54</v>
      </c>
      <c r="B82" s="352">
        <v>0</v>
      </c>
      <c r="C82" s="394">
        <v>0</v>
      </c>
      <c r="D82" s="73">
        <f t="shared" si="2"/>
        <v>0</v>
      </c>
      <c r="E82" s="26" t="s">
        <v>132</v>
      </c>
      <c r="F82" s="306">
        <v>0</v>
      </c>
      <c r="G82" s="34">
        <v>0</v>
      </c>
      <c r="H82" s="27">
        <f t="shared" si="3"/>
        <v>0</v>
      </c>
    </row>
    <row r="83" spans="1:8" ht="14.95" thickBot="1" x14ac:dyDescent="0.3">
      <c r="A83" s="72" t="s">
        <v>4</v>
      </c>
      <c r="B83" s="352">
        <v>0</v>
      </c>
      <c r="C83" s="394">
        <v>0</v>
      </c>
      <c r="D83" s="73">
        <f t="shared" si="2"/>
        <v>0</v>
      </c>
      <c r="E83" s="26" t="s">
        <v>54</v>
      </c>
      <c r="F83" s="306">
        <v>0</v>
      </c>
      <c r="G83" s="34">
        <v>0</v>
      </c>
      <c r="H83" s="27">
        <f t="shared" si="3"/>
        <v>0</v>
      </c>
    </row>
    <row r="84" spans="1:8" ht="14.95" thickBot="1" x14ac:dyDescent="0.3">
      <c r="A84" s="72" t="s">
        <v>129</v>
      </c>
      <c r="B84" s="352">
        <v>0</v>
      </c>
      <c r="C84" s="394">
        <v>0</v>
      </c>
      <c r="D84" s="73">
        <f t="shared" si="2"/>
        <v>0</v>
      </c>
      <c r="E84" s="26" t="s">
        <v>4</v>
      </c>
      <c r="F84" s="306">
        <v>0</v>
      </c>
      <c r="G84" s="34">
        <v>0</v>
      </c>
      <c r="H84" s="27">
        <f t="shared" si="3"/>
        <v>0</v>
      </c>
    </row>
    <row r="85" spans="1:8" ht="14.95" thickBot="1" x14ac:dyDescent="0.3">
      <c r="A85" s="72" t="s">
        <v>200</v>
      </c>
      <c r="B85" s="352">
        <v>0</v>
      </c>
      <c r="C85" s="394">
        <v>0</v>
      </c>
      <c r="D85" s="73">
        <f t="shared" si="2"/>
        <v>0</v>
      </c>
      <c r="E85" s="26" t="s">
        <v>200</v>
      </c>
      <c r="F85" s="306">
        <v>0</v>
      </c>
      <c r="G85" s="34">
        <v>0</v>
      </c>
      <c r="H85" s="27">
        <f t="shared" si="3"/>
        <v>0</v>
      </c>
    </row>
    <row r="86" spans="1:8" ht="14.95" thickBot="1" x14ac:dyDescent="0.3">
      <c r="A86" s="72" t="s">
        <v>265</v>
      </c>
      <c r="B86" s="352">
        <v>0</v>
      </c>
      <c r="C86" s="394">
        <v>0</v>
      </c>
      <c r="D86" s="73">
        <f t="shared" si="2"/>
        <v>0</v>
      </c>
      <c r="E86" s="26" t="s">
        <v>265</v>
      </c>
      <c r="F86" s="306">
        <v>0</v>
      </c>
      <c r="G86" s="34">
        <v>0</v>
      </c>
      <c r="H86" s="27">
        <f t="shared" si="3"/>
        <v>0</v>
      </c>
    </row>
    <row r="87" spans="1:8" ht="14.95" customHeight="1" thickBot="1" x14ac:dyDescent="0.3">
      <c r="A87" s="72" t="s">
        <v>55</v>
      </c>
      <c r="B87" s="352">
        <v>0</v>
      </c>
      <c r="C87" s="394">
        <v>0</v>
      </c>
      <c r="D87" s="73">
        <f t="shared" si="2"/>
        <v>0</v>
      </c>
      <c r="E87" s="26" t="s">
        <v>55</v>
      </c>
      <c r="F87" s="306">
        <v>0</v>
      </c>
      <c r="G87" s="34">
        <v>0</v>
      </c>
      <c r="H87" s="27">
        <f t="shared" si="3"/>
        <v>0</v>
      </c>
    </row>
    <row r="88" spans="1:8" ht="14.95" thickBot="1" x14ac:dyDescent="0.3">
      <c r="A88" s="72" t="s">
        <v>21</v>
      </c>
      <c r="B88" s="352">
        <v>0</v>
      </c>
      <c r="C88" s="394">
        <v>0</v>
      </c>
      <c r="D88" s="73">
        <f t="shared" si="2"/>
        <v>0</v>
      </c>
      <c r="E88" s="26" t="s">
        <v>21</v>
      </c>
      <c r="F88" s="306">
        <v>0</v>
      </c>
      <c r="G88" s="34">
        <v>0</v>
      </c>
      <c r="H88" s="27">
        <f t="shared" si="3"/>
        <v>0</v>
      </c>
    </row>
    <row r="89" spans="1:8" ht="14.45" customHeight="1" thickBot="1" x14ac:dyDescent="0.3">
      <c r="A89" s="72" t="s">
        <v>9</v>
      </c>
      <c r="B89" s="352">
        <v>0</v>
      </c>
      <c r="C89" s="394">
        <v>0</v>
      </c>
      <c r="D89" s="73">
        <f t="shared" si="2"/>
        <v>0</v>
      </c>
      <c r="E89" s="26" t="s">
        <v>9</v>
      </c>
      <c r="F89" s="306">
        <v>0</v>
      </c>
      <c r="G89" s="34">
        <v>0</v>
      </c>
      <c r="H89" s="27">
        <f t="shared" si="3"/>
        <v>0</v>
      </c>
    </row>
    <row r="90" spans="1:8" ht="14.95" thickBot="1" x14ac:dyDescent="0.3">
      <c r="A90" s="72" t="s">
        <v>158</v>
      </c>
      <c r="B90" s="352">
        <v>0</v>
      </c>
      <c r="C90" s="394">
        <v>0</v>
      </c>
      <c r="D90" s="73">
        <f t="shared" si="2"/>
        <v>0</v>
      </c>
      <c r="E90" s="26" t="s">
        <v>158</v>
      </c>
      <c r="F90" s="306">
        <v>0</v>
      </c>
      <c r="G90" s="34">
        <v>0</v>
      </c>
      <c r="H90" s="27">
        <f t="shared" si="3"/>
        <v>0</v>
      </c>
    </row>
    <row r="91" spans="1:8" ht="14.95" thickBot="1" x14ac:dyDescent="0.3">
      <c r="A91" s="72" t="s">
        <v>130</v>
      </c>
      <c r="B91" s="352">
        <v>0</v>
      </c>
      <c r="C91" s="394">
        <v>0</v>
      </c>
      <c r="D91" s="73">
        <f t="shared" si="2"/>
        <v>0</v>
      </c>
      <c r="E91" s="26" t="s">
        <v>130</v>
      </c>
      <c r="F91" s="306">
        <v>0</v>
      </c>
      <c r="G91" s="34">
        <v>0</v>
      </c>
      <c r="H91" s="27">
        <f t="shared" si="3"/>
        <v>0</v>
      </c>
    </row>
    <row r="92" spans="1:8" ht="14.95" thickBot="1" x14ac:dyDescent="0.3">
      <c r="A92" s="72" t="s">
        <v>56</v>
      </c>
      <c r="B92" s="352">
        <v>0</v>
      </c>
      <c r="C92" s="394">
        <v>0</v>
      </c>
      <c r="D92" s="73">
        <f t="shared" si="2"/>
        <v>0</v>
      </c>
      <c r="E92" s="26" t="s">
        <v>56</v>
      </c>
      <c r="F92" s="306">
        <v>0</v>
      </c>
      <c r="G92" s="34">
        <v>0</v>
      </c>
      <c r="H92" s="27">
        <f t="shared" si="3"/>
        <v>0</v>
      </c>
    </row>
    <row r="93" spans="1:8" ht="14.95" thickBot="1" x14ac:dyDescent="0.3">
      <c r="A93" s="72" t="s">
        <v>3</v>
      </c>
      <c r="B93" s="352">
        <f>SUM(B50:B92)</f>
        <v>11</v>
      </c>
      <c r="C93" s="394">
        <f>SUM(C50:C92)</f>
        <v>12</v>
      </c>
      <c r="D93" s="73">
        <f t="shared" ref="D93" si="4">SUM(B93:C93)</f>
        <v>23</v>
      </c>
      <c r="E93" s="25" t="s">
        <v>3</v>
      </c>
      <c r="F93" s="306">
        <f>SUM(F50:F92)</f>
        <v>83</v>
      </c>
      <c r="G93" s="34">
        <f>SUM(G50:G92)</f>
        <v>106</v>
      </c>
      <c r="H93" s="27">
        <f t="shared" ref="H93" si="5">SUM(F93:G93)</f>
        <v>189</v>
      </c>
    </row>
    <row r="94" spans="1:8" ht="16.3" x14ac:dyDescent="0.3">
      <c r="A94" s="487" t="s">
        <v>28</v>
      </c>
    </row>
  </sheetData>
  <sortState xmlns:xlrd2="http://schemas.microsoft.com/office/spreadsheetml/2017/richdata2" ref="E50:H92">
    <sortCondition descending="1" ref="H50:H92"/>
  </sortState>
  <mergeCells count="32">
    <mergeCell ref="Z19:AB20"/>
    <mergeCell ref="S19:U20"/>
    <mergeCell ref="J11:L12"/>
    <mergeCell ref="M19:O20"/>
    <mergeCell ref="P19:R20"/>
    <mergeCell ref="A1:H1"/>
    <mergeCell ref="I19:I20"/>
    <mergeCell ref="J19:L20"/>
    <mergeCell ref="I11:I12"/>
    <mergeCell ref="M11:O12"/>
    <mergeCell ref="I1:I2"/>
    <mergeCell ref="J1:L2"/>
    <mergeCell ref="M39:O40"/>
    <mergeCell ref="P28:R29"/>
    <mergeCell ref="I28:I29"/>
    <mergeCell ref="J28:L29"/>
    <mergeCell ref="I39:I40"/>
    <mergeCell ref="J39:L40"/>
    <mergeCell ref="I38:S38"/>
    <mergeCell ref="M28:O29"/>
    <mergeCell ref="AO1:AQ2"/>
    <mergeCell ref="M1:O2"/>
    <mergeCell ref="P1:P2"/>
    <mergeCell ref="P11:R12"/>
    <mergeCell ref="AC1:AE2"/>
    <mergeCell ref="AI1:AK2"/>
    <mergeCell ref="AF1:AH2"/>
    <mergeCell ref="T1:V2"/>
    <mergeCell ref="Q1:S2"/>
    <mergeCell ref="Z1:AB2"/>
    <mergeCell ref="AL1:AN2"/>
    <mergeCell ref="W1:Y2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0D0026-0161-451D-80A3-D27DB1D52E2C}">
  <dimension ref="A1:V72"/>
  <sheetViews>
    <sheetView workbookViewId="0">
      <selection activeCell="R20" sqref="R20"/>
    </sheetView>
  </sheetViews>
  <sheetFormatPr defaultRowHeight="14.3" x14ac:dyDescent="0.25"/>
  <cols>
    <col min="1" max="1" width="17.875" customWidth="1"/>
    <col min="2" max="2" width="5.125" bestFit="1" customWidth="1"/>
    <col min="3" max="4" width="4.5" customWidth="1"/>
    <col min="5" max="5" width="17.875" customWidth="1"/>
    <col min="6" max="6" width="5.125" bestFit="1" customWidth="1"/>
    <col min="7" max="8" width="4.5" customWidth="1"/>
    <col min="9" max="9" width="17.875" customWidth="1"/>
    <col min="10" max="16" width="5.5" customWidth="1"/>
    <col min="17" max="22" width="5.625" customWidth="1"/>
    <col min="25" max="27" width="5.625" customWidth="1"/>
  </cols>
  <sheetData>
    <row r="1" spans="1:22" ht="14.95" customHeight="1" thickBot="1" x14ac:dyDescent="0.3">
      <c r="A1" s="641" t="s">
        <v>1157</v>
      </c>
      <c r="B1" s="642"/>
      <c r="C1" s="642"/>
      <c r="D1" s="642"/>
      <c r="E1" s="642"/>
      <c r="F1" s="642"/>
      <c r="G1" s="642"/>
      <c r="H1" s="643"/>
      <c r="I1" s="644" t="s">
        <v>112</v>
      </c>
      <c r="J1" s="583">
        <v>2025</v>
      </c>
      <c r="K1" s="584"/>
      <c r="L1" s="585"/>
      <c r="M1" s="583" t="s">
        <v>32</v>
      </c>
      <c r="N1" s="584"/>
      <c r="O1" s="585"/>
      <c r="P1" s="579" t="s">
        <v>121</v>
      </c>
      <c r="Q1" s="568">
        <v>2024</v>
      </c>
      <c r="R1" s="569"/>
      <c r="S1" s="570"/>
      <c r="T1" s="568">
        <v>2023</v>
      </c>
      <c r="U1" s="569"/>
      <c r="V1" s="570"/>
    </row>
    <row r="2" spans="1:22" ht="14.95" customHeight="1" thickBot="1" x14ac:dyDescent="0.3">
      <c r="A2" s="239" t="s">
        <v>0</v>
      </c>
      <c r="B2" s="516" t="s">
        <v>1285</v>
      </c>
      <c r="C2" s="524" t="s">
        <v>31</v>
      </c>
      <c r="D2" s="219" t="s">
        <v>1</v>
      </c>
      <c r="E2" s="398" t="s">
        <v>2</v>
      </c>
      <c r="F2" s="518" t="s">
        <v>1285</v>
      </c>
      <c r="G2" s="522" t="s">
        <v>31</v>
      </c>
      <c r="H2" s="519" t="s">
        <v>1</v>
      </c>
      <c r="I2" s="645"/>
      <c r="J2" s="586"/>
      <c r="K2" s="587"/>
      <c r="L2" s="588"/>
      <c r="M2" s="586"/>
      <c r="N2" s="587"/>
      <c r="O2" s="588"/>
      <c r="P2" s="580"/>
      <c r="Q2" s="571"/>
      <c r="R2" s="572"/>
      <c r="S2" s="573"/>
      <c r="T2" s="571"/>
      <c r="U2" s="572"/>
      <c r="V2" s="573"/>
    </row>
    <row r="3" spans="1:22" ht="14.95" customHeight="1" thickBot="1" x14ac:dyDescent="0.3">
      <c r="A3" s="240" t="s">
        <v>1246</v>
      </c>
      <c r="B3" s="517">
        <v>1</v>
      </c>
      <c r="C3" s="525">
        <v>1</v>
      </c>
      <c r="D3" s="75">
        <f>SUM(B3:C3)</f>
        <v>2</v>
      </c>
      <c r="E3" s="404" t="s">
        <v>1246</v>
      </c>
      <c r="F3" s="520">
        <v>5</v>
      </c>
      <c r="G3" s="523">
        <v>5</v>
      </c>
      <c r="H3" s="521">
        <f>SUM(F3:G3)</f>
        <v>10</v>
      </c>
      <c r="I3" s="376"/>
      <c r="J3" s="53" t="s">
        <v>152</v>
      </c>
      <c r="K3" s="53" t="s">
        <v>12</v>
      </c>
      <c r="L3" s="53" t="s">
        <v>13</v>
      </c>
      <c r="M3" s="181" t="s">
        <v>152</v>
      </c>
      <c r="N3" s="53" t="s">
        <v>12</v>
      </c>
      <c r="O3" s="53" t="s">
        <v>13</v>
      </c>
      <c r="P3" s="1"/>
      <c r="Q3" s="128" t="s">
        <v>152</v>
      </c>
      <c r="R3" s="128" t="s">
        <v>12</v>
      </c>
      <c r="S3" s="128" t="s">
        <v>13</v>
      </c>
      <c r="T3" s="128" t="s">
        <v>152</v>
      </c>
      <c r="U3" s="128" t="s">
        <v>12</v>
      </c>
      <c r="V3" s="128" t="s">
        <v>13</v>
      </c>
    </row>
    <row r="4" spans="1:22" ht="14.95" customHeight="1" thickBot="1" x14ac:dyDescent="0.3">
      <c r="A4" s="240" t="s">
        <v>768</v>
      </c>
      <c r="B4" s="517">
        <v>0</v>
      </c>
      <c r="C4" s="525">
        <v>0</v>
      </c>
      <c r="D4" s="75">
        <f t="shared" ref="D4:D35" si="0">SUM(B4:C4)</f>
        <v>0</v>
      </c>
      <c r="E4" s="404" t="s">
        <v>768</v>
      </c>
      <c r="F4" s="520">
        <v>0</v>
      </c>
      <c r="G4" s="457">
        <v>0</v>
      </c>
      <c r="H4" s="521">
        <f t="shared" ref="H4:H35" si="1">SUM(F4:G4)</f>
        <v>0</v>
      </c>
      <c r="I4" s="240" t="s">
        <v>783</v>
      </c>
      <c r="J4" s="75" t="s">
        <v>17</v>
      </c>
      <c r="K4" s="75" t="s">
        <v>17</v>
      </c>
      <c r="L4" s="241" t="s">
        <v>17</v>
      </c>
      <c r="M4" s="75" t="s">
        <v>17</v>
      </c>
      <c r="N4" s="75" t="s">
        <v>17</v>
      </c>
      <c r="O4" s="241" t="s">
        <v>17</v>
      </c>
      <c r="P4" s="75">
        <v>1</v>
      </c>
      <c r="Q4" s="128" t="s">
        <v>17</v>
      </c>
      <c r="R4" s="128" t="s">
        <v>17</v>
      </c>
      <c r="S4" s="231" t="s">
        <v>17</v>
      </c>
      <c r="T4" s="128">
        <v>1</v>
      </c>
      <c r="U4" s="128">
        <v>1</v>
      </c>
      <c r="V4" s="231">
        <f>SUM(T4/U4)*100</f>
        <v>100</v>
      </c>
    </row>
    <row r="5" spans="1:22" ht="14.95" customHeight="1" thickBot="1" x14ac:dyDescent="0.3">
      <c r="A5" s="240" t="s">
        <v>763</v>
      </c>
      <c r="B5" s="517">
        <v>0</v>
      </c>
      <c r="C5" s="525">
        <v>0</v>
      </c>
      <c r="D5" s="75">
        <f t="shared" si="0"/>
        <v>0</v>
      </c>
      <c r="E5" s="404" t="s">
        <v>763</v>
      </c>
      <c r="F5" s="520">
        <v>0</v>
      </c>
      <c r="G5" s="457">
        <v>0</v>
      </c>
      <c r="H5" s="521">
        <f t="shared" si="1"/>
        <v>0</v>
      </c>
      <c r="I5" s="240" t="s">
        <v>1038</v>
      </c>
      <c r="J5" s="75">
        <v>2</v>
      </c>
      <c r="K5" s="75">
        <v>4</v>
      </c>
      <c r="L5" s="241">
        <f>SUM(J5/K5)*100</f>
        <v>50</v>
      </c>
      <c r="M5" s="75">
        <v>2</v>
      </c>
      <c r="N5" s="75">
        <v>4</v>
      </c>
      <c r="O5" s="241">
        <f>SUM(M5/N5)*100</f>
        <v>50</v>
      </c>
      <c r="P5" s="75">
        <v>-1</v>
      </c>
      <c r="Q5" s="128">
        <v>1</v>
      </c>
      <c r="R5" s="128">
        <v>2</v>
      </c>
      <c r="S5" s="231">
        <f>SUM(Q5/R5)*100</f>
        <v>50</v>
      </c>
      <c r="T5" s="128" t="s">
        <v>17</v>
      </c>
      <c r="U5" s="128" t="s">
        <v>17</v>
      </c>
      <c r="V5" s="231" t="s">
        <v>17</v>
      </c>
    </row>
    <row r="6" spans="1:22" ht="14.95" customHeight="1" thickBot="1" x14ac:dyDescent="0.3">
      <c r="A6" s="240" t="s">
        <v>776</v>
      </c>
      <c r="B6" s="517">
        <v>0</v>
      </c>
      <c r="C6" s="525">
        <v>0</v>
      </c>
      <c r="D6" s="75">
        <f t="shared" si="0"/>
        <v>0</v>
      </c>
      <c r="E6" s="404" t="s">
        <v>776</v>
      </c>
      <c r="F6" s="520">
        <v>0</v>
      </c>
      <c r="G6" s="457">
        <v>0</v>
      </c>
      <c r="H6" s="521">
        <f t="shared" si="1"/>
        <v>0</v>
      </c>
      <c r="I6" s="240" t="s">
        <v>778</v>
      </c>
      <c r="J6" s="75">
        <v>35</v>
      </c>
      <c r="K6" s="75">
        <v>45</v>
      </c>
      <c r="L6" s="241">
        <f>SUM(J6/K6)*100</f>
        <v>77.777777777777786</v>
      </c>
      <c r="M6" s="75">
        <v>6</v>
      </c>
      <c r="N6" s="75">
        <v>7</v>
      </c>
      <c r="O6" s="241">
        <f>SUM(M6/N6)*100</f>
        <v>85.714285714285708</v>
      </c>
      <c r="P6" s="75">
        <v>3</v>
      </c>
      <c r="Q6" s="128">
        <v>29</v>
      </c>
      <c r="R6" s="128">
        <v>38</v>
      </c>
      <c r="S6" s="231">
        <f>SUM(Q6/R6)*100</f>
        <v>76.31578947368422</v>
      </c>
      <c r="T6" s="128">
        <v>9</v>
      </c>
      <c r="U6" s="128">
        <v>14</v>
      </c>
      <c r="V6" s="231">
        <f>SUM(T6/U6)*100</f>
        <v>64.285714285714292</v>
      </c>
    </row>
    <row r="7" spans="1:22" ht="14.95" customHeight="1" thickBot="1" x14ac:dyDescent="0.3">
      <c r="A7" s="240" t="s">
        <v>780</v>
      </c>
      <c r="B7" s="517">
        <v>0</v>
      </c>
      <c r="C7" s="525">
        <v>0</v>
      </c>
      <c r="D7" s="75">
        <f t="shared" si="0"/>
        <v>0</v>
      </c>
      <c r="E7" s="404" t="s">
        <v>780</v>
      </c>
      <c r="F7" s="520">
        <v>0</v>
      </c>
      <c r="G7" s="457">
        <v>0</v>
      </c>
      <c r="H7" s="521">
        <f t="shared" si="1"/>
        <v>0</v>
      </c>
      <c r="I7" s="137"/>
      <c r="J7" s="138"/>
      <c r="K7" s="38"/>
      <c r="L7" s="139"/>
      <c r="M7" s="38"/>
      <c r="N7" s="38"/>
      <c r="O7" s="24"/>
      <c r="P7" s="140"/>
    </row>
    <row r="8" spans="1:22" ht="14.95" customHeight="1" thickBot="1" x14ac:dyDescent="0.3">
      <c r="A8" s="240" t="s">
        <v>765</v>
      </c>
      <c r="B8" s="517">
        <v>3</v>
      </c>
      <c r="C8" s="525">
        <v>0</v>
      </c>
      <c r="D8" s="75">
        <f t="shared" si="0"/>
        <v>3</v>
      </c>
      <c r="E8" s="404" t="s">
        <v>765</v>
      </c>
      <c r="F8" s="520">
        <v>15</v>
      </c>
      <c r="G8" s="457">
        <v>0</v>
      </c>
      <c r="H8" s="521">
        <f t="shared" si="1"/>
        <v>15</v>
      </c>
      <c r="I8" s="577" t="s">
        <v>33</v>
      </c>
      <c r="J8" s="568">
        <v>2023</v>
      </c>
      <c r="K8" s="569"/>
      <c r="L8" s="570"/>
    </row>
    <row r="9" spans="1:22" ht="14.95" customHeight="1" thickBot="1" x14ac:dyDescent="0.3">
      <c r="A9" s="240" t="s">
        <v>769</v>
      </c>
      <c r="B9" s="517">
        <v>0</v>
      </c>
      <c r="C9" s="525">
        <v>0</v>
      </c>
      <c r="D9" s="75">
        <f t="shared" si="0"/>
        <v>0</v>
      </c>
      <c r="E9" s="404" t="s">
        <v>769</v>
      </c>
      <c r="F9" s="520">
        <v>0</v>
      </c>
      <c r="G9" s="457">
        <v>0</v>
      </c>
      <c r="H9" s="521">
        <f t="shared" si="1"/>
        <v>0</v>
      </c>
      <c r="I9" s="578"/>
      <c r="J9" s="571"/>
      <c r="K9" s="572"/>
      <c r="L9" s="573"/>
    </row>
    <row r="10" spans="1:22" ht="14.95" customHeight="1" thickBot="1" x14ac:dyDescent="0.3">
      <c r="A10" s="240" t="s">
        <v>770</v>
      </c>
      <c r="B10" s="517">
        <v>1</v>
      </c>
      <c r="C10" s="525">
        <v>0</v>
      </c>
      <c r="D10" s="75">
        <f t="shared" si="0"/>
        <v>1</v>
      </c>
      <c r="E10" s="404" t="s">
        <v>770</v>
      </c>
      <c r="F10" s="520">
        <v>5</v>
      </c>
      <c r="G10" s="457">
        <v>0</v>
      </c>
      <c r="H10" s="521">
        <f t="shared" si="1"/>
        <v>5</v>
      </c>
      <c r="I10" s="380"/>
      <c r="J10" s="128" t="s">
        <v>152</v>
      </c>
      <c r="K10" s="128" t="s">
        <v>12</v>
      </c>
      <c r="L10" s="128" t="s">
        <v>13</v>
      </c>
    </row>
    <row r="11" spans="1:22" ht="14.95" customHeight="1" thickBot="1" x14ac:dyDescent="0.3">
      <c r="A11" s="240" t="s">
        <v>773</v>
      </c>
      <c r="B11" s="517">
        <v>1</v>
      </c>
      <c r="C11" s="525">
        <v>1</v>
      </c>
      <c r="D11" s="75">
        <f t="shared" si="0"/>
        <v>2</v>
      </c>
      <c r="E11" s="404" t="s">
        <v>773</v>
      </c>
      <c r="F11" s="520">
        <v>5</v>
      </c>
      <c r="G11" s="457">
        <v>5</v>
      </c>
      <c r="H11" s="521">
        <f t="shared" si="1"/>
        <v>10</v>
      </c>
      <c r="I11" s="240" t="s">
        <v>783</v>
      </c>
      <c r="J11" s="128">
        <v>1</v>
      </c>
      <c r="K11" s="128">
        <v>1</v>
      </c>
      <c r="L11" s="231">
        <f>SUM(J11/K11)*100</f>
        <v>100</v>
      </c>
    </row>
    <row r="12" spans="1:22" ht="14.95" customHeight="1" thickBot="1" x14ac:dyDescent="0.3">
      <c r="A12" s="240" t="s">
        <v>774</v>
      </c>
      <c r="B12" s="517">
        <v>1</v>
      </c>
      <c r="C12" s="525">
        <v>1</v>
      </c>
      <c r="D12" s="75">
        <f t="shared" si="0"/>
        <v>2</v>
      </c>
      <c r="E12" s="404" t="s">
        <v>774</v>
      </c>
      <c r="F12" s="520">
        <v>5</v>
      </c>
      <c r="G12" s="457">
        <v>5</v>
      </c>
      <c r="H12" s="521">
        <f t="shared" si="1"/>
        <v>10</v>
      </c>
      <c r="I12" s="240" t="s">
        <v>778</v>
      </c>
      <c r="J12" s="128">
        <v>2</v>
      </c>
      <c r="K12" s="128">
        <v>5</v>
      </c>
      <c r="L12" s="231">
        <f>SUM(J12/K12)*100</f>
        <v>40</v>
      </c>
    </row>
    <row r="13" spans="1:22" ht="14.95" customHeight="1" thickBot="1" x14ac:dyDescent="0.3">
      <c r="A13" s="240" t="s">
        <v>1005</v>
      </c>
      <c r="B13" s="517">
        <v>0</v>
      </c>
      <c r="C13" s="525">
        <v>0</v>
      </c>
      <c r="D13" s="75">
        <f t="shared" si="0"/>
        <v>0</v>
      </c>
      <c r="E13" s="404" t="s">
        <v>1005</v>
      </c>
      <c r="F13" s="520">
        <v>0</v>
      </c>
      <c r="G13" s="457">
        <v>0</v>
      </c>
      <c r="H13" s="521">
        <f t="shared" si="1"/>
        <v>0</v>
      </c>
    </row>
    <row r="14" spans="1:22" ht="14.95" customHeight="1" thickBot="1" x14ac:dyDescent="0.3">
      <c r="A14" s="240" t="s">
        <v>783</v>
      </c>
      <c r="B14" s="517">
        <v>3</v>
      </c>
      <c r="C14" s="525">
        <v>0</v>
      </c>
      <c r="D14" s="75">
        <f t="shared" si="0"/>
        <v>3</v>
      </c>
      <c r="E14" s="404" t="s">
        <v>783</v>
      </c>
      <c r="F14" s="520">
        <v>15</v>
      </c>
      <c r="G14" s="457">
        <v>0</v>
      </c>
      <c r="H14" s="521">
        <f t="shared" si="1"/>
        <v>15</v>
      </c>
      <c r="I14" s="632" t="s">
        <v>148</v>
      </c>
      <c r="J14" s="596" t="s">
        <v>1322</v>
      </c>
      <c r="K14" s="646"/>
      <c r="L14" s="647"/>
    </row>
    <row r="15" spans="1:22" ht="14.95" customHeight="1" thickBot="1" x14ac:dyDescent="0.3">
      <c r="A15" s="240" t="s">
        <v>784</v>
      </c>
      <c r="B15" s="517">
        <v>0</v>
      </c>
      <c r="C15" s="525">
        <v>2</v>
      </c>
      <c r="D15" s="75">
        <f t="shared" si="0"/>
        <v>2</v>
      </c>
      <c r="E15" s="404" t="s">
        <v>784</v>
      </c>
      <c r="F15" s="520">
        <v>0</v>
      </c>
      <c r="G15" s="457">
        <v>10</v>
      </c>
      <c r="H15" s="521">
        <f t="shared" si="1"/>
        <v>10</v>
      </c>
      <c r="I15" s="633"/>
      <c r="J15" s="648"/>
      <c r="K15" s="649"/>
      <c r="L15" s="650"/>
    </row>
    <row r="16" spans="1:22" ht="14.95" customHeight="1" thickBot="1" x14ac:dyDescent="0.3">
      <c r="A16" s="240" t="s">
        <v>766</v>
      </c>
      <c r="B16" s="517">
        <v>1</v>
      </c>
      <c r="C16" s="525">
        <v>0</v>
      </c>
      <c r="D16" s="75">
        <f t="shared" si="0"/>
        <v>1</v>
      </c>
      <c r="E16" s="404" t="s">
        <v>766</v>
      </c>
      <c r="F16" s="520">
        <v>5</v>
      </c>
      <c r="G16" s="457">
        <v>0</v>
      </c>
      <c r="H16" s="521">
        <f t="shared" si="1"/>
        <v>5</v>
      </c>
      <c r="I16" s="515"/>
      <c r="J16" s="53" t="s">
        <v>152</v>
      </c>
      <c r="K16" s="53" t="s">
        <v>12</v>
      </c>
      <c r="L16" s="53" t="s">
        <v>13</v>
      </c>
    </row>
    <row r="17" spans="1:12" ht="14.95" customHeight="1" thickBot="1" x14ac:dyDescent="0.3">
      <c r="A17" s="240" t="s">
        <v>771</v>
      </c>
      <c r="B17" s="517">
        <v>0</v>
      </c>
      <c r="C17" s="525">
        <v>0</v>
      </c>
      <c r="D17" s="75">
        <f t="shared" si="0"/>
        <v>0</v>
      </c>
      <c r="E17" s="404" t="s">
        <v>771</v>
      </c>
      <c r="F17" s="520">
        <v>0</v>
      </c>
      <c r="G17" s="457">
        <v>0</v>
      </c>
      <c r="H17" s="521">
        <f t="shared" si="1"/>
        <v>0</v>
      </c>
      <c r="I17" s="240" t="s">
        <v>783</v>
      </c>
      <c r="J17" s="75" t="s">
        <v>17</v>
      </c>
      <c r="K17" s="75" t="s">
        <v>17</v>
      </c>
      <c r="L17" s="241" t="s">
        <v>17</v>
      </c>
    </row>
    <row r="18" spans="1:12" ht="14.95" customHeight="1" thickBot="1" x14ac:dyDescent="0.3">
      <c r="A18" s="240" t="s">
        <v>767</v>
      </c>
      <c r="B18" s="517">
        <v>0</v>
      </c>
      <c r="C18" s="525">
        <v>0</v>
      </c>
      <c r="D18" s="75">
        <f t="shared" si="0"/>
        <v>0</v>
      </c>
      <c r="E18" s="404" t="s">
        <v>767</v>
      </c>
      <c r="F18" s="520">
        <v>0</v>
      </c>
      <c r="G18" s="457">
        <v>0</v>
      </c>
      <c r="H18" s="521">
        <f t="shared" si="1"/>
        <v>0</v>
      </c>
      <c r="I18" s="240" t="s">
        <v>778</v>
      </c>
      <c r="J18" s="322">
        <v>29</v>
      </c>
      <c r="K18" s="322">
        <v>37</v>
      </c>
      <c r="L18" s="323">
        <f>SUM(J18/K18)*100</f>
        <v>78.378378378378372</v>
      </c>
    </row>
    <row r="19" spans="1:12" ht="14.95" customHeight="1" thickBot="1" x14ac:dyDescent="0.3">
      <c r="A19" s="240" t="s">
        <v>781</v>
      </c>
      <c r="B19" s="517">
        <v>0</v>
      </c>
      <c r="C19" s="525">
        <v>0</v>
      </c>
      <c r="D19" s="75">
        <f t="shared" si="0"/>
        <v>0</v>
      </c>
      <c r="E19" s="404" t="s">
        <v>781</v>
      </c>
      <c r="F19" s="520">
        <v>0</v>
      </c>
      <c r="G19" s="457">
        <v>0</v>
      </c>
      <c r="H19" s="521">
        <f t="shared" si="1"/>
        <v>0</v>
      </c>
      <c r="I19" s="41"/>
      <c r="J19" s="41"/>
      <c r="K19" s="43"/>
    </row>
    <row r="20" spans="1:12" ht="14.95" customHeight="1" thickBot="1" x14ac:dyDescent="0.3">
      <c r="A20" s="240" t="s">
        <v>764</v>
      </c>
      <c r="B20" s="517">
        <v>1</v>
      </c>
      <c r="C20" s="525">
        <v>1</v>
      </c>
      <c r="D20" s="75">
        <f t="shared" si="0"/>
        <v>2</v>
      </c>
      <c r="E20" s="404" t="s">
        <v>764</v>
      </c>
      <c r="F20" s="520">
        <v>5</v>
      </c>
      <c r="G20" s="457">
        <v>5</v>
      </c>
      <c r="H20" s="521">
        <f t="shared" si="1"/>
        <v>10</v>
      </c>
    </row>
    <row r="21" spans="1:12" ht="14.95" customHeight="1" thickBot="1" x14ac:dyDescent="0.3">
      <c r="A21" s="240" t="s">
        <v>646</v>
      </c>
      <c r="B21" s="517">
        <v>2</v>
      </c>
      <c r="C21" s="525">
        <v>0</v>
      </c>
      <c r="D21" s="75">
        <f t="shared" si="0"/>
        <v>2</v>
      </c>
      <c r="E21" s="404" t="s">
        <v>646</v>
      </c>
      <c r="F21" s="520">
        <v>10</v>
      </c>
      <c r="G21" s="457">
        <v>0</v>
      </c>
      <c r="H21" s="521">
        <f t="shared" si="1"/>
        <v>10</v>
      </c>
    </row>
    <row r="22" spans="1:12" ht="14.95" customHeight="1" thickBot="1" x14ac:dyDescent="0.3">
      <c r="A22" s="240" t="s">
        <v>772</v>
      </c>
      <c r="B22" s="517">
        <v>1</v>
      </c>
      <c r="C22" s="525">
        <v>0</v>
      </c>
      <c r="D22" s="75">
        <f t="shared" si="0"/>
        <v>1</v>
      </c>
      <c r="E22" s="404" t="s">
        <v>772</v>
      </c>
      <c r="F22" s="520">
        <v>5</v>
      </c>
      <c r="G22" s="457">
        <v>0</v>
      </c>
      <c r="H22" s="521">
        <f t="shared" si="1"/>
        <v>5</v>
      </c>
    </row>
    <row r="23" spans="1:12" ht="14.95" customHeight="1" thickBot="1" x14ac:dyDescent="0.3">
      <c r="A23" s="240" t="s">
        <v>4</v>
      </c>
      <c r="B23" s="517">
        <v>1</v>
      </c>
      <c r="C23" s="525">
        <v>0</v>
      </c>
      <c r="D23" s="75">
        <f t="shared" si="0"/>
        <v>1</v>
      </c>
      <c r="E23" s="404" t="s">
        <v>4</v>
      </c>
      <c r="F23" s="520">
        <v>7</v>
      </c>
      <c r="G23" s="457">
        <v>0</v>
      </c>
      <c r="H23" s="521">
        <f t="shared" si="1"/>
        <v>7</v>
      </c>
    </row>
    <row r="24" spans="1:12" ht="14.95" customHeight="1" thickBot="1" x14ac:dyDescent="0.3">
      <c r="A24" s="240" t="s">
        <v>1098</v>
      </c>
      <c r="B24" s="517">
        <v>1</v>
      </c>
      <c r="C24" s="525">
        <v>1</v>
      </c>
      <c r="D24" s="75">
        <f t="shared" si="0"/>
        <v>2</v>
      </c>
      <c r="E24" s="404" t="s">
        <v>1098</v>
      </c>
      <c r="F24" s="520">
        <v>5</v>
      </c>
      <c r="G24" s="457">
        <v>5</v>
      </c>
      <c r="H24" s="521">
        <f t="shared" ref="H24" si="2">SUM(F24:G24)</f>
        <v>10</v>
      </c>
    </row>
    <row r="25" spans="1:12" ht="14.95" customHeight="1" thickBot="1" x14ac:dyDescent="0.3">
      <c r="A25" s="240" t="s">
        <v>775</v>
      </c>
      <c r="B25" s="517">
        <v>1</v>
      </c>
      <c r="C25" s="525">
        <v>1</v>
      </c>
      <c r="D25" s="75">
        <f t="shared" si="0"/>
        <v>2</v>
      </c>
      <c r="E25" s="404" t="s">
        <v>775</v>
      </c>
      <c r="F25" s="520">
        <v>5</v>
      </c>
      <c r="G25" s="457">
        <v>5</v>
      </c>
      <c r="H25" s="521">
        <f t="shared" si="1"/>
        <v>10</v>
      </c>
    </row>
    <row r="26" spans="1:12" ht="14.95" customHeight="1" thickBot="1" x14ac:dyDescent="0.3">
      <c r="A26" s="240" t="s">
        <v>754</v>
      </c>
      <c r="B26" s="517">
        <v>0</v>
      </c>
      <c r="C26" s="525">
        <v>0</v>
      </c>
      <c r="D26" s="75">
        <f t="shared" si="0"/>
        <v>0</v>
      </c>
      <c r="E26" s="404" t="s">
        <v>754</v>
      </c>
      <c r="F26" s="520">
        <v>0</v>
      </c>
      <c r="G26" s="457">
        <v>0</v>
      </c>
      <c r="H26" s="521">
        <f t="shared" si="1"/>
        <v>0</v>
      </c>
    </row>
    <row r="27" spans="1:12" ht="14.95" customHeight="1" thickBot="1" x14ac:dyDescent="0.3">
      <c r="A27" s="240" t="s">
        <v>1038</v>
      </c>
      <c r="B27" s="517">
        <v>0</v>
      </c>
      <c r="C27" s="525">
        <v>0</v>
      </c>
      <c r="D27" s="75">
        <f t="shared" si="0"/>
        <v>0</v>
      </c>
      <c r="E27" s="404" t="s">
        <v>1038</v>
      </c>
      <c r="F27" s="520">
        <v>0</v>
      </c>
      <c r="G27" s="457">
        <v>4</v>
      </c>
      <c r="H27" s="521">
        <f t="shared" si="1"/>
        <v>4</v>
      </c>
      <c r="I27" s="46"/>
      <c r="J27" s="36"/>
      <c r="K27" s="36"/>
      <c r="L27" s="37"/>
    </row>
    <row r="28" spans="1:12" ht="14.95" customHeight="1" thickBot="1" x14ac:dyDescent="0.3">
      <c r="A28" s="240" t="s">
        <v>753</v>
      </c>
      <c r="B28" s="517">
        <v>0</v>
      </c>
      <c r="C28" s="525">
        <v>0</v>
      </c>
      <c r="D28" s="75">
        <f t="shared" si="0"/>
        <v>0</v>
      </c>
      <c r="E28" s="404" t="s">
        <v>753</v>
      </c>
      <c r="F28" s="520">
        <v>0</v>
      </c>
      <c r="G28" s="457">
        <v>0</v>
      </c>
      <c r="H28" s="521">
        <f t="shared" si="1"/>
        <v>0</v>
      </c>
      <c r="I28" s="46"/>
      <c r="J28" s="36"/>
      <c r="K28" s="36"/>
      <c r="L28" s="37"/>
    </row>
    <row r="29" spans="1:12" ht="14.95" customHeight="1" thickBot="1" x14ac:dyDescent="0.3">
      <c r="A29" s="240" t="s">
        <v>1097</v>
      </c>
      <c r="B29" s="517">
        <v>0</v>
      </c>
      <c r="C29" s="525">
        <v>0</v>
      </c>
      <c r="D29" s="75">
        <f t="shared" si="0"/>
        <v>0</v>
      </c>
      <c r="E29" s="404" t="s">
        <v>1097</v>
      </c>
      <c r="F29" s="520">
        <v>0</v>
      </c>
      <c r="G29" s="457">
        <v>0</v>
      </c>
      <c r="H29" s="521">
        <f t="shared" si="1"/>
        <v>0</v>
      </c>
      <c r="I29" s="46"/>
      <c r="J29" s="36"/>
      <c r="K29" s="36"/>
      <c r="L29" s="37"/>
    </row>
    <row r="30" spans="1:12" ht="14.95" customHeight="1" thickBot="1" x14ac:dyDescent="0.3">
      <c r="A30" s="240" t="s">
        <v>777</v>
      </c>
      <c r="B30" s="517">
        <v>0</v>
      </c>
      <c r="C30" s="525">
        <v>0</v>
      </c>
      <c r="D30" s="75">
        <f t="shared" si="0"/>
        <v>0</v>
      </c>
      <c r="E30" s="404" t="s">
        <v>777</v>
      </c>
      <c r="F30" s="520">
        <v>0</v>
      </c>
      <c r="G30" s="457">
        <v>0</v>
      </c>
      <c r="H30" s="521">
        <f t="shared" si="1"/>
        <v>0</v>
      </c>
    </row>
    <row r="31" spans="1:12" ht="14.95" thickBot="1" x14ac:dyDescent="0.3">
      <c r="A31" s="240" t="s">
        <v>785</v>
      </c>
      <c r="B31" s="517">
        <v>0</v>
      </c>
      <c r="C31" s="525">
        <v>0</v>
      </c>
      <c r="D31" s="75">
        <f t="shared" si="0"/>
        <v>0</v>
      </c>
      <c r="E31" s="404" t="s">
        <v>785</v>
      </c>
      <c r="F31" s="520">
        <v>0</v>
      </c>
      <c r="G31" s="457">
        <v>0</v>
      </c>
      <c r="H31" s="521">
        <f t="shared" si="1"/>
        <v>0</v>
      </c>
    </row>
    <row r="32" spans="1:12" ht="14.95" thickBot="1" x14ac:dyDescent="0.3">
      <c r="A32" s="240" t="s">
        <v>782</v>
      </c>
      <c r="B32" s="517">
        <v>0</v>
      </c>
      <c r="C32" s="525">
        <v>0</v>
      </c>
      <c r="D32" s="75">
        <f t="shared" si="0"/>
        <v>0</v>
      </c>
      <c r="E32" s="404" t="s">
        <v>782</v>
      </c>
      <c r="F32" s="520">
        <v>0</v>
      </c>
      <c r="G32" s="457">
        <v>0</v>
      </c>
      <c r="H32" s="521">
        <f t="shared" si="1"/>
        <v>0</v>
      </c>
    </row>
    <row r="33" spans="1:8" ht="14.95" thickBot="1" x14ac:dyDescent="0.3">
      <c r="A33" s="240" t="s">
        <v>779</v>
      </c>
      <c r="B33" s="517">
        <v>1</v>
      </c>
      <c r="C33" s="525">
        <v>0</v>
      </c>
      <c r="D33" s="75">
        <f t="shared" si="0"/>
        <v>1</v>
      </c>
      <c r="E33" s="404" t="s">
        <v>779</v>
      </c>
      <c r="F33" s="520">
        <v>5</v>
      </c>
      <c r="G33" s="457">
        <v>0</v>
      </c>
      <c r="H33" s="521">
        <f t="shared" si="1"/>
        <v>5</v>
      </c>
    </row>
    <row r="34" spans="1:8" ht="14.95" thickBot="1" x14ac:dyDescent="0.3">
      <c r="A34" s="240" t="s">
        <v>778</v>
      </c>
      <c r="B34" s="517">
        <v>0</v>
      </c>
      <c r="C34" s="525">
        <v>0</v>
      </c>
      <c r="D34" s="75">
        <f t="shared" si="0"/>
        <v>0</v>
      </c>
      <c r="E34" s="404" t="s">
        <v>778</v>
      </c>
      <c r="F34" s="520">
        <v>73</v>
      </c>
      <c r="G34" s="457">
        <v>15</v>
      </c>
      <c r="H34" s="521">
        <f t="shared" si="1"/>
        <v>88</v>
      </c>
    </row>
    <row r="35" spans="1:8" ht="14.95" thickBot="1" x14ac:dyDescent="0.3">
      <c r="A35" s="240" t="s">
        <v>3</v>
      </c>
      <c r="B35" s="517">
        <f>SUM(B3:B34)</f>
        <v>19</v>
      </c>
      <c r="C35" s="525">
        <f>SUM(C3:C34)</f>
        <v>8</v>
      </c>
      <c r="D35" s="75">
        <f t="shared" si="0"/>
        <v>27</v>
      </c>
      <c r="E35" s="404" t="s">
        <v>3</v>
      </c>
      <c r="F35" s="520">
        <f>SUM(F3:F34)</f>
        <v>170</v>
      </c>
      <c r="G35" s="457">
        <f>SUM(G3:G34)</f>
        <v>59</v>
      </c>
      <c r="H35" s="521">
        <f t="shared" si="1"/>
        <v>229</v>
      </c>
    </row>
    <row r="36" spans="1:8" x14ac:dyDescent="0.25">
      <c r="E36" s="21"/>
      <c r="F36" s="353"/>
      <c r="G36" s="35"/>
      <c r="H36" s="19"/>
    </row>
    <row r="37" spans="1:8" ht="14.3" customHeight="1" thickBot="1" x14ac:dyDescent="0.3">
      <c r="A37" s="30" t="s">
        <v>15</v>
      </c>
      <c r="B37" s="30"/>
      <c r="E37" s="16"/>
      <c r="F37" s="16"/>
      <c r="G37" s="35"/>
      <c r="H37" s="18"/>
    </row>
    <row r="38" spans="1:8" ht="14.95" thickBot="1" x14ac:dyDescent="0.3">
      <c r="A38" s="239" t="s">
        <v>0</v>
      </c>
      <c r="B38" s="516" t="s">
        <v>1285</v>
      </c>
      <c r="C38" s="524" t="s">
        <v>31</v>
      </c>
      <c r="D38" s="219" t="s">
        <v>1</v>
      </c>
      <c r="E38" s="398" t="s">
        <v>2</v>
      </c>
      <c r="F38" s="518" t="s">
        <v>1285</v>
      </c>
      <c r="G38" s="522" t="s">
        <v>31</v>
      </c>
      <c r="H38" s="519" t="s">
        <v>1</v>
      </c>
    </row>
    <row r="39" spans="1:8" ht="14.95" thickBot="1" x14ac:dyDescent="0.3">
      <c r="A39" s="240" t="s">
        <v>765</v>
      </c>
      <c r="B39" s="517">
        <v>3</v>
      </c>
      <c r="C39" s="525">
        <v>0</v>
      </c>
      <c r="D39" s="75">
        <f t="shared" ref="D39:D70" si="3">SUM(B39:C39)</f>
        <v>3</v>
      </c>
      <c r="E39" s="404" t="s">
        <v>778</v>
      </c>
      <c r="F39" s="520">
        <v>73</v>
      </c>
      <c r="G39" s="457">
        <v>15</v>
      </c>
      <c r="H39" s="521">
        <f t="shared" ref="H39:H70" si="4">SUM(F39:G39)</f>
        <v>88</v>
      </c>
    </row>
    <row r="40" spans="1:8" ht="14.95" thickBot="1" x14ac:dyDescent="0.3">
      <c r="A40" s="240" t="s">
        <v>783</v>
      </c>
      <c r="B40" s="517">
        <v>3</v>
      </c>
      <c r="C40" s="525">
        <v>0</v>
      </c>
      <c r="D40" s="75">
        <f t="shared" si="3"/>
        <v>3</v>
      </c>
      <c r="E40" s="404" t="s">
        <v>765</v>
      </c>
      <c r="F40" s="520">
        <v>15</v>
      </c>
      <c r="G40" s="457">
        <v>0</v>
      </c>
      <c r="H40" s="521">
        <f t="shared" si="4"/>
        <v>15</v>
      </c>
    </row>
    <row r="41" spans="1:8" ht="14.95" thickBot="1" x14ac:dyDescent="0.3">
      <c r="A41" s="240" t="s">
        <v>1246</v>
      </c>
      <c r="B41" s="517">
        <v>1</v>
      </c>
      <c r="C41" s="525">
        <v>1</v>
      </c>
      <c r="D41" s="75">
        <f t="shared" si="3"/>
        <v>2</v>
      </c>
      <c r="E41" s="404" t="s">
        <v>783</v>
      </c>
      <c r="F41" s="520">
        <v>15</v>
      </c>
      <c r="G41" s="457">
        <v>0</v>
      </c>
      <c r="H41" s="521">
        <f t="shared" si="4"/>
        <v>15</v>
      </c>
    </row>
    <row r="42" spans="1:8" ht="14.95" thickBot="1" x14ac:dyDescent="0.3">
      <c r="A42" s="240" t="s">
        <v>773</v>
      </c>
      <c r="B42" s="517">
        <v>1</v>
      </c>
      <c r="C42" s="525">
        <v>1</v>
      </c>
      <c r="D42" s="75">
        <f t="shared" si="3"/>
        <v>2</v>
      </c>
      <c r="E42" s="404" t="s">
        <v>1246</v>
      </c>
      <c r="F42" s="520">
        <v>5</v>
      </c>
      <c r="G42" s="523">
        <v>5</v>
      </c>
      <c r="H42" s="521">
        <f t="shared" si="4"/>
        <v>10</v>
      </c>
    </row>
    <row r="43" spans="1:8" ht="14.95" thickBot="1" x14ac:dyDescent="0.3">
      <c r="A43" s="240" t="s">
        <v>774</v>
      </c>
      <c r="B43" s="517">
        <v>1</v>
      </c>
      <c r="C43" s="525">
        <v>1</v>
      </c>
      <c r="D43" s="75">
        <f t="shared" si="3"/>
        <v>2</v>
      </c>
      <c r="E43" s="404" t="s">
        <v>773</v>
      </c>
      <c r="F43" s="520">
        <v>5</v>
      </c>
      <c r="G43" s="457">
        <v>5</v>
      </c>
      <c r="H43" s="521">
        <f t="shared" si="4"/>
        <v>10</v>
      </c>
    </row>
    <row r="44" spans="1:8" ht="14.95" thickBot="1" x14ac:dyDescent="0.3">
      <c r="A44" s="240" t="s">
        <v>784</v>
      </c>
      <c r="B44" s="517">
        <v>0</v>
      </c>
      <c r="C44" s="525">
        <v>2</v>
      </c>
      <c r="D44" s="75">
        <f t="shared" si="3"/>
        <v>2</v>
      </c>
      <c r="E44" s="404" t="s">
        <v>774</v>
      </c>
      <c r="F44" s="520">
        <v>5</v>
      </c>
      <c r="G44" s="457">
        <v>5</v>
      </c>
      <c r="H44" s="521">
        <f t="shared" si="4"/>
        <v>10</v>
      </c>
    </row>
    <row r="45" spans="1:8" ht="14.95" thickBot="1" x14ac:dyDescent="0.3">
      <c r="A45" s="240" t="s">
        <v>764</v>
      </c>
      <c r="B45" s="517">
        <v>1</v>
      </c>
      <c r="C45" s="525">
        <v>1</v>
      </c>
      <c r="D45" s="75">
        <f t="shared" si="3"/>
        <v>2</v>
      </c>
      <c r="E45" s="404" t="s">
        <v>784</v>
      </c>
      <c r="F45" s="520">
        <v>0</v>
      </c>
      <c r="G45" s="457">
        <v>10</v>
      </c>
      <c r="H45" s="521">
        <f t="shared" si="4"/>
        <v>10</v>
      </c>
    </row>
    <row r="46" spans="1:8" ht="14.95" thickBot="1" x14ac:dyDescent="0.3">
      <c r="A46" s="240" t="s">
        <v>646</v>
      </c>
      <c r="B46" s="517">
        <v>2</v>
      </c>
      <c r="C46" s="525">
        <v>0</v>
      </c>
      <c r="D46" s="75">
        <f t="shared" si="3"/>
        <v>2</v>
      </c>
      <c r="E46" s="404" t="s">
        <v>764</v>
      </c>
      <c r="F46" s="520">
        <v>5</v>
      </c>
      <c r="G46" s="457">
        <v>5</v>
      </c>
      <c r="H46" s="521">
        <f t="shared" si="4"/>
        <v>10</v>
      </c>
    </row>
    <row r="47" spans="1:8" ht="14.95" thickBot="1" x14ac:dyDescent="0.3">
      <c r="A47" s="240" t="s">
        <v>1098</v>
      </c>
      <c r="B47" s="517">
        <v>1</v>
      </c>
      <c r="C47" s="525">
        <v>1</v>
      </c>
      <c r="D47" s="75">
        <f t="shared" si="3"/>
        <v>2</v>
      </c>
      <c r="E47" s="404" t="s">
        <v>646</v>
      </c>
      <c r="F47" s="520">
        <v>10</v>
      </c>
      <c r="G47" s="457">
        <v>0</v>
      </c>
      <c r="H47" s="521">
        <f t="shared" si="4"/>
        <v>10</v>
      </c>
    </row>
    <row r="48" spans="1:8" ht="14.95" thickBot="1" x14ac:dyDescent="0.3">
      <c r="A48" s="240" t="s">
        <v>775</v>
      </c>
      <c r="B48" s="517">
        <v>1</v>
      </c>
      <c r="C48" s="525">
        <v>1</v>
      </c>
      <c r="D48" s="75">
        <f t="shared" si="3"/>
        <v>2</v>
      </c>
      <c r="E48" s="404" t="s">
        <v>1098</v>
      </c>
      <c r="F48" s="520">
        <v>5</v>
      </c>
      <c r="G48" s="457">
        <v>5</v>
      </c>
      <c r="H48" s="521">
        <f t="shared" si="4"/>
        <v>10</v>
      </c>
    </row>
    <row r="49" spans="1:8" ht="14.95" thickBot="1" x14ac:dyDescent="0.3">
      <c r="A49" s="240" t="s">
        <v>770</v>
      </c>
      <c r="B49" s="517">
        <v>1</v>
      </c>
      <c r="C49" s="525">
        <v>0</v>
      </c>
      <c r="D49" s="75">
        <f t="shared" si="3"/>
        <v>1</v>
      </c>
      <c r="E49" s="404" t="s">
        <v>775</v>
      </c>
      <c r="F49" s="520">
        <v>5</v>
      </c>
      <c r="G49" s="457">
        <v>5</v>
      </c>
      <c r="H49" s="521">
        <f t="shared" si="4"/>
        <v>10</v>
      </c>
    </row>
    <row r="50" spans="1:8" ht="14.95" thickBot="1" x14ac:dyDescent="0.3">
      <c r="A50" s="240" t="s">
        <v>766</v>
      </c>
      <c r="B50" s="517">
        <v>1</v>
      </c>
      <c r="C50" s="525">
        <v>0</v>
      </c>
      <c r="D50" s="75">
        <f t="shared" si="3"/>
        <v>1</v>
      </c>
      <c r="E50" s="404" t="s">
        <v>4</v>
      </c>
      <c r="F50" s="520">
        <v>7</v>
      </c>
      <c r="G50" s="457">
        <v>0</v>
      </c>
      <c r="H50" s="521">
        <f t="shared" si="4"/>
        <v>7</v>
      </c>
    </row>
    <row r="51" spans="1:8" ht="14.95" thickBot="1" x14ac:dyDescent="0.3">
      <c r="A51" s="240" t="s">
        <v>772</v>
      </c>
      <c r="B51" s="517">
        <v>1</v>
      </c>
      <c r="C51" s="525">
        <v>0</v>
      </c>
      <c r="D51" s="75">
        <f t="shared" si="3"/>
        <v>1</v>
      </c>
      <c r="E51" s="404" t="s">
        <v>770</v>
      </c>
      <c r="F51" s="520">
        <v>5</v>
      </c>
      <c r="G51" s="457">
        <v>0</v>
      </c>
      <c r="H51" s="521">
        <f t="shared" si="4"/>
        <v>5</v>
      </c>
    </row>
    <row r="52" spans="1:8" ht="14.95" thickBot="1" x14ac:dyDescent="0.3">
      <c r="A52" s="240" t="s">
        <v>4</v>
      </c>
      <c r="B52" s="517">
        <v>1</v>
      </c>
      <c r="C52" s="525">
        <v>0</v>
      </c>
      <c r="D52" s="75">
        <f t="shared" si="3"/>
        <v>1</v>
      </c>
      <c r="E52" s="404" t="s">
        <v>766</v>
      </c>
      <c r="F52" s="520">
        <v>5</v>
      </c>
      <c r="G52" s="457">
        <v>0</v>
      </c>
      <c r="H52" s="521">
        <f t="shared" si="4"/>
        <v>5</v>
      </c>
    </row>
    <row r="53" spans="1:8" ht="14.95" thickBot="1" x14ac:dyDescent="0.3">
      <c r="A53" s="240" t="s">
        <v>779</v>
      </c>
      <c r="B53" s="517">
        <v>1</v>
      </c>
      <c r="C53" s="525">
        <v>0</v>
      </c>
      <c r="D53" s="75">
        <f t="shared" si="3"/>
        <v>1</v>
      </c>
      <c r="E53" s="404" t="s">
        <v>772</v>
      </c>
      <c r="F53" s="520">
        <v>5</v>
      </c>
      <c r="G53" s="457">
        <v>0</v>
      </c>
      <c r="H53" s="521">
        <f t="shared" si="4"/>
        <v>5</v>
      </c>
    </row>
    <row r="54" spans="1:8" ht="14.95" thickBot="1" x14ac:dyDescent="0.3">
      <c r="A54" s="240" t="s">
        <v>768</v>
      </c>
      <c r="B54" s="517">
        <v>0</v>
      </c>
      <c r="C54" s="525">
        <v>0</v>
      </c>
      <c r="D54" s="75">
        <f t="shared" si="3"/>
        <v>0</v>
      </c>
      <c r="E54" s="404" t="s">
        <v>779</v>
      </c>
      <c r="F54" s="520">
        <v>5</v>
      </c>
      <c r="G54" s="457">
        <v>0</v>
      </c>
      <c r="H54" s="521">
        <f t="shared" si="4"/>
        <v>5</v>
      </c>
    </row>
    <row r="55" spans="1:8" ht="14.95" thickBot="1" x14ac:dyDescent="0.3">
      <c r="A55" s="240" t="s">
        <v>763</v>
      </c>
      <c r="B55" s="517">
        <v>0</v>
      </c>
      <c r="C55" s="525">
        <v>0</v>
      </c>
      <c r="D55" s="75">
        <f t="shared" si="3"/>
        <v>0</v>
      </c>
      <c r="E55" s="404" t="s">
        <v>1038</v>
      </c>
      <c r="F55" s="520">
        <v>0</v>
      </c>
      <c r="G55" s="457">
        <v>4</v>
      </c>
      <c r="H55" s="521">
        <f t="shared" si="4"/>
        <v>4</v>
      </c>
    </row>
    <row r="56" spans="1:8" ht="14.95" thickBot="1" x14ac:dyDescent="0.3">
      <c r="A56" s="240" t="s">
        <v>776</v>
      </c>
      <c r="B56" s="517">
        <v>0</v>
      </c>
      <c r="C56" s="525">
        <v>0</v>
      </c>
      <c r="D56" s="75">
        <f t="shared" si="3"/>
        <v>0</v>
      </c>
      <c r="E56" s="404" t="s">
        <v>768</v>
      </c>
      <c r="F56" s="520">
        <v>0</v>
      </c>
      <c r="G56" s="457">
        <v>0</v>
      </c>
      <c r="H56" s="521">
        <f t="shared" si="4"/>
        <v>0</v>
      </c>
    </row>
    <row r="57" spans="1:8" ht="14.95" thickBot="1" x14ac:dyDescent="0.3">
      <c r="A57" s="240" t="s">
        <v>780</v>
      </c>
      <c r="B57" s="517">
        <v>0</v>
      </c>
      <c r="C57" s="525">
        <v>0</v>
      </c>
      <c r="D57" s="75">
        <f t="shared" si="3"/>
        <v>0</v>
      </c>
      <c r="E57" s="404" t="s">
        <v>763</v>
      </c>
      <c r="F57" s="520">
        <v>0</v>
      </c>
      <c r="G57" s="457">
        <v>0</v>
      </c>
      <c r="H57" s="521">
        <f t="shared" si="4"/>
        <v>0</v>
      </c>
    </row>
    <row r="58" spans="1:8" ht="14.95" thickBot="1" x14ac:dyDescent="0.3">
      <c r="A58" s="240" t="s">
        <v>769</v>
      </c>
      <c r="B58" s="517">
        <v>0</v>
      </c>
      <c r="C58" s="525">
        <v>0</v>
      </c>
      <c r="D58" s="75">
        <f t="shared" si="3"/>
        <v>0</v>
      </c>
      <c r="E58" s="404" t="s">
        <v>776</v>
      </c>
      <c r="F58" s="520">
        <v>0</v>
      </c>
      <c r="G58" s="457">
        <v>0</v>
      </c>
      <c r="H58" s="521">
        <f t="shared" si="4"/>
        <v>0</v>
      </c>
    </row>
    <row r="59" spans="1:8" ht="14.95" thickBot="1" x14ac:dyDescent="0.3">
      <c r="A59" s="240" t="s">
        <v>1005</v>
      </c>
      <c r="B59" s="517">
        <v>0</v>
      </c>
      <c r="C59" s="525">
        <v>0</v>
      </c>
      <c r="D59" s="75">
        <f t="shared" si="3"/>
        <v>0</v>
      </c>
      <c r="E59" s="404" t="s">
        <v>780</v>
      </c>
      <c r="F59" s="520">
        <v>0</v>
      </c>
      <c r="G59" s="457">
        <v>0</v>
      </c>
      <c r="H59" s="521">
        <f t="shared" si="4"/>
        <v>0</v>
      </c>
    </row>
    <row r="60" spans="1:8" ht="14.95" thickBot="1" x14ac:dyDescent="0.3">
      <c r="A60" s="240" t="s">
        <v>771</v>
      </c>
      <c r="B60" s="517">
        <v>0</v>
      </c>
      <c r="C60" s="525">
        <v>0</v>
      </c>
      <c r="D60" s="75">
        <f t="shared" si="3"/>
        <v>0</v>
      </c>
      <c r="E60" s="404" t="s">
        <v>769</v>
      </c>
      <c r="F60" s="520">
        <v>0</v>
      </c>
      <c r="G60" s="457">
        <v>0</v>
      </c>
      <c r="H60" s="521">
        <f t="shared" si="4"/>
        <v>0</v>
      </c>
    </row>
    <row r="61" spans="1:8" ht="14.95" thickBot="1" x14ac:dyDescent="0.3">
      <c r="A61" s="240" t="s">
        <v>767</v>
      </c>
      <c r="B61" s="517">
        <v>0</v>
      </c>
      <c r="C61" s="525">
        <v>0</v>
      </c>
      <c r="D61" s="75">
        <f t="shared" si="3"/>
        <v>0</v>
      </c>
      <c r="E61" s="404" t="s">
        <v>1005</v>
      </c>
      <c r="F61" s="520">
        <v>0</v>
      </c>
      <c r="G61" s="457">
        <v>0</v>
      </c>
      <c r="H61" s="521">
        <f t="shared" si="4"/>
        <v>0</v>
      </c>
    </row>
    <row r="62" spans="1:8" ht="14.95" thickBot="1" x14ac:dyDescent="0.3">
      <c r="A62" s="240" t="s">
        <v>781</v>
      </c>
      <c r="B62" s="517">
        <v>0</v>
      </c>
      <c r="C62" s="525">
        <v>0</v>
      </c>
      <c r="D62" s="75">
        <f t="shared" si="3"/>
        <v>0</v>
      </c>
      <c r="E62" s="404" t="s">
        <v>771</v>
      </c>
      <c r="F62" s="520">
        <v>0</v>
      </c>
      <c r="G62" s="457">
        <v>0</v>
      </c>
      <c r="H62" s="521">
        <f t="shared" si="4"/>
        <v>0</v>
      </c>
    </row>
    <row r="63" spans="1:8" ht="14.95" thickBot="1" x14ac:dyDescent="0.3">
      <c r="A63" s="240" t="s">
        <v>754</v>
      </c>
      <c r="B63" s="517">
        <v>0</v>
      </c>
      <c r="C63" s="525">
        <v>0</v>
      </c>
      <c r="D63" s="75">
        <f t="shared" si="3"/>
        <v>0</v>
      </c>
      <c r="E63" s="404" t="s">
        <v>767</v>
      </c>
      <c r="F63" s="520">
        <v>0</v>
      </c>
      <c r="G63" s="457">
        <v>0</v>
      </c>
      <c r="H63" s="521">
        <f t="shared" si="4"/>
        <v>0</v>
      </c>
    </row>
    <row r="64" spans="1:8" ht="14.95" thickBot="1" x14ac:dyDescent="0.3">
      <c r="A64" s="240" t="s">
        <v>1038</v>
      </c>
      <c r="B64" s="517">
        <v>0</v>
      </c>
      <c r="C64" s="525">
        <v>0</v>
      </c>
      <c r="D64" s="75">
        <f t="shared" si="3"/>
        <v>0</v>
      </c>
      <c r="E64" s="404" t="s">
        <v>781</v>
      </c>
      <c r="F64" s="520">
        <v>0</v>
      </c>
      <c r="G64" s="457">
        <v>0</v>
      </c>
      <c r="H64" s="521">
        <f t="shared" si="4"/>
        <v>0</v>
      </c>
    </row>
    <row r="65" spans="1:8" ht="14.95" thickBot="1" x14ac:dyDescent="0.3">
      <c r="A65" s="240" t="s">
        <v>753</v>
      </c>
      <c r="B65" s="517">
        <v>0</v>
      </c>
      <c r="C65" s="525">
        <v>0</v>
      </c>
      <c r="D65" s="75">
        <f t="shared" si="3"/>
        <v>0</v>
      </c>
      <c r="E65" s="404" t="s">
        <v>754</v>
      </c>
      <c r="F65" s="520">
        <v>0</v>
      </c>
      <c r="G65" s="457">
        <v>0</v>
      </c>
      <c r="H65" s="521">
        <f t="shared" si="4"/>
        <v>0</v>
      </c>
    </row>
    <row r="66" spans="1:8" ht="14.95" thickBot="1" x14ac:dyDescent="0.3">
      <c r="A66" s="240" t="s">
        <v>1097</v>
      </c>
      <c r="B66" s="517">
        <v>0</v>
      </c>
      <c r="C66" s="525">
        <v>0</v>
      </c>
      <c r="D66" s="75">
        <f t="shared" si="3"/>
        <v>0</v>
      </c>
      <c r="E66" s="404" t="s">
        <v>753</v>
      </c>
      <c r="F66" s="520">
        <v>0</v>
      </c>
      <c r="G66" s="457">
        <v>0</v>
      </c>
      <c r="H66" s="521">
        <f t="shared" si="4"/>
        <v>0</v>
      </c>
    </row>
    <row r="67" spans="1:8" ht="14.95" thickBot="1" x14ac:dyDescent="0.3">
      <c r="A67" s="240" t="s">
        <v>777</v>
      </c>
      <c r="B67" s="517">
        <v>0</v>
      </c>
      <c r="C67" s="525">
        <v>0</v>
      </c>
      <c r="D67" s="75">
        <f t="shared" si="3"/>
        <v>0</v>
      </c>
      <c r="E67" s="404" t="s">
        <v>1097</v>
      </c>
      <c r="F67" s="520">
        <v>0</v>
      </c>
      <c r="G67" s="457">
        <v>0</v>
      </c>
      <c r="H67" s="521">
        <f t="shared" si="4"/>
        <v>0</v>
      </c>
    </row>
    <row r="68" spans="1:8" ht="14.95" thickBot="1" x14ac:dyDescent="0.3">
      <c r="A68" s="240" t="s">
        <v>785</v>
      </c>
      <c r="B68" s="517">
        <v>0</v>
      </c>
      <c r="C68" s="525">
        <v>0</v>
      </c>
      <c r="D68" s="75">
        <f t="shared" si="3"/>
        <v>0</v>
      </c>
      <c r="E68" s="404" t="s">
        <v>777</v>
      </c>
      <c r="F68" s="520">
        <v>0</v>
      </c>
      <c r="G68" s="457">
        <v>0</v>
      </c>
      <c r="H68" s="521">
        <f t="shared" si="4"/>
        <v>0</v>
      </c>
    </row>
    <row r="69" spans="1:8" ht="14.95" thickBot="1" x14ac:dyDescent="0.3">
      <c r="A69" s="240" t="s">
        <v>782</v>
      </c>
      <c r="B69" s="517">
        <v>0</v>
      </c>
      <c r="C69" s="525">
        <v>0</v>
      </c>
      <c r="D69" s="75">
        <f t="shared" si="3"/>
        <v>0</v>
      </c>
      <c r="E69" s="404" t="s">
        <v>785</v>
      </c>
      <c r="F69" s="520">
        <v>0</v>
      </c>
      <c r="G69" s="457">
        <v>0</v>
      </c>
      <c r="H69" s="521">
        <f t="shared" si="4"/>
        <v>0</v>
      </c>
    </row>
    <row r="70" spans="1:8" ht="14.95" thickBot="1" x14ac:dyDescent="0.3">
      <c r="A70" s="240" t="s">
        <v>778</v>
      </c>
      <c r="B70" s="517">
        <v>0</v>
      </c>
      <c r="C70" s="525">
        <v>0</v>
      </c>
      <c r="D70" s="75">
        <f t="shared" si="3"/>
        <v>0</v>
      </c>
      <c r="E70" s="404" t="s">
        <v>782</v>
      </c>
      <c r="F70" s="520">
        <v>0</v>
      </c>
      <c r="G70" s="457">
        <v>0</v>
      </c>
      <c r="H70" s="521">
        <f t="shared" si="4"/>
        <v>0</v>
      </c>
    </row>
    <row r="71" spans="1:8" ht="14.95" thickBot="1" x14ac:dyDescent="0.3">
      <c r="A71" s="240" t="s">
        <v>3</v>
      </c>
      <c r="B71" s="517">
        <f>SUM(B39:B70)</f>
        <v>19</v>
      </c>
      <c r="C71" s="525">
        <f>SUM(C39:C70)</f>
        <v>8</v>
      </c>
      <c r="D71" s="75">
        <f t="shared" ref="D71" si="5">SUM(B71:C71)</f>
        <v>27</v>
      </c>
      <c r="E71" s="404" t="s">
        <v>3</v>
      </c>
      <c r="F71" s="520">
        <f>SUM(F39:F70)</f>
        <v>170</v>
      </c>
      <c r="G71" s="457">
        <f>SUM(G39:G70)</f>
        <v>59</v>
      </c>
      <c r="H71" s="521">
        <f t="shared" ref="H71" si="6">SUM(F71:G71)</f>
        <v>229</v>
      </c>
    </row>
    <row r="72" spans="1:8" ht="14.3" customHeight="1" x14ac:dyDescent="0.3">
      <c r="A72" s="487" t="s">
        <v>28</v>
      </c>
      <c r="C72" s="487"/>
      <c r="E72" s="487"/>
      <c r="G72" s="487"/>
    </row>
  </sheetData>
  <sortState xmlns:xlrd2="http://schemas.microsoft.com/office/spreadsheetml/2017/richdata2" ref="E39:H70">
    <sortCondition descending="1" ref="H39:H70"/>
  </sortState>
  <mergeCells count="11">
    <mergeCell ref="I14:I15"/>
    <mergeCell ref="J14:L15"/>
    <mergeCell ref="I8:I9"/>
    <mergeCell ref="J8:L9"/>
    <mergeCell ref="Q1:S2"/>
    <mergeCell ref="A1:H1"/>
    <mergeCell ref="I1:I2"/>
    <mergeCell ref="J1:L2"/>
    <mergeCell ref="M1:O2"/>
    <mergeCell ref="T1:V2"/>
    <mergeCell ref="P1:P2"/>
  </mergeCells>
  <pageMargins left="0.7" right="0.7" top="0.75" bottom="0.75" header="0.3" footer="0.3"/>
  <pageSetup paperSize="9" orientation="portrait" horizontalDpi="0" verticalDpi="0" r:id="rId1"/>
  <ignoredErrors>
    <ignoredError sqref="H24" formula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Z92"/>
  <sheetViews>
    <sheetView zoomScaleNormal="100" workbookViewId="0">
      <selection activeCell="AA25" sqref="AA25"/>
    </sheetView>
  </sheetViews>
  <sheetFormatPr defaultRowHeight="14.3" x14ac:dyDescent="0.25"/>
  <cols>
    <col min="1" max="1" width="16.5" customWidth="1"/>
    <col min="2" max="3" width="4.5" customWidth="1"/>
    <col min="4" max="4" width="4.625" customWidth="1"/>
    <col min="5" max="5" width="16.5" customWidth="1"/>
    <col min="6" max="6" width="4.5" customWidth="1"/>
    <col min="7" max="8" width="5.375" customWidth="1"/>
    <col min="9" max="9" width="15.5" customWidth="1"/>
    <col min="10" max="14" width="5.5" customWidth="1"/>
    <col min="15" max="15" width="5.625" customWidth="1"/>
    <col min="16" max="28" width="5.5" customWidth="1"/>
    <col min="29" max="49" width="5.625" customWidth="1"/>
  </cols>
  <sheetData>
    <row r="1" spans="1:52" ht="14.95" customHeight="1" thickBot="1" x14ac:dyDescent="0.3">
      <c r="A1" s="651" t="s">
        <v>1456</v>
      </c>
      <c r="B1" s="652"/>
      <c r="C1" s="652"/>
      <c r="D1" s="652"/>
      <c r="E1" s="652"/>
      <c r="F1" s="652"/>
      <c r="G1" s="652"/>
      <c r="H1" s="653"/>
      <c r="I1" s="654" t="s">
        <v>112</v>
      </c>
      <c r="J1" s="583">
        <v>2026</v>
      </c>
      <c r="K1" s="584"/>
      <c r="L1" s="585"/>
      <c r="M1" s="583" t="s">
        <v>32</v>
      </c>
      <c r="N1" s="584"/>
      <c r="O1" s="585"/>
      <c r="P1" s="579" t="s">
        <v>121</v>
      </c>
      <c r="Q1" s="568">
        <v>2025</v>
      </c>
      <c r="R1" s="569"/>
      <c r="S1" s="570"/>
      <c r="T1" s="568">
        <v>2024</v>
      </c>
      <c r="U1" s="569"/>
      <c r="V1" s="570"/>
      <c r="W1" s="229"/>
      <c r="X1" s="125"/>
      <c r="Y1" s="125"/>
      <c r="Z1" s="568">
        <v>2023</v>
      </c>
      <c r="AA1" s="569"/>
      <c r="AB1" s="570"/>
      <c r="AC1" s="557">
        <v>2022</v>
      </c>
      <c r="AD1" s="563"/>
      <c r="AE1" s="564"/>
      <c r="AF1" s="557">
        <v>2021</v>
      </c>
      <c r="AG1" s="563"/>
      <c r="AH1" s="564"/>
      <c r="AI1" s="568">
        <v>2020</v>
      </c>
      <c r="AJ1" s="569"/>
      <c r="AK1" s="570"/>
      <c r="AL1" s="568">
        <v>2019</v>
      </c>
      <c r="AM1" s="569"/>
      <c r="AN1" s="570"/>
      <c r="AO1" s="557">
        <v>2018</v>
      </c>
      <c r="AP1" s="563"/>
      <c r="AQ1" s="564"/>
      <c r="AR1" s="557">
        <v>2017</v>
      </c>
      <c r="AS1" s="563"/>
      <c r="AT1" s="564"/>
      <c r="AU1" s="557">
        <v>2016</v>
      </c>
      <c r="AV1" s="563"/>
      <c r="AW1" s="564"/>
    </row>
    <row r="2" spans="1:52" ht="14.95" customHeight="1" thickBot="1" x14ac:dyDescent="0.3">
      <c r="A2" s="371" t="s">
        <v>0</v>
      </c>
      <c r="B2" s="307" t="s">
        <v>1447</v>
      </c>
      <c r="C2" s="256" t="s">
        <v>36</v>
      </c>
      <c r="D2" s="165" t="s">
        <v>1</v>
      </c>
      <c r="E2" s="189" t="s">
        <v>2</v>
      </c>
      <c r="F2" s="309" t="s">
        <v>1447</v>
      </c>
      <c r="G2" s="254" t="s">
        <v>36</v>
      </c>
      <c r="H2" s="87" t="s">
        <v>1</v>
      </c>
      <c r="I2" s="655"/>
      <c r="J2" s="586"/>
      <c r="K2" s="587"/>
      <c r="L2" s="588"/>
      <c r="M2" s="586"/>
      <c r="N2" s="587"/>
      <c r="O2" s="588"/>
      <c r="P2" s="580"/>
      <c r="Q2" s="571"/>
      <c r="R2" s="572"/>
      <c r="S2" s="573"/>
      <c r="T2" s="571"/>
      <c r="U2" s="572"/>
      <c r="V2" s="573"/>
      <c r="W2" s="229"/>
      <c r="X2" s="125"/>
      <c r="Y2" s="125"/>
      <c r="Z2" s="571"/>
      <c r="AA2" s="572"/>
      <c r="AB2" s="573"/>
      <c r="AC2" s="565"/>
      <c r="AD2" s="566"/>
      <c r="AE2" s="567"/>
      <c r="AF2" s="565"/>
      <c r="AG2" s="566"/>
      <c r="AH2" s="567"/>
      <c r="AI2" s="571"/>
      <c r="AJ2" s="572"/>
      <c r="AK2" s="573"/>
      <c r="AL2" s="571"/>
      <c r="AM2" s="572"/>
      <c r="AN2" s="573"/>
      <c r="AO2" s="565"/>
      <c r="AP2" s="566"/>
      <c r="AQ2" s="567"/>
      <c r="AR2" s="565"/>
      <c r="AS2" s="566"/>
      <c r="AT2" s="567"/>
      <c r="AU2" s="565"/>
      <c r="AV2" s="566"/>
      <c r="AW2" s="567"/>
    </row>
    <row r="3" spans="1:52" ht="14.95" customHeight="1" thickBot="1" x14ac:dyDescent="0.3">
      <c r="A3" s="372" t="s">
        <v>1402</v>
      </c>
      <c r="B3" s="354">
        <v>0</v>
      </c>
      <c r="C3" s="257">
        <v>4</v>
      </c>
      <c r="D3" s="128">
        <f t="shared" ref="D3:D44" si="0">SUM(B3:C3)</f>
        <v>4</v>
      </c>
      <c r="E3" s="33" t="s">
        <v>1402</v>
      </c>
      <c r="F3" s="315">
        <v>0</v>
      </c>
      <c r="G3" s="255">
        <v>20</v>
      </c>
      <c r="H3" s="34">
        <f t="shared" ref="H3" si="1">SUM(F3:G3)</f>
        <v>20</v>
      </c>
      <c r="I3" s="4"/>
      <c r="J3" s="53" t="s">
        <v>152</v>
      </c>
      <c r="K3" s="53" t="s">
        <v>12</v>
      </c>
      <c r="L3" s="53" t="s">
        <v>13</v>
      </c>
      <c r="M3" s="181" t="s">
        <v>152</v>
      </c>
      <c r="N3" s="53" t="s">
        <v>12</v>
      </c>
      <c r="O3" s="53" t="s">
        <v>13</v>
      </c>
      <c r="P3" s="1"/>
      <c r="Q3" s="128" t="s">
        <v>152</v>
      </c>
      <c r="R3" s="128" t="s">
        <v>12</v>
      </c>
      <c r="S3" s="128" t="s">
        <v>13</v>
      </c>
      <c r="T3" s="128" t="s">
        <v>152</v>
      </c>
      <c r="U3" s="128" t="s">
        <v>12</v>
      </c>
      <c r="V3" s="128" t="s">
        <v>13</v>
      </c>
      <c r="W3" s="180"/>
      <c r="X3" s="121"/>
      <c r="Y3" s="121"/>
      <c r="Z3" s="228" t="s">
        <v>152</v>
      </c>
      <c r="AA3" s="128" t="s">
        <v>12</v>
      </c>
      <c r="AB3" s="128" t="s">
        <v>13</v>
      </c>
      <c r="AC3" s="228" t="s">
        <v>152</v>
      </c>
      <c r="AD3" s="128" t="s">
        <v>12</v>
      </c>
      <c r="AE3" s="128" t="s">
        <v>13</v>
      </c>
      <c r="AF3" s="228" t="s">
        <v>152</v>
      </c>
      <c r="AG3" s="128" t="s">
        <v>12</v>
      </c>
      <c r="AH3" s="128" t="s">
        <v>13</v>
      </c>
      <c r="AI3" s="228" t="s">
        <v>152</v>
      </c>
      <c r="AJ3" s="128" t="s">
        <v>12</v>
      </c>
      <c r="AK3" s="128" t="s">
        <v>13</v>
      </c>
      <c r="AL3" s="128" t="s">
        <v>152</v>
      </c>
      <c r="AM3" s="128" t="s">
        <v>12</v>
      </c>
      <c r="AN3" s="128" t="s">
        <v>13</v>
      </c>
      <c r="AO3" s="228" t="s">
        <v>152</v>
      </c>
      <c r="AP3" s="128" t="s">
        <v>12</v>
      </c>
      <c r="AQ3" s="128" t="s">
        <v>13</v>
      </c>
      <c r="AR3" s="228" t="s">
        <v>152</v>
      </c>
      <c r="AS3" s="128" t="s">
        <v>12</v>
      </c>
      <c r="AT3" s="128" t="s">
        <v>13</v>
      </c>
      <c r="AU3" s="232" t="s">
        <v>152</v>
      </c>
      <c r="AV3" s="128" t="s">
        <v>12</v>
      </c>
      <c r="AW3" s="128" t="s">
        <v>13</v>
      </c>
    </row>
    <row r="4" spans="1:52" ht="14.95" customHeight="1" thickBot="1" x14ac:dyDescent="0.3">
      <c r="A4" s="372" t="s">
        <v>1317</v>
      </c>
      <c r="B4" s="354">
        <v>0</v>
      </c>
      <c r="C4" s="257">
        <v>0</v>
      </c>
      <c r="D4" s="128">
        <f t="shared" si="0"/>
        <v>0</v>
      </c>
      <c r="E4" s="33" t="s">
        <v>1317</v>
      </c>
      <c r="F4" s="315">
        <v>0</v>
      </c>
      <c r="G4" s="255">
        <v>0</v>
      </c>
      <c r="H4" s="34">
        <f t="shared" ref="H4" si="2">SUM(F4:G4)</f>
        <v>0</v>
      </c>
      <c r="I4" s="372" t="s">
        <v>1317</v>
      </c>
      <c r="J4" s="324" t="s">
        <v>17</v>
      </c>
      <c r="K4" s="324" t="s">
        <v>17</v>
      </c>
      <c r="L4" s="373" t="s">
        <v>17</v>
      </c>
      <c r="M4" s="324" t="s">
        <v>17</v>
      </c>
      <c r="N4" s="324" t="s">
        <v>17</v>
      </c>
      <c r="O4" s="373" t="s">
        <v>17</v>
      </c>
      <c r="P4" s="324">
        <v>1</v>
      </c>
      <c r="Q4" s="228">
        <v>1</v>
      </c>
      <c r="R4" s="128">
        <v>1</v>
      </c>
      <c r="S4" s="128">
        <v>100</v>
      </c>
      <c r="T4" s="228" t="s">
        <v>17</v>
      </c>
      <c r="U4" s="128" t="s">
        <v>17</v>
      </c>
      <c r="V4" s="128" t="s">
        <v>17</v>
      </c>
      <c r="W4" s="180"/>
      <c r="X4" s="121"/>
      <c r="Y4" s="121"/>
      <c r="Z4" s="228" t="s">
        <v>17</v>
      </c>
      <c r="AA4" s="128" t="s">
        <v>17</v>
      </c>
      <c r="AB4" s="128" t="s">
        <v>17</v>
      </c>
      <c r="AC4" s="228" t="s">
        <v>17</v>
      </c>
      <c r="AD4" s="128" t="s">
        <v>17</v>
      </c>
      <c r="AE4" s="128" t="s">
        <v>17</v>
      </c>
      <c r="AF4" s="228" t="s">
        <v>17</v>
      </c>
      <c r="AG4" s="128" t="s">
        <v>17</v>
      </c>
      <c r="AH4" s="128" t="s">
        <v>17</v>
      </c>
      <c r="AI4" s="228" t="s">
        <v>17</v>
      </c>
      <c r="AJ4" s="128" t="s">
        <v>17</v>
      </c>
      <c r="AK4" s="128" t="s">
        <v>17</v>
      </c>
      <c r="AL4" s="128" t="s">
        <v>17</v>
      </c>
      <c r="AM4" s="128" t="s">
        <v>17</v>
      </c>
      <c r="AN4" s="128" t="s">
        <v>17</v>
      </c>
      <c r="AO4" s="128" t="s">
        <v>17</v>
      </c>
      <c r="AP4" s="128" t="s">
        <v>17</v>
      </c>
      <c r="AQ4" s="128" t="s">
        <v>17</v>
      </c>
      <c r="AR4" s="128" t="s">
        <v>17</v>
      </c>
      <c r="AS4" s="128" t="s">
        <v>17</v>
      </c>
      <c r="AT4" s="128" t="s">
        <v>17</v>
      </c>
      <c r="AU4" s="128" t="s">
        <v>17</v>
      </c>
      <c r="AV4" s="128" t="s">
        <v>17</v>
      </c>
      <c r="AW4" s="128" t="s">
        <v>17</v>
      </c>
    </row>
    <row r="5" spans="1:52" ht="14.95" customHeight="1" thickBot="1" x14ac:dyDescent="0.3">
      <c r="A5" s="372" t="s">
        <v>1273</v>
      </c>
      <c r="B5" s="354">
        <v>0</v>
      </c>
      <c r="C5" s="257">
        <v>0</v>
      </c>
      <c r="D5" s="128">
        <f t="shared" si="0"/>
        <v>0</v>
      </c>
      <c r="E5" s="33" t="s">
        <v>1273</v>
      </c>
      <c r="F5" s="315">
        <v>0</v>
      </c>
      <c r="G5" s="255">
        <v>0</v>
      </c>
      <c r="H5" s="34">
        <f t="shared" ref="H5" si="3">SUM(F5:G5)</f>
        <v>0</v>
      </c>
      <c r="I5" s="372" t="s">
        <v>118</v>
      </c>
      <c r="J5" s="324" t="s">
        <v>17</v>
      </c>
      <c r="K5" s="324" t="s">
        <v>17</v>
      </c>
      <c r="L5" s="373" t="s">
        <v>17</v>
      </c>
      <c r="M5" s="324" t="s">
        <v>17</v>
      </c>
      <c r="N5" s="324" t="s">
        <v>17</v>
      </c>
      <c r="O5" s="373" t="s">
        <v>17</v>
      </c>
      <c r="P5" s="324">
        <v>-3</v>
      </c>
      <c r="Q5" s="128" t="s">
        <v>17</v>
      </c>
      <c r="R5" s="128" t="s">
        <v>17</v>
      </c>
      <c r="S5" s="231" t="s">
        <v>17</v>
      </c>
      <c r="T5" s="128">
        <v>0</v>
      </c>
      <c r="U5" s="128">
        <v>1</v>
      </c>
      <c r="V5" s="231">
        <f>SUM(T5/U5)*100</f>
        <v>0</v>
      </c>
      <c r="W5" s="180"/>
      <c r="X5" s="121"/>
      <c r="Y5" s="121"/>
      <c r="Z5" s="228">
        <v>0</v>
      </c>
      <c r="AA5" s="128">
        <v>2</v>
      </c>
      <c r="AB5" s="231">
        <f>SUM(Z5/AA5)*100</f>
        <v>0</v>
      </c>
      <c r="AC5" s="228" t="s">
        <v>17</v>
      </c>
      <c r="AD5" s="128" t="s">
        <v>17</v>
      </c>
      <c r="AE5" s="231" t="s">
        <v>17</v>
      </c>
      <c r="AF5" s="228">
        <v>1</v>
      </c>
      <c r="AG5" s="128">
        <v>2</v>
      </c>
      <c r="AH5" s="231">
        <f>SUM(AF5/AG5)*100</f>
        <v>50</v>
      </c>
      <c r="AI5" s="228">
        <v>1</v>
      </c>
      <c r="AJ5" s="128">
        <v>1</v>
      </c>
      <c r="AK5" s="128">
        <v>100</v>
      </c>
      <c r="AL5" s="128">
        <v>0</v>
      </c>
      <c r="AM5" s="128">
        <v>2</v>
      </c>
      <c r="AN5" s="128">
        <v>0</v>
      </c>
      <c r="AO5" s="228">
        <v>4</v>
      </c>
      <c r="AP5" s="128">
        <v>6</v>
      </c>
      <c r="AQ5" s="231">
        <f>SUM(AO5/AP5)*100</f>
        <v>66.666666666666657</v>
      </c>
      <c r="AR5" s="228">
        <v>1</v>
      </c>
      <c r="AS5" s="128">
        <v>1</v>
      </c>
      <c r="AT5" s="231">
        <f>SUM(AR5/AS5)*100</f>
        <v>100</v>
      </c>
      <c r="AU5" s="232">
        <v>1</v>
      </c>
      <c r="AV5" s="128">
        <v>1</v>
      </c>
      <c r="AW5" s="231">
        <f>SUM(AU5/AV5)*100</f>
        <v>100</v>
      </c>
    </row>
    <row r="6" spans="1:52" ht="14.95" customHeight="1" thickBot="1" x14ac:dyDescent="0.3">
      <c r="A6" s="372" t="s">
        <v>1175</v>
      </c>
      <c r="B6" s="354">
        <v>0</v>
      </c>
      <c r="C6" s="257">
        <v>0</v>
      </c>
      <c r="D6" s="128">
        <f t="shared" si="0"/>
        <v>0</v>
      </c>
      <c r="E6" s="33" t="s">
        <v>1175</v>
      </c>
      <c r="F6" s="315">
        <v>0</v>
      </c>
      <c r="G6" s="255">
        <v>0</v>
      </c>
      <c r="H6" s="34">
        <f t="shared" ref="H6" si="4">SUM(F6:G6)</f>
        <v>0</v>
      </c>
      <c r="I6" s="372" t="s">
        <v>904</v>
      </c>
      <c r="J6" s="324">
        <v>12</v>
      </c>
      <c r="K6" s="324">
        <v>14</v>
      </c>
      <c r="L6" s="373">
        <f>SUM(J6/K6)*100</f>
        <v>85.714285714285708</v>
      </c>
      <c r="M6" s="324" t="s">
        <v>17</v>
      </c>
      <c r="N6" s="324" t="s">
        <v>17</v>
      </c>
      <c r="O6" s="373" t="s">
        <v>17</v>
      </c>
      <c r="P6" s="324">
        <v>7</v>
      </c>
      <c r="Q6" s="128">
        <v>21</v>
      </c>
      <c r="R6" s="128">
        <v>29</v>
      </c>
      <c r="S6" s="231">
        <v>72.41379310344827</v>
      </c>
      <c r="T6" s="128">
        <v>17</v>
      </c>
      <c r="U6" s="128">
        <v>24</v>
      </c>
      <c r="V6" s="231">
        <f>SUM(T6/U6)*100</f>
        <v>70.833333333333343</v>
      </c>
      <c r="W6" s="180"/>
      <c r="X6" s="121"/>
      <c r="Y6" s="121"/>
      <c r="Z6" s="228">
        <v>19</v>
      </c>
      <c r="AA6" s="128">
        <v>22</v>
      </c>
      <c r="AB6" s="231">
        <f>SUM(Z6/AA6)*100</f>
        <v>86.36363636363636</v>
      </c>
      <c r="AC6" s="228" t="s">
        <v>17</v>
      </c>
      <c r="AD6" s="128" t="s">
        <v>17</v>
      </c>
      <c r="AE6" s="231" t="s">
        <v>17</v>
      </c>
      <c r="AF6" s="228" t="s">
        <v>17</v>
      </c>
      <c r="AG6" s="128" t="s">
        <v>17</v>
      </c>
      <c r="AH6" s="231" t="s">
        <v>17</v>
      </c>
      <c r="AI6" s="228">
        <v>1</v>
      </c>
      <c r="AJ6" s="128">
        <v>1</v>
      </c>
      <c r="AK6" s="231">
        <v>100</v>
      </c>
      <c r="AL6" s="128">
        <v>22</v>
      </c>
      <c r="AM6" s="128">
        <v>25</v>
      </c>
      <c r="AN6" s="231">
        <f>SUM(AL6/AM6)*100</f>
        <v>88</v>
      </c>
      <c r="AO6" s="228">
        <v>5</v>
      </c>
      <c r="AP6" s="128">
        <v>6</v>
      </c>
      <c r="AQ6" s="231">
        <f>SUM(AO6/AP6)*100</f>
        <v>83.333333333333343</v>
      </c>
      <c r="AR6" s="228">
        <v>22</v>
      </c>
      <c r="AS6" s="128">
        <v>28</v>
      </c>
      <c r="AT6" s="231">
        <f>SUM(AR6/AS6)*100</f>
        <v>78.571428571428569</v>
      </c>
      <c r="AU6" s="232">
        <v>4</v>
      </c>
      <c r="AV6" s="128">
        <v>13</v>
      </c>
      <c r="AW6" s="231">
        <f>SUM(AU6/AV6)*100</f>
        <v>30.76923076923077</v>
      </c>
    </row>
    <row r="7" spans="1:52" ht="14.95" customHeight="1" thickBot="1" x14ac:dyDescent="0.3">
      <c r="A7" s="372" t="s">
        <v>648</v>
      </c>
      <c r="B7" s="308">
        <v>0</v>
      </c>
      <c r="C7" s="257">
        <v>0</v>
      </c>
      <c r="D7" s="128">
        <f t="shared" si="0"/>
        <v>0</v>
      </c>
      <c r="E7" s="33" t="s">
        <v>648</v>
      </c>
      <c r="F7" s="310">
        <v>0</v>
      </c>
      <c r="G7" s="255">
        <v>0</v>
      </c>
      <c r="H7" s="34">
        <f t="shared" ref="H7:H44" si="5">SUM(F7:G7)</f>
        <v>0</v>
      </c>
      <c r="I7" s="372" t="s">
        <v>18</v>
      </c>
      <c r="J7" s="324" t="s">
        <v>17</v>
      </c>
      <c r="K7" s="324" t="s">
        <v>17</v>
      </c>
      <c r="L7" s="373" t="s">
        <v>17</v>
      </c>
      <c r="M7" s="324" t="s">
        <v>17</v>
      </c>
      <c r="N7" s="324" t="s">
        <v>17</v>
      </c>
      <c r="O7" s="373" t="s">
        <v>17</v>
      </c>
      <c r="P7" s="324">
        <v>2</v>
      </c>
      <c r="Q7" s="128" t="s">
        <v>17</v>
      </c>
      <c r="R7" s="128" t="s">
        <v>17</v>
      </c>
      <c r="S7" s="231" t="s">
        <v>17</v>
      </c>
      <c r="T7" s="128">
        <v>2</v>
      </c>
      <c r="U7" s="128">
        <v>2</v>
      </c>
      <c r="V7" s="231">
        <f>SUM(T7/U7)*100</f>
        <v>100</v>
      </c>
      <c r="W7" s="180"/>
      <c r="X7" s="121"/>
      <c r="Y7" s="121"/>
      <c r="Z7" s="228" t="s">
        <v>17</v>
      </c>
      <c r="AA7" s="128" t="s">
        <v>17</v>
      </c>
      <c r="AB7" s="231" t="s">
        <v>17</v>
      </c>
      <c r="AC7" s="228" t="s">
        <v>17</v>
      </c>
      <c r="AD7" s="128" t="s">
        <v>17</v>
      </c>
      <c r="AE7" s="231" t="s">
        <v>17</v>
      </c>
      <c r="AF7" s="228">
        <v>2</v>
      </c>
      <c r="AG7" s="128">
        <v>6</v>
      </c>
      <c r="AH7" s="231">
        <f>SUM(AF7/AG7)*100</f>
        <v>33.333333333333329</v>
      </c>
      <c r="AI7" s="228" t="s">
        <v>17</v>
      </c>
      <c r="AJ7" s="128" t="s">
        <v>17</v>
      </c>
      <c r="AK7" s="128" t="s">
        <v>17</v>
      </c>
      <c r="AL7" s="128" t="s">
        <v>17</v>
      </c>
      <c r="AM7" s="128" t="s">
        <v>17</v>
      </c>
      <c r="AN7" s="128" t="s">
        <v>17</v>
      </c>
      <c r="AO7" s="128" t="s">
        <v>17</v>
      </c>
      <c r="AP7" s="128" t="s">
        <v>17</v>
      </c>
      <c r="AQ7" s="128" t="s">
        <v>17</v>
      </c>
      <c r="AR7" s="128" t="s">
        <v>17</v>
      </c>
      <c r="AS7" s="128" t="s">
        <v>17</v>
      </c>
      <c r="AT7" s="128" t="s">
        <v>17</v>
      </c>
      <c r="AU7" s="128" t="s">
        <v>17</v>
      </c>
      <c r="AV7" s="128" t="s">
        <v>17</v>
      </c>
      <c r="AW7" s="128" t="s">
        <v>17</v>
      </c>
    </row>
    <row r="8" spans="1:52" ht="14.95" customHeight="1" thickBot="1" x14ac:dyDescent="0.3">
      <c r="A8" s="372" t="s">
        <v>1144</v>
      </c>
      <c r="B8" s="308">
        <v>0</v>
      </c>
      <c r="C8" s="257">
        <v>0</v>
      </c>
      <c r="D8" s="128">
        <f t="shared" si="0"/>
        <v>0</v>
      </c>
      <c r="E8" s="33" t="s">
        <v>1144</v>
      </c>
      <c r="F8" s="310">
        <v>0</v>
      </c>
      <c r="G8" s="255">
        <v>0</v>
      </c>
      <c r="H8" s="34">
        <f t="shared" si="5"/>
        <v>0</v>
      </c>
      <c r="I8" s="372" t="s">
        <v>910</v>
      </c>
      <c r="J8" s="324">
        <v>3</v>
      </c>
      <c r="K8" s="324">
        <v>4</v>
      </c>
      <c r="L8" s="373">
        <f>SUM(J8/K8)*100</f>
        <v>75</v>
      </c>
      <c r="M8" s="324">
        <v>3</v>
      </c>
      <c r="N8" s="324">
        <v>4</v>
      </c>
      <c r="O8" s="373">
        <f>SUM(M8/N8)*100</f>
        <v>75</v>
      </c>
      <c r="P8" s="324">
        <v>3</v>
      </c>
      <c r="Q8" s="228">
        <v>18</v>
      </c>
      <c r="R8" s="128">
        <v>23</v>
      </c>
      <c r="S8" s="128">
        <v>78.260869565217391</v>
      </c>
      <c r="T8" s="228">
        <v>0</v>
      </c>
      <c r="U8" s="128">
        <v>1</v>
      </c>
      <c r="V8" s="128">
        <f>SUM(T8/U8)*100</f>
        <v>0</v>
      </c>
      <c r="W8" s="180"/>
      <c r="X8" s="121"/>
      <c r="Y8" s="121"/>
      <c r="Z8" s="228" t="s">
        <v>17</v>
      </c>
      <c r="AA8" s="128" t="s">
        <v>17</v>
      </c>
      <c r="AB8" s="128" t="s">
        <v>17</v>
      </c>
      <c r="AC8" s="228" t="s">
        <v>17</v>
      </c>
      <c r="AD8" s="128" t="s">
        <v>17</v>
      </c>
      <c r="AE8" s="128" t="s">
        <v>17</v>
      </c>
      <c r="AF8" s="228" t="s">
        <v>17</v>
      </c>
      <c r="AG8" s="128" t="s">
        <v>17</v>
      </c>
      <c r="AH8" s="128" t="s">
        <v>17</v>
      </c>
      <c r="AI8" s="228" t="s">
        <v>17</v>
      </c>
      <c r="AJ8" s="128" t="s">
        <v>17</v>
      </c>
      <c r="AK8" s="128" t="s">
        <v>17</v>
      </c>
      <c r="AL8" s="128" t="s">
        <v>17</v>
      </c>
      <c r="AM8" s="128" t="s">
        <v>17</v>
      </c>
      <c r="AN8" s="128" t="s">
        <v>17</v>
      </c>
      <c r="AO8" s="128" t="s">
        <v>17</v>
      </c>
      <c r="AP8" s="128" t="s">
        <v>17</v>
      </c>
      <c r="AQ8" s="128" t="s">
        <v>17</v>
      </c>
      <c r="AR8" s="128" t="s">
        <v>17</v>
      </c>
      <c r="AS8" s="128" t="s">
        <v>17</v>
      </c>
      <c r="AT8" s="128" t="s">
        <v>17</v>
      </c>
      <c r="AU8" s="128" t="s">
        <v>17</v>
      </c>
      <c r="AV8" s="128" t="s">
        <v>17</v>
      </c>
      <c r="AW8" s="128" t="s">
        <v>17</v>
      </c>
    </row>
    <row r="9" spans="1:52" ht="14.95" customHeight="1" thickBot="1" x14ac:dyDescent="0.3">
      <c r="A9" s="372" t="s">
        <v>937</v>
      </c>
      <c r="B9" s="308">
        <v>0</v>
      </c>
      <c r="C9" s="257">
        <v>0</v>
      </c>
      <c r="D9" s="128">
        <f t="shared" si="0"/>
        <v>0</v>
      </c>
      <c r="E9" s="33" t="s">
        <v>937</v>
      </c>
      <c r="F9" s="310">
        <v>0</v>
      </c>
      <c r="G9" s="255">
        <v>0</v>
      </c>
      <c r="H9" s="34">
        <f t="shared" si="5"/>
        <v>0</v>
      </c>
      <c r="I9" s="372" t="s">
        <v>400</v>
      </c>
      <c r="J9" s="324" t="s">
        <v>17</v>
      </c>
      <c r="K9" s="324" t="s">
        <v>17</v>
      </c>
      <c r="L9" s="373" t="s">
        <v>17</v>
      </c>
      <c r="M9" s="324" t="s">
        <v>17</v>
      </c>
      <c r="N9" s="324" t="s">
        <v>17</v>
      </c>
      <c r="O9" s="373" t="s">
        <v>17</v>
      </c>
      <c r="P9" s="324">
        <v>7</v>
      </c>
      <c r="Q9" s="128">
        <v>11</v>
      </c>
      <c r="R9" s="128">
        <v>14</v>
      </c>
      <c r="S9" s="231">
        <v>78.571428571428569</v>
      </c>
      <c r="T9" s="128">
        <v>32</v>
      </c>
      <c r="U9" s="128">
        <v>41</v>
      </c>
      <c r="V9" s="231">
        <f>SUM(T9/U9)*100</f>
        <v>78.048780487804876</v>
      </c>
      <c r="W9" s="180"/>
      <c r="X9" s="121"/>
      <c r="Y9" s="121"/>
      <c r="Z9" s="228">
        <v>5</v>
      </c>
      <c r="AA9" s="128">
        <v>5</v>
      </c>
      <c r="AB9" s="231">
        <f>SUM(Z9/AA9)*100</f>
        <v>100</v>
      </c>
      <c r="AC9" s="228">
        <v>25</v>
      </c>
      <c r="AD9" s="128">
        <v>31</v>
      </c>
      <c r="AE9" s="231">
        <v>80.645161290322577</v>
      </c>
      <c r="AF9" s="228">
        <v>25</v>
      </c>
      <c r="AG9" s="128">
        <v>28</v>
      </c>
      <c r="AH9" s="231">
        <f>SUM(AF9/AG9)*100</f>
        <v>89.285714285714292</v>
      </c>
      <c r="AI9" s="228" t="s">
        <v>17</v>
      </c>
      <c r="AJ9" s="128" t="s">
        <v>17</v>
      </c>
      <c r="AK9" s="128" t="s">
        <v>17</v>
      </c>
      <c r="AL9" s="128" t="s">
        <v>17</v>
      </c>
      <c r="AM9" s="128" t="s">
        <v>17</v>
      </c>
      <c r="AN9" s="128" t="s">
        <v>17</v>
      </c>
      <c r="AO9" s="128" t="s">
        <v>17</v>
      </c>
      <c r="AP9" s="128" t="s">
        <v>17</v>
      </c>
      <c r="AQ9" s="128" t="s">
        <v>17</v>
      </c>
      <c r="AR9" s="128" t="s">
        <v>17</v>
      </c>
      <c r="AS9" s="128" t="s">
        <v>17</v>
      </c>
      <c r="AT9" s="128" t="s">
        <v>17</v>
      </c>
      <c r="AU9" s="128" t="s">
        <v>17</v>
      </c>
      <c r="AV9" s="128" t="s">
        <v>17</v>
      </c>
      <c r="AW9" s="128" t="s">
        <v>17</v>
      </c>
    </row>
    <row r="10" spans="1:52" ht="14.95" customHeight="1" thickBot="1" x14ac:dyDescent="0.3">
      <c r="A10" s="372" t="s">
        <v>296</v>
      </c>
      <c r="B10" s="308">
        <v>0</v>
      </c>
      <c r="C10" s="257">
        <v>0</v>
      </c>
      <c r="D10" s="128">
        <f t="shared" si="0"/>
        <v>0</v>
      </c>
      <c r="E10" s="32" t="s">
        <v>296</v>
      </c>
      <c r="F10" s="310">
        <v>0</v>
      </c>
      <c r="G10" s="255">
        <v>0</v>
      </c>
      <c r="H10" s="34">
        <f t="shared" si="5"/>
        <v>0</v>
      </c>
      <c r="I10" s="82"/>
      <c r="J10" s="82"/>
      <c r="K10" s="82"/>
      <c r="L10" s="82"/>
      <c r="M10" s="82"/>
      <c r="N10" s="82"/>
      <c r="O10" s="82"/>
      <c r="Q10" s="124"/>
      <c r="R10" s="125"/>
    </row>
    <row r="11" spans="1:52" ht="14.95" customHeight="1" thickBot="1" x14ac:dyDescent="0.3">
      <c r="A11" s="372" t="s">
        <v>118</v>
      </c>
      <c r="B11" s="308">
        <v>0</v>
      </c>
      <c r="C11" s="257">
        <v>0</v>
      </c>
      <c r="D11" s="128">
        <f t="shared" si="0"/>
        <v>0</v>
      </c>
      <c r="E11" s="32" t="s">
        <v>118</v>
      </c>
      <c r="F11" s="310">
        <v>0</v>
      </c>
      <c r="G11" s="255">
        <v>0</v>
      </c>
      <c r="H11" s="34">
        <f t="shared" si="5"/>
        <v>0</v>
      </c>
      <c r="I11" s="589" t="s">
        <v>35</v>
      </c>
      <c r="J11" s="596">
        <v>2026</v>
      </c>
      <c r="K11" s="597"/>
      <c r="L11" s="598"/>
      <c r="M11" s="568">
        <v>2025</v>
      </c>
      <c r="N11" s="609"/>
      <c r="O11" s="610"/>
      <c r="P11" s="568">
        <v>2024</v>
      </c>
      <c r="Q11" s="609"/>
      <c r="R11" s="610"/>
      <c r="S11" s="568">
        <v>2023</v>
      </c>
      <c r="T11" s="558"/>
      <c r="U11" s="559"/>
      <c r="V11" s="656"/>
      <c r="W11" s="253"/>
      <c r="X11" s="253"/>
      <c r="Y11" s="125"/>
      <c r="Z11" s="568">
        <v>2022</v>
      </c>
      <c r="AA11" s="558"/>
      <c r="AB11" s="559"/>
      <c r="AC11" s="568">
        <v>2021</v>
      </c>
      <c r="AD11" s="602"/>
      <c r="AE11" s="603"/>
      <c r="AF11" s="568">
        <v>2020</v>
      </c>
      <c r="AG11" s="602"/>
      <c r="AH11" s="603"/>
      <c r="AI11" s="568">
        <v>2019</v>
      </c>
      <c r="AJ11" s="602"/>
      <c r="AK11" s="603"/>
      <c r="AL11" s="568">
        <v>2018</v>
      </c>
      <c r="AM11" s="609"/>
      <c r="AN11" s="610"/>
      <c r="AO11" s="568">
        <v>2017</v>
      </c>
      <c r="AP11" s="609"/>
      <c r="AQ11" s="610"/>
      <c r="AR11" s="568">
        <v>2016</v>
      </c>
      <c r="AS11" s="609"/>
      <c r="AT11" s="610"/>
      <c r="AU11" s="568">
        <v>2015</v>
      </c>
      <c r="AV11" s="569"/>
      <c r="AW11" s="570"/>
      <c r="AX11" s="568">
        <v>2014</v>
      </c>
      <c r="AY11" s="617"/>
      <c r="AZ11" s="618"/>
    </row>
    <row r="12" spans="1:52" ht="14.95" customHeight="1" thickBot="1" x14ac:dyDescent="0.3">
      <c r="A12" s="372" t="s">
        <v>649</v>
      </c>
      <c r="B12" s="308">
        <v>0</v>
      </c>
      <c r="C12" s="257">
        <v>0</v>
      </c>
      <c r="D12" s="128">
        <f t="shared" si="0"/>
        <v>0</v>
      </c>
      <c r="E12" s="32" t="s">
        <v>649</v>
      </c>
      <c r="F12" s="310">
        <v>0</v>
      </c>
      <c r="G12" s="255">
        <v>0</v>
      </c>
      <c r="H12" s="34">
        <f t="shared" si="5"/>
        <v>0</v>
      </c>
      <c r="I12" s="590"/>
      <c r="J12" s="599"/>
      <c r="K12" s="600"/>
      <c r="L12" s="601"/>
      <c r="M12" s="611"/>
      <c r="N12" s="612"/>
      <c r="O12" s="613"/>
      <c r="P12" s="611"/>
      <c r="Q12" s="612"/>
      <c r="R12" s="613"/>
      <c r="S12" s="560"/>
      <c r="T12" s="561"/>
      <c r="U12" s="562"/>
      <c r="V12" s="657"/>
      <c r="W12" s="253"/>
      <c r="X12" s="253"/>
      <c r="Y12" s="253"/>
      <c r="Z12" s="560"/>
      <c r="AA12" s="561"/>
      <c r="AB12" s="562"/>
      <c r="AC12" s="604"/>
      <c r="AD12" s="605"/>
      <c r="AE12" s="606"/>
      <c r="AF12" s="604"/>
      <c r="AG12" s="605"/>
      <c r="AH12" s="606"/>
      <c r="AI12" s="604"/>
      <c r="AJ12" s="605"/>
      <c r="AK12" s="606"/>
      <c r="AL12" s="611"/>
      <c r="AM12" s="612"/>
      <c r="AN12" s="613"/>
      <c r="AO12" s="611"/>
      <c r="AP12" s="612"/>
      <c r="AQ12" s="613"/>
      <c r="AR12" s="611"/>
      <c r="AS12" s="612"/>
      <c r="AT12" s="613"/>
      <c r="AU12" s="571"/>
      <c r="AV12" s="572"/>
      <c r="AW12" s="573"/>
      <c r="AX12" s="619"/>
      <c r="AY12" s="620"/>
      <c r="AZ12" s="621"/>
    </row>
    <row r="13" spans="1:52" ht="14.95" customHeight="1" thickBot="1" x14ac:dyDescent="0.3">
      <c r="A13" s="372" t="s">
        <v>902</v>
      </c>
      <c r="B13" s="308">
        <v>0</v>
      </c>
      <c r="C13" s="257">
        <v>1</v>
      </c>
      <c r="D13" s="128">
        <f t="shared" si="0"/>
        <v>1</v>
      </c>
      <c r="E13" s="32" t="s">
        <v>902</v>
      </c>
      <c r="F13" s="310">
        <v>0</v>
      </c>
      <c r="G13" s="255">
        <v>5</v>
      </c>
      <c r="H13" s="34">
        <f t="shared" si="5"/>
        <v>5</v>
      </c>
      <c r="I13" s="4"/>
      <c r="J13" s="188" t="s">
        <v>152</v>
      </c>
      <c r="K13" s="188" t="s">
        <v>12</v>
      </c>
      <c r="L13" s="188" t="s">
        <v>13</v>
      </c>
      <c r="M13" s="158" t="s">
        <v>152</v>
      </c>
      <c r="N13" s="158" t="s">
        <v>12</v>
      </c>
      <c r="O13" s="158" t="s">
        <v>13</v>
      </c>
      <c r="P13" s="158" t="s">
        <v>152</v>
      </c>
      <c r="Q13" s="158" t="s">
        <v>12</v>
      </c>
      <c r="R13" s="158" t="s">
        <v>13</v>
      </c>
      <c r="S13" s="158" t="s">
        <v>152</v>
      </c>
      <c r="T13" s="158" t="s">
        <v>12</v>
      </c>
      <c r="U13" s="158" t="s">
        <v>13</v>
      </c>
      <c r="V13" s="341"/>
      <c r="W13" s="121"/>
      <c r="X13" s="121"/>
      <c r="Y13" s="121"/>
      <c r="Z13" s="234" t="s">
        <v>152</v>
      </c>
      <c r="AA13" s="158" t="s">
        <v>12</v>
      </c>
      <c r="AB13" s="158" t="s">
        <v>13</v>
      </c>
      <c r="AC13" s="234" t="s">
        <v>152</v>
      </c>
      <c r="AD13" s="158" t="s">
        <v>12</v>
      </c>
      <c r="AE13" s="158" t="s">
        <v>13</v>
      </c>
      <c r="AF13" s="234" t="s">
        <v>152</v>
      </c>
      <c r="AG13" s="158" t="s">
        <v>12</v>
      </c>
      <c r="AH13" s="158" t="s">
        <v>13</v>
      </c>
      <c r="AI13" s="234" t="s">
        <v>152</v>
      </c>
      <c r="AJ13" s="158" t="s">
        <v>12</v>
      </c>
      <c r="AK13" s="158" t="s">
        <v>13</v>
      </c>
      <c r="AL13" s="234" t="s">
        <v>152</v>
      </c>
      <c r="AM13" s="158" t="s">
        <v>12</v>
      </c>
      <c r="AN13" s="158" t="s">
        <v>13</v>
      </c>
      <c r="AO13" s="234" t="s">
        <v>152</v>
      </c>
      <c r="AP13" s="158" t="s">
        <v>12</v>
      </c>
      <c r="AQ13" s="158" t="s">
        <v>13</v>
      </c>
      <c r="AR13" s="234" t="s">
        <v>152</v>
      </c>
      <c r="AS13" s="158" t="s">
        <v>12</v>
      </c>
      <c r="AT13" s="158" t="s">
        <v>13</v>
      </c>
      <c r="AU13" s="228" t="s">
        <v>152</v>
      </c>
      <c r="AV13" s="128" t="s">
        <v>12</v>
      </c>
      <c r="AW13" s="128" t="s">
        <v>13</v>
      </c>
      <c r="AX13" s="228" t="s">
        <v>152</v>
      </c>
      <c r="AY13" s="128" t="s">
        <v>12</v>
      </c>
      <c r="AZ13" s="128" t="s">
        <v>13</v>
      </c>
    </row>
    <row r="14" spans="1:52" ht="14.95" customHeight="1" thickBot="1" x14ac:dyDescent="0.3">
      <c r="A14" s="372" t="s">
        <v>650</v>
      </c>
      <c r="B14" s="308">
        <v>0</v>
      </c>
      <c r="C14" s="257">
        <v>2</v>
      </c>
      <c r="D14" s="128">
        <f t="shared" si="0"/>
        <v>2</v>
      </c>
      <c r="E14" s="32" t="s">
        <v>650</v>
      </c>
      <c r="F14" s="310">
        <v>0</v>
      </c>
      <c r="G14" s="255">
        <v>10</v>
      </c>
      <c r="H14" s="34">
        <f t="shared" si="5"/>
        <v>10</v>
      </c>
      <c r="I14" s="372" t="s">
        <v>118</v>
      </c>
      <c r="J14" s="324" t="s">
        <v>17</v>
      </c>
      <c r="K14" s="324" t="s">
        <v>17</v>
      </c>
      <c r="L14" s="373" t="s">
        <v>17</v>
      </c>
      <c r="M14" s="128" t="s">
        <v>17</v>
      </c>
      <c r="N14" s="128" t="s">
        <v>17</v>
      </c>
      <c r="O14" s="231" t="s">
        <v>17</v>
      </c>
      <c r="P14" s="128">
        <v>0</v>
      </c>
      <c r="Q14" s="128">
        <v>1</v>
      </c>
      <c r="R14" s="231">
        <v>0</v>
      </c>
      <c r="S14" s="128" t="s">
        <v>17</v>
      </c>
      <c r="T14" s="128" t="s">
        <v>17</v>
      </c>
      <c r="U14" s="231" t="s">
        <v>17</v>
      </c>
      <c r="V14" s="342"/>
      <c r="W14" s="121"/>
      <c r="X14" s="121"/>
      <c r="Y14" s="121"/>
      <c r="Z14" s="228" t="s">
        <v>17</v>
      </c>
      <c r="AA14" s="128" t="s">
        <v>17</v>
      </c>
      <c r="AB14" s="231" t="s">
        <v>17</v>
      </c>
      <c r="AC14" s="228">
        <v>1</v>
      </c>
      <c r="AD14" s="128">
        <v>2</v>
      </c>
      <c r="AE14" s="231">
        <v>50</v>
      </c>
      <c r="AF14" s="228" t="s">
        <v>17</v>
      </c>
      <c r="AG14" s="128" t="s">
        <v>17</v>
      </c>
      <c r="AH14" s="231" t="s">
        <v>17</v>
      </c>
      <c r="AI14" s="228">
        <v>0</v>
      </c>
      <c r="AJ14" s="128">
        <v>1</v>
      </c>
      <c r="AK14" s="231">
        <f>SUM(AI14/AJ14)*100</f>
        <v>0</v>
      </c>
      <c r="AL14" s="228">
        <v>1</v>
      </c>
      <c r="AM14" s="128">
        <v>1</v>
      </c>
      <c r="AN14" s="231">
        <f>SUM(AL14/AM14)*100</f>
        <v>100</v>
      </c>
      <c r="AO14" s="228">
        <v>1</v>
      </c>
      <c r="AP14" s="128">
        <v>1</v>
      </c>
      <c r="AQ14" s="231">
        <f>SUM(AO14/AP14)*100</f>
        <v>100</v>
      </c>
      <c r="AR14" s="228" t="s">
        <v>17</v>
      </c>
      <c r="AS14" s="128" t="s">
        <v>17</v>
      </c>
      <c r="AT14" s="128" t="s">
        <v>17</v>
      </c>
      <c r="AU14" s="228" t="s">
        <v>17</v>
      </c>
      <c r="AV14" s="128" t="s">
        <v>17</v>
      </c>
      <c r="AW14" s="128" t="s">
        <v>17</v>
      </c>
      <c r="AX14" s="228" t="s">
        <v>17</v>
      </c>
      <c r="AY14" s="128" t="s">
        <v>17</v>
      </c>
      <c r="AZ14" s="128" t="s">
        <v>17</v>
      </c>
    </row>
    <row r="15" spans="1:52" ht="14.95" customHeight="1" thickBot="1" x14ac:dyDescent="0.3">
      <c r="A15" s="372" t="s">
        <v>908</v>
      </c>
      <c r="B15" s="308">
        <v>0</v>
      </c>
      <c r="C15" s="257">
        <v>0</v>
      </c>
      <c r="D15" s="128">
        <f t="shared" si="0"/>
        <v>0</v>
      </c>
      <c r="E15" s="32" t="s">
        <v>908</v>
      </c>
      <c r="F15" s="310">
        <v>0</v>
      </c>
      <c r="G15" s="255">
        <v>0</v>
      </c>
      <c r="H15" s="34">
        <f t="shared" si="5"/>
        <v>0</v>
      </c>
      <c r="I15" s="372" t="s">
        <v>5</v>
      </c>
      <c r="J15" s="324">
        <v>12</v>
      </c>
      <c r="K15" s="324">
        <v>14</v>
      </c>
      <c r="L15" s="373">
        <f>SUM(J15/K15)*100</f>
        <v>85.714285714285708</v>
      </c>
      <c r="M15" s="128" t="s">
        <v>17</v>
      </c>
      <c r="N15" s="128" t="s">
        <v>17</v>
      </c>
      <c r="O15" s="231" t="s">
        <v>17</v>
      </c>
      <c r="P15" s="128">
        <v>17</v>
      </c>
      <c r="Q15" s="128">
        <v>23</v>
      </c>
      <c r="R15" s="231">
        <v>73.91304347826086</v>
      </c>
      <c r="S15" s="128" t="s">
        <v>17</v>
      </c>
      <c r="T15" s="128" t="s">
        <v>17</v>
      </c>
      <c r="U15" s="231" t="s">
        <v>17</v>
      </c>
      <c r="V15" s="342"/>
      <c r="W15" s="121"/>
      <c r="X15" s="121"/>
      <c r="Y15" s="121"/>
      <c r="Z15" s="228" t="s">
        <v>17</v>
      </c>
      <c r="AA15" s="128" t="s">
        <v>17</v>
      </c>
      <c r="AB15" s="231" t="s">
        <v>17</v>
      </c>
      <c r="AC15" s="228" t="s">
        <v>17</v>
      </c>
      <c r="AD15" s="128" t="s">
        <v>17</v>
      </c>
      <c r="AE15" s="128" t="s">
        <v>17</v>
      </c>
      <c r="AF15" s="228" t="s">
        <v>17</v>
      </c>
      <c r="AG15" s="128" t="s">
        <v>17</v>
      </c>
      <c r="AH15" s="128" t="s">
        <v>17</v>
      </c>
      <c r="AI15" s="228">
        <v>4</v>
      </c>
      <c r="AJ15" s="128">
        <v>4</v>
      </c>
      <c r="AK15" s="128">
        <v>100</v>
      </c>
      <c r="AL15" s="228" t="s">
        <v>17</v>
      </c>
      <c r="AM15" s="128" t="s">
        <v>17</v>
      </c>
      <c r="AN15" s="128" t="s">
        <v>17</v>
      </c>
      <c r="AO15" s="228" t="s">
        <v>17</v>
      </c>
      <c r="AP15" s="128" t="s">
        <v>17</v>
      </c>
      <c r="AQ15" s="128" t="s">
        <v>17</v>
      </c>
      <c r="AR15" s="228">
        <v>1</v>
      </c>
      <c r="AS15" s="128">
        <v>1</v>
      </c>
      <c r="AT15" s="231">
        <f>SUM(AR15/AS15)*100</f>
        <v>100</v>
      </c>
      <c r="AU15" s="228">
        <v>25</v>
      </c>
      <c r="AV15" s="128">
        <v>32</v>
      </c>
      <c r="AW15" s="231">
        <f>SUM(AU15/AV15)*100</f>
        <v>78.125</v>
      </c>
      <c r="AX15" s="228" t="s">
        <v>17</v>
      </c>
      <c r="AY15" s="128" t="s">
        <v>17</v>
      </c>
      <c r="AZ15" s="128" t="s">
        <v>17</v>
      </c>
    </row>
    <row r="16" spans="1:52" ht="14.95" customHeight="1" thickBot="1" x14ac:dyDescent="0.3">
      <c r="A16" s="372" t="s">
        <v>5</v>
      </c>
      <c r="B16" s="308">
        <v>0</v>
      </c>
      <c r="C16" s="257">
        <v>0</v>
      </c>
      <c r="D16" s="128">
        <f t="shared" si="0"/>
        <v>0</v>
      </c>
      <c r="E16" s="32" t="s">
        <v>5</v>
      </c>
      <c r="F16" s="310">
        <v>0</v>
      </c>
      <c r="G16" s="255">
        <v>27</v>
      </c>
      <c r="H16" s="34">
        <f t="shared" si="5"/>
        <v>27</v>
      </c>
      <c r="I16" s="372" t="s">
        <v>910</v>
      </c>
      <c r="J16" s="324">
        <v>3</v>
      </c>
      <c r="K16" s="324">
        <v>4</v>
      </c>
      <c r="L16" s="373">
        <f>SUM(J16/K16)*100</f>
        <v>75</v>
      </c>
      <c r="M16" s="128">
        <v>14</v>
      </c>
      <c r="N16" s="128">
        <v>16</v>
      </c>
      <c r="O16" s="231">
        <v>87.5</v>
      </c>
      <c r="P16" s="128">
        <v>0</v>
      </c>
      <c r="Q16" s="128">
        <v>1</v>
      </c>
      <c r="R16" s="231">
        <v>0</v>
      </c>
      <c r="S16" s="128" t="s">
        <v>17</v>
      </c>
      <c r="T16" s="128" t="s">
        <v>17</v>
      </c>
      <c r="U16" s="231" t="s">
        <v>17</v>
      </c>
      <c r="V16" s="342"/>
      <c r="W16" s="121"/>
      <c r="X16" s="121"/>
      <c r="Y16" s="121"/>
      <c r="Z16" s="228" t="s">
        <v>17</v>
      </c>
      <c r="AA16" s="128" t="s">
        <v>17</v>
      </c>
      <c r="AB16" s="231" t="s">
        <v>17</v>
      </c>
      <c r="AC16" s="228" t="s">
        <v>17</v>
      </c>
      <c r="AD16" s="128" t="s">
        <v>17</v>
      </c>
      <c r="AE16" s="128" t="s">
        <v>17</v>
      </c>
      <c r="AF16" s="228" t="s">
        <v>17</v>
      </c>
      <c r="AG16" s="128" t="s">
        <v>17</v>
      </c>
      <c r="AH16" s="128" t="s">
        <v>17</v>
      </c>
      <c r="AI16" s="232" t="s">
        <v>17</v>
      </c>
      <c r="AJ16" s="128" t="s">
        <v>17</v>
      </c>
      <c r="AK16" s="128" t="s">
        <v>17</v>
      </c>
      <c r="AL16" s="232" t="s">
        <v>17</v>
      </c>
      <c r="AM16" s="128" t="s">
        <v>17</v>
      </c>
      <c r="AN16" s="128" t="s">
        <v>17</v>
      </c>
      <c r="AO16" s="128" t="s">
        <v>17</v>
      </c>
      <c r="AP16" s="128" t="s">
        <v>17</v>
      </c>
      <c r="AQ16" s="128" t="s">
        <v>17</v>
      </c>
      <c r="AR16" s="128" t="s">
        <v>17</v>
      </c>
      <c r="AS16" s="128" t="s">
        <v>17</v>
      </c>
      <c r="AT16" s="128" t="s">
        <v>17</v>
      </c>
      <c r="AU16" s="128" t="s">
        <v>17</v>
      </c>
      <c r="AV16" s="128" t="s">
        <v>17</v>
      </c>
      <c r="AW16" s="128" t="s">
        <v>17</v>
      </c>
      <c r="AX16" s="128" t="s">
        <v>17</v>
      </c>
      <c r="AY16" s="128" t="s">
        <v>17</v>
      </c>
      <c r="AZ16" s="128" t="s">
        <v>17</v>
      </c>
    </row>
    <row r="17" spans="1:52" ht="14.95" customHeight="1" thickBot="1" x14ac:dyDescent="0.3">
      <c r="A17" s="372" t="s">
        <v>921</v>
      </c>
      <c r="B17" s="308">
        <v>0</v>
      </c>
      <c r="C17" s="257">
        <v>2</v>
      </c>
      <c r="D17" s="128">
        <f t="shared" si="0"/>
        <v>2</v>
      </c>
      <c r="E17" s="32" t="s">
        <v>921</v>
      </c>
      <c r="F17" s="310">
        <v>0</v>
      </c>
      <c r="G17" s="255">
        <v>10</v>
      </c>
      <c r="H17" s="34">
        <f t="shared" si="5"/>
        <v>10</v>
      </c>
      <c r="I17" s="372" t="s">
        <v>400</v>
      </c>
      <c r="J17" s="324" t="s">
        <v>17</v>
      </c>
      <c r="K17" s="324" t="s">
        <v>17</v>
      </c>
      <c r="L17" s="373" t="s">
        <v>17</v>
      </c>
      <c r="M17" s="128">
        <v>11</v>
      </c>
      <c r="N17" s="128">
        <v>14</v>
      </c>
      <c r="O17" s="231">
        <v>78.571428571428569</v>
      </c>
      <c r="P17" s="128">
        <v>1</v>
      </c>
      <c r="Q17" s="128">
        <v>1</v>
      </c>
      <c r="R17" s="231">
        <v>100</v>
      </c>
      <c r="S17" s="128">
        <v>2</v>
      </c>
      <c r="T17" s="128">
        <v>2</v>
      </c>
      <c r="U17" s="231">
        <v>100</v>
      </c>
      <c r="V17" s="342"/>
      <c r="W17" s="121"/>
      <c r="X17" s="121"/>
      <c r="Y17" s="121"/>
      <c r="Z17" s="228">
        <v>22</v>
      </c>
      <c r="AA17" s="128">
        <v>27</v>
      </c>
      <c r="AB17" s="231">
        <v>81.481481481481481</v>
      </c>
      <c r="AC17" s="228" t="s">
        <v>17</v>
      </c>
      <c r="AD17" s="128" t="s">
        <v>17</v>
      </c>
      <c r="AE17" s="128" t="s">
        <v>17</v>
      </c>
      <c r="AF17" s="228" t="s">
        <v>17</v>
      </c>
      <c r="AG17" s="128" t="s">
        <v>17</v>
      </c>
      <c r="AH17" s="128" t="s">
        <v>17</v>
      </c>
      <c r="AI17" s="232" t="s">
        <v>17</v>
      </c>
      <c r="AJ17" s="128" t="s">
        <v>17</v>
      </c>
      <c r="AK17" s="128" t="s">
        <v>17</v>
      </c>
      <c r="AL17" s="232" t="s">
        <v>17</v>
      </c>
      <c r="AM17" s="128" t="s">
        <v>17</v>
      </c>
      <c r="AN17" s="128" t="s">
        <v>17</v>
      </c>
      <c r="AO17" s="128" t="s">
        <v>17</v>
      </c>
      <c r="AP17" s="128" t="s">
        <v>17</v>
      </c>
      <c r="AQ17" s="128" t="s">
        <v>17</v>
      </c>
      <c r="AR17" s="128" t="s">
        <v>17</v>
      </c>
      <c r="AS17" s="128" t="s">
        <v>17</v>
      </c>
      <c r="AT17" s="128" t="s">
        <v>17</v>
      </c>
      <c r="AU17" s="128" t="s">
        <v>17</v>
      </c>
      <c r="AV17" s="128" t="s">
        <v>17</v>
      </c>
      <c r="AW17" s="128" t="s">
        <v>17</v>
      </c>
      <c r="AX17" s="128" t="s">
        <v>17</v>
      </c>
      <c r="AY17" s="128" t="s">
        <v>17</v>
      </c>
      <c r="AZ17" s="128" t="s">
        <v>17</v>
      </c>
    </row>
    <row r="18" spans="1:52" ht="14.95" customHeight="1" thickBot="1" x14ac:dyDescent="0.3">
      <c r="A18" s="372" t="s">
        <v>906</v>
      </c>
      <c r="B18" s="308">
        <v>0</v>
      </c>
      <c r="C18" s="257">
        <v>0</v>
      </c>
      <c r="D18" s="128">
        <f t="shared" si="0"/>
        <v>0</v>
      </c>
      <c r="E18" s="32" t="s">
        <v>906</v>
      </c>
      <c r="F18" s="310">
        <v>0</v>
      </c>
      <c r="G18" s="255">
        <v>0</v>
      </c>
      <c r="H18" s="34">
        <f t="shared" si="5"/>
        <v>0</v>
      </c>
      <c r="I18" s="42"/>
      <c r="J18" s="18"/>
      <c r="K18" s="18"/>
      <c r="L18" s="18"/>
      <c r="M18" s="18"/>
      <c r="N18" s="18"/>
      <c r="O18" s="18"/>
      <c r="Z18" t="s">
        <v>1389</v>
      </c>
    </row>
    <row r="19" spans="1:52" ht="14.95" customHeight="1" thickBot="1" x14ac:dyDescent="0.3">
      <c r="A19" s="372" t="s">
        <v>324</v>
      </c>
      <c r="B19" s="308">
        <v>0</v>
      </c>
      <c r="C19" s="257">
        <v>0</v>
      </c>
      <c r="D19" s="128">
        <f t="shared" si="0"/>
        <v>0</v>
      </c>
      <c r="E19" s="32" t="s">
        <v>324</v>
      </c>
      <c r="F19" s="310">
        <v>0</v>
      </c>
      <c r="G19" s="255">
        <v>0</v>
      </c>
      <c r="H19" s="34">
        <f t="shared" si="5"/>
        <v>0</v>
      </c>
      <c r="I19" s="577" t="s">
        <v>33</v>
      </c>
      <c r="J19" s="568">
        <v>2023</v>
      </c>
      <c r="K19" s="569"/>
      <c r="L19" s="570"/>
      <c r="M19" s="568">
        <v>2019</v>
      </c>
      <c r="N19" s="569"/>
      <c r="O19" s="570"/>
      <c r="P19" s="557">
        <v>2015</v>
      </c>
      <c r="Q19" s="563"/>
      <c r="R19" s="564"/>
    </row>
    <row r="20" spans="1:52" ht="14.95" customHeight="1" thickBot="1" x14ac:dyDescent="0.3">
      <c r="A20" s="372" t="s">
        <v>6</v>
      </c>
      <c r="B20" s="308">
        <v>0</v>
      </c>
      <c r="C20" s="257">
        <v>0</v>
      </c>
      <c r="D20" s="128">
        <f t="shared" si="0"/>
        <v>0</v>
      </c>
      <c r="E20" s="32" t="s">
        <v>6</v>
      </c>
      <c r="F20" s="310">
        <v>0</v>
      </c>
      <c r="G20" s="255">
        <v>0</v>
      </c>
      <c r="H20" s="34">
        <f t="shared" si="5"/>
        <v>0</v>
      </c>
      <c r="I20" s="578"/>
      <c r="J20" s="571"/>
      <c r="K20" s="572"/>
      <c r="L20" s="573"/>
      <c r="M20" s="571"/>
      <c r="N20" s="572"/>
      <c r="O20" s="573"/>
      <c r="P20" s="565"/>
      <c r="Q20" s="566"/>
      <c r="R20" s="567"/>
    </row>
    <row r="21" spans="1:52" ht="14.95" customHeight="1" thickBot="1" x14ac:dyDescent="0.3">
      <c r="A21" s="372" t="s">
        <v>1228</v>
      </c>
      <c r="B21" s="308">
        <v>0</v>
      </c>
      <c r="C21" s="257">
        <v>0</v>
      </c>
      <c r="D21" s="128">
        <f t="shared" si="0"/>
        <v>0</v>
      </c>
      <c r="E21" s="32" t="s">
        <v>1228</v>
      </c>
      <c r="F21" s="310">
        <v>0</v>
      </c>
      <c r="G21" s="255">
        <v>0</v>
      </c>
      <c r="H21" s="34">
        <f t="shared" si="5"/>
        <v>0</v>
      </c>
      <c r="I21" s="4"/>
      <c r="J21" s="128" t="s">
        <v>152</v>
      </c>
      <c r="K21" s="128" t="s">
        <v>12</v>
      </c>
      <c r="L21" s="128" t="s">
        <v>13</v>
      </c>
      <c r="M21" s="128" t="s">
        <v>152</v>
      </c>
      <c r="N21" s="128" t="s">
        <v>12</v>
      </c>
      <c r="O21" s="128" t="s">
        <v>13</v>
      </c>
      <c r="P21" s="128" t="s">
        <v>152</v>
      </c>
      <c r="Q21" s="128" t="s">
        <v>12</v>
      </c>
      <c r="R21" s="128" t="s">
        <v>13</v>
      </c>
    </row>
    <row r="22" spans="1:52" ht="14.95" customHeight="1" thickBot="1" x14ac:dyDescent="0.3">
      <c r="A22" s="372" t="s">
        <v>210</v>
      </c>
      <c r="B22" s="308">
        <v>0</v>
      </c>
      <c r="C22" s="257">
        <v>0</v>
      </c>
      <c r="D22" s="128">
        <f t="shared" si="0"/>
        <v>0</v>
      </c>
      <c r="E22" s="32" t="s">
        <v>210</v>
      </c>
      <c r="F22" s="310">
        <v>0</v>
      </c>
      <c r="G22" s="255">
        <v>0</v>
      </c>
      <c r="H22" s="34">
        <f t="shared" si="5"/>
        <v>0</v>
      </c>
      <c r="I22" s="374" t="s">
        <v>118</v>
      </c>
      <c r="J22" s="128">
        <v>0</v>
      </c>
      <c r="K22" s="128">
        <v>2</v>
      </c>
      <c r="L22" s="128">
        <f>SUM(J22/K22)*100</f>
        <v>0</v>
      </c>
      <c r="M22" s="128" t="s">
        <v>17</v>
      </c>
      <c r="N22" s="128" t="s">
        <v>17</v>
      </c>
      <c r="O22" s="231" t="s">
        <v>17</v>
      </c>
      <c r="P22" s="128" t="s">
        <v>17</v>
      </c>
      <c r="Q22" s="128" t="s">
        <v>17</v>
      </c>
      <c r="R22" s="231" t="s">
        <v>17</v>
      </c>
    </row>
    <row r="23" spans="1:52" ht="14.95" customHeight="1" thickBot="1" x14ac:dyDescent="0.3">
      <c r="A23" s="372" t="s">
        <v>1311</v>
      </c>
      <c r="B23" s="308">
        <v>0</v>
      </c>
      <c r="C23" s="257">
        <v>0</v>
      </c>
      <c r="D23" s="128">
        <f t="shared" si="0"/>
        <v>0</v>
      </c>
      <c r="E23" s="32" t="s">
        <v>1311</v>
      </c>
      <c r="F23" s="310">
        <v>0</v>
      </c>
      <c r="G23" s="255">
        <v>0</v>
      </c>
      <c r="H23" s="34">
        <f t="shared" si="5"/>
        <v>0</v>
      </c>
      <c r="I23" s="372" t="s">
        <v>5</v>
      </c>
      <c r="J23" s="128">
        <v>12</v>
      </c>
      <c r="K23" s="128">
        <v>13</v>
      </c>
      <c r="L23" s="231">
        <f>SUM(J23/K23)*100</f>
        <v>92.307692307692307</v>
      </c>
      <c r="M23" s="128">
        <v>9</v>
      </c>
      <c r="N23" s="128">
        <v>12</v>
      </c>
      <c r="O23" s="231">
        <f>SUM(M23/N23)*100</f>
        <v>75</v>
      </c>
      <c r="P23" s="128">
        <v>4</v>
      </c>
      <c r="Q23" s="128">
        <v>9</v>
      </c>
      <c r="R23" s="231">
        <f>SUM(P23/Q23)*100</f>
        <v>44.444444444444443</v>
      </c>
    </row>
    <row r="24" spans="1:52" ht="14.95" customHeight="1" thickBot="1" x14ac:dyDescent="0.3">
      <c r="A24" s="372" t="s">
        <v>615</v>
      </c>
      <c r="B24" s="308">
        <v>0</v>
      </c>
      <c r="C24" s="257">
        <v>1</v>
      </c>
      <c r="D24" s="128">
        <f t="shared" si="0"/>
        <v>1</v>
      </c>
      <c r="E24" s="32" t="s">
        <v>615</v>
      </c>
      <c r="F24" s="310">
        <v>0</v>
      </c>
      <c r="G24" s="255">
        <v>5</v>
      </c>
      <c r="H24" s="34">
        <f t="shared" si="5"/>
        <v>5</v>
      </c>
      <c r="I24" t="s">
        <v>905</v>
      </c>
    </row>
    <row r="25" spans="1:52" ht="14.95" customHeight="1" thickBot="1" x14ac:dyDescent="0.3">
      <c r="A25" s="372" t="s">
        <v>586</v>
      </c>
      <c r="B25" s="308">
        <v>0</v>
      </c>
      <c r="C25" s="257">
        <v>0</v>
      </c>
      <c r="D25" s="128">
        <f t="shared" si="0"/>
        <v>0</v>
      </c>
      <c r="E25" s="32" t="s">
        <v>586</v>
      </c>
      <c r="F25" s="310">
        <v>0</v>
      </c>
      <c r="G25" s="255">
        <v>0</v>
      </c>
      <c r="H25" s="34">
        <f t="shared" si="5"/>
        <v>0</v>
      </c>
    </row>
    <row r="26" spans="1:52" ht="14.95" customHeight="1" thickBot="1" x14ac:dyDescent="0.3">
      <c r="A26" s="372" t="s">
        <v>651</v>
      </c>
      <c r="B26" s="308">
        <v>0</v>
      </c>
      <c r="C26" s="257">
        <v>0</v>
      </c>
      <c r="D26" s="128">
        <f t="shared" si="0"/>
        <v>0</v>
      </c>
      <c r="E26" s="32" t="s">
        <v>651</v>
      </c>
      <c r="F26" s="310">
        <v>0</v>
      </c>
      <c r="G26" s="255">
        <v>0</v>
      </c>
      <c r="H26" s="34">
        <f t="shared" si="5"/>
        <v>0</v>
      </c>
    </row>
    <row r="27" spans="1:52" ht="14.95" customHeight="1" thickBot="1" x14ac:dyDescent="0.3">
      <c r="A27" s="372" t="s">
        <v>740</v>
      </c>
      <c r="B27" s="308">
        <v>0</v>
      </c>
      <c r="C27" s="257">
        <v>0</v>
      </c>
      <c r="D27" s="128">
        <f t="shared" si="0"/>
        <v>0</v>
      </c>
      <c r="E27" s="32" t="s">
        <v>740</v>
      </c>
      <c r="F27" s="310">
        <v>0</v>
      </c>
      <c r="G27" s="255">
        <v>0</v>
      </c>
      <c r="H27" s="34">
        <f t="shared" si="5"/>
        <v>0</v>
      </c>
    </row>
    <row r="28" spans="1:52" ht="14.95" customHeight="1" thickBot="1" x14ac:dyDescent="0.3">
      <c r="A28" s="372" t="s">
        <v>1171</v>
      </c>
      <c r="B28" s="308">
        <v>0</v>
      </c>
      <c r="C28" s="257">
        <v>0</v>
      </c>
      <c r="D28" s="128">
        <f t="shared" si="0"/>
        <v>0</v>
      </c>
      <c r="E28" s="32" t="s">
        <v>1171</v>
      </c>
      <c r="F28" s="310">
        <v>0</v>
      </c>
      <c r="G28" s="255">
        <v>0</v>
      </c>
      <c r="H28" s="34">
        <f t="shared" si="5"/>
        <v>0</v>
      </c>
    </row>
    <row r="29" spans="1:52" ht="14.95" customHeight="1" thickBot="1" x14ac:dyDescent="0.3">
      <c r="A29" s="372" t="s">
        <v>1313</v>
      </c>
      <c r="B29" s="308">
        <v>0</v>
      </c>
      <c r="C29" s="257">
        <v>0</v>
      </c>
      <c r="D29" s="128">
        <f t="shared" si="0"/>
        <v>0</v>
      </c>
      <c r="E29" s="32" t="s">
        <v>1313</v>
      </c>
      <c r="F29" s="310">
        <v>0</v>
      </c>
      <c r="G29" s="255">
        <v>0</v>
      </c>
      <c r="H29" s="34">
        <f t="shared" si="5"/>
        <v>0</v>
      </c>
    </row>
    <row r="30" spans="1:52" ht="14.95" customHeight="1" thickBot="1" x14ac:dyDescent="0.3">
      <c r="A30" s="372" t="s">
        <v>1315</v>
      </c>
      <c r="B30" s="308">
        <v>0</v>
      </c>
      <c r="C30" s="257">
        <v>0</v>
      </c>
      <c r="D30" s="128">
        <f t="shared" si="0"/>
        <v>0</v>
      </c>
      <c r="E30" s="32" t="s">
        <v>1315</v>
      </c>
      <c r="F30" s="310">
        <v>0</v>
      </c>
      <c r="G30" s="255">
        <v>0</v>
      </c>
      <c r="H30" s="34">
        <f t="shared" si="5"/>
        <v>0</v>
      </c>
    </row>
    <row r="31" spans="1:52" ht="14.95" customHeight="1" thickBot="1" x14ac:dyDescent="0.3">
      <c r="A31" s="372" t="s">
        <v>1436</v>
      </c>
      <c r="B31" s="308">
        <v>0</v>
      </c>
      <c r="C31" s="257">
        <v>0</v>
      </c>
      <c r="D31" s="128">
        <f t="shared" si="0"/>
        <v>0</v>
      </c>
      <c r="E31" s="32" t="s">
        <v>1437</v>
      </c>
      <c r="F31" s="310">
        <v>0</v>
      </c>
      <c r="G31" s="255">
        <v>0</v>
      </c>
      <c r="H31" s="34">
        <f t="shared" si="5"/>
        <v>0</v>
      </c>
    </row>
    <row r="32" spans="1:52" ht="14.95" customHeight="1" thickBot="1" x14ac:dyDescent="0.3">
      <c r="A32" s="372" t="s">
        <v>4</v>
      </c>
      <c r="B32" s="308">
        <v>0</v>
      </c>
      <c r="C32" s="257">
        <v>1</v>
      </c>
      <c r="D32" s="128">
        <f t="shared" si="0"/>
        <v>1</v>
      </c>
      <c r="E32" s="32" t="s">
        <v>4</v>
      </c>
      <c r="F32" s="310">
        <v>0</v>
      </c>
      <c r="G32" s="255">
        <v>7</v>
      </c>
      <c r="H32" s="34">
        <f t="shared" si="5"/>
        <v>7</v>
      </c>
    </row>
    <row r="33" spans="1:8" ht="14.95" customHeight="1" thickBot="1" x14ac:dyDescent="0.3">
      <c r="A33" s="372" t="s">
        <v>1227</v>
      </c>
      <c r="B33" s="308">
        <v>0</v>
      </c>
      <c r="C33" s="257">
        <v>0</v>
      </c>
      <c r="D33" s="128">
        <f t="shared" si="0"/>
        <v>0</v>
      </c>
      <c r="E33" s="32" t="s">
        <v>1227</v>
      </c>
      <c r="F33" s="310">
        <v>0</v>
      </c>
      <c r="G33" s="255">
        <v>0</v>
      </c>
      <c r="H33" s="34">
        <f t="shared" si="5"/>
        <v>0</v>
      </c>
    </row>
    <row r="34" spans="1:8" ht="14.95" customHeight="1" thickBot="1" x14ac:dyDescent="0.3">
      <c r="A34" s="372" t="s">
        <v>941</v>
      </c>
      <c r="B34" s="308">
        <v>0</v>
      </c>
      <c r="C34" s="257">
        <v>0</v>
      </c>
      <c r="D34" s="128">
        <f t="shared" si="0"/>
        <v>0</v>
      </c>
      <c r="E34" s="32" t="s">
        <v>941</v>
      </c>
      <c r="F34" s="310">
        <v>0</v>
      </c>
      <c r="G34" s="255">
        <v>0</v>
      </c>
      <c r="H34" s="34">
        <f t="shared" si="5"/>
        <v>0</v>
      </c>
    </row>
    <row r="35" spans="1:8" ht="14.95" customHeight="1" thickBot="1" x14ac:dyDescent="0.3">
      <c r="A35" s="372" t="s">
        <v>652</v>
      </c>
      <c r="B35" s="308">
        <v>0</v>
      </c>
      <c r="C35" s="257">
        <v>0</v>
      </c>
      <c r="D35" s="128">
        <f t="shared" si="0"/>
        <v>0</v>
      </c>
      <c r="E35" s="32" t="s">
        <v>652</v>
      </c>
      <c r="F35" s="310">
        <v>0</v>
      </c>
      <c r="G35" s="255">
        <v>0</v>
      </c>
      <c r="H35" s="34">
        <f t="shared" si="5"/>
        <v>0</v>
      </c>
    </row>
    <row r="36" spans="1:8" ht="14.95" customHeight="1" thickBot="1" x14ac:dyDescent="0.3">
      <c r="A36" s="372" t="s">
        <v>1145</v>
      </c>
      <c r="B36" s="308">
        <v>0</v>
      </c>
      <c r="C36" s="257">
        <v>2</v>
      </c>
      <c r="D36" s="128">
        <f t="shared" si="0"/>
        <v>2</v>
      </c>
      <c r="E36" s="32" t="s">
        <v>1145</v>
      </c>
      <c r="F36" s="310">
        <v>0</v>
      </c>
      <c r="G36" s="255">
        <v>10</v>
      </c>
      <c r="H36" s="34">
        <f t="shared" si="5"/>
        <v>10</v>
      </c>
    </row>
    <row r="37" spans="1:8" ht="14.95" thickBot="1" x14ac:dyDescent="0.3">
      <c r="A37" s="372" t="s">
        <v>18</v>
      </c>
      <c r="B37" s="308">
        <v>0</v>
      </c>
      <c r="C37" s="257">
        <v>0</v>
      </c>
      <c r="D37" s="128">
        <f t="shared" si="0"/>
        <v>0</v>
      </c>
      <c r="E37" s="32" t="s">
        <v>18</v>
      </c>
      <c r="F37" s="310">
        <v>0</v>
      </c>
      <c r="G37" s="255">
        <v>0</v>
      </c>
      <c r="H37" s="34">
        <f t="shared" si="5"/>
        <v>0</v>
      </c>
    </row>
    <row r="38" spans="1:8" ht="14.95" thickBot="1" x14ac:dyDescent="0.3">
      <c r="A38" s="372" t="s">
        <v>1108</v>
      </c>
      <c r="B38" s="308">
        <v>0</v>
      </c>
      <c r="C38" s="257">
        <v>0</v>
      </c>
      <c r="D38" s="128">
        <f t="shared" si="0"/>
        <v>0</v>
      </c>
      <c r="E38" s="32" t="s">
        <v>1108</v>
      </c>
      <c r="F38" s="310">
        <v>0</v>
      </c>
      <c r="G38" s="255">
        <v>0</v>
      </c>
      <c r="H38" s="34">
        <f t="shared" si="5"/>
        <v>0</v>
      </c>
    </row>
    <row r="39" spans="1:8" ht="14.95" thickBot="1" x14ac:dyDescent="0.3">
      <c r="A39" s="372" t="s">
        <v>910</v>
      </c>
      <c r="B39" s="308">
        <v>0</v>
      </c>
      <c r="C39" s="257">
        <v>0</v>
      </c>
      <c r="D39" s="128">
        <f t="shared" si="0"/>
        <v>0</v>
      </c>
      <c r="E39" s="32" t="s">
        <v>910</v>
      </c>
      <c r="F39" s="310">
        <v>0</v>
      </c>
      <c r="G39" s="255">
        <v>8</v>
      </c>
      <c r="H39" s="34">
        <f t="shared" si="5"/>
        <v>8</v>
      </c>
    </row>
    <row r="40" spans="1:8" ht="14.95" thickBot="1" x14ac:dyDescent="0.3">
      <c r="A40" s="372" t="s">
        <v>400</v>
      </c>
      <c r="B40" s="308">
        <v>0</v>
      </c>
      <c r="C40" s="257">
        <v>0</v>
      </c>
      <c r="D40" s="128">
        <f t="shared" si="0"/>
        <v>0</v>
      </c>
      <c r="E40" s="32" t="s">
        <v>400</v>
      </c>
      <c r="F40" s="310">
        <v>0</v>
      </c>
      <c r="G40" s="255">
        <v>0</v>
      </c>
      <c r="H40" s="34">
        <f t="shared" si="5"/>
        <v>0</v>
      </c>
    </row>
    <row r="41" spans="1:8" ht="14.95" thickBot="1" x14ac:dyDescent="0.3">
      <c r="A41" s="372" t="s">
        <v>459</v>
      </c>
      <c r="B41" s="308">
        <v>0</v>
      </c>
      <c r="C41" s="257">
        <v>0</v>
      </c>
      <c r="D41" s="128">
        <f t="shared" si="0"/>
        <v>0</v>
      </c>
      <c r="E41" s="32" t="s">
        <v>459</v>
      </c>
      <c r="F41" s="310">
        <v>0</v>
      </c>
      <c r="G41" s="255">
        <v>0</v>
      </c>
      <c r="H41" s="34">
        <f t="shared" si="5"/>
        <v>0</v>
      </c>
    </row>
    <row r="42" spans="1:8" ht="14.95" thickBot="1" x14ac:dyDescent="0.3">
      <c r="A42" s="372" t="s">
        <v>579</v>
      </c>
      <c r="B42" s="308">
        <v>0</v>
      </c>
      <c r="C42" s="257">
        <v>0</v>
      </c>
      <c r="D42" s="128">
        <f t="shared" si="0"/>
        <v>0</v>
      </c>
      <c r="E42" s="32" t="s">
        <v>579</v>
      </c>
      <c r="F42" s="310">
        <v>0</v>
      </c>
      <c r="G42" s="255">
        <v>0</v>
      </c>
      <c r="H42" s="34">
        <f t="shared" si="5"/>
        <v>0</v>
      </c>
    </row>
    <row r="43" spans="1:8" ht="14.95" thickBot="1" x14ac:dyDescent="0.3">
      <c r="A43" s="372" t="s">
        <v>939</v>
      </c>
      <c r="B43" s="308">
        <v>0</v>
      </c>
      <c r="C43" s="257">
        <v>1</v>
      </c>
      <c r="D43" s="128">
        <f t="shared" si="0"/>
        <v>1</v>
      </c>
      <c r="E43" s="32" t="s">
        <v>939</v>
      </c>
      <c r="F43" s="310">
        <v>0</v>
      </c>
      <c r="G43" s="255">
        <v>5</v>
      </c>
      <c r="H43" s="34">
        <f t="shared" si="5"/>
        <v>5</v>
      </c>
    </row>
    <row r="44" spans="1:8" ht="14.95" thickBot="1" x14ac:dyDescent="0.3">
      <c r="A44" s="372" t="s">
        <v>1274</v>
      </c>
      <c r="B44" s="308">
        <v>0</v>
      </c>
      <c r="C44" s="257">
        <v>0</v>
      </c>
      <c r="D44" s="128">
        <f t="shared" si="0"/>
        <v>0</v>
      </c>
      <c r="E44" s="32" t="s">
        <v>1274</v>
      </c>
      <c r="F44" s="310">
        <v>0</v>
      </c>
      <c r="G44" s="255">
        <v>0</v>
      </c>
      <c r="H44" s="34">
        <f t="shared" si="5"/>
        <v>0</v>
      </c>
    </row>
    <row r="45" spans="1:8" ht="14.95" thickBot="1" x14ac:dyDescent="0.3">
      <c r="A45" s="372" t="s">
        <v>3</v>
      </c>
      <c r="B45" s="308">
        <f>SUM(B3:B44)</f>
        <v>0</v>
      </c>
      <c r="C45" s="257">
        <f>SUM(C3:C44)</f>
        <v>14</v>
      </c>
      <c r="D45" s="128">
        <f>SUM(D3:D44)</f>
        <v>14</v>
      </c>
      <c r="E45" s="108" t="s">
        <v>3</v>
      </c>
      <c r="F45" s="311">
        <f>SUM(F3:F44)</f>
        <v>0</v>
      </c>
      <c r="G45" s="254">
        <f>SUM(G3:G44)</f>
        <v>107</v>
      </c>
      <c r="H45" s="87">
        <f>SUM(H3:H44)</f>
        <v>107</v>
      </c>
    </row>
    <row r="46" spans="1:8" ht="16.3" x14ac:dyDescent="0.25">
      <c r="E46" s="3"/>
      <c r="F46" s="3"/>
      <c r="G46" s="3"/>
      <c r="H46" s="3"/>
    </row>
    <row r="47" spans="1:8" ht="17" thickBot="1" x14ac:dyDescent="0.3">
      <c r="A47" t="s">
        <v>15</v>
      </c>
      <c r="E47" s="3"/>
      <c r="F47" s="3"/>
      <c r="G47" s="3"/>
      <c r="H47" s="3"/>
    </row>
    <row r="48" spans="1:8" ht="14.95" thickBot="1" x14ac:dyDescent="0.3">
      <c r="A48" s="371" t="s">
        <v>0</v>
      </c>
      <c r="B48" s="307" t="s">
        <v>1447</v>
      </c>
      <c r="C48" s="256" t="s">
        <v>36</v>
      </c>
      <c r="D48" s="165" t="s">
        <v>1</v>
      </c>
      <c r="E48" s="189" t="s">
        <v>2</v>
      </c>
      <c r="F48" s="309" t="s">
        <v>1447</v>
      </c>
      <c r="G48" s="254" t="s">
        <v>36</v>
      </c>
      <c r="H48" s="87" t="s">
        <v>1</v>
      </c>
    </row>
    <row r="49" spans="1:8" ht="14.95" thickBot="1" x14ac:dyDescent="0.3">
      <c r="A49" s="372" t="s">
        <v>1402</v>
      </c>
      <c r="B49" s="354">
        <v>0</v>
      </c>
      <c r="C49" s="257">
        <v>4</v>
      </c>
      <c r="D49" s="128">
        <f>SUM(B49:C49)</f>
        <v>4</v>
      </c>
      <c r="E49" s="33" t="s">
        <v>5</v>
      </c>
      <c r="F49" s="310">
        <v>0</v>
      </c>
      <c r="G49" s="255">
        <v>27</v>
      </c>
      <c r="H49" s="34">
        <f>SUM(F49:G49)</f>
        <v>27</v>
      </c>
    </row>
    <row r="50" spans="1:8" ht="14.95" thickBot="1" x14ac:dyDescent="0.3">
      <c r="A50" s="372" t="s">
        <v>650</v>
      </c>
      <c r="B50" s="308">
        <v>0</v>
      </c>
      <c r="C50" s="257">
        <v>2</v>
      </c>
      <c r="D50" s="128">
        <f>SUM(B50:C50)</f>
        <v>2</v>
      </c>
      <c r="E50" s="33" t="s">
        <v>1402</v>
      </c>
      <c r="F50" s="315">
        <v>0</v>
      </c>
      <c r="G50" s="255">
        <v>20</v>
      </c>
      <c r="H50" s="34">
        <f>SUM(F50:G50)</f>
        <v>20</v>
      </c>
    </row>
    <row r="51" spans="1:8" ht="14.95" thickBot="1" x14ac:dyDescent="0.3">
      <c r="A51" s="372" t="s">
        <v>921</v>
      </c>
      <c r="B51" s="308">
        <v>0</v>
      </c>
      <c r="C51" s="257">
        <v>2</v>
      </c>
      <c r="D51" s="128">
        <f>SUM(B51:C51)</f>
        <v>2</v>
      </c>
      <c r="E51" s="33" t="s">
        <v>650</v>
      </c>
      <c r="F51" s="310">
        <v>0</v>
      </c>
      <c r="G51" s="255">
        <v>10</v>
      </c>
      <c r="H51" s="34">
        <f>SUM(F51:G51)</f>
        <v>10</v>
      </c>
    </row>
    <row r="52" spans="1:8" ht="14.95" thickBot="1" x14ac:dyDescent="0.3">
      <c r="A52" s="372" t="s">
        <v>1145</v>
      </c>
      <c r="B52" s="308">
        <v>0</v>
      </c>
      <c r="C52" s="257">
        <v>2</v>
      </c>
      <c r="D52" s="128">
        <f>SUM(B52:C52)</f>
        <v>2</v>
      </c>
      <c r="E52" s="33" t="s">
        <v>921</v>
      </c>
      <c r="F52" s="310">
        <v>0</v>
      </c>
      <c r="G52" s="255">
        <v>10</v>
      </c>
      <c r="H52" s="34">
        <f>SUM(F52:G52)</f>
        <v>10</v>
      </c>
    </row>
    <row r="53" spans="1:8" ht="14.95" thickBot="1" x14ac:dyDescent="0.3">
      <c r="A53" s="372" t="s">
        <v>902</v>
      </c>
      <c r="B53" s="308">
        <v>0</v>
      </c>
      <c r="C53" s="257">
        <v>1</v>
      </c>
      <c r="D53" s="128">
        <f>SUM(B53:C53)</f>
        <v>1</v>
      </c>
      <c r="E53" s="33" t="s">
        <v>1145</v>
      </c>
      <c r="F53" s="310">
        <v>0</v>
      </c>
      <c r="G53" s="255">
        <v>10</v>
      </c>
      <c r="H53" s="34">
        <f>SUM(F53:G53)</f>
        <v>10</v>
      </c>
    </row>
    <row r="54" spans="1:8" ht="14.95" thickBot="1" x14ac:dyDescent="0.3">
      <c r="A54" s="372" t="s">
        <v>615</v>
      </c>
      <c r="B54" s="308">
        <v>0</v>
      </c>
      <c r="C54" s="257">
        <v>1</v>
      </c>
      <c r="D54" s="128">
        <f>SUM(B54:C54)</f>
        <v>1</v>
      </c>
      <c r="E54" s="33" t="s">
        <v>910</v>
      </c>
      <c r="F54" s="310">
        <v>0</v>
      </c>
      <c r="G54" s="255">
        <v>8</v>
      </c>
      <c r="H54" s="34">
        <f>SUM(F54:G54)</f>
        <v>8</v>
      </c>
    </row>
    <row r="55" spans="1:8" ht="14.95" thickBot="1" x14ac:dyDescent="0.3">
      <c r="A55" s="372" t="s">
        <v>4</v>
      </c>
      <c r="B55" s="308">
        <v>0</v>
      </c>
      <c r="C55" s="257">
        <v>1</v>
      </c>
      <c r="D55" s="128">
        <f>SUM(B55:C55)</f>
        <v>1</v>
      </c>
      <c r="E55" s="33" t="s">
        <v>4</v>
      </c>
      <c r="F55" s="310">
        <v>0</v>
      </c>
      <c r="G55" s="255">
        <v>7</v>
      </c>
      <c r="H55" s="34">
        <f>SUM(F55:G55)</f>
        <v>7</v>
      </c>
    </row>
    <row r="56" spans="1:8" ht="14.95" thickBot="1" x14ac:dyDescent="0.3">
      <c r="A56" s="372" t="s">
        <v>939</v>
      </c>
      <c r="B56" s="308">
        <v>0</v>
      </c>
      <c r="C56" s="257">
        <v>1</v>
      </c>
      <c r="D56" s="128">
        <f>SUM(B56:C56)</f>
        <v>1</v>
      </c>
      <c r="E56" s="32" t="s">
        <v>902</v>
      </c>
      <c r="F56" s="310">
        <v>0</v>
      </c>
      <c r="G56" s="255">
        <v>5</v>
      </c>
      <c r="H56" s="34">
        <f>SUM(F56:G56)</f>
        <v>5</v>
      </c>
    </row>
    <row r="57" spans="1:8" ht="14.95" thickBot="1" x14ac:dyDescent="0.3">
      <c r="A57" s="372" t="s">
        <v>1317</v>
      </c>
      <c r="B57" s="354">
        <v>0</v>
      </c>
      <c r="C57" s="257">
        <v>0</v>
      </c>
      <c r="D57" s="128">
        <f>SUM(B57:C57)</f>
        <v>0</v>
      </c>
      <c r="E57" s="32" t="s">
        <v>615</v>
      </c>
      <c r="F57" s="310">
        <v>0</v>
      </c>
      <c r="G57" s="255">
        <v>5</v>
      </c>
      <c r="H57" s="34">
        <f>SUM(F57:G57)</f>
        <v>5</v>
      </c>
    </row>
    <row r="58" spans="1:8" ht="14.95" thickBot="1" x14ac:dyDescent="0.3">
      <c r="A58" s="372" t="s">
        <v>1273</v>
      </c>
      <c r="B58" s="354">
        <v>0</v>
      </c>
      <c r="C58" s="257">
        <v>0</v>
      </c>
      <c r="D58" s="128">
        <f>SUM(B58:C58)</f>
        <v>0</v>
      </c>
      <c r="E58" s="32" t="s">
        <v>939</v>
      </c>
      <c r="F58" s="310">
        <v>0</v>
      </c>
      <c r="G58" s="255">
        <v>5</v>
      </c>
      <c r="H58" s="34">
        <f>SUM(F58:G58)</f>
        <v>5</v>
      </c>
    </row>
    <row r="59" spans="1:8" ht="14.95" thickBot="1" x14ac:dyDescent="0.3">
      <c r="A59" s="372" t="s">
        <v>1175</v>
      </c>
      <c r="B59" s="354">
        <v>0</v>
      </c>
      <c r="C59" s="257">
        <v>0</v>
      </c>
      <c r="D59" s="128">
        <f>SUM(B59:C59)</f>
        <v>0</v>
      </c>
      <c r="E59" s="32" t="s">
        <v>1317</v>
      </c>
      <c r="F59" s="315">
        <v>0</v>
      </c>
      <c r="G59" s="255">
        <v>0</v>
      </c>
      <c r="H59" s="34">
        <f>SUM(F59:G59)</f>
        <v>0</v>
      </c>
    </row>
    <row r="60" spans="1:8" ht="14.95" thickBot="1" x14ac:dyDescent="0.3">
      <c r="A60" s="372" t="s">
        <v>648</v>
      </c>
      <c r="B60" s="308">
        <v>0</v>
      </c>
      <c r="C60" s="257">
        <v>0</v>
      </c>
      <c r="D60" s="128">
        <f>SUM(B60:C60)</f>
        <v>0</v>
      </c>
      <c r="E60" s="32" t="s">
        <v>1273</v>
      </c>
      <c r="F60" s="315">
        <v>0</v>
      </c>
      <c r="G60" s="255">
        <v>0</v>
      </c>
      <c r="H60" s="34">
        <f>SUM(F60:G60)</f>
        <v>0</v>
      </c>
    </row>
    <row r="61" spans="1:8" ht="14.95" thickBot="1" x14ac:dyDescent="0.3">
      <c r="A61" s="372" t="s">
        <v>1144</v>
      </c>
      <c r="B61" s="308">
        <v>0</v>
      </c>
      <c r="C61" s="257">
        <v>0</v>
      </c>
      <c r="D61" s="128">
        <f>SUM(B61:C61)</f>
        <v>0</v>
      </c>
      <c r="E61" s="32" t="s">
        <v>1175</v>
      </c>
      <c r="F61" s="315">
        <v>0</v>
      </c>
      <c r="G61" s="255">
        <v>0</v>
      </c>
      <c r="H61" s="34">
        <f>SUM(F61:G61)</f>
        <v>0</v>
      </c>
    </row>
    <row r="62" spans="1:8" ht="14.95" thickBot="1" x14ac:dyDescent="0.3">
      <c r="A62" s="372" t="s">
        <v>937</v>
      </c>
      <c r="B62" s="308">
        <v>0</v>
      </c>
      <c r="C62" s="257">
        <v>0</v>
      </c>
      <c r="D62" s="128">
        <f>SUM(B62:C62)</f>
        <v>0</v>
      </c>
      <c r="E62" s="32" t="s">
        <v>648</v>
      </c>
      <c r="F62" s="310">
        <v>0</v>
      </c>
      <c r="G62" s="255">
        <v>0</v>
      </c>
      <c r="H62" s="34">
        <f>SUM(F62:G62)</f>
        <v>0</v>
      </c>
    </row>
    <row r="63" spans="1:8" ht="14.95" thickBot="1" x14ac:dyDescent="0.3">
      <c r="A63" s="372" t="s">
        <v>296</v>
      </c>
      <c r="B63" s="308">
        <v>0</v>
      </c>
      <c r="C63" s="257">
        <v>0</v>
      </c>
      <c r="D63" s="128">
        <f>SUM(B63:C63)</f>
        <v>0</v>
      </c>
      <c r="E63" s="32" t="s">
        <v>1144</v>
      </c>
      <c r="F63" s="310">
        <v>0</v>
      </c>
      <c r="G63" s="255">
        <v>0</v>
      </c>
      <c r="H63" s="34">
        <f>SUM(F63:G63)</f>
        <v>0</v>
      </c>
    </row>
    <row r="64" spans="1:8" ht="14.95" thickBot="1" x14ac:dyDescent="0.3">
      <c r="A64" s="372" t="s">
        <v>118</v>
      </c>
      <c r="B64" s="308">
        <v>0</v>
      </c>
      <c r="C64" s="257">
        <v>0</v>
      </c>
      <c r="D64" s="128">
        <f>SUM(B64:C64)</f>
        <v>0</v>
      </c>
      <c r="E64" s="32" t="s">
        <v>937</v>
      </c>
      <c r="F64" s="310">
        <v>0</v>
      </c>
      <c r="G64" s="255">
        <v>0</v>
      </c>
      <c r="H64" s="34">
        <f>SUM(F64:G64)</f>
        <v>0</v>
      </c>
    </row>
    <row r="65" spans="1:8" ht="14.95" thickBot="1" x14ac:dyDescent="0.3">
      <c r="A65" s="372" t="s">
        <v>649</v>
      </c>
      <c r="B65" s="308">
        <v>0</v>
      </c>
      <c r="C65" s="257">
        <v>0</v>
      </c>
      <c r="D65" s="128">
        <f>SUM(B65:C65)</f>
        <v>0</v>
      </c>
      <c r="E65" s="32" t="s">
        <v>296</v>
      </c>
      <c r="F65" s="310">
        <v>0</v>
      </c>
      <c r="G65" s="255">
        <v>0</v>
      </c>
      <c r="H65" s="34">
        <f>SUM(F65:G65)</f>
        <v>0</v>
      </c>
    </row>
    <row r="66" spans="1:8" ht="14.95" thickBot="1" x14ac:dyDescent="0.3">
      <c r="A66" s="372" t="s">
        <v>908</v>
      </c>
      <c r="B66" s="308">
        <v>0</v>
      </c>
      <c r="C66" s="257">
        <v>0</v>
      </c>
      <c r="D66" s="128">
        <f>SUM(B66:C66)</f>
        <v>0</v>
      </c>
      <c r="E66" s="32" t="s">
        <v>118</v>
      </c>
      <c r="F66" s="310">
        <v>0</v>
      </c>
      <c r="G66" s="255">
        <v>0</v>
      </c>
      <c r="H66" s="34">
        <f>SUM(F66:G66)</f>
        <v>0</v>
      </c>
    </row>
    <row r="67" spans="1:8" ht="14.95" thickBot="1" x14ac:dyDescent="0.3">
      <c r="A67" s="372" t="s">
        <v>5</v>
      </c>
      <c r="B67" s="308">
        <v>0</v>
      </c>
      <c r="C67" s="257">
        <v>0</v>
      </c>
      <c r="D67" s="128">
        <f>SUM(B67:C67)</f>
        <v>0</v>
      </c>
      <c r="E67" s="32" t="s">
        <v>649</v>
      </c>
      <c r="F67" s="310">
        <v>0</v>
      </c>
      <c r="G67" s="255">
        <v>0</v>
      </c>
      <c r="H67" s="34">
        <f>SUM(F67:G67)</f>
        <v>0</v>
      </c>
    </row>
    <row r="68" spans="1:8" ht="14.95" thickBot="1" x14ac:dyDescent="0.3">
      <c r="A68" s="372" t="s">
        <v>906</v>
      </c>
      <c r="B68" s="308">
        <v>0</v>
      </c>
      <c r="C68" s="257">
        <v>0</v>
      </c>
      <c r="D68" s="128">
        <f>SUM(B68:C68)</f>
        <v>0</v>
      </c>
      <c r="E68" s="32" t="s">
        <v>908</v>
      </c>
      <c r="F68" s="310">
        <v>0</v>
      </c>
      <c r="G68" s="255">
        <v>0</v>
      </c>
      <c r="H68" s="34">
        <f>SUM(F68:G68)</f>
        <v>0</v>
      </c>
    </row>
    <row r="69" spans="1:8" ht="14.95" thickBot="1" x14ac:dyDescent="0.3">
      <c r="A69" s="372" t="s">
        <v>324</v>
      </c>
      <c r="B69" s="308">
        <v>0</v>
      </c>
      <c r="C69" s="257">
        <v>0</v>
      </c>
      <c r="D69" s="128">
        <f>SUM(B69:C69)</f>
        <v>0</v>
      </c>
      <c r="E69" s="32" t="s">
        <v>906</v>
      </c>
      <c r="F69" s="310">
        <v>0</v>
      </c>
      <c r="G69" s="255">
        <v>0</v>
      </c>
      <c r="H69" s="34">
        <f>SUM(F69:G69)</f>
        <v>0</v>
      </c>
    </row>
    <row r="70" spans="1:8" ht="14.95" thickBot="1" x14ac:dyDescent="0.3">
      <c r="A70" s="372" t="s">
        <v>6</v>
      </c>
      <c r="B70" s="308">
        <v>0</v>
      </c>
      <c r="C70" s="257">
        <v>0</v>
      </c>
      <c r="D70" s="128">
        <f>SUM(B70:C70)</f>
        <v>0</v>
      </c>
      <c r="E70" s="32" t="s">
        <v>324</v>
      </c>
      <c r="F70" s="310">
        <v>0</v>
      </c>
      <c r="G70" s="255">
        <v>0</v>
      </c>
      <c r="H70" s="34">
        <f>SUM(F70:G70)</f>
        <v>0</v>
      </c>
    </row>
    <row r="71" spans="1:8" ht="14.95" thickBot="1" x14ac:dyDescent="0.3">
      <c r="A71" s="372" t="s">
        <v>1228</v>
      </c>
      <c r="B71" s="308">
        <v>0</v>
      </c>
      <c r="C71" s="257">
        <v>0</v>
      </c>
      <c r="D71" s="128">
        <f>SUM(B71:C71)</f>
        <v>0</v>
      </c>
      <c r="E71" s="32" t="s">
        <v>6</v>
      </c>
      <c r="F71" s="310">
        <v>0</v>
      </c>
      <c r="G71" s="255">
        <v>0</v>
      </c>
      <c r="H71" s="34">
        <f>SUM(F71:G71)</f>
        <v>0</v>
      </c>
    </row>
    <row r="72" spans="1:8" ht="14.95" thickBot="1" x14ac:dyDescent="0.3">
      <c r="A72" s="372" t="s">
        <v>210</v>
      </c>
      <c r="B72" s="308">
        <v>0</v>
      </c>
      <c r="C72" s="257">
        <v>0</v>
      </c>
      <c r="D72" s="128">
        <f>SUM(B72:C72)</f>
        <v>0</v>
      </c>
      <c r="E72" s="32" t="s">
        <v>1228</v>
      </c>
      <c r="F72" s="310">
        <v>0</v>
      </c>
      <c r="G72" s="255">
        <v>0</v>
      </c>
      <c r="H72" s="34">
        <f>SUM(F72:G72)</f>
        <v>0</v>
      </c>
    </row>
    <row r="73" spans="1:8" ht="14.95" thickBot="1" x14ac:dyDescent="0.3">
      <c r="A73" s="372" t="s">
        <v>1311</v>
      </c>
      <c r="B73" s="308">
        <v>0</v>
      </c>
      <c r="C73" s="257">
        <v>0</v>
      </c>
      <c r="D73" s="128">
        <f>SUM(B73:C73)</f>
        <v>0</v>
      </c>
      <c r="E73" s="32" t="s">
        <v>210</v>
      </c>
      <c r="F73" s="310">
        <v>0</v>
      </c>
      <c r="G73" s="255">
        <v>0</v>
      </c>
      <c r="H73" s="34">
        <f>SUM(F73:G73)</f>
        <v>0</v>
      </c>
    </row>
    <row r="74" spans="1:8" ht="14.95" thickBot="1" x14ac:dyDescent="0.3">
      <c r="A74" s="372" t="s">
        <v>586</v>
      </c>
      <c r="B74" s="308">
        <v>0</v>
      </c>
      <c r="C74" s="257">
        <v>0</v>
      </c>
      <c r="D74" s="128">
        <f>SUM(B74:C74)</f>
        <v>0</v>
      </c>
      <c r="E74" s="32" t="s">
        <v>1311</v>
      </c>
      <c r="F74" s="310">
        <v>0</v>
      </c>
      <c r="G74" s="255">
        <v>0</v>
      </c>
      <c r="H74" s="34">
        <f>SUM(F74:G74)</f>
        <v>0</v>
      </c>
    </row>
    <row r="75" spans="1:8" ht="14.95" thickBot="1" x14ac:dyDescent="0.3">
      <c r="A75" s="372" t="s">
        <v>651</v>
      </c>
      <c r="B75" s="308">
        <v>0</v>
      </c>
      <c r="C75" s="257">
        <v>0</v>
      </c>
      <c r="D75" s="128">
        <f>SUM(B75:C75)</f>
        <v>0</v>
      </c>
      <c r="E75" s="32" t="s">
        <v>586</v>
      </c>
      <c r="F75" s="310">
        <v>0</v>
      </c>
      <c r="G75" s="255">
        <v>0</v>
      </c>
      <c r="H75" s="34">
        <f>SUM(F75:G75)</f>
        <v>0</v>
      </c>
    </row>
    <row r="76" spans="1:8" ht="14.95" thickBot="1" x14ac:dyDescent="0.3">
      <c r="A76" s="372" t="s">
        <v>740</v>
      </c>
      <c r="B76" s="308">
        <v>0</v>
      </c>
      <c r="C76" s="257">
        <v>0</v>
      </c>
      <c r="D76" s="128">
        <f>SUM(B76:C76)</f>
        <v>0</v>
      </c>
      <c r="E76" s="32" t="s">
        <v>651</v>
      </c>
      <c r="F76" s="310">
        <v>0</v>
      </c>
      <c r="G76" s="255">
        <v>0</v>
      </c>
      <c r="H76" s="34">
        <f>SUM(F76:G76)</f>
        <v>0</v>
      </c>
    </row>
    <row r="77" spans="1:8" ht="14.95" thickBot="1" x14ac:dyDescent="0.3">
      <c r="A77" s="372" t="s">
        <v>1171</v>
      </c>
      <c r="B77" s="308">
        <v>0</v>
      </c>
      <c r="C77" s="257">
        <v>0</v>
      </c>
      <c r="D77" s="128">
        <f>SUM(B77:C77)</f>
        <v>0</v>
      </c>
      <c r="E77" s="32" t="s">
        <v>740</v>
      </c>
      <c r="F77" s="310">
        <v>0</v>
      </c>
      <c r="G77" s="255">
        <v>0</v>
      </c>
      <c r="H77" s="34">
        <f>SUM(F77:G77)</f>
        <v>0</v>
      </c>
    </row>
    <row r="78" spans="1:8" ht="14.95" thickBot="1" x14ac:dyDescent="0.3">
      <c r="A78" s="372" t="s">
        <v>1313</v>
      </c>
      <c r="B78" s="308">
        <v>0</v>
      </c>
      <c r="C78" s="257">
        <v>0</v>
      </c>
      <c r="D78" s="128">
        <f>SUM(B78:C78)</f>
        <v>0</v>
      </c>
      <c r="E78" s="32" t="s">
        <v>1171</v>
      </c>
      <c r="F78" s="310">
        <v>0</v>
      </c>
      <c r="G78" s="255">
        <v>0</v>
      </c>
      <c r="H78" s="34">
        <f>SUM(F78:G78)</f>
        <v>0</v>
      </c>
    </row>
    <row r="79" spans="1:8" ht="14.95" thickBot="1" x14ac:dyDescent="0.3">
      <c r="A79" s="372" t="s">
        <v>1315</v>
      </c>
      <c r="B79" s="308">
        <v>0</v>
      </c>
      <c r="C79" s="257">
        <v>0</v>
      </c>
      <c r="D79" s="128">
        <f>SUM(B79:C79)</f>
        <v>0</v>
      </c>
      <c r="E79" s="32" t="s">
        <v>1313</v>
      </c>
      <c r="F79" s="310">
        <v>0</v>
      </c>
      <c r="G79" s="255">
        <v>0</v>
      </c>
      <c r="H79" s="34">
        <f>SUM(F79:G79)</f>
        <v>0</v>
      </c>
    </row>
    <row r="80" spans="1:8" ht="14.95" thickBot="1" x14ac:dyDescent="0.3">
      <c r="A80" s="372" t="s">
        <v>1436</v>
      </c>
      <c r="B80" s="308">
        <v>0</v>
      </c>
      <c r="C80" s="257">
        <v>0</v>
      </c>
      <c r="D80" s="128">
        <f>SUM(B80:C80)</f>
        <v>0</v>
      </c>
      <c r="E80" s="32" t="s">
        <v>1315</v>
      </c>
      <c r="F80" s="310">
        <v>0</v>
      </c>
      <c r="G80" s="255">
        <v>0</v>
      </c>
      <c r="H80" s="34">
        <f>SUM(F80:G80)</f>
        <v>0</v>
      </c>
    </row>
    <row r="81" spans="1:8" ht="14.95" thickBot="1" x14ac:dyDescent="0.3">
      <c r="A81" s="372" t="s">
        <v>1227</v>
      </c>
      <c r="B81" s="308">
        <v>0</v>
      </c>
      <c r="C81" s="257">
        <v>0</v>
      </c>
      <c r="D81" s="128">
        <f>SUM(B81:C81)</f>
        <v>0</v>
      </c>
      <c r="E81" s="32" t="s">
        <v>1437</v>
      </c>
      <c r="F81" s="310">
        <v>0</v>
      </c>
      <c r="G81" s="255">
        <v>0</v>
      </c>
      <c r="H81" s="34">
        <f>SUM(F81:G81)</f>
        <v>0</v>
      </c>
    </row>
    <row r="82" spans="1:8" ht="14.95" thickBot="1" x14ac:dyDescent="0.3">
      <c r="A82" s="372" t="s">
        <v>941</v>
      </c>
      <c r="B82" s="308">
        <v>0</v>
      </c>
      <c r="C82" s="257">
        <v>0</v>
      </c>
      <c r="D82" s="128">
        <f>SUM(B82:C82)</f>
        <v>0</v>
      </c>
      <c r="E82" s="32" t="s">
        <v>1227</v>
      </c>
      <c r="F82" s="310">
        <v>0</v>
      </c>
      <c r="G82" s="255">
        <v>0</v>
      </c>
      <c r="H82" s="34">
        <f>SUM(F82:G82)</f>
        <v>0</v>
      </c>
    </row>
    <row r="83" spans="1:8" ht="14.95" thickBot="1" x14ac:dyDescent="0.3">
      <c r="A83" s="372" t="s">
        <v>652</v>
      </c>
      <c r="B83" s="308">
        <v>0</v>
      </c>
      <c r="C83" s="257">
        <v>0</v>
      </c>
      <c r="D83" s="128">
        <f>SUM(B83:C83)</f>
        <v>0</v>
      </c>
      <c r="E83" s="32" t="s">
        <v>941</v>
      </c>
      <c r="F83" s="310">
        <v>0</v>
      </c>
      <c r="G83" s="255">
        <v>0</v>
      </c>
      <c r="H83" s="34">
        <f>SUM(F83:G83)</f>
        <v>0</v>
      </c>
    </row>
    <row r="84" spans="1:8" ht="14.95" thickBot="1" x14ac:dyDescent="0.3">
      <c r="A84" s="372" t="s">
        <v>18</v>
      </c>
      <c r="B84" s="308">
        <v>0</v>
      </c>
      <c r="C84" s="257">
        <v>0</v>
      </c>
      <c r="D84" s="128">
        <f>SUM(B84:C84)</f>
        <v>0</v>
      </c>
      <c r="E84" s="32" t="s">
        <v>652</v>
      </c>
      <c r="F84" s="310">
        <v>0</v>
      </c>
      <c r="G84" s="255">
        <v>0</v>
      </c>
      <c r="H84" s="34">
        <f>SUM(F84:G84)</f>
        <v>0</v>
      </c>
    </row>
    <row r="85" spans="1:8" ht="14.95" thickBot="1" x14ac:dyDescent="0.3">
      <c r="A85" s="372" t="s">
        <v>1108</v>
      </c>
      <c r="B85" s="308">
        <v>0</v>
      </c>
      <c r="C85" s="257">
        <v>0</v>
      </c>
      <c r="D85" s="128">
        <f>SUM(B85:C85)</f>
        <v>0</v>
      </c>
      <c r="E85" s="32" t="s">
        <v>18</v>
      </c>
      <c r="F85" s="310">
        <v>0</v>
      </c>
      <c r="G85" s="255">
        <v>0</v>
      </c>
      <c r="H85" s="34">
        <f>SUM(F85:G85)</f>
        <v>0</v>
      </c>
    </row>
    <row r="86" spans="1:8" ht="14.95" thickBot="1" x14ac:dyDescent="0.3">
      <c r="A86" s="372" t="s">
        <v>910</v>
      </c>
      <c r="B86" s="308">
        <v>0</v>
      </c>
      <c r="C86" s="257">
        <v>0</v>
      </c>
      <c r="D86" s="128">
        <f>SUM(B86:C86)</f>
        <v>0</v>
      </c>
      <c r="E86" s="32" t="s">
        <v>1108</v>
      </c>
      <c r="F86" s="310">
        <v>0</v>
      </c>
      <c r="G86" s="255">
        <v>0</v>
      </c>
      <c r="H86" s="34">
        <f>SUM(F86:G86)</f>
        <v>0</v>
      </c>
    </row>
    <row r="87" spans="1:8" ht="14.95" thickBot="1" x14ac:dyDescent="0.3">
      <c r="A87" s="372" t="s">
        <v>400</v>
      </c>
      <c r="B87" s="308">
        <v>0</v>
      </c>
      <c r="C87" s="257">
        <v>0</v>
      </c>
      <c r="D87" s="128">
        <f>SUM(B87:C87)</f>
        <v>0</v>
      </c>
      <c r="E87" s="32" t="s">
        <v>400</v>
      </c>
      <c r="F87" s="310">
        <v>0</v>
      </c>
      <c r="G87" s="255">
        <v>0</v>
      </c>
      <c r="H87" s="34">
        <f>SUM(F87:G87)</f>
        <v>0</v>
      </c>
    </row>
    <row r="88" spans="1:8" ht="14.95" thickBot="1" x14ac:dyDescent="0.3">
      <c r="A88" s="372" t="s">
        <v>459</v>
      </c>
      <c r="B88" s="308">
        <v>0</v>
      </c>
      <c r="C88" s="257">
        <v>0</v>
      </c>
      <c r="D88" s="128">
        <f>SUM(B88:C88)</f>
        <v>0</v>
      </c>
      <c r="E88" s="32" t="s">
        <v>459</v>
      </c>
      <c r="F88" s="310">
        <v>0</v>
      </c>
      <c r="G88" s="255">
        <v>0</v>
      </c>
      <c r="H88" s="34">
        <f>SUM(F88:G88)</f>
        <v>0</v>
      </c>
    </row>
    <row r="89" spans="1:8" ht="14.95" thickBot="1" x14ac:dyDescent="0.3">
      <c r="A89" s="372" t="s">
        <v>579</v>
      </c>
      <c r="B89" s="308">
        <v>0</v>
      </c>
      <c r="C89" s="257">
        <v>0</v>
      </c>
      <c r="D89" s="128">
        <f>SUM(B89:C89)</f>
        <v>0</v>
      </c>
      <c r="E89" s="32" t="s">
        <v>579</v>
      </c>
      <c r="F89" s="310">
        <v>0</v>
      </c>
      <c r="G89" s="255">
        <v>0</v>
      </c>
      <c r="H89" s="34">
        <f>SUM(F89:G89)</f>
        <v>0</v>
      </c>
    </row>
    <row r="90" spans="1:8" ht="14.3" customHeight="1" thickBot="1" x14ac:dyDescent="0.3">
      <c r="A90" s="372" t="s">
        <v>1274</v>
      </c>
      <c r="B90" s="308">
        <v>0</v>
      </c>
      <c r="C90" s="257">
        <v>0</v>
      </c>
      <c r="D90" s="128">
        <f>SUM(B90:C90)</f>
        <v>0</v>
      </c>
      <c r="E90" s="32" t="s">
        <v>1274</v>
      </c>
      <c r="F90" s="310">
        <v>0</v>
      </c>
      <c r="G90" s="255">
        <v>0</v>
      </c>
      <c r="H90" s="34">
        <f>SUM(F90:G90)</f>
        <v>0</v>
      </c>
    </row>
    <row r="91" spans="1:8" ht="14.95" thickBot="1" x14ac:dyDescent="0.3">
      <c r="A91" s="372" t="s">
        <v>3</v>
      </c>
      <c r="B91" s="308">
        <f>SUM(B49:B90)</f>
        <v>0</v>
      </c>
      <c r="C91" s="257">
        <f>SUM(C49:C90)</f>
        <v>14</v>
      </c>
      <c r="D91" s="128">
        <f>SUM(D49:D90)</f>
        <v>14</v>
      </c>
      <c r="E91" s="108" t="s">
        <v>3</v>
      </c>
      <c r="F91" s="311">
        <f>SUM(F49:F90)</f>
        <v>0</v>
      </c>
      <c r="G91" s="254">
        <f>SUM(G49:G90)</f>
        <v>107</v>
      </c>
      <c r="H91" s="87">
        <f>SUM(H49:H90)</f>
        <v>107</v>
      </c>
    </row>
    <row r="92" spans="1:8" ht="16.3" x14ac:dyDescent="0.3">
      <c r="A92" s="487" t="s">
        <v>28</v>
      </c>
    </row>
  </sheetData>
  <sortState xmlns:xlrd2="http://schemas.microsoft.com/office/spreadsheetml/2017/richdata2" ref="E49:H90">
    <sortCondition descending="1" ref="H49:H90"/>
  </sortState>
  <mergeCells count="34">
    <mergeCell ref="AL1:AN2"/>
    <mergeCell ref="AL11:AN12"/>
    <mergeCell ref="Q1:S2"/>
    <mergeCell ref="AF1:AH2"/>
    <mergeCell ref="AF11:AH12"/>
    <mergeCell ref="V11:V12"/>
    <mergeCell ref="AI1:AK2"/>
    <mergeCell ref="AC1:AE2"/>
    <mergeCell ref="Z1:AB2"/>
    <mergeCell ref="Z11:AB12"/>
    <mergeCell ref="A1:H1"/>
    <mergeCell ref="I1:I2"/>
    <mergeCell ref="AX11:AZ12"/>
    <mergeCell ref="AU11:AW12"/>
    <mergeCell ref="I11:I12"/>
    <mergeCell ref="S11:U12"/>
    <mergeCell ref="AR11:AT12"/>
    <mergeCell ref="AI11:AK12"/>
    <mergeCell ref="J11:L12"/>
    <mergeCell ref="AC11:AE12"/>
    <mergeCell ref="AR1:AT2"/>
    <mergeCell ref="AU1:AW2"/>
    <mergeCell ref="AO1:AQ2"/>
    <mergeCell ref="AO11:AQ12"/>
    <mergeCell ref="J1:L2"/>
    <mergeCell ref="T1:V2"/>
    <mergeCell ref="P1:P2"/>
    <mergeCell ref="M1:O2"/>
    <mergeCell ref="P19:R20"/>
    <mergeCell ref="I19:I20"/>
    <mergeCell ref="M11:O12"/>
    <mergeCell ref="M19:O20"/>
    <mergeCell ref="J19:L20"/>
    <mergeCell ref="P11:R12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P92"/>
  <sheetViews>
    <sheetView zoomScaleNormal="100" workbookViewId="0">
      <selection activeCell="W16" sqref="W16"/>
    </sheetView>
  </sheetViews>
  <sheetFormatPr defaultRowHeight="14.3" x14ac:dyDescent="0.25"/>
  <cols>
    <col min="1" max="1" width="16.5" customWidth="1"/>
    <col min="2" max="4" width="4.5" customWidth="1"/>
    <col min="5" max="5" width="16.5" customWidth="1"/>
    <col min="6" max="8" width="4.5" customWidth="1"/>
    <col min="9" max="9" width="16.5" bestFit="1" customWidth="1"/>
    <col min="10" max="23" width="5.5" customWidth="1"/>
    <col min="24" max="42" width="5.625" customWidth="1"/>
  </cols>
  <sheetData>
    <row r="1" spans="1:42" ht="16" customHeight="1" thickBot="1" x14ac:dyDescent="0.3">
      <c r="A1" s="669" t="s">
        <v>1158</v>
      </c>
      <c r="B1" s="670"/>
      <c r="C1" s="671"/>
      <c r="D1" s="671"/>
      <c r="E1" s="671"/>
      <c r="F1" s="671"/>
      <c r="G1" s="671"/>
      <c r="H1" s="672"/>
      <c r="I1" s="654" t="s">
        <v>112</v>
      </c>
      <c r="J1" s="583">
        <v>2025</v>
      </c>
      <c r="K1" s="584"/>
      <c r="L1" s="585"/>
      <c r="M1" s="583" t="s">
        <v>32</v>
      </c>
      <c r="N1" s="584"/>
      <c r="O1" s="585"/>
      <c r="P1" s="579" t="s">
        <v>121</v>
      </c>
      <c r="Q1" s="568">
        <v>2024</v>
      </c>
      <c r="R1" s="569"/>
      <c r="S1" s="570"/>
      <c r="T1" s="568">
        <v>2023</v>
      </c>
      <c r="U1" s="569"/>
      <c r="V1" s="570"/>
      <c r="W1" s="235"/>
      <c r="X1" s="125"/>
      <c r="Y1" s="557">
        <v>2022</v>
      </c>
      <c r="Z1" s="563"/>
      <c r="AA1" s="564"/>
      <c r="AB1" s="568">
        <v>2021</v>
      </c>
      <c r="AC1" s="569"/>
      <c r="AD1" s="570"/>
      <c r="AE1" s="568">
        <v>2020</v>
      </c>
      <c r="AF1" s="569"/>
      <c r="AG1" s="570"/>
      <c r="AH1" s="557">
        <v>2019</v>
      </c>
      <c r="AI1" s="563"/>
      <c r="AJ1" s="564"/>
      <c r="AK1" s="568">
        <v>2018</v>
      </c>
      <c r="AL1" s="569"/>
      <c r="AM1" s="570"/>
      <c r="AN1" s="568">
        <v>2017</v>
      </c>
      <c r="AO1" s="569"/>
      <c r="AP1" s="570"/>
    </row>
    <row r="2" spans="1:42" ht="14.95" customHeight="1" thickBot="1" x14ac:dyDescent="0.3">
      <c r="A2" s="190" t="s">
        <v>0</v>
      </c>
      <c r="B2" s="191" t="s">
        <v>936</v>
      </c>
      <c r="C2" s="420" t="s">
        <v>31</v>
      </c>
      <c r="D2" s="192" t="s">
        <v>1</v>
      </c>
      <c r="E2" s="175" t="s">
        <v>2</v>
      </c>
      <c r="F2" s="177" t="s">
        <v>936</v>
      </c>
      <c r="G2" s="422" t="s">
        <v>31</v>
      </c>
      <c r="H2" s="178" t="s">
        <v>1</v>
      </c>
      <c r="I2" s="655"/>
      <c r="J2" s="586"/>
      <c r="K2" s="587"/>
      <c r="L2" s="588"/>
      <c r="M2" s="586"/>
      <c r="N2" s="587"/>
      <c r="O2" s="588"/>
      <c r="P2" s="580"/>
      <c r="Q2" s="571"/>
      <c r="R2" s="572"/>
      <c r="S2" s="573"/>
      <c r="T2" s="571"/>
      <c r="U2" s="572"/>
      <c r="V2" s="573"/>
      <c r="W2" s="235"/>
      <c r="X2" s="121"/>
      <c r="Y2" s="565"/>
      <c r="Z2" s="566"/>
      <c r="AA2" s="567"/>
      <c r="AB2" s="571"/>
      <c r="AC2" s="572"/>
      <c r="AD2" s="573"/>
      <c r="AE2" s="571"/>
      <c r="AF2" s="572"/>
      <c r="AG2" s="573"/>
      <c r="AH2" s="565"/>
      <c r="AI2" s="566"/>
      <c r="AJ2" s="567"/>
      <c r="AK2" s="571"/>
      <c r="AL2" s="572"/>
      <c r="AM2" s="573"/>
      <c r="AN2" s="571"/>
      <c r="AO2" s="572"/>
      <c r="AP2" s="573"/>
    </row>
    <row r="3" spans="1:42" ht="14.95" customHeight="1" thickBot="1" x14ac:dyDescent="0.3">
      <c r="A3" s="83" t="s">
        <v>1012</v>
      </c>
      <c r="B3" s="193">
        <v>0</v>
      </c>
      <c r="C3" s="421">
        <v>0</v>
      </c>
      <c r="D3" s="84">
        <f t="shared" ref="D3:D44" si="0">SUM(B3:C3)</f>
        <v>0</v>
      </c>
      <c r="E3" s="25" t="s">
        <v>1012</v>
      </c>
      <c r="F3" s="29">
        <v>0</v>
      </c>
      <c r="G3" s="423">
        <v>16</v>
      </c>
      <c r="H3" s="27">
        <f t="shared" ref="H3" si="1">SUM(F3:G3)</f>
        <v>16</v>
      </c>
      <c r="I3" s="4"/>
      <c r="J3" s="183" t="s">
        <v>152</v>
      </c>
      <c r="K3" s="1" t="s">
        <v>12</v>
      </c>
      <c r="L3" s="1" t="s">
        <v>13</v>
      </c>
      <c r="M3" s="183" t="s">
        <v>152</v>
      </c>
      <c r="N3" s="1" t="s">
        <v>12</v>
      </c>
      <c r="O3" s="1" t="s">
        <v>13</v>
      </c>
      <c r="P3" s="1"/>
      <c r="Q3" s="242" t="s">
        <v>152</v>
      </c>
      <c r="R3" s="128" t="s">
        <v>12</v>
      </c>
      <c r="S3" s="128" t="s">
        <v>13</v>
      </c>
      <c r="T3" s="242" t="s">
        <v>152</v>
      </c>
      <c r="U3" s="128" t="s">
        <v>12</v>
      </c>
      <c r="V3" s="128" t="s">
        <v>13</v>
      </c>
      <c r="W3" s="346"/>
      <c r="X3" s="121"/>
      <c r="Y3" s="273" t="s">
        <v>152</v>
      </c>
      <c r="Z3" s="119" t="s">
        <v>12</v>
      </c>
      <c r="AA3" s="119" t="s">
        <v>13</v>
      </c>
      <c r="AB3" s="274" t="s">
        <v>152</v>
      </c>
      <c r="AC3" s="128" t="s">
        <v>12</v>
      </c>
      <c r="AD3" s="128" t="s">
        <v>13</v>
      </c>
      <c r="AE3" s="274" t="s">
        <v>152</v>
      </c>
      <c r="AF3" s="128" t="s">
        <v>12</v>
      </c>
      <c r="AG3" s="128" t="s">
        <v>13</v>
      </c>
      <c r="AH3" s="273" t="s">
        <v>152</v>
      </c>
      <c r="AI3" s="119" t="s">
        <v>12</v>
      </c>
      <c r="AJ3" s="119" t="s">
        <v>13</v>
      </c>
      <c r="AK3" s="274" t="s">
        <v>152</v>
      </c>
      <c r="AL3" s="128" t="s">
        <v>12</v>
      </c>
      <c r="AM3" s="128" t="s">
        <v>13</v>
      </c>
      <c r="AN3" s="242" t="s">
        <v>152</v>
      </c>
      <c r="AO3" s="128" t="s">
        <v>12</v>
      </c>
      <c r="AP3" s="128" t="s">
        <v>13</v>
      </c>
    </row>
    <row r="4" spans="1:42" ht="14.95" customHeight="1" thickBot="1" x14ac:dyDescent="0.3">
      <c r="A4" s="83" t="s">
        <v>1063</v>
      </c>
      <c r="B4" s="424">
        <v>0</v>
      </c>
      <c r="C4" s="421">
        <v>0</v>
      </c>
      <c r="D4" s="84">
        <f t="shared" si="0"/>
        <v>0</v>
      </c>
      <c r="E4" s="26" t="s">
        <v>1063</v>
      </c>
      <c r="F4" s="306">
        <v>0</v>
      </c>
      <c r="G4" s="423">
        <v>0</v>
      </c>
      <c r="H4" s="27">
        <f t="shared" ref="H4:H44" si="2">SUM(F4:G4)</f>
        <v>0</v>
      </c>
      <c r="I4" s="349" t="s">
        <v>1395</v>
      </c>
      <c r="J4" s="84">
        <v>7</v>
      </c>
      <c r="K4" s="84">
        <v>7</v>
      </c>
      <c r="L4" s="85">
        <f>SUM(J4/K4)*100</f>
        <v>100</v>
      </c>
      <c r="M4" s="84">
        <v>7</v>
      </c>
      <c r="N4" s="84">
        <v>7</v>
      </c>
      <c r="O4" s="85">
        <f>SUM(M4/N4)*100</f>
        <v>100</v>
      </c>
      <c r="P4" s="84">
        <v>8</v>
      </c>
      <c r="Q4" s="128">
        <v>2</v>
      </c>
      <c r="R4" s="128">
        <v>4</v>
      </c>
      <c r="S4" s="128">
        <f>SUM(Q4/R4)*100</f>
        <v>50</v>
      </c>
      <c r="T4" s="128" t="s">
        <v>17</v>
      </c>
      <c r="U4" s="128" t="s">
        <v>17</v>
      </c>
      <c r="V4" s="231" t="s">
        <v>17</v>
      </c>
      <c r="W4" s="347"/>
      <c r="X4" s="121"/>
      <c r="Y4" s="228" t="s">
        <v>17</v>
      </c>
      <c r="Z4" s="128" t="s">
        <v>17</v>
      </c>
      <c r="AA4" s="231" t="s">
        <v>17</v>
      </c>
      <c r="AB4" s="232" t="s">
        <v>17</v>
      </c>
      <c r="AC4" s="128" t="s">
        <v>17</v>
      </c>
      <c r="AD4" s="231" t="s">
        <v>17</v>
      </c>
      <c r="AE4" s="232" t="s">
        <v>17</v>
      </c>
      <c r="AF4" s="128" t="s">
        <v>17</v>
      </c>
      <c r="AG4" s="231" t="s">
        <v>17</v>
      </c>
      <c r="AH4" s="128" t="s">
        <v>17</v>
      </c>
      <c r="AI4" s="128" t="s">
        <v>17</v>
      </c>
      <c r="AJ4" s="231" t="s">
        <v>17</v>
      </c>
      <c r="AK4" s="128" t="s">
        <v>17</v>
      </c>
      <c r="AL4" s="128" t="s">
        <v>17</v>
      </c>
      <c r="AM4" s="231" t="s">
        <v>17</v>
      </c>
      <c r="AN4" s="128" t="s">
        <v>17</v>
      </c>
      <c r="AO4" s="128" t="s">
        <v>17</v>
      </c>
      <c r="AP4" s="231" t="s">
        <v>17</v>
      </c>
    </row>
    <row r="5" spans="1:42" ht="14.95" customHeight="1" thickBot="1" x14ac:dyDescent="0.3">
      <c r="A5" s="83" t="s">
        <v>544</v>
      </c>
      <c r="B5" s="424">
        <v>0</v>
      </c>
      <c r="C5" s="421">
        <v>0</v>
      </c>
      <c r="D5" s="84">
        <f t="shared" si="0"/>
        <v>0</v>
      </c>
      <c r="E5" s="26" t="s">
        <v>544</v>
      </c>
      <c r="F5" s="306">
        <v>0</v>
      </c>
      <c r="G5" s="423">
        <v>0</v>
      </c>
      <c r="H5" s="27">
        <f t="shared" si="2"/>
        <v>0</v>
      </c>
      <c r="I5" s="83" t="s">
        <v>544</v>
      </c>
      <c r="J5" s="84" t="s">
        <v>17</v>
      </c>
      <c r="K5" s="84" t="s">
        <v>17</v>
      </c>
      <c r="L5" s="85" t="s">
        <v>17</v>
      </c>
      <c r="M5" s="84" t="s">
        <v>17</v>
      </c>
      <c r="N5" s="84" t="s">
        <v>17</v>
      </c>
      <c r="O5" s="85" t="s">
        <v>17</v>
      </c>
      <c r="P5" s="84">
        <v>-1</v>
      </c>
      <c r="Q5" s="128">
        <v>2</v>
      </c>
      <c r="R5" s="128">
        <v>5</v>
      </c>
      <c r="S5" s="231">
        <f>SUM(Q5/R5)*100</f>
        <v>40</v>
      </c>
      <c r="T5" s="128" t="s">
        <v>17</v>
      </c>
      <c r="U5" s="128" t="s">
        <v>17</v>
      </c>
      <c r="V5" s="231" t="s">
        <v>17</v>
      </c>
      <c r="W5" s="347"/>
      <c r="X5" s="121"/>
      <c r="Y5" s="228">
        <v>1</v>
      </c>
      <c r="Z5" s="128">
        <v>1</v>
      </c>
      <c r="AA5" s="231">
        <v>100</v>
      </c>
      <c r="AB5" s="228" t="s">
        <v>17</v>
      </c>
      <c r="AC5" s="128" t="s">
        <v>17</v>
      </c>
      <c r="AD5" s="231" t="s">
        <v>17</v>
      </c>
      <c r="AE5" s="228" t="s">
        <v>17</v>
      </c>
      <c r="AF5" s="128" t="s">
        <v>17</v>
      </c>
      <c r="AG5" s="231" t="s">
        <v>17</v>
      </c>
      <c r="AH5" s="228" t="s">
        <v>17</v>
      </c>
      <c r="AI5" s="128" t="s">
        <v>17</v>
      </c>
      <c r="AJ5" s="231" t="s">
        <v>17</v>
      </c>
      <c r="AK5" s="228" t="s">
        <v>17</v>
      </c>
      <c r="AL5" s="128" t="s">
        <v>17</v>
      </c>
      <c r="AM5" s="128" t="s">
        <v>17</v>
      </c>
      <c r="AN5" s="128" t="s">
        <v>17</v>
      </c>
      <c r="AO5" s="128" t="s">
        <v>17</v>
      </c>
      <c r="AP5" s="128" t="s">
        <v>17</v>
      </c>
    </row>
    <row r="6" spans="1:42" ht="14.95" customHeight="1" thickBot="1" x14ac:dyDescent="0.3">
      <c r="A6" s="83" t="s">
        <v>1078</v>
      </c>
      <c r="B6" s="424">
        <v>0</v>
      </c>
      <c r="C6" s="421">
        <v>1</v>
      </c>
      <c r="D6" s="84">
        <f t="shared" si="0"/>
        <v>1</v>
      </c>
      <c r="E6" s="26" t="s">
        <v>1078</v>
      </c>
      <c r="F6" s="306">
        <v>0</v>
      </c>
      <c r="G6" s="423">
        <v>5</v>
      </c>
      <c r="H6" s="27">
        <f t="shared" si="2"/>
        <v>5</v>
      </c>
      <c r="I6" s="83" t="s">
        <v>560</v>
      </c>
      <c r="J6" s="84">
        <v>3</v>
      </c>
      <c r="K6" s="84">
        <v>4</v>
      </c>
      <c r="L6" s="85">
        <f>SUM(J6/K6)*100</f>
        <v>75</v>
      </c>
      <c r="M6" s="84" t="s">
        <v>17</v>
      </c>
      <c r="N6" s="84" t="s">
        <v>17</v>
      </c>
      <c r="O6" s="85" t="s">
        <v>17</v>
      </c>
      <c r="P6" s="84">
        <v>-1</v>
      </c>
      <c r="Q6" s="128" t="s">
        <v>17</v>
      </c>
      <c r="R6" s="128" t="s">
        <v>17</v>
      </c>
      <c r="S6" s="231" t="s">
        <v>17</v>
      </c>
      <c r="T6" s="128">
        <v>7</v>
      </c>
      <c r="U6" s="128">
        <v>9</v>
      </c>
      <c r="V6" s="231">
        <f>SUM(T6/U6)*100</f>
        <v>77.777777777777786</v>
      </c>
      <c r="W6" s="347"/>
      <c r="X6" s="121"/>
      <c r="Y6" s="228" t="s">
        <v>17</v>
      </c>
      <c r="Z6" s="128" t="s">
        <v>17</v>
      </c>
      <c r="AA6" s="231" t="s">
        <v>17</v>
      </c>
      <c r="AB6" s="232" t="s">
        <v>17</v>
      </c>
      <c r="AC6" s="128" t="s">
        <v>17</v>
      </c>
      <c r="AD6" s="231" t="s">
        <v>17</v>
      </c>
      <c r="AE6" s="232" t="s">
        <v>17</v>
      </c>
      <c r="AF6" s="128" t="s">
        <v>17</v>
      </c>
      <c r="AG6" s="231" t="s">
        <v>17</v>
      </c>
      <c r="AH6" s="128" t="s">
        <v>17</v>
      </c>
      <c r="AI6" s="128" t="s">
        <v>17</v>
      </c>
      <c r="AJ6" s="231" t="s">
        <v>17</v>
      </c>
      <c r="AK6" s="128" t="s">
        <v>17</v>
      </c>
      <c r="AL6" s="128" t="s">
        <v>17</v>
      </c>
      <c r="AM6" s="231" t="s">
        <v>17</v>
      </c>
      <c r="AN6" s="128" t="s">
        <v>17</v>
      </c>
      <c r="AO6" s="128" t="s">
        <v>17</v>
      </c>
      <c r="AP6" s="231" t="s">
        <v>17</v>
      </c>
    </row>
    <row r="7" spans="1:42" ht="14.95" customHeight="1" thickBot="1" x14ac:dyDescent="0.3">
      <c r="A7" s="83" t="s">
        <v>948</v>
      </c>
      <c r="B7" s="424">
        <v>0</v>
      </c>
      <c r="C7" s="421">
        <v>0</v>
      </c>
      <c r="D7" s="84">
        <f t="shared" si="0"/>
        <v>0</v>
      </c>
      <c r="E7" s="26" t="s">
        <v>948</v>
      </c>
      <c r="F7" s="306">
        <v>0</v>
      </c>
      <c r="G7" s="423">
        <v>0</v>
      </c>
      <c r="H7" s="27">
        <f t="shared" si="2"/>
        <v>0</v>
      </c>
      <c r="I7" s="83" t="s">
        <v>164</v>
      </c>
      <c r="J7" s="84" t="s">
        <v>17</v>
      </c>
      <c r="K7" s="84" t="s">
        <v>17</v>
      </c>
      <c r="L7" s="85" t="s">
        <v>17</v>
      </c>
      <c r="M7" s="84" t="s">
        <v>17</v>
      </c>
      <c r="N7" s="84" t="s">
        <v>17</v>
      </c>
      <c r="O7" s="85" t="s">
        <v>17</v>
      </c>
      <c r="P7" s="84">
        <v>1</v>
      </c>
      <c r="Q7" s="128" t="s">
        <v>17</v>
      </c>
      <c r="R7" s="128" t="s">
        <v>17</v>
      </c>
      <c r="S7" s="231" t="s">
        <v>17</v>
      </c>
      <c r="T7" s="128">
        <v>13</v>
      </c>
      <c r="U7" s="128">
        <v>18</v>
      </c>
      <c r="V7" s="231">
        <f>SUM(T7/U7)*100</f>
        <v>72.222222222222214</v>
      </c>
      <c r="W7" s="347"/>
      <c r="X7" s="121"/>
      <c r="Y7" s="228" t="s">
        <v>17</v>
      </c>
      <c r="Z7" s="128" t="s">
        <v>17</v>
      </c>
      <c r="AA7" s="231" t="s">
        <v>17</v>
      </c>
      <c r="AB7" s="232" t="s">
        <v>17</v>
      </c>
      <c r="AC7" s="128" t="s">
        <v>17</v>
      </c>
      <c r="AD7" s="231" t="s">
        <v>17</v>
      </c>
      <c r="AE7" s="232" t="s">
        <v>17</v>
      </c>
      <c r="AF7" s="128" t="s">
        <v>17</v>
      </c>
      <c r="AG7" s="231" t="s">
        <v>17</v>
      </c>
      <c r="AH7" s="128" t="s">
        <v>17</v>
      </c>
      <c r="AI7" s="128" t="s">
        <v>17</v>
      </c>
      <c r="AJ7" s="231" t="s">
        <v>17</v>
      </c>
      <c r="AK7" s="128" t="s">
        <v>17</v>
      </c>
      <c r="AL7" s="128" t="s">
        <v>17</v>
      </c>
      <c r="AM7" s="231" t="s">
        <v>17</v>
      </c>
      <c r="AN7" s="128" t="s">
        <v>17</v>
      </c>
      <c r="AO7" s="128" t="s">
        <v>17</v>
      </c>
      <c r="AP7" s="231" t="s">
        <v>17</v>
      </c>
    </row>
    <row r="8" spans="1:42" ht="14.95" customHeight="1" thickBot="1" x14ac:dyDescent="0.3">
      <c r="A8" s="83" t="s">
        <v>1079</v>
      </c>
      <c r="B8" s="424">
        <v>0</v>
      </c>
      <c r="C8" s="421">
        <v>0</v>
      </c>
      <c r="D8" s="84">
        <f t="shared" si="0"/>
        <v>0</v>
      </c>
      <c r="E8" s="26" t="s">
        <v>1079</v>
      </c>
      <c r="F8" s="306">
        <v>0</v>
      </c>
      <c r="G8" s="423">
        <v>0</v>
      </c>
      <c r="H8" s="27">
        <f t="shared" si="2"/>
        <v>0</v>
      </c>
      <c r="I8" s="83" t="s">
        <v>635</v>
      </c>
      <c r="J8" s="84">
        <v>19</v>
      </c>
      <c r="K8" s="84">
        <v>28</v>
      </c>
      <c r="L8" s="85">
        <f>SUM(J8/K8)*100</f>
        <v>67.857142857142861</v>
      </c>
      <c r="M8" s="84" t="s">
        <v>17</v>
      </c>
      <c r="N8" s="84" t="s">
        <v>17</v>
      </c>
      <c r="O8" s="85" t="s">
        <v>17</v>
      </c>
      <c r="P8" s="84">
        <v>-2</v>
      </c>
      <c r="Q8" s="128">
        <v>33</v>
      </c>
      <c r="R8" s="128">
        <v>41</v>
      </c>
      <c r="S8" s="231">
        <f>SUM(Q8/R8)*100</f>
        <v>80.487804878048792</v>
      </c>
      <c r="T8" s="128">
        <v>18</v>
      </c>
      <c r="U8" s="128">
        <v>21</v>
      </c>
      <c r="V8" s="231">
        <f>SUM(T8/U8)*100</f>
        <v>85.714285714285708</v>
      </c>
      <c r="W8" s="347"/>
      <c r="X8" s="121"/>
      <c r="Y8" s="228" t="s">
        <v>17</v>
      </c>
      <c r="Z8" s="128" t="s">
        <v>17</v>
      </c>
      <c r="AA8" s="231" t="s">
        <v>17</v>
      </c>
      <c r="AB8" s="228" t="s">
        <v>17</v>
      </c>
      <c r="AC8" s="128" t="s">
        <v>17</v>
      </c>
      <c r="AD8" s="231" t="s">
        <v>17</v>
      </c>
      <c r="AE8" s="228" t="s">
        <v>17</v>
      </c>
      <c r="AF8" s="128" t="s">
        <v>17</v>
      </c>
      <c r="AG8" s="231" t="s">
        <v>17</v>
      </c>
      <c r="AH8" s="228" t="s">
        <v>17</v>
      </c>
      <c r="AI8" s="128" t="s">
        <v>17</v>
      </c>
      <c r="AJ8" s="231" t="s">
        <v>17</v>
      </c>
      <c r="AK8" s="228" t="s">
        <v>17</v>
      </c>
      <c r="AL8" s="128" t="s">
        <v>17</v>
      </c>
      <c r="AM8" s="231" t="s">
        <v>17</v>
      </c>
      <c r="AN8" s="128" t="s">
        <v>17</v>
      </c>
      <c r="AO8" s="128" t="s">
        <v>17</v>
      </c>
      <c r="AP8" s="128" t="s">
        <v>17</v>
      </c>
    </row>
    <row r="9" spans="1:42" ht="14.95" customHeight="1" thickBot="1" x14ac:dyDescent="0.3">
      <c r="A9" s="83" t="s">
        <v>731</v>
      </c>
      <c r="B9" s="424">
        <v>0</v>
      </c>
      <c r="C9" s="421">
        <v>0</v>
      </c>
      <c r="D9" s="84">
        <f t="shared" si="0"/>
        <v>0</v>
      </c>
      <c r="E9" s="26" t="s">
        <v>731</v>
      </c>
      <c r="F9" s="306">
        <v>0</v>
      </c>
      <c r="G9" s="423">
        <v>0</v>
      </c>
      <c r="H9" s="27">
        <f t="shared" si="2"/>
        <v>0</v>
      </c>
      <c r="I9" s="83" t="s">
        <v>504</v>
      </c>
      <c r="J9" s="84" t="s">
        <v>17</v>
      </c>
      <c r="K9" s="84" t="s">
        <v>17</v>
      </c>
      <c r="L9" s="85" t="s">
        <v>17</v>
      </c>
      <c r="M9" s="84" t="s">
        <v>17</v>
      </c>
      <c r="N9" s="84" t="s">
        <v>17</v>
      </c>
      <c r="O9" s="85" t="s">
        <v>17</v>
      </c>
      <c r="P9" s="84">
        <v>-1</v>
      </c>
      <c r="Q9" s="128" t="s">
        <v>17</v>
      </c>
      <c r="R9" s="128" t="s">
        <v>17</v>
      </c>
      <c r="S9" s="231" t="s">
        <v>17</v>
      </c>
      <c r="T9" s="128">
        <v>2</v>
      </c>
      <c r="U9" s="128">
        <v>4</v>
      </c>
      <c r="V9" s="231">
        <f>SUM(T9/U9)*100</f>
        <v>50</v>
      </c>
      <c r="W9" s="347"/>
      <c r="X9" s="121"/>
      <c r="Y9" s="228">
        <v>7</v>
      </c>
      <c r="Z9" s="128">
        <v>13</v>
      </c>
      <c r="AA9" s="231">
        <f>SUM(Y9/Z9)*100</f>
        <v>53.846153846153847</v>
      </c>
      <c r="AB9" s="228" t="s">
        <v>17</v>
      </c>
      <c r="AC9" s="128" t="s">
        <v>17</v>
      </c>
      <c r="AD9" s="231" t="s">
        <v>17</v>
      </c>
      <c r="AE9" s="228" t="s">
        <v>17</v>
      </c>
      <c r="AF9" s="128" t="s">
        <v>17</v>
      </c>
      <c r="AG9" s="231" t="s">
        <v>17</v>
      </c>
      <c r="AH9" s="128" t="s">
        <v>17</v>
      </c>
      <c r="AI9" s="128" t="s">
        <v>17</v>
      </c>
      <c r="AJ9" s="231" t="s">
        <v>17</v>
      </c>
      <c r="AK9" s="128" t="s">
        <v>17</v>
      </c>
      <c r="AL9" s="128" t="s">
        <v>17</v>
      </c>
      <c r="AM9" s="231" t="s">
        <v>17</v>
      </c>
      <c r="AN9" s="128" t="s">
        <v>17</v>
      </c>
      <c r="AO9" s="128" t="s">
        <v>17</v>
      </c>
      <c r="AP9" s="231" t="s">
        <v>17</v>
      </c>
    </row>
    <row r="10" spans="1:42" ht="14.95" customHeight="1" thickBot="1" x14ac:dyDescent="0.3">
      <c r="A10" s="83" t="s">
        <v>503</v>
      </c>
      <c r="B10" s="424">
        <v>0</v>
      </c>
      <c r="C10" s="421">
        <v>0</v>
      </c>
      <c r="D10" s="84">
        <f t="shared" si="0"/>
        <v>0</v>
      </c>
      <c r="E10" s="26" t="s">
        <v>503</v>
      </c>
      <c r="F10" s="306">
        <v>0</v>
      </c>
      <c r="G10" s="423">
        <v>0</v>
      </c>
      <c r="H10" s="27">
        <f t="shared" si="2"/>
        <v>0</v>
      </c>
      <c r="I10" s="83" t="s">
        <v>447</v>
      </c>
      <c r="J10" s="84" t="s">
        <v>17</v>
      </c>
      <c r="K10" s="84" t="s">
        <v>17</v>
      </c>
      <c r="L10" s="85" t="s">
        <v>17</v>
      </c>
      <c r="M10" s="84" t="s">
        <v>17</v>
      </c>
      <c r="N10" s="84" t="s">
        <v>17</v>
      </c>
      <c r="O10" s="85" t="s">
        <v>17</v>
      </c>
      <c r="P10" s="84">
        <v>-2</v>
      </c>
      <c r="Q10" s="128" t="s">
        <v>17</v>
      </c>
      <c r="R10" s="128" t="s">
        <v>17</v>
      </c>
      <c r="S10" s="231" t="s">
        <v>17</v>
      </c>
      <c r="T10" s="128" t="s">
        <v>17</v>
      </c>
      <c r="U10" s="128" t="s">
        <v>17</v>
      </c>
      <c r="V10" s="231" t="s">
        <v>17</v>
      </c>
      <c r="W10" s="347"/>
      <c r="X10" s="121"/>
      <c r="Y10" s="228">
        <v>1</v>
      </c>
      <c r="Z10" s="128">
        <v>3</v>
      </c>
      <c r="AA10" s="231">
        <f>SUM(Y10/Z10)*100</f>
        <v>33.333333333333329</v>
      </c>
      <c r="AB10" s="228" t="s">
        <v>17</v>
      </c>
      <c r="AC10" s="128" t="s">
        <v>17</v>
      </c>
      <c r="AD10" s="231" t="s">
        <v>17</v>
      </c>
      <c r="AE10" s="228" t="s">
        <v>17</v>
      </c>
      <c r="AF10" s="128" t="s">
        <v>17</v>
      </c>
      <c r="AG10" s="231" t="s">
        <v>17</v>
      </c>
      <c r="AH10" s="128" t="s">
        <v>17</v>
      </c>
      <c r="AI10" s="128" t="s">
        <v>17</v>
      </c>
      <c r="AJ10" s="231" t="s">
        <v>17</v>
      </c>
      <c r="AK10" s="128" t="s">
        <v>17</v>
      </c>
      <c r="AL10" s="128" t="s">
        <v>17</v>
      </c>
      <c r="AM10" s="231" t="s">
        <v>17</v>
      </c>
      <c r="AN10" s="128" t="s">
        <v>17</v>
      </c>
      <c r="AO10" s="128" t="s">
        <v>17</v>
      </c>
      <c r="AP10" s="231" t="s">
        <v>17</v>
      </c>
    </row>
    <row r="11" spans="1:42" ht="14.95" customHeight="1" thickBot="1" x14ac:dyDescent="0.3">
      <c r="A11" s="83" t="s">
        <v>642</v>
      </c>
      <c r="B11" s="424">
        <v>3</v>
      </c>
      <c r="C11" s="421">
        <v>3</v>
      </c>
      <c r="D11" s="84">
        <f t="shared" si="0"/>
        <v>6</v>
      </c>
      <c r="E11" s="26" t="s">
        <v>642</v>
      </c>
      <c r="F11" s="306">
        <v>15</v>
      </c>
      <c r="G11" s="423">
        <v>15</v>
      </c>
      <c r="H11" s="27">
        <f t="shared" si="2"/>
        <v>30</v>
      </c>
      <c r="I11" s="83" t="s">
        <v>534</v>
      </c>
      <c r="J11" s="84">
        <v>9</v>
      </c>
      <c r="K11" s="84">
        <v>13</v>
      </c>
      <c r="L11" s="85">
        <f>SUM(J11/K11)*100</f>
        <v>69.230769230769226</v>
      </c>
      <c r="M11" s="84" t="s">
        <v>17</v>
      </c>
      <c r="N11" s="84" t="s">
        <v>17</v>
      </c>
      <c r="O11" s="85" t="s">
        <v>17</v>
      </c>
      <c r="P11" s="84">
        <v>-1</v>
      </c>
      <c r="Q11" s="128" t="s">
        <v>17</v>
      </c>
      <c r="R11" s="128" t="s">
        <v>17</v>
      </c>
      <c r="S11" s="231" t="s">
        <v>17</v>
      </c>
      <c r="T11" s="128" t="s">
        <v>17</v>
      </c>
      <c r="U11" s="128" t="s">
        <v>17</v>
      </c>
      <c r="V11" s="231" t="s">
        <v>17</v>
      </c>
      <c r="W11" s="347"/>
      <c r="X11" s="121"/>
      <c r="Y11" s="232" t="s">
        <v>17</v>
      </c>
      <c r="Z11" s="128" t="s">
        <v>17</v>
      </c>
      <c r="AA11" s="231" t="s">
        <v>17</v>
      </c>
      <c r="AB11" s="128" t="s">
        <v>17</v>
      </c>
      <c r="AC11" s="128" t="s">
        <v>17</v>
      </c>
      <c r="AD11" s="231" t="s">
        <v>17</v>
      </c>
      <c r="AE11" s="128" t="s">
        <v>17</v>
      </c>
      <c r="AF11" s="128" t="s">
        <v>17</v>
      </c>
      <c r="AG11" s="231" t="s">
        <v>17</v>
      </c>
      <c r="AH11" s="128" t="s">
        <v>17</v>
      </c>
      <c r="AI11" s="128" t="s">
        <v>17</v>
      </c>
      <c r="AJ11" s="231" t="s">
        <v>17</v>
      </c>
      <c r="AK11" s="128" t="s">
        <v>17</v>
      </c>
      <c r="AL11" s="128" t="s">
        <v>17</v>
      </c>
      <c r="AM11" s="231" t="s">
        <v>17</v>
      </c>
      <c r="AN11" s="128" t="s">
        <v>17</v>
      </c>
      <c r="AO11" s="128" t="s">
        <v>17</v>
      </c>
      <c r="AP11" s="231" t="s">
        <v>17</v>
      </c>
    </row>
    <row r="12" spans="1:42" ht="14.95" customHeight="1" thickBot="1" x14ac:dyDescent="0.3">
      <c r="A12" s="83" t="s">
        <v>560</v>
      </c>
      <c r="B12" s="424">
        <v>1</v>
      </c>
      <c r="C12" s="421">
        <v>2</v>
      </c>
      <c r="D12" s="84">
        <f t="shared" si="0"/>
        <v>3</v>
      </c>
      <c r="E12" s="26" t="s">
        <v>560</v>
      </c>
      <c r="F12" s="306">
        <v>5</v>
      </c>
      <c r="G12" s="423">
        <v>16</v>
      </c>
      <c r="H12" s="27">
        <f t="shared" si="2"/>
        <v>21</v>
      </c>
    </row>
    <row r="13" spans="1:42" ht="14.95" customHeight="1" thickBot="1" x14ac:dyDescent="0.3">
      <c r="A13" s="83" t="s">
        <v>1093</v>
      </c>
      <c r="B13" s="424">
        <v>0</v>
      </c>
      <c r="C13" s="421">
        <v>0</v>
      </c>
      <c r="D13" s="84">
        <f t="shared" si="0"/>
        <v>0</v>
      </c>
      <c r="E13" s="26" t="s">
        <v>1093</v>
      </c>
      <c r="F13" s="306">
        <v>0</v>
      </c>
      <c r="G13" s="423">
        <v>0</v>
      </c>
      <c r="H13" s="27">
        <f t="shared" si="2"/>
        <v>0</v>
      </c>
      <c r="I13" s="577" t="s">
        <v>33</v>
      </c>
      <c r="J13" s="568">
        <v>2023</v>
      </c>
      <c r="K13" s="569"/>
      <c r="L13" s="570"/>
      <c r="M13" s="557">
        <v>2019</v>
      </c>
      <c r="N13" s="563"/>
      <c r="O13" s="564"/>
      <c r="P13" s="557">
        <v>2015</v>
      </c>
      <c r="Q13" s="563"/>
      <c r="R13" s="564"/>
    </row>
    <row r="14" spans="1:42" ht="14.95" customHeight="1" thickBot="1" x14ac:dyDescent="0.3">
      <c r="A14" s="83" t="s">
        <v>164</v>
      </c>
      <c r="B14" s="424">
        <v>0</v>
      </c>
      <c r="C14" s="421">
        <v>0</v>
      </c>
      <c r="D14" s="84">
        <f t="shared" si="0"/>
        <v>0</v>
      </c>
      <c r="E14" s="26" t="s">
        <v>164</v>
      </c>
      <c r="F14" s="306">
        <v>0</v>
      </c>
      <c r="G14" s="423">
        <v>0</v>
      </c>
      <c r="H14" s="27">
        <f t="shared" si="2"/>
        <v>0</v>
      </c>
      <c r="I14" s="578"/>
      <c r="J14" s="571"/>
      <c r="K14" s="572"/>
      <c r="L14" s="573"/>
      <c r="M14" s="565"/>
      <c r="N14" s="566"/>
      <c r="O14" s="567"/>
      <c r="P14" s="565"/>
      <c r="Q14" s="566"/>
      <c r="R14" s="567"/>
    </row>
    <row r="15" spans="1:42" ht="14.95" customHeight="1" thickBot="1" x14ac:dyDescent="0.3">
      <c r="A15" s="83" t="s">
        <v>730</v>
      </c>
      <c r="B15" s="424">
        <v>0</v>
      </c>
      <c r="C15" s="421">
        <v>0</v>
      </c>
      <c r="D15" s="84">
        <f t="shared" si="0"/>
        <v>0</v>
      </c>
      <c r="E15" s="26" t="s">
        <v>730</v>
      </c>
      <c r="F15" s="306">
        <v>0</v>
      </c>
      <c r="G15" s="423">
        <v>0</v>
      </c>
      <c r="H15" s="27">
        <f t="shared" si="2"/>
        <v>0</v>
      </c>
      <c r="I15" s="380"/>
      <c r="J15" s="128" t="s">
        <v>152</v>
      </c>
      <c r="K15" s="128" t="s">
        <v>12</v>
      </c>
      <c r="L15" s="128" t="s">
        <v>13</v>
      </c>
      <c r="M15" s="119" t="s">
        <v>152</v>
      </c>
      <c r="N15" s="119" t="s">
        <v>12</v>
      </c>
      <c r="O15" s="119" t="s">
        <v>13</v>
      </c>
      <c r="P15" s="119" t="s">
        <v>152</v>
      </c>
      <c r="Q15" s="119" t="s">
        <v>12</v>
      </c>
      <c r="R15" s="119" t="s">
        <v>13</v>
      </c>
    </row>
    <row r="16" spans="1:42" ht="14.95" customHeight="1" thickBot="1" x14ac:dyDescent="0.3">
      <c r="A16" s="83" t="s">
        <v>643</v>
      </c>
      <c r="B16" s="424">
        <v>0</v>
      </c>
      <c r="C16" s="421">
        <v>0</v>
      </c>
      <c r="D16" s="84">
        <f t="shared" si="0"/>
        <v>0</v>
      </c>
      <c r="E16" s="26" t="s">
        <v>643</v>
      </c>
      <c r="F16" s="306">
        <v>0</v>
      </c>
      <c r="G16" s="423">
        <v>0</v>
      </c>
      <c r="H16" s="27">
        <f t="shared" si="2"/>
        <v>0</v>
      </c>
      <c r="I16" s="83" t="s">
        <v>560</v>
      </c>
      <c r="J16" s="128">
        <v>7</v>
      </c>
      <c r="K16" s="128">
        <v>9</v>
      </c>
      <c r="L16" s="231">
        <f>SUM(J16/K16)*100</f>
        <v>77.777777777777786</v>
      </c>
      <c r="M16" s="128" t="s">
        <v>17</v>
      </c>
      <c r="N16" s="128" t="s">
        <v>17</v>
      </c>
      <c r="O16" s="231" t="s">
        <v>17</v>
      </c>
      <c r="P16" s="128" t="s">
        <v>17</v>
      </c>
      <c r="Q16" s="128" t="s">
        <v>17</v>
      </c>
      <c r="R16" s="231" t="s">
        <v>17</v>
      </c>
    </row>
    <row r="17" spans="1:36" ht="14.95" customHeight="1" thickBot="1" x14ac:dyDescent="0.3">
      <c r="A17" s="83" t="s">
        <v>226</v>
      </c>
      <c r="B17" s="424">
        <v>0</v>
      </c>
      <c r="C17" s="421">
        <v>0</v>
      </c>
      <c r="D17" s="84">
        <f t="shared" si="0"/>
        <v>0</v>
      </c>
      <c r="E17" s="26" t="s">
        <v>226</v>
      </c>
      <c r="F17" s="306">
        <v>0</v>
      </c>
      <c r="G17" s="423">
        <v>0</v>
      </c>
      <c r="H17" s="27">
        <f t="shared" si="2"/>
        <v>0</v>
      </c>
      <c r="I17" s="83" t="s">
        <v>164</v>
      </c>
      <c r="J17" s="128">
        <v>13</v>
      </c>
      <c r="K17" s="128">
        <v>18</v>
      </c>
      <c r="L17" s="231">
        <f>SUM(J17/K17)*100</f>
        <v>72.222222222222214</v>
      </c>
      <c r="M17" s="128" t="s">
        <v>17</v>
      </c>
      <c r="N17" s="128" t="s">
        <v>17</v>
      </c>
      <c r="O17" s="231" t="s">
        <v>17</v>
      </c>
      <c r="P17" s="128" t="s">
        <v>17</v>
      </c>
      <c r="Q17" s="128" t="s">
        <v>17</v>
      </c>
      <c r="R17" s="231" t="s">
        <v>17</v>
      </c>
    </row>
    <row r="18" spans="1:36" ht="14.95" customHeight="1" thickBot="1" x14ac:dyDescent="0.3">
      <c r="A18" s="83" t="s">
        <v>724</v>
      </c>
      <c r="B18" s="424">
        <v>0</v>
      </c>
      <c r="C18" s="421">
        <v>0</v>
      </c>
      <c r="D18" s="84">
        <f t="shared" si="0"/>
        <v>0</v>
      </c>
      <c r="E18" s="26" t="s">
        <v>724</v>
      </c>
      <c r="F18" s="306">
        <v>0</v>
      </c>
      <c r="G18" s="423">
        <v>0</v>
      </c>
      <c r="H18" s="27">
        <f t="shared" si="2"/>
        <v>0</v>
      </c>
      <c r="I18" s="83" t="s">
        <v>318</v>
      </c>
      <c r="J18" s="128" t="s">
        <v>17</v>
      </c>
      <c r="K18" s="128" t="s">
        <v>17</v>
      </c>
      <c r="L18" s="231" t="s">
        <v>17</v>
      </c>
      <c r="M18" s="128">
        <v>1</v>
      </c>
      <c r="N18" s="128">
        <v>4</v>
      </c>
      <c r="O18" s="231">
        <f>SUM(M18/N18)*100</f>
        <v>25</v>
      </c>
      <c r="P18" s="128" t="s">
        <v>17</v>
      </c>
      <c r="Q18" s="128" t="s">
        <v>17</v>
      </c>
      <c r="R18" s="128" t="s">
        <v>17</v>
      </c>
    </row>
    <row r="19" spans="1:36" ht="14.95" customHeight="1" thickBot="1" x14ac:dyDescent="0.3">
      <c r="A19" s="83" t="s">
        <v>57</v>
      </c>
      <c r="B19" s="424">
        <v>0</v>
      </c>
      <c r="C19" s="421">
        <v>0</v>
      </c>
      <c r="D19" s="84">
        <f t="shared" si="0"/>
        <v>0</v>
      </c>
      <c r="E19" s="26" t="s">
        <v>57</v>
      </c>
      <c r="F19" s="306">
        <v>0</v>
      </c>
      <c r="G19" s="423">
        <v>0</v>
      </c>
      <c r="H19" s="27">
        <f t="shared" si="2"/>
        <v>0</v>
      </c>
      <c r="I19" s="83" t="s">
        <v>58</v>
      </c>
      <c r="J19" s="128" t="s">
        <v>17</v>
      </c>
      <c r="K19" s="128" t="s">
        <v>17</v>
      </c>
      <c r="L19" s="231" t="s">
        <v>17</v>
      </c>
      <c r="M19" s="128" t="s">
        <v>17</v>
      </c>
      <c r="N19" s="128" t="s">
        <v>17</v>
      </c>
      <c r="O19" s="231" t="s">
        <v>17</v>
      </c>
      <c r="P19" s="128">
        <v>10</v>
      </c>
      <c r="Q19" s="128">
        <v>13</v>
      </c>
      <c r="R19" s="231">
        <f>SUM(P19/Q19)*100</f>
        <v>76.923076923076934</v>
      </c>
    </row>
    <row r="20" spans="1:36" ht="14.95" customHeight="1" thickBot="1" x14ac:dyDescent="0.3">
      <c r="A20" s="83" t="s">
        <v>331</v>
      </c>
      <c r="B20" s="424">
        <v>1</v>
      </c>
      <c r="C20" s="421">
        <v>0</v>
      </c>
      <c r="D20" s="84">
        <f t="shared" si="0"/>
        <v>1</v>
      </c>
      <c r="E20" s="26" t="s">
        <v>331</v>
      </c>
      <c r="F20" s="306">
        <v>5</v>
      </c>
      <c r="G20" s="423">
        <v>0</v>
      </c>
      <c r="H20" s="27">
        <f t="shared" si="2"/>
        <v>5</v>
      </c>
      <c r="I20" s="83" t="s">
        <v>504</v>
      </c>
      <c r="J20" s="128">
        <v>1</v>
      </c>
      <c r="K20" s="128">
        <v>3</v>
      </c>
      <c r="L20" s="231">
        <f>SUM(J20/K20)*100</f>
        <v>33.333333333333329</v>
      </c>
      <c r="M20" s="128" t="s">
        <v>17</v>
      </c>
      <c r="N20" s="128" t="s">
        <v>17</v>
      </c>
      <c r="O20" s="231" t="s">
        <v>17</v>
      </c>
      <c r="P20" s="128" t="s">
        <v>17</v>
      </c>
      <c r="Q20" s="128" t="s">
        <v>17</v>
      </c>
      <c r="R20" s="231" t="s">
        <v>17</v>
      </c>
    </row>
    <row r="21" spans="1:36" ht="14.95" customHeight="1" thickBot="1" x14ac:dyDescent="0.3">
      <c r="A21" s="83" t="s">
        <v>727</v>
      </c>
      <c r="B21" s="424">
        <v>0</v>
      </c>
      <c r="C21" s="421">
        <v>0</v>
      </c>
      <c r="D21" s="84">
        <f t="shared" si="0"/>
        <v>0</v>
      </c>
      <c r="E21" s="26" t="s">
        <v>727</v>
      </c>
      <c r="F21" s="306">
        <v>0</v>
      </c>
      <c r="G21" s="423">
        <v>0</v>
      </c>
      <c r="H21" s="27">
        <f t="shared" si="2"/>
        <v>0</v>
      </c>
      <c r="I21" s="83" t="s">
        <v>59</v>
      </c>
      <c r="J21" s="128" t="s">
        <v>17</v>
      </c>
      <c r="K21" s="128" t="s">
        <v>17</v>
      </c>
      <c r="L21" s="231" t="s">
        <v>17</v>
      </c>
      <c r="M21" s="128">
        <v>9</v>
      </c>
      <c r="N21" s="128">
        <v>16</v>
      </c>
      <c r="O21" s="231">
        <f>SUM(M21/N21)*100</f>
        <v>56.25</v>
      </c>
      <c r="P21" s="128">
        <v>4</v>
      </c>
      <c r="Q21" s="128">
        <v>8</v>
      </c>
      <c r="R21" s="231">
        <f>SUM(P21/Q21)*100</f>
        <v>50</v>
      </c>
    </row>
    <row r="22" spans="1:36" ht="14.95" customHeight="1" thickBot="1" x14ac:dyDescent="0.3">
      <c r="A22" s="83" t="s">
        <v>729</v>
      </c>
      <c r="B22" s="424">
        <v>0</v>
      </c>
      <c r="C22" s="421">
        <v>0</v>
      </c>
      <c r="D22" s="84">
        <f t="shared" si="0"/>
        <v>0</v>
      </c>
      <c r="E22" s="26" t="s">
        <v>729</v>
      </c>
      <c r="F22" s="306">
        <v>0</v>
      </c>
      <c r="G22" s="423">
        <v>0</v>
      </c>
      <c r="H22" s="27">
        <f t="shared" si="2"/>
        <v>0</v>
      </c>
    </row>
    <row r="23" spans="1:36" ht="14.95" customHeight="1" thickBot="1" x14ac:dyDescent="0.3">
      <c r="A23" s="83" t="s">
        <v>635</v>
      </c>
      <c r="B23" s="424">
        <v>0</v>
      </c>
      <c r="C23" s="421">
        <v>1</v>
      </c>
      <c r="D23" s="84">
        <f t="shared" si="0"/>
        <v>1</v>
      </c>
      <c r="E23" s="26" t="s">
        <v>635</v>
      </c>
      <c r="F23" s="306">
        <v>27</v>
      </c>
      <c r="G23" s="423">
        <v>23</v>
      </c>
      <c r="H23" s="27">
        <f t="shared" si="2"/>
        <v>50</v>
      </c>
      <c r="I23" s="665" t="s">
        <v>367</v>
      </c>
      <c r="J23" s="568">
        <v>2020</v>
      </c>
      <c r="K23" s="660"/>
      <c r="L23" s="661"/>
    </row>
    <row r="24" spans="1:36" ht="14.95" customHeight="1" thickBot="1" x14ac:dyDescent="0.3">
      <c r="A24" s="83" t="s">
        <v>726</v>
      </c>
      <c r="B24" s="424">
        <v>0</v>
      </c>
      <c r="C24" s="421">
        <v>0</v>
      </c>
      <c r="D24" s="84">
        <f t="shared" si="0"/>
        <v>0</v>
      </c>
      <c r="E24" s="26" t="s">
        <v>726</v>
      </c>
      <c r="F24" s="306">
        <v>0</v>
      </c>
      <c r="G24" s="423">
        <v>0</v>
      </c>
      <c r="H24" s="27">
        <f t="shared" si="2"/>
        <v>0</v>
      </c>
      <c r="I24" s="666"/>
      <c r="J24" s="662"/>
      <c r="K24" s="663"/>
      <c r="L24" s="664"/>
    </row>
    <row r="25" spans="1:36" ht="14.95" customHeight="1" thickBot="1" x14ac:dyDescent="0.3">
      <c r="A25" s="83" t="s">
        <v>1375</v>
      </c>
      <c r="B25" s="424">
        <v>3</v>
      </c>
      <c r="C25" s="421">
        <v>1</v>
      </c>
      <c r="D25" s="84">
        <f t="shared" si="0"/>
        <v>4</v>
      </c>
      <c r="E25" s="26" t="s">
        <v>1375</v>
      </c>
      <c r="F25" s="306">
        <v>15</v>
      </c>
      <c r="G25" s="423">
        <v>5</v>
      </c>
      <c r="H25" s="267">
        <f t="shared" si="2"/>
        <v>20</v>
      </c>
      <c r="I25" s="442" t="s">
        <v>20</v>
      </c>
      <c r="J25" s="128" t="s">
        <v>152</v>
      </c>
      <c r="K25" s="128" t="s">
        <v>12</v>
      </c>
      <c r="L25" s="128" t="s">
        <v>13</v>
      </c>
    </row>
    <row r="26" spans="1:36" ht="14.95" customHeight="1" thickBot="1" x14ac:dyDescent="0.3">
      <c r="A26" s="83" t="s">
        <v>4</v>
      </c>
      <c r="B26" s="424">
        <v>0</v>
      </c>
      <c r="C26" s="421">
        <v>1</v>
      </c>
      <c r="D26" s="84">
        <f t="shared" si="0"/>
        <v>1</v>
      </c>
      <c r="E26" s="26" t="s">
        <v>4</v>
      </c>
      <c r="F26" s="306">
        <v>0</v>
      </c>
      <c r="G26" s="423">
        <v>7</v>
      </c>
      <c r="H26" s="27">
        <f t="shared" si="2"/>
        <v>7</v>
      </c>
      <c r="I26" s="83" t="s">
        <v>59</v>
      </c>
      <c r="J26" s="128">
        <v>4</v>
      </c>
      <c r="K26" s="128">
        <v>6</v>
      </c>
      <c r="L26" s="231">
        <f>SUM(J26/K26)*100</f>
        <v>66.666666666666657</v>
      </c>
    </row>
    <row r="27" spans="1:36" ht="14.95" customHeight="1" thickBot="1" x14ac:dyDescent="0.3">
      <c r="A27" s="83" t="s">
        <v>217</v>
      </c>
      <c r="B27" s="424">
        <v>0</v>
      </c>
      <c r="C27" s="421">
        <v>0</v>
      </c>
      <c r="D27" s="84">
        <f t="shared" si="0"/>
        <v>0</v>
      </c>
      <c r="E27" s="26" t="s">
        <v>217</v>
      </c>
      <c r="F27" s="306">
        <v>0</v>
      </c>
      <c r="G27" s="423">
        <v>0</v>
      </c>
      <c r="H27" s="27">
        <f t="shared" si="2"/>
        <v>0</v>
      </c>
      <c r="I27" s="39"/>
      <c r="J27" s="41"/>
      <c r="K27" s="41"/>
      <c r="L27" s="43"/>
      <c r="M27" s="41"/>
      <c r="N27" s="41"/>
      <c r="O27" s="43"/>
      <c r="P27" s="41"/>
      <c r="Q27" s="41"/>
      <c r="R27" s="43"/>
      <c r="S27" s="41"/>
      <c r="T27" s="41"/>
      <c r="U27" s="43"/>
      <c r="V27" s="41"/>
      <c r="W27" s="41"/>
      <c r="X27" s="41"/>
      <c r="Y27" s="41"/>
    </row>
    <row r="28" spans="1:36" ht="14.95" customHeight="1" thickBot="1" x14ac:dyDescent="0.3">
      <c r="A28" s="83" t="s">
        <v>1346</v>
      </c>
      <c r="B28" s="424">
        <v>3</v>
      </c>
      <c r="C28" s="421">
        <v>0</v>
      </c>
      <c r="D28" s="84">
        <f t="shared" si="0"/>
        <v>3</v>
      </c>
      <c r="E28" s="26" t="s">
        <v>1346</v>
      </c>
      <c r="F28" s="306">
        <v>15</v>
      </c>
      <c r="G28" s="423">
        <v>0</v>
      </c>
      <c r="H28" s="27">
        <f t="shared" si="2"/>
        <v>15</v>
      </c>
      <c r="I28" s="667" t="s">
        <v>88</v>
      </c>
      <c r="J28" s="583">
        <v>2025</v>
      </c>
      <c r="K28" s="584"/>
      <c r="L28" s="585"/>
      <c r="M28" s="568">
        <v>2024</v>
      </c>
      <c r="N28" s="660"/>
      <c r="O28" s="661"/>
      <c r="P28" s="568">
        <v>2022</v>
      </c>
      <c r="Q28" s="660"/>
      <c r="R28" s="661"/>
      <c r="S28" s="568">
        <v>2019</v>
      </c>
      <c r="T28" s="660"/>
      <c r="U28" s="661"/>
      <c r="V28" s="125"/>
      <c r="W28" s="125"/>
      <c r="X28" s="121"/>
      <c r="Y28" s="568">
        <v>2018</v>
      </c>
      <c r="Z28" s="660"/>
      <c r="AA28" s="661"/>
      <c r="AB28" s="568">
        <v>2017</v>
      </c>
      <c r="AC28" s="660"/>
      <c r="AD28" s="661"/>
      <c r="AE28" s="568">
        <v>2015</v>
      </c>
      <c r="AF28" s="660"/>
      <c r="AG28" s="661"/>
      <c r="AH28" s="568">
        <v>2014</v>
      </c>
      <c r="AI28" s="558"/>
      <c r="AJ28" s="559"/>
    </row>
    <row r="29" spans="1:36" ht="14.95" customHeight="1" thickBot="1" x14ac:dyDescent="0.3">
      <c r="A29" s="83" t="s">
        <v>502</v>
      </c>
      <c r="B29" s="424">
        <v>5</v>
      </c>
      <c r="C29" s="421">
        <v>2</v>
      </c>
      <c r="D29" s="84">
        <f t="shared" si="0"/>
        <v>7</v>
      </c>
      <c r="E29" s="26" t="s">
        <v>502</v>
      </c>
      <c r="F29" s="306">
        <v>25</v>
      </c>
      <c r="G29" s="423">
        <v>10</v>
      </c>
      <c r="H29" s="27">
        <f t="shared" si="2"/>
        <v>35</v>
      </c>
      <c r="I29" s="668"/>
      <c r="J29" s="586"/>
      <c r="K29" s="587"/>
      <c r="L29" s="588"/>
      <c r="M29" s="662"/>
      <c r="N29" s="663"/>
      <c r="O29" s="664"/>
      <c r="P29" s="662"/>
      <c r="Q29" s="663"/>
      <c r="R29" s="664"/>
      <c r="S29" s="662"/>
      <c r="T29" s="663"/>
      <c r="U29" s="664"/>
      <c r="V29" s="121"/>
      <c r="W29" s="121"/>
      <c r="X29" s="121"/>
      <c r="Y29" s="662"/>
      <c r="Z29" s="663"/>
      <c r="AA29" s="664"/>
      <c r="AB29" s="662"/>
      <c r="AC29" s="663"/>
      <c r="AD29" s="664"/>
      <c r="AE29" s="662"/>
      <c r="AF29" s="663"/>
      <c r="AG29" s="664"/>
      <c r="AH29" s="560"/>
      <c r="AI29" s="561"/>
      <c r="AJ29" s="562"/>
    </row>
    <row r="30" spans="1:36" ht="14.95" customHeight="1" thickBot="1" x14ac:dyDescent="0.3">
      <c r="A30" s="83" t="s">
        <v>1423</v>
      </c>
      <c r="B30" s="424">
        <v>0</v>
      </c>
      <c r="C30" s="421">
        <v>1</v>
      </c>
      <c r="D30" s="84">
        <f t="shared" si="0"/>
        <v>1</v>
      </c>
      <c r="E30" s="26" t="s">
        <v>1423</v>
      </c>
      <c r="F30" s="306">
        <v>0</v>
      </c>
      <c r="G30" s="423">
        <v>5</v>
      </c>
      <c r="H30" s="27">
        <f t="shared" si="2"/>
        <v>5</v>
      </c>
      <c r="I30" s="426" t="s">
        <v>20</v>
      </c>
      <c r="J30" s="183" t="s">
        <v>152</v>
      </c>
      <c r="K30" s="1" t="s">
        <v>12</v>
      </c>
      <c r="L30" s="1" t="s">
        <v>13</v>
      </c>
      <c r="M30" s="128" t="s">
        <v>152</v>
      </c>
      <c r="N30" s="128" t="s">
        <v>12</v>
      </c>
      <c r="O30" s="128" t="s">
        <v>13</v>
      </c>
      <c r="P30" s="128" t="s">
        <v>152</v>
      </c>
      <c r="Q30" s="128" t="s">
        <v>12</v>
      </c>
      <c r="R30" s="128" t="s">
        <v>13</v>
      </c>
      <c r="S30" s="128" t="s">
        <v>152</v>
      </c>
      <c r="T30" s="128" t="s">
        <v>12</v>
      </c>
      <c r="U30" s="128" t="s">
        <v>13</v>
      </c>
      <c r="V30" s="121"/>
      <c r="W30" s="121"/>
      <c r="X30" s="121"/>
      <c r="Y30" s="228" t="s">
        <v>152</v>
      </c>
      <c r="Z30" s="128" t="s">
        <v>12</v>
      </c>
      <c r="AA30" s="128" t="s">
        <v>13</v>
      </c>
      <c r="AB30" s="228" t="s">
        <v>152</v>
      </c>
      <c r="AC30" s="128" t="s">
        <v>12</v>
      </c>
      <c r="AD30" s="128" t="s">
        <v>13</v>
      </c>
      <c r="AE30" s="228" t="s">
        <v>152</v>
      </c>
      <c r="AF30" s="128" t="s">
        <v>12</v>
      </c>
      <c r="AG30" s="128" t="s">
        <v>13</v>
      </c>
      <c r="AH30" s="228" t="s">
        <v>152</v>
      </c>
      <c r="AI30" s="128" t="s">
        <v>12</v>
      </c>
      <c r="AJ30" s="128" t="s">
        <v>13</v>
      </c>
    </row>
    <row r="31" spans="1:36" ht="14.95" customHeight="1" thickBot="1" x14ac:dyDescent="0.3">
      <c r="A31" s="83" t="s">
        <v>1254</v>
      </c>
      <c r="B31" s="424">
        <v>0</v>
      </c>
      <c r="C31" s="421">
        <v>1</v>
      </c>
      <c r="D31" s="84">
        <f t="shared" si="0"/>
        <v>1</v>
      </c>
      <c r="E31" s="26" t="s">
        <v>1254</v>
      </c>
      <c r="F31" s="306">
        <v>0</v>
      </c>
      <c r="G31" s="423">
        <v>5</v>
      </c>
      <c r="H31" s="27">
        <f t="shared" si="2"/>
        <v>5</v>
      </c>
      <c r="I31" s="349" t="s">
        <v>1395</v>
      </c>
      <c r="J31" s="84" t="s">
        <v>17</v>
      </c>
      <c r="K31" s="84" t="s">
        <v>17</v>
      </c>
      <c r="L31" s="84" t="s">
        <v>17</v>
      </c>
      <c r="M31" s="228">
        <v>1</v>
      </c>
      <c r="N31" s="128">
        <v>2</v>
      </c>
      <c r="O31" s="128">
        <v>50</v>
      </c>
      <c r="P31" s="228" t="s">
        <v>17</v>
      </c>
      <c r="Q31" s="128" t="s">
        <v>17</v>
      </c>
      <c r="R31" s="128" t="s">
        <v>17</v>
      </c>
      <c r="S31" s="228" t="s">
        <v>17</v>
      </c>
      <c r="T31" s="128" t="s">
        <v>17</v>
      </c>
      <c r="U31" s="128" t="s">
        <v>17</v>
      </c>
      <c r="V31" s="121"/>
      <c r="W31" s="121"/>
      <c r="X31" s="121"/>
      <c r="Y31" s="228" t="s">
        <v>17</v>
      </c>
      <c r="Z31" s="128" t="s">
        <v>17</v>
      </c>
      <c r="AA31" s="128" t="s">
        <v>17</v>
      </c>
      <c r="AB31" s="228" t="s">
        <v>17</v>
      </c>
      <c r="AC31" s="128" t="s">
        <v>17</v>
      </c>
      <c r="AD31" s="128" t="s">
        <v>17</v>
      </c>
      <c r="AE31" s="228" t="s">
        <v>17</v>
      </c>
      <c r="AF31" s="128" t="s">
        <v>17</v>
      </c>
      <c r="AG31" s="128" t="s">
        <v>17</v>
      </c>
      <c r="AH31" s="228" t="s">
        <v>17</v>
      </c>
      <c r="AI31" s="128" t="s">
        <v>17</v>
      </c>
      <c r="AJ31" s="128" t="s">
        <v>17</v>
      </c>
    </row>
    <row r="32" spans="1:36" ht="14.95" customHeight="1" thickBot="1" x14ac:dyDescent="0.3">
      <c r="A32" s="83" t="s">
        <v>1443</v>
      </c>
      <c r="B32" s="424">
        <v>0</v>
      </c>
      <c r="C32" s="421">
        <v>1</v>
      </c>
      <c r="D32" s="84">
        <f t="shared" si="0"/>
        <v>1</v>
      </c>
      <c r="E32" s="26" t="s">
        <v>1443</v>
      </c>
      <c r="F32" s="306">
        <v>0</v>
      </c>
      <c r="G32" s="423">
        <v>5</v>
      </c>
      <c r="H32" s="27">
        <f t="shared" si="2"/>
        <v>5</v>
      </c>
      <c r="I32" s="83" t="s">
        <v>318</v>
      </c>
      <c r="J32" s="84" t="s">
        <v>17</v>
      </c>
      <c r="K32" s="84" t="s">
        <v>17</v>
      </c>
      <c r="L32" s="84" t="s">
        <v>17</v>
      </c>
      <c r="M32" s="128" t="s">
        <v>17</v>
      </c>
      <c r="N32" s="128" t="s">
        <v>17</v>
      </c>
      <c r="O32" s="128" t="s">
        <v>17</v>
      </c>
      <c r="P32" s="128" t="s">
        <v>17</v>
      </c>
      <c r="Q32" s="128" t="s">
        <v>17</v>
      </c>
      <c r="R32" s="128" t="s">
        <v>17</v>
      </c>
      <c r="S32" s="128">
        <v>4</v>
      </c>
      <c r="T32" s="128">
        <v>6</v>
      </c>
      <c r="U32" s="231">
        <f>SUM(S32/T32)*100</f>
        <v>66.666666666666657</v>
      </c>
      <c r="V32" s="121"/>
      <c r="W32" s="121"/>
      <c r="X32" s="121"/>
      <c r="Y32" s="228" t="s">
        <v>17</v>
      </c>
      <c r="Z32" s="128" t="s">
        <v>17</v>
      </c>
      <c r="AA32" s="128" t="s">
        <v>17</v>
      </c>
      <c r="AB32" s="228" t="s">
        <v>17</v>
      </c>
      <c r="AC32" s="128" t="s">
        <v>17</v>
      </c>
      <c r="AD32" s="128" t="s">
        <v>17</v>
      </c>
      <c r="AE32" s="228">
        <v>8</v>
      </c>
      <c r="AF32" s="128">
        <v>10</v>
      </c>
      <c r="AG32" s="231">
        <f>SUM(AE32/AF32)*100</f>
        <v>80</v>
      </c>
      <c r="AH32" s="228" t="s">
        <v>17</v>
      </c>
      <c r="AI32" s="128" t="s">
        <v>17</v>
      </c>
      <c r="AJ32" s="128" t="s">
        <v>17</v>
      </c>
    </row>
    <row r="33" spans="1:36" ht="14.95" customHeight="1" thickBot="1" x14ac:dyDescent="0.3">
      <c r="A33" s="83" t="s">
        <v>1080</v>
      </c>
      <c r="B33" s="424">
        <v>1</v>
      </c>
      <c r="C33" s="421">
        <v>0</v>
      </c>
      <c r="D33" s="84">
        <f t="shared" si="0"/>
        <v>1</v>
      </c>
      <c r="E33" s="26" t="s">
        <v>1080</v>
      </c>
      <c r="F33" s="306">
        <v>5</v>
      </c>
      <c r="G33" s="423">
        <v>0</v>
      </c>
      <c r="H33" s="27">
        <f t="shared" si="2"/>
        <v>5</v>
      </c>
      <c r="I33" s="83" t="s">
        <v>635</v>
      </c>
      <c r="J33" s="84">
        <v>12</v>
      </c>
      <c r="K33" s="84">
        <v>15</v>
      </c>
      <c r="L33" s="84">
        <f>SUM(J33/K33)*100</f>
        <v>80</v>
      </c>
      <c r="M33" s="128">
        <v>21</v>
      </c>
      <c r="N33" s="128">
        <v>26</v>
      </c>
      <c r="O33" s="128">
        <v>63</v>
      </c>
      <c r="P33" s="128" t="s">
        <v>17</v>
      </c>
      <c r="Q33" s="128" t="s">
        <v>17</v>
      </c>
      <c r="R33" s="128" t="s">
        <v>17</v>
      </c>
      <c r="S33" s="128" t="s">
        <v>17</v>
      </c>
      <c r="T33" s="128" t="s">
        <v>17</v>
      </c>
      <c r="U33" s="128" t="s">
        <v>17</v>
      </c>
      <c r="V33" s="121"/>
      <c r="W33" s="121"/>
      <c r="X33" s="121"/>
      <c r="Y33" s="228">
        <v>3</v>
      </c>
      <c r="Z33" s="128">
        <v>5</v>
      </c>
      <c r="AA33" s="231">
        <f>SUM(Y33/Z33)*100</f>
        <v>60</v>
      </c>
      <c r="AB33" s="228" t="s">
        <v>17</v>
      </c>
      <c r="AC33" s="128" t="s">
        <v>17</v>
      </c>
      <c r="AD33" s="128" t="s">
        <v>17</v>
      </c>
      <c r="AE33" s="228" t="s">
        <v>17</v>
      </c>
      <c r="AF33" s="128" t="s">
        <v>17</v>
      </c>
      <c r="AG33" s="128" t="s">
        <v>17</v>
      </c>
      <c r="AH33" s="228">
        <v>8</v>
      </c>
      <c r="AI33" s="128">
        <v>10</v>
      </c>
      <c r="AJ33" s="231">
        <f>SUM(AH33/AI33)*100</f>
        <v>80</v>
      </c>
    </row>
    <row r="34" spans="1:36" ht="14.95" customHeight="1" thickBot="1" x14ac:dyDescent="0.3">
      <c r="A34" s="83" t="s">
        <v>728</v>
      </c>
      <c r="B34" s="424">
        <v>0</v>
      </c>
      <c r="C34" s="421">
        <v>1</v>
      </c>
      <c r="D34" s="84">
        <f t="shared" si="0"/>
        <v>1</v>
      </c>
      <c r="E34" s="26" t="s">
        <v>728</v>
      </c>
      <c r="F34" s="306">
        <v>0</v>
      </c>
      <c r="G34" s="423">
        <v>5</v>
      </c>
      <c r="H34" s="27">
        <f t="shared" si="2"/>
        <v>5</v>
      </c>
      <c r="I34" s="83" t="s">
        <v>504</v>
      </c>
      <c r="J34" s="84" t="s">
        <v>17</v>
      </c>
      <c r="K34" s="84" t="s">
        <v>17</v>
      </c>
      <c r="L34" s="84" t="s">
        <v>17</v>
      </c>
      <c r="M34" s="128" t="s">
        <v>17</v>
      </c>
      <c r="N34" s="128" t="s">
        <v>17</v>
      </c>
      <c r="O34" s="128" t="s">
        <v>17</v>
      </c>
      <c r="P34" s="128">
        <v>5</v>
      </c>
      <c r="Q34" s="128">
        <v>10</v>
      </c>
      <c r="R34" s="128">
        <f>SUM(P34/Q34)*100</f>
        <v>50</v>
      </c>
      <c r="S34" s="128" t="s">
        <v>17</v>
      </c>
      <c r="T34" s="128" t="s">
        <v>17</v>
      </c>
      <c r="U34" s="128" t="s">
        <v>17</v>
      </c>
      <c r="V34" s="121"/>
      <c r="W34" s="121"/>
      <c r="X34" s="121"/>
      <c r="Y34" s="228" t="s">
        <v>17</v>
      </c>
      <c r="Z34" s="128" t="s">
        <v>17</v>
      </c>
      <c r="AA34" s="128" t="s">
        <v>17</v>
      </c>
      <c r="AB34" s="232" t="s">
        <v>17</v>
      </c>
      <c r="AC34" s="128" t="s">
        <v>17</v>
      </c>
      <c r="AD34" s="128" t="s">
        <v>17</v>
      </c>
      <c r="AE34" s="232" t="s">
        <v>17</v>
      </c>
      <c r="AF34" s="128" t="s">
        <v>17</v>
      </c>
      <c r="AG34" s="128" t="s">
        <v>17</v>
      </c>
      <c r="AH34" s="128" t="s">
        <v>17</v>
      </c>
      <c r="AI34" s="128" t="s">
        <v>17</v>
      </c>
      <c r="AJ34" s="128" t="s">
        <v>17</v>
      </c>
    </row>
    <row r="35" spans="1:36" ht="14.95" customHeight="1" thickBot="1" x14ac:dyDescent="0.3">
      <c r="A35" s="83" t="s">
        <v>1345</v>
      </c>
      <c r="B35" s="424">
        <v>2</v>
      </c>
      <c r="C35" s="421">
        <v>0</v>
      </c>
      <c r="D35" s="84">
        <f t="shared" si="0"/>
        <v>2</v>
      </c>
      <c r="E35" s="26" t="s">
        <v>1345</v>
      </c>
      <c r="F35" s="306">
        <v>10</v>
      </c>
      <c r="G35" s="423">
        <v>0</v>
      </c>
      <c r="H35" s="27">
        <f t="shared" si="2"/>
        <v>10</v>
      </c>
      <c r="I35" s="83" t="s">
        <v>447</v>
      </c>
      <c r="J35" s="84" t="s">
        <v>17</v>
      </c>
      <c r="K35" s="84" t="s">
        <v>17</v>
      </c>
      <c r="L35" s="84" t="s">
        <v>17</v>
      </c>
      <c r="M35" s="128" t="s">
        <v>17</v>
      </c>
      <c r="N35" s="128" t="s">
        <v>17</v>
      </c>
      <c r="O35" s="128" t="s">
        <v>17</v>
      </c>
      <c r="P35" s="128">
        <v>1</v>
      </c>
      <c r="Q35" s="128">
        <v>1</v>
      </c>
      <c r="R35" s="128">
        <f>SUM(P35/Q35)*100</f>
        <v>100</v>
      </c>
      <c r="S35" s="128" t="s">
        <v>17</v>
      </c>
      <c r="T35" s="128" t="s">
        <v>17</v>
      </c>
      <c r="U35" s="128" t="s">
        <v>17</v>
      </c>
      <c r="V35" s="121"/>
      <c r="W35" s="121"/>
      <c r="X35" s="121"/>
      <c r="Y35" s="228" t="s">
        <v>17</v>
      </c>
      <c r="Z35" s="128" t="s">
        <v>17</v>
      </c>
      <c r="AA35" s="128" t="s">
        <v>17</v>
      </c>
      <c r="AB35" s="232" t="s">
        <v>17</v>
      </c>
      <c r="AC35" s="128" t="s">
        <v>17</v>
      </c>
      <c r="AD35" s="128" t="s">
        <v>17</v>
      </c>
      <c r="AE35" s="228" t="s">
        <v>17</v>
      </c>
      <c r="AF35" s="128" t="s">
        <v>17</v>
      </c>
      <c r="AG35" s="128" t="s">
        <v>17</v>
      </c>
      <c r="AH35" s="128" t="s">
        <v>17</v>
      </c>
      <c r="AI35" s="128" t="s">
        <v>17</v>
      </c>
      <c r="AJ35" s="128" t="s">
        <v>17</v>
      </c>
    </row>
    <row r="36" spans="1:36" ht="14.95" customHeight="1" thickBot="1" x14ac:dyDescent="0.3">
      <c r="A36" s="83" t="s">
        <v>504</v>
      </c>
      <c r="B36" s="424">
        <v>0</v>
      </c>
      <c r="C36" s="421">
        <v>0</v>
      </c>
      <c r="D36" s="84">
        <f t="shared" si="0"/>
        <v>0</v>
      </c>
      <c r="E36" s="26" t="s">
        <v>504</v>
      </c>
      <c r="F36" s="306">
        <v>0</v>
      </c>
      <c r="G36" s="423">
        <v>0</v>
      </c>
      <c r="H36" s="27">
        <f t="shared" si="2"/>
        <v>0</v>
      </c>
      <c r="I36" s="83" t="s">
        <v>534</v>
      </c>
      <c r="J36" s="84">
        <v>9</v>
      </c>
      <c r="K36" s="84">
        <v>13</v>
      </c>
      <c r="L36" s="84">
        <f>SUM(J36/K36)*100</f>
        <v>69.230769230769226</v>
      </c>
      <c r="M36" s="128" t="s">
        <v>17</v>
      </c>
      <c r="N36" s="128" t="s">
        <v>17</v>
      </c>
      <c r="O36" s="128" t="s">
        <v>17</v>
      </c>
      <c r="P36" s="128" t="s">
        <v>17</v>
      </c>
      <c r="Q36" s="128" t="s">
        <v>17</v>
      </c>
      <c r="R36" s="128" t="s">
        <v>17</v>
      </c>
      <c r="S36" s="128" t="s">
        <v>17</v>
      </c>
      <c r="T36" s="128" t="s">
        <v>17</v>
      </c>
      <c r="U36" s="128" t="s">
        <v>17</v>
      </c>
      <c r="V36" s="121"/>
      <c r="W36" s="121"/>
      <c r="X36" s="121"/>
      <c r="Y36" s="232" t="s">
        <v>17</v>
      </c>
      <c r="Z36" s="128" t="s">
        <v>17</v>
      </c>
      <c r="AA36" s="128" t="s">
        <v>17</v>
      </c>
      <c r="AB36" s="128" t="s">
        <v>17</v>
      </c>
      <c r="AC36" s="128" t="s">
        <v>17</v>
      </c>
      <c r="AD36" s="128" t="s">
        <v>17</v>
      </c>
      <c r="AE36" s="128" t="s">
        <v>17</v>
      </c>
      <c r="AF36" s="128" t="s">
        <v>17</v>
      </c>
      <c r="AG36" s="128" t="s">
        <v>17</v>
      </c>
      <c r="AH36" s="228" t="s">
        <v>17</v>
      </c>
      <c r="AI36" s="128" t="s">
        <v>17</v>
      </c>
      <c r="AJ36" s="128" t="s">
        <v>17</v>
      </c>
    </row>
    <row r="37" spans="1:36" ht="14.95" customHeight="1" thickBot="1" x14ac:dyDescent="0.3">
      <c r="A37" s="83" t="s">
        <v>725</v>
      </c>
      <c r="B37" s="424">
        <v>0</v>
      </c>
      <c r="C37" s="421">
        <v>0</v>
      </c>
      <c r="D37" s="84">
        <f t="shared" si="0"/>
        <v>0</v>
      </c>
      <c r="E37" s="26" t="s">
        <v>725</v>
      </c>
      <c r="F37" s="306">
        <v>0</v>
      </c>
      <c r="G37" s="423">
        <v>0</v>
      </c>
      <c r="H37" s="27">
        <f t="shared" si="2"/>
        <v>0</v>
      </c>
      <c r="I37" s="658"/>
      <c r="J37" s="659"/>
      <c r="K37" s="659"/>
      <c r="L37" s="659"/>
      <c r="M37" s="659"/>
      <c r="N37" s="659"/>
      <c r="O37" s="659"/>
      <c r="P37" s="659"/>
      <c r="Q37" s="659"/>
      <c r="R37" s="659"/>
      <c r="S37" s="659"/>
      <c r="T37" s="659"/>
      <c r="U37" s="659"/>
      <c r="V37" s="659"/>
      <c r="W37" s="659"/>
      <c r="X37" s="659"/>
      <c r="Y37" s="659"/>
      <c r="Z37" s="659"/>
      <c r="AA37" s="659"/>
      <c r="AB37" s="659"/>
      <c r="AC37" s="659"/>
      <c r="AD37" s="659"/>
      <c r="AE37" s="659"/>
      <c r="AF37" s="659"/>
      <c r="AG37" s="659"/>
      <c r="AH37" s="659"/>
      <c r="AI37" s="659"/>
      <c r="AJ37" s="659"/>
    </row>
    <row r="38" spans="1:36" ht="14.95" customHeight="1" thickBot="1" x14ac:dyDescent="0.3">
      <c r="A38" s="83" t="s">
        <v>267</v>
      </c>
      <c r="B38" s="424">
        <v>0</v>
      </c>
      <c r="C38" s="421">
        <v>0</v>
      </c>
      <c r="D38" s="84">
        <f t="shared" si="0"/>
        <v>0</v>
      </c>
      <c r="E38" s="26" t="s">
        <v>267</v>
      </c>
      <c r="F38" s="306">
        <v>0</v>
      </c>
      <c r="G38" s="423">
        <v>0</v>
      </c>
      <c r="H38" s="27">
        <f t="shared" si="2"/>
        <v>0</v>
      </c>
    </row>
    <row r="39" spans="1:36" ht="14.95" customHeight="1" thickBot="1" x14ac:dyDescent="0.3">
      <c r="A39" s="83" t="s">
        <v>405</v>
      </c>
      <c r="B39" s="424">
        <v>0</v>
      </c>
      <c r="C39" s="421">
        <v>0</v>
      </c>
      <c r="D39" s="84">
        <f t="shared" si="0"/>
        <v>0</v>
      </c>
      <c r="E39" s="26" t="s">
        <v>405</v>
      </c>
      <c r="F39" s="306">
        <v>0</v>
      </c>
      <c r="G39" s="423">
        <v>0</v>
      </c>
      <c r="H39" s="27">
        <f t="shared" si="2"/>
        <v>0</v>
      </c>
    </row>
    <row r="40" spans="1:36" ht="14.95" customHeight="1" thickBot="1" x14ac:dyDescent="0.3">
      <c r="A40" s="83" t="s">
        <v>1138</v>
      </c>
      <c r="B40" s="424">
        <v>0</v>
      </c>
      <c r="C40" s="421">
        <v>0</v>
      </c>
      <c r="D40" s="84">
        <f t="shared" si="0"/>
        <v>0</v>
      </c>
      <c r="E40" s="26" t="s">
        <v>1138</v>
      </c>
      <c r="F40" s="306">
        <v>0</v>
      </c>
      <c r="G40" s="423">
        <v>0</v>
      </c>
      <c r="H40" s="27">
        <f t="shared" si="2"/>
        <v>0</v>
      </c>
    </row>
    <row r="41" spans="1:36" ht="14.95" customHeight="1" thickBot="1" x14ac:dyDescent="0.3">
      <c r="A41" s="83" t="s">
        <v>534</v>
      </c>
      <c r="B41" s="424">
        <v>0</v>
      </c>
      <c r="C41" s="421">
        <v>0</v>
      </c>
      <c r="D41" s="84">
        <f t="shared" si="0"/>
        <v>0</v>
      </c>
      <c r="E41" s="26" t="s">
        <v>534</v>
      </c>
      <c r="F41" s="306">
        <v>20</v>
      </c>
      <c r="G41" s="423">
        <v>0</v>
      </c>
      <c r="H41" s="27">
        <f t="shared" si="2"/>
        <v>20</v>
      </c>
    </row>
    <row r="42" spans="1:36" ht="14.95" thickBot="1" x14ac:dyDescent="0.3">
      <c r="A42" s="83" t="s">
        <v>1374</v>
      </c>
      <c r="B42" s="424">
        <v>2</v>
      </c>
      <c r="C42" s="421">
        <v>0</v>
      </c>
      <c r="D42" s="84">
        <f t="shared" si="0"/>
        <v>2</v>
      </c>
      <c r="E42" s="26" t="s">
        <v>1374</v>
      </c>
      <c r="F42" s="306">
        <v>10</v>
      </c>
      <c r="G42" s="423">
        <v>0</v>
      </c>
      <c r="H42" s="27">
        <f t="shared" si="2"/>
        <v>10</v>
      </c>
    </row>
    <row r="43" spans="1:36" ht="14.95" thickBot="1" x14ac:dyDescent="0.3">
      <c r="A43" s="83" t="s">
        <v>501</v>
      </c>
      <c r="B43" s="424">
        <v>0</v>
      </c>
      <c r="C43" s="421">
        <v>2</v>
      </c>
      <c r="D43" s="84">
        <f t="shared" ref="D43" si="3">SUM(B43:C43)</f>
        <v>2</v>
      </c>
      <c r="E43" s="26" t="s">
        <v>501</v>
      </c>
      <c r="F43" s="306">
        <v>0</v>
      </c>
      <c r="G43" s="423">
        <v>10</v>
      </c>
      <c r="H43" s="27">
        <f t="shared" ref="H43" si="4">SUM(F43:G43)</f>
        <v>10</v>
      </c>
    </row>
    <row r="44" spans="1:36" ht="14.95" thickBot="1" x14ac:dyDescent="0.3">
      <c r="A44" s="83" t="s">
        <v>1081</v>
      </c>
      <c r="B44" s="424">
        <v>1</v>
      </c>
      <c r="C44" s="421">
        <v>0</v>
      </c>
      <c r="D44" s="84">
        <f t="shared" si="0"/>
        <v>1</v>
      </c>
      <c r="E44" s="26" t="s">
        <v>1081</v>
      </c>
      <c r="F44" s="306">
        <v>5</v>
      </c>
      <c r="G44" s="423">
        <v>0</v>
      </c>
      <c r="H44" s="27">
        <f t="shared" si="2"/>
        <v>5</v>
      </c>
    </row>
    <row r="45" spans="1:36" ht="14.95" thickBot="1" x14ac:dyDescent="0.3">
      <c r="A45" s="83" t="s">
        <v>3</v>
      </c>
      <c r="B45" s="424">
        <f>SUM(B3:B44)</f>
        <v>22</v>
      </c>
      <c r="C45" s="421">
        <f>SUM(C3:C44)</f>
        <v>17</v>
      </c>
      <c r="D45" s="84">
        <f>SUM(D3:D44)</f>
        <v>39</v>
      </c>
      <c r="E45" s="26" t="s">
        <v>3</v>
      </c>
      <c r="F45" s="306">
        <f>SUM(F3:F44)</f>
        <v>157</v>
      </c>
      <c r="G45" s="423">
        <f>SUM(G3:G44)</f>
        <v>127</v>
      </c>
      <c r="H45" s="27">
        <f>SUM(H3:H44)</f>
        <v>284</v>
      </c>
    </row>
    <row r="46" spans="1:36" x14ac:dyDescent="0.25">
      <c r="E46" s="11"/>
      <c r="F46" s="11"/>
      <c r="G46" s="11"/>
      <c r="H46" s="11"/>
    </row>
    <row r="47" spans="1:36" ht="14.95" thickBot="1" x14ac:dyDescent="0.3">
      <c r="A47" t="s">
        <v>15</v>
      </c>
      <c r="E47" s="8"/>
      <c r="F47" s="8"/>
      <c r="G47" s="8"/>
      <c r="H47" s="8"/>
    </row>
    <row r="48" spans="1:36" ht="14.95" thickBot="1" x14ac:dyDescent="0.3">
      <c r="A48" s="190" t="s">
        <v>0</v>
      </c>
      <c r="B48" s="191" t="s">
        <v>936</v>
      </c>
      <c r="C48" s="420" t="s">
        <v>31</v>
      </c>
      <c r="D48" s="192" t="s">
        <v>1</v>
      </c>
      <c r="E48" s="175" t="s">
        <v>2</v>
      </c>
      <c r="F48" s="177" t="s">
        <v>936</v>
      </c>
      <c r="G48" s="422" t="s">
        <v>31</v>
      </c>
      <c r="H48" s="178" t="s">
        <v>1</v>
      </c>
    </row>
    <row r="49" spans="1:8" ht="14.95" thickBot="1" x14ac:dyDescent="0.3">
      <c r="A49" s="83" t="s">
        <v>502</v>
      </c>
      <c r="B49" s="424">
        <v>5</v>
      </c>
      <c r="C49" s="421">
        <v>2</v>
      </c>
      <c r="D49" s="84">
        <f t="shared" ref="D49:D90" si="5">SUM(B49:C49)</f>
        <v>7</v>
      </c>
      <c r="E49" s="25" t="s">
        <v>635</v>
      </c>
      <c r="F49" s="306">
        <v>27</v>
      </c>
      <c r="G49" s="423">
        <v>23</v>
      </c>
      <c r="H49" s="27">
        <f t="shared" ref="H49:H90" si="6">SUM(F49:G49)</f>
        <v>50</v>
      </c>
    </row>
    <row r="50" spans="1:8" ht="14.95" thickBot="1" x14ac:dyDescent="0.3">
      <c r="A50" s="83" t="s">
        <v>642</v>
      </c>
      <c r="B50" s="424">
        <v>3</v>
      </c>
      <c r="C50" s="421">
        <v>3</v>
      </c>
      <c r="D50" s="84">
        <f t="shared" si="5"/>
        <v>6</v>
      </c>
      <c r="E50" s="26" t="s">
        <v>502</v>
      </c>
      <c r="F50" s="306">
        <v>25</v>
      </c>
      <c r="G50" s="423">
        <v>10</v>
      </c>
      <c r="H50" s="27">
        <f t="shared" si="6"/>
        <v>35</v>
      </c>
    </row>
    <row r="51" spans="1:8" ht="14.95" thickBot="1" x14ac:dyDescent="0.3">
      <c r="A51" s="83" t="s">
        <v>1375</v>
      </c>
      <c r="B51" s="424">
        <v>3</v>
      </c>
      <c r="C51" s="421">
        <v>1</v>
      </c>
      <c r="D51" s="84">
        <f t="shared" si="5"/>
        <v>4</v>
      </c>
      <c r="E51" s="26" t="s">
        <v>642</v>
      </c>
      <c r="F51" s="306">
        <v>15</v>
      </c>
      <c r="G51" s="423">
        <v>15</v>
      </c>
      <c r="H51" s="27">
        <f t="shared" si="6"/>
        <v>30</v>
      </c>
    </row>
    <row r="52" spans="1:8" ht="14.95" thickBot="1" x14ac:dyDescent="0.3">
      <c r="A52" s="83" t="s">
        <v>560</v>
      </c>
      <c r="B52" s="424">
        <v>1</v>
      </c>
      <c r="C52" s="421">
        <v>2</v>
      </c>
      <c r="D52" s="84">
        <f t="shared" si="5"/>
        <v>3</v>
      </c>
      <c r="E52" s="26" t="s">
        <v>560</v>
      </c>
      <c r="F52" s="306">
        <v>5</v>
      </c>
      <c r="G52" s="423">
        <v>16</v>
      </c>
      <c r="H52" s="27">
        <f t="shared" si="6"/>
        <v>21</v>
      </c>
    </row>
    <row r="53" spans="1:8" ht="14.95" thickBot="1" x14ac:dyDescent="0.3">
      <c r="A53" s="83" t="s">
        <v>1346</v>
      </c>
      <c r="B53" s="424">
        <v>3</v>
      </c>
      <c r="C53" s="421">
        <v>0</v>
      </c>
      <c r="D53" s="84">
        <f t="shared" si="5"/>
        <v>3</v>
      </c>
      <c r="E53" s="26" t="s">
        <v>1375</v>
      </c>
      <c r="F53" s="306">
        <v>15</v>
      </c>
      <c r="G53" s="423">
        <v>5</v>
      </c>
      <c r="H53" s="27">
        <f t="shared" si="6"/>
        <v>20</v>
      </c>
    </row>
    <row r="54" spans="1:8" ht="14.95" thickBot="1" x14ac:dyDescent="0.3">
      <c r="A54" s="83" t="s">
        <v>1345</v>
      </c>
      <c r="B54" s="424">
        <v>2</v>
      </c>
      <c r="C54" s="421">
        <v>0</v>
      </c>
      <c r="D54" s="84">
        <f t="shared" si="5"/>
        <v>2</v>
      </c>
      <c r="E54" s="26" t="s">
        <v>534</v>
      </c>
      <c r="F54" s="306">
        <v>20</v>
      </c>
      <c r="G54" s="423">
        <v>0</v>
      </c>
      <c r="H54" s="27">
        <f t="shared" si="6"/>
        <v>20</v>
      </c>
    </row>
    <row r="55" spans="1:8" ht="14.95" thickBot="1" x14ac:dyDescent="0.3">
      <c r="A55" s="83" t="s">
        <v>1374</v>
      </c>
      <c r="B55" s="424">
        <v>2</v>
      </c>
      <c r="C55" s="421">
        <v>0</v>
      </c>
      <c r="D55" s="84">
        <f t="shared" si="5"/>
        <v>2</v>
      </c>
      <c r="E55" s="26" t="s">
        <v>1012</v>
      </c>
      <c r="F55" s="29">
        <v>0</v>
      </c>
      <c r="G55" s="423">
        <v>16</v>
      </c>
      <c r="H55" s="27">
        <f t="shared" si="6"/>
        <v>16</v>
      </c>
    </row>
    <row r="56" spans="1:8" ht="14.95" thickBot="1" x14ac:dyDescent="0.3">
      <c r="A56" s="83" t="s">
        <v>501</v>
      </c>
      <c r="B56" s="424">
        <v>0</v>
      </c>
      <c r="C56" s="421">
        <v>2</v>
      </c>
      <c r="D56" s="84">
        <f t="shared" si="5"/>
        <v>2</v>
      </c>
      <c r="E56" s="26" t="s">
        <v>1346</v>
      </c>
      <c r="F56" s="306">
        <v>15</v>
      </c>
      <c r="G56" s="423">
        <v>0</v>
      </c>
      <c r="H56" s="27">
        <f t="shared" si="6"/>
        <v>15</v>
      </c>
    </row>
    <row r="57" spans="1:8" ht="14.95" thickBot="1" x14ac:dyDescent="0.3">
      <c r="A57" s="83" t="s">
        <v>1078</v>
      </c>
      <c r="B57" s="424">
        <v>0</v>
      </c>
      <c r="C57" s="421">
        <v>1</v>
      </c>
      <c r="D57" s="84">
        <f t="shared" si="5"/>
        <v>1</v>
      </c>
      <c r="E57" s="26" t="s">
        <v>1345</v>
      </c>
      <c r="F57" s="306">
        <v>10</v>
      </c>
      <c r="G57" s="423">
        <v>0</v>
      </c>
      <c r="H57" s="27">
        <f t="shared" si="6"/>
        <v>10</v>
      </c>
    </row>
    <row r="58" spans="1:8" ht="14.95" thickBot="1" x14ac:dyDescent="0.3">
      <c r="A58" s="83" t="s">
        <v>331</v>
      </c>
      <c r="B58" s="424">
        <v>1</v>
      </c>
      <c r="C58" s="421">
        <v>0</v>
      </c>
      <c r="D58" s="84">
        <f t="shared" si="5"/>
        <v>1</v>
      </c>
      <c r="E58" s="26" t="s">
        <v>1374</v>
      </c>
      <c r="F58" s="306">
        <v>10</v>
      </c>
      <c r="G58" s="423">
        <v>0</v>
      </c>
      <c r="H58" s="27">
        <f t="shared" si="6"/>
        <v>10</v>
      </c>
    </row>
    <row r="59" spans="1:8" ht="14.95" thickBot="1" x14ac:dyDescent="0.3">
      <c r="A59" s="83" t="s">
        <v>635</v>
      </c>
      <c r="B59" s="424">
        <v>0</v>
      </c>
      <c r="C59" s="421">
        <v>1</v>
      </c>
      <c r="D59" s="84">
        <f t="shared" si="5"/>
        <v>1</v>
      </c>
      <c r="E59" s="26" t="s">
        <v>501</v>
      </c>
      <c r="F59" s="306">
        <v>0</v>
      </c>
      <c r="G59" s="423">
        <v>10</v>
      </c>
      <c r="H59" s="27">
        <f t="shared" si="6"/>
        <v>10</v>
      </c>
    </row>
    <row r="60" spans="1:8" ht="14.95" thickBot="1" x14ac:dyDescent="0.3">
      <c r="A60" s="83" t="s">
        <v>4</v>
      </c>
      <c r="B60" s="424">
        <v>0</v>
      </c>
      <c r="C60" s="421">
        <v>1</v>
      </c>
      <c r="D60" s="84">
        <f t="shared" si="5"/>
        <v>1</v>
      </c>
      <c r="E60" s="26" t="s">
        <v>4</v>
      </c>
      <c r="F60" s="306">
        <v>0</v>
      </c>
      <c r="G60" s="423">
        <v>7</v>
      </c>
      <c r="H60" s="27">
        <f t="shared" si="6"/>
        <v>7</v>
      </c>
    </row>
    <row r="61" spans="1:8" ht="14.95" thickBot="1" x14ac:dyDescent="0.3">
      <c r="A61" s="83" t="s">
        <v>1423</v>
      </c>
      <c r="B61" s="424">
        <v>0</v>
      </c>
      <c r="C61" s="421">
        <v>1</v>
      </c>
      <c r="D61" s="84">
        <f t="shared" si="5"/>
        <v>1</v>
      </c>
      <c r="E61" s="26" t="s">
        <v>1078</v>
      </c>
      <c r="F61" s="306">
        <v>0</v>
      </c>
      <c r="G61" s="423">
        <v>5</v>
      </c>
      <c r="H61" s="27">
        <f t="shared" si="6"/>
        <v>5</v>
      </c>
    </row>
    <row r="62" spans="1:8" ht="14.95" thickBot="1" x14ac:dyDescent="0.3">
      <c r="A62" s="83" t="s">
        <v>1254</v>
      </c>
      <c r="B62" s="424">
        <v>0</v>
      </c>
      <c r="C62" s="421">
        <v>1</v>
      </c>
      <c r="D62" s="84">
        <f t="shared" si="5"/>
        <v>1</v>
      </c>
      <c r="E62" s="26" t="s">
        <v>331</v>
      </c>
      <c r="F62" s="306">
        <v>5</v>
      </c>
      <c r="G62" s="423">
        <v>0</v>
      </c>
      <c r="H62" s="27">
        <f t="shared" si="6"/>
        <v>5</v>
      </c>
    </row>
    <row r="63" spans="1:8" ht="14.95" thickBot="1" x14ac:dyDescent="0.3">
      <c r="A63" s="83" t="s">
        <v>1443</v>
      </c>
      <c r="B63" s="424">
        <v>0</v>
      </c>
      <c r="C63" s="421">
        <v>1</v>
      </c>
      <c r="D63" s="84">
        <f t="shared" si="5"/>
        <v>1</v>
      </c>
      <c r="E63" s="26" t="s">
        <v>1423</v>
      </c>
      <c r="F63" s="306">
        <v>0</v>
      </c>
      <c r="G63" s="423">
        <v>5</v>
      </c>
      <c r="H63" s="27">
        <f t="shared" si="6"/>
        <v>5</v>
      </c>
    </row>
    <row r="64" spans="1:8" ht="14.95" thickBot="1" x14ac:dyDescent="0.3">
      <c r="A64" s="83" t="s">
        <v>1080</v>
      </c>
      <c r="B64" s="424">
        <v>1</v>
      </c>
      <c r="C64" s="421">
        <v>0</v>
      </c>
      <c r="D64" s="84">
        <f t="shared" si="5"/>
        <v>1</v>
      </c>
      <c r="E64" s="26" t="s">
        <v>1254</v>
      </c>
      <c r="F64" s="306">
        <v>0</v>
      </c>
      <c r="G64" s="423">
        <v>5</v>
      </c>
      <c r="H64" s="27">
        <f t="shared" si="6"/>
        <v>5</v>
      </c>
    </row>
    <row r="65" spans="1:8" ht="14.95" thickBot="1" x14ac:dyDescent="0.3">
      <c r="A65" s="83" t="s">
        <v>728</v>
      </c>
      <c r="B65" s="424">
        <v>0</v>
      </c>
      <c r="C65" s="421">
        <v>1</v>
      </c>
      <c r="D65" s="84">
        <f t="shared" si="5"/>
        <v>1</v>
      </c>
      <c r="E65" s="26" t="s">
        <v>1443</v>
      </c>
      <c r="F65" s="306">
        <v>0</v>
      </c>
      <c r="G65" s="423">
        <v>5</v>
      </c>
      <c r="H65" s="27">
        <f t="shared" si="6"/>
        <v>5</v>
      </c>
    </row>
    <row r="66" spans="1:8" ht="14.95" thickBot="1" x14ac:dyDescent="0.3">
      <c r="A66" s="83" t="s">
        <v>1081</v>
      </c>
      <c r="B66" s="424">
        <v>1</v>
      </c>
      <c r="C66" s="421">
        <v>0</v>
      </c>
      <c r="D66" s="84">
        <f t="shared" si="5"/>
        <v>1</v>
      </c>
      <c r="E66" s="26" t="s">
        <v>1080</v>
      </c>
      <c r="F66" s="306">
        <v>5</v>
      </c>
      <c r="G66" s="423">
        <v>0</v>
      </c>
      <c r="H66" s="27">
        <f t="shared" si="6"/>
        <v>5</v>
      </c>
    </row>
    <row r="67" spans="1:8" ht="14.95" thickBot="1" x14ac:dyDescent="0.3">
      <c r="A67" s="83" t="s">
        <v>1012</v>
      </c>
      <c r="B67" s="193">
        <v>0</v>
      </c>
      <c r="C67" s="421">
        <v>0</v>
      </c>
      <c r="D67" s="84">
        <f t="shared" si="5"/>
        <v>0</v>
      </c>
      <c r="E67" s="26" t="s">
        <v>728</v>
      </c>
      <c r="F67" s="306">
        <v>0</v>
      </c>
      <c r="G67" s="423">
        <v>5</v>
      </c>
      <c r="H67" s="27">
        <f t="shared" si="6"/>
        <v>5</v>
      </c>
    </row>
    <row r="68" spans="1:8" ht="14.95" thickBot="1" x14ac:dyDescent="0.3">
      <c r="A68" s="83" t="s">
        <v>1063</v>
      </c>
      <c r="B68" s="424">
        <v>0</v>
      </c>
      <c r="C68" s="421">
        <v>0</v>
      </c>
      <c r="D68" s="84">
        <f t="shared" si="5"/>
        <v>0</v>
      </c>
      <c r="E68" s="26" t="s">
        <v>1081</v>
      </c>
      <c r="F68" s="306">
        <v>5</v>
      </c>
      <c r="G68" s="423">
        <v>0</v>
      </c>
      <c r="H68" s="27">
        <f t="shared" si="6"/>
        <v>5</v>
      </c>
    </row>
    <row r="69" spans="1:8" ht="14.95" thickBot="1" x14ac:dyDescent="0.3">
      <c r="A69" s="83" t="s">
        <v>544</v>
      </c>
      <c r="B69" s="424">
        <v>0</v>
      </c>
      <c r="C69" s="421">
        <v>0</v>
      </c>
      <c r="D69" s="84">
        <f t="shared" si="5"/>
        <v>0</v>
      </c>
      <c r="E69" s="26" t="s">
        <v>1063</v>
      </c>
      <c r="F69" s="306">
        <v>0</v>
      </c>
      <c r="G69" s="423">
        <v>0</v>
      </c>
      <c r="H69" s="27">
        <f t="shared" si="6"/>
        <v>0</v>
      </c>
    </row>
    <row r="70" spans="1:8" ht="14.95" thickBot="1" x14ac:dyDescent="0.3">
      <c r="A70" s="83" t="s">
        <v>948</v>
      </c>
      <c r="B70" s="424">
        <v>0</v>
      </c>
      <c r="C70" s="421">
        <v>0</v>
      </c>
      <c r="D70" s="84">
        <f t="shared" si="5"/>
        <v>0</v>
      </c>
      <c r="E70" s="26" t="s">
        <v>544</v>
      </c>
      <c r="F70" s="306">
        <v>0</v>
      </c>
      <c r="G70" s="423">
        <v>0</v>
      </c>
      <c r="H70" s="27">
        <f t="shared" si="6"/>
        <v>0</v>
      </c>
    </row>
    <row r="71" spans="1:8" ht="14.95" thickBot="1" x14ac:dyDescent="0.3">
      <c r="A71" s="83" t="s">
        <v>1079</v>
      </c>
      <c r="B71" s="424">
        <v>0</v>
      </c>
      <c r="C71" s="421">
        <v>0</v>
      </c>
      <c r="D71" s="84">
        <f t="shared" si="5"/>
        <v>0</v>
      </c>
      <c r="E71" s="26" t="s">
        <v>948</v>
      </c>
      <c r="F71" s="306">
        <v>0</v>
      </c>
      <c r="G71" s="423">
        <v>0</v>
      </c>
      <c r="H71" s="267">
        <f t="shared" si="6"/>
        <v>0</v>
      </c>
    </row>
    <row r="72" spans="1:8" ht="14.95" thickBot="1" x14ac:dyDescent="0.3">
      <c r="A72" s="83" t="s">
        <v>731</v>
      </c>
      <c r="B72" s="424">
        <v>0</v>
      </c>
      <c r="C72" s="421">
        <v>0</v>
      </c>
      <c r="D72" s="84">
        <f t="shared" si="5"/>
        <v>0</v>
      </c>
      <c r="E72" s="26" t="s">
        <v>1079</v>
      </c>
      <c r="F72" s="306">
        <v>0</v>
      </c>
      <c r="G72" s="423">
        <v>0</v>
      </c>
      <c r="H72" s="27">
        <f t="shared" si="6"/>
        <v>0</v>
      </c>
    </row>
    <row r="73" spans="1:8" ht="14.95" thickBot="1" x14ac:dyDescent="0.3">
      <c r="A73" s="83" t="s">
        <v>503</v>
      </c>
      <c r="B73" s="424">
        <v>0</v>
      </c>
      <c r="C73" s="421">
        <v>0</v>
      </c>
      <c r="D73" s="84">
        <f t="shared" si="5"/>
        <v>0</v>
      </c>
      <c r="E73" s="26" t="s">
        <v>731</v>
      </c>
      <c r="F73" s="306">
        <v>0</v>
      </c>
      <c r="G73" s="423">
        <v>0</v>
      </c>
      <c r="H73" s="27">
        <f t="shared" si="6"/>
        <v>0</v>
      </c>
    </row>
    <row r="74" spans="1:8" ht="14.95" thickBot="1" x14ac:dyDescent="0.3">
      <c r="A74" s="83" t="s">
        <v>1093</v>
      </c>
      <c r="B74" s="424">
        <v>0</v>
      </c>
      <c r="C74" s="421">
        <v>0</v>
      </c>
      <c r="D74" s="84">
        <f t="shared" si="5"/>
        <v>0</v>
      </c>
      <c r="E74" s="26" t="s">
        <v>503</v>
      </c>
      <c r="F74" s="306">
        <v>0</v>
      </c>
      <c r="G74" s="423">
        <v>0</v>
      </c>
      <c r="H74" s="27">
        <f t="shared" si="6"/>
        <v>0</v>
      </c>
    </row>
    <row r="75" spans="1:8" ht="14.95" thickBot="1" x14ac:dyDescent="0.3">
      <c r="A75" s="83" t="s">
        <v>164</v>
      </c>
      <c r="B75" s="424">
        <v>0</v>
      </c>
      <c r="C75" s="421">
        <v>0</v>
      </c>
      <c r="D75" s="84">
        <f t="shared" si="5"/>
        <v>0</v>
      </c>
      <c r="E75" s="26" t="s">
        <v>1093</v>
      </c>
      <c r="F75" s="306">
        <v>0</v>
      </c>
      <c r="G75" s="423">
        <v>0</v>
      </c>
      <c r="H75" s="27">
        <f t="shared" si="6"/>
        <v>0</v>
      </c>
    </row>
    <row r="76" spans="1:8" ht="14.95" thickBot="1" x14ac:dyDescent="0.3">
      <c r="A76" s="83" t="s">
        <v>730</v>
      </c>
      <c r="B76" s="424">
        <v>0</v>
      </c>
      <c r="C76" s="421">
        <v>0</v>
      </c>
      <c r="D76" s="84">
        <f t="shared" si="5"/>
        <v>0</v>
      </c>
      <c r="E76" s="26" t="s">
        <v>164</v>
      </c>
      <c r="F76" s="306">
        <v>0</v>
      </c>
      <c r="G76" s="423">
        <v>0</v>
      </c>
      <c r="H76" s="27">
        <f t="shared" si="6"/>
        <v>0</v>
      </c>
    </row>
    <row r="77" spans="1:8" ht="14.95" thickBot="1" x14ac:dyDescent="0.3">
      <c r="A77" s="83" t="s">
        <v>643</v>
      </c>
      <c r="B77" s="424">
        <v>0</v>
      </c>
      <c r="C77" s="421">
        <v>0</v>
      </c>
      <c r="D77" s="84">
        <f t="shared" si="5"/>
        <v>0</v>
      </c>
      <c r="E77" s="26" t="s">
        <v>730</v>
      </c>
      <c r="F77" s="306">
        <v>0</v>
      </c>
      <c r="G77" s="423">
        <v>0</v>
      </c>
      <c r="H77" s="27">
        <f t="shared" si="6"/>
        <v>0</v>
      </c>
    </row>
    <row r="78" spans="1:8" ht="14.95" thickBot="1" x14ac:dyDescent="0.3">
      <c r="A78" s="83" t="s">
        <v>226</v>
      </c>
      <c r="B78" s="424">
        <v>0</v>
      </c>
      <c r="C78" s="421">
        <v>0</v>
      </c>
      <c r="D78" s="84">
        <f t="shared" si="5"/>
        <v>0</v>
      </c>
      <c r="E78" s="26" t="s">
        <v>643</v>
      </c>
      <c r="F78" s="306">
        <v>0</v>
      </c>
      <c r="G78" s="423">
        <v>0</v>
      </c>
      <c r="H78" s="27">
        <f t="shared" si="6"/>
        <v>0</v>
      </c>
    </row>
    <row r="79" spans="1:8" ht="14.95" thickBot="1" x14ac:dyDescent="0.3">
      <c r="A79" s="83" t="s">
        <v>724</v>
      </c>
      <c r="B79" s="424">
        <v>0</v>
      </c>
      <c r="C79" s="421">
        <v>0</v>
      </c>
      <c r="D79" s="84">
        <f t="shared" si="5"/>
        <v>0</v>
      </c>
      <c r="E79" s="26" t="s">
        <v>226</v>
      </c>
      <c r="F79" s="306">
        <v>0</v>
      </c>
      <c r="G79" s="423">
        <v>0</v>
      </c>
      <c r="H79" s="27">
        <f t="shared" si="6"/>
        <v>0</v>
      </c>
    </row>
    <row r="80" spans="1:8" ht="14.95" thickBot="1" x14ac:dyDescent="0.3">
      <c r="A80" s="83" t="s">
        <v>57</v>
      </c>
      <c r="B80" s="424">
        <v>0</v>
      </c>
      <c r="C80" s="421">
        <v>0</v>
      </c>
      <c r="D80" s="84">
        <f t="shared" si="5"/>
        <v>0</v>
      </c>
      <c r="E80" s="26" t="s">
        <v>724</v>
      </c>
      <c r="F80" s="306">
        <v>0</v>
      </c>
      <c r="G80" s="423">
        <v>0</v>
      </c>
      <c r="H80" s="27">
        <f t="shared" si="6"/>
        <v>0</v>
      </c>
    </row>
    <row r="81" spans="1:8" ht="14.95" thickBot="1" x14ac:dyDescent="0.3">
      <c r="A81" s="83" t="s">
        <v>727</v>
      </c>
      <c r="B81" s="424">
        <v>0</v>
      </c>
      <c r="C81" s="421">
        <v>0</v>
      </c>
      <c r="D81" s="84">
        <f t="shared" si="5"/>
        <v>0</v>
      </c>
      <c r="E81" s="26" t="s">
        <v>57</v>
      </c>
      <c r="F81" s="306">
        <v>0</v>
      </c>
      <c r="G81" s="423">
        <v>0</v>
      </c>
      <c r="H81" s="27">
        <f t="shared" si="6"/>
        <v>0</v>
      </c>
    </row>
    <row r="82" spans="1:8" ht="14.95" thickBot="1" x14ac:dyDescent="0.3">
      <c r="A82" s="83" t="s">
        <v>729</v>
      </c>
      <c r="B82" s="424">
        <v>0</v>
      </c>
      <c r="C82" s="421">
        <v>0</v>
      </c>
      <c r="D82" s="84">
        <f t="shared" si="5"/>
        <v>0</v>
      </c>
      <c r="E82" s="26" t="s">
        <v>727</v>
      </c>
      <c r="F82" s="306">
        <v>0</v>
      </c>
      <c r="G82" s="423">
        <v>0</v>
      </c>
      <c r="H82" s="27">
        <f t="shared" si="6"/>
        <v>0</v>
      </c>
    </row>
    <row r="83" spans="1:8" ht="14.95" thickBot="1" x14ac:dyDescent="0.3">
      <c r="A83" s="83" t="s">
        <v>726</v>
      </c>
      <c r="B83" s="424">
        <v>0</v>
      </c>
      <c r="C83" s="421">
        <v>0</v>
      </c>
      <c r="D83" s="84">
        <f t="shared" si="5"/>
        <v>0</v>
      </c>
      <c r="E83" s="26" t="s">
        <v>729</v>
      </c>
      <c r="F83" s="306">
        <v>0</v>
      </c>
      <c r="G83" s="423">
        <v>0</v>
      </c>
      <c r="H83" s="27">
        <f t="shared" si="6"/>
        <v>0</v>
      </c>
    </row>
    <row r="84" spans="1:8" ht="14.95" thickBot="1" x14ac:dyDescent="0.3">
      <c r="A84" s="83" t="s">
        <v>217</v>
      </c>
      <c r="B84" s="424">
        <v>0</v>
      </c>
      <c r="C84" s="421">
        <v>0</v>
      </c>
      <c r="D84" s="84">
        <f t="shared" si="5"/>
        <v>0</v>
      </c>
      <c r="E84" s="26" t="s">
        <v>726</v>
      </c>
      <c r="F84" s="306">
        <v>0</v>
      </c>
      <c r="G84" s="423">
        <v>0</v>
      </c>
      <c r="H84" s="27">
        <f t="shared" si="6"/>
        <v>0</v>
      </c>
    </row>
    <row r="85" spans="1:8" ht="14.95" thickBot="1" x14ac:dyDescent="0.3">
      <c r="A85" s="83" t="s">
        <v>504</v>
      </c>
      <c r="B85" s="424">
        <v>0</v>
      </c>
      <c r="C85" s="421">
        <v>0</v>
      </c>
      <c r="D85" s="84">
        <f t="shared" si="5"/>
        <v>0</v>
      </c>
      <c r="E85" s="26" t="s">
        <v>217</v>
      </c>
      <c r="F85" s="306">
        <v>0</v>
      </c>
      <c r="G85" s="423">
        <v>0</v>
      </c>
      <c r="H85" s="27">
        <f t="shared" si="6"/>
        <v>0</v>
      </c>
    </row>
    <row r="86" spans="1:8" ht="14.95" thickBot="1" x14ac:dyDescent="0.3">
      <c r="A86" s="83" t="s">
        <v>725</v>
      </c>
      <c r="B86" s="424">
        <v>0</v>
      </c>
      <c r="C86" s="421">
        <v>0</v>
      </c>
      <c r="D86" s="84">
        <f t="shared" si="5"/>
        <v>0</v>
      </c>
      <c r="E86" s="26" t="s">
        <v>504</v>
      </c>
      <c r="F86" s="306">
        <v>0</v>
      </c>
      <c r="G86" s="423">
        <v>0</v>
      </c>
      <c r="H86" s="27">
        <f t="shared" si="6"/>
        <v>0</v>
      </c>
    </row>
    <row r="87" spans="1:8" ht="14.95" thickBot="1" x14ac:dyDescent="0.3">
      <c r="A87" s="83" t="s">
        <v>267</v>
      </c>
      <c r="B87" s="424">
        <v>0</v>
      </c>
      <c r="C87" s="421">
        <v>0</v>
      </c>
      <c r="D87" s="84">
        <f t="shared" si="5"/>
        <v>0</v>
      </c>
      <c r="E87" s="26" t="s">
        <v>725</v>
      </c>
      <c r="F87" s="306">
        <v>0</v>
      </c>
      <c r="G87" s="423">
        <v>0</v>
      </c>
      <c r="H87" s="27">
        <f t="shared" si="6"/>
        <v>0</v>
      </c>
    </row>
    <row r="88" spans="1:8" ht="14.95" thickBot="1" x14ac:dyDescent="0.3">
      <c r="A88" s="83" t="s">
        <v>405</v>
      </c>
      <c r="B88" s="424">
        <v>0</v>
      </c>
      <c r="C88" s="421">
        <v>0</v>
      </c>
      <c r="D88" s="84">
        <f t="shared" si="5"/>
        <v>0</v>
      </c>
      <c r="E88" s="26" t="s">
        <v>267</v>
      </c>
      <c r="F88" s="306">
        <v>0</v>
      </c>
      <c r="G88" s="423">
        <v>0</v>
      </c>
      <c r="H88" s="27">
        <f t="shared" si="6"/>
        <v>0</v>
      </c>
    </row>
    <row r="89" spans="1:8" ht="14.95" thickBot="1" x14ac:dyDescent="0.3">
      <c r="A89" s="83" t="s">
        <v>1138</v>
      </c>
      <c r="B89" s="424">
        <v>0</v>
      </c>
      <c r="C89" s="421">
        <v>0</v>
      </c>
      <c r="D89" s="84">
        <f t="shared" si="5"/>
        <v>0</v>
      </c>
      <c r="E89" s="26" t="s">
        <v>405</v>
      </c>
      <c r="F89" s="306">
        <v>0</v>
      </c>
      <c r="G89" s="423">
        <v>0</v>
      </c>
      <c r="H89" s="27">
        <f t="shared" si="6"/>
        <v>0</v>
      </c>
    </row>
    <row r="90" spans="1:8" ht="14.95" thickBot="1" x14ac:dyDescent="0.3">
      <c r="A90" s="83" t="s">
        <v>534</v>
      </c>
      <c r="B90" s="424">
        <v>0</v>
      </c>
      <c r="C90" s="421">
        <v>0</v>
      </c>
      <c r="D90" s="84">
        <f t="shared" si="5"/>
        <v>0</v>
      </c>
      <c r="E90" s="26" t="s">
        <v>1138</v>
      </c>
      <c r="F90" s="306">
        <v>0</v>
      </c>
      <c r="G90" s="423">
        <v>0</v>
      </c>
      <c r="H90" s="27">
        <f t="shared" si="6"/>
        <v>0</v>
      </c>
    </row>
    <row r="91" spans="1:8" ht="14.95" thickBot="1" x14ac:dyDescent="0.3">
      <c r="A91" s="83" t="s">
        <v>3</v>
      </c>
      <c r="B91" s="424">
        <f>SUM(B49:B90)</f>
        <v>22</v>
      </c>
      <c r="C91" s="421">
        <f>SUM(C49:C90)</f>
        <v>17</v>
      </c>
      <c r="D91" s="84">
        <f>SUM(D49:D90)</f>
        <v>39</v>
      </c>
      <c r="E91" s="26" t="s">
        <v>3</v>
      </c>
      <c r="F91" s="306">
        <f>SUM(F49:F90)</f>
        <v>157</v>
      </c>
      <c r="G91" s="423">
        <f>SUM(G49:G90)</f>
        <v>127</v>
      </c>
      <c r="H91" s="27">
        <f>SUM(H49:H90)</f>
        <v>284</v>
      </c>
    </row>
    <row r="92" spans="1:8" ht="16.3" x14ac:dyDescent="0.3">
      <c r="A92" s="487" t="s">
        <v>28</v>
      </c>
    </row>
  </sheetData>
  <sortState xmlns:xlrd2="http://schemas.microsoft.com/office/spreadsheetml/2017/richdata2" ref="E49:H90">
    <sortCondition descending="1" ref="H49:H90"/>
  </sortState>
  <mergeCells count="29">
    <mergeCell ref="I28:I29"/>
    <mergeCell ref="A1:H1"/>
    <mergeCell ref="AB1:AD2"/>
    <mergeCell ref="Y28:AA29"/>
    <mergeCell ref="P28:R29"/>
    <mergeCell ref="P13:R14"/>
    <mergeCell ref="P1:P2"/>
    <mergeCell ref="T1:V2"/>
    <mergeCell ref="AN1:AP2"/>
    <mergeCell ref="AK1:AM2"/>
    <mergeCell ref="AE28:AG29"/>
    <mergeCell ref="AH1:AJ2"/>
    <mergeCell ref="AH28:AJ29"/>
    <mergeCell ref="I37:AJ37"/>
    <mergeCell ref="AE1:AG2"/>
    <mergeCell ref="AB28:AD29"/>
    <mergeCell ref="J28:L29"/>
    <mergeCell ref="I23:I24"/>
    <mergeCell ref="J23:L24"/>
    <mergeCell ref="M1:O2"/>
    <mergeCell ref="M28:O29"/>
    <mergeCell ref="I13:I14"/>
    <mergeCell ref="M13:O14"/>
    <mergeCell ref="I1:I2"/>
    <mergeCell ref="J1:L2"/>
    <mergeCell ref="J13:L14"/>
    <mergeCell ref="Y1:AA2"/>
    <mergeCell ref="S28:U29"/>
    <mergeCell ref="Q1:S2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Y120"/>
  <sheetViews>
    <sheetView zoomScaleNormal="100" workbookViewId="0">
      <selection activeCell="V21" sqref="V21"/>
    </sheetView>
  </sheetViews>
  <sheetFormatPr defaultRowHeight="14.3" x14ac:dyDescent="0.25"/>
  <cols>
    <col min="1" max="1" width="16.5" customWidth="1"/>
    <col min="2" max="3" width="4.5" customWidth="1"/>
    <col min="4" max="4" width="4.625" customWidth="1"/>
    <col min="5" max="5" width="16.5" customWidth="1"/>
    <col min="6" max="8" width="5.375" customWidth="1"/>
    <col min="9" max="9" width="15.5" customWidth="1"/>
    <col min="10" max="22" width="5.5" customWidth="1"/>
    <col min="23" max="48" width="5.625" customWidth="1"/>
  </cols>
  <sheetData>
    <row r="1" spans="1:48" ht="14.95" customHeight="1" thickBot="1" x14ac:dyDescent="0.3">
      <c r="A1" s="673" t="s">
        <v>1448</v>
      </c>
      <c r="B1" s="674"/>
      <c r="C1" s="674"/>
      <c r="D1" s="674"/>
      <c r="E1" s="674"/>
      <c r="F1" s="674"/>
      <c r="G1" s="674"/>
      <c r="H1" s="675"/>
      <c r="I1" s="676" t="s">
        <v>112</v>
      </c>
      <c r="J1" s="583">
        <v>2026</v>
      </c>
      <c r="K1" s="584"/>
      <c r="L1" s="585"/>
      <c r="M1" s="583" t="s">
        <v>32</v>
      </c>
      <c r="N1" s="584"/>
      <c r="O1" s="585"/>
      <c r="P1" s="579" t="s">
        <v>121</v>
      </c>
      <c r="Q1" s="568">
        <v>2025</v>
      </c>
      <c r="R1" s="569"/>
      <c r="S1" s="570"/>
      <c r="T1" s="568">
        <v>2024</v>
      </c>
      <c r="U1" s="569"/>
      <c r="V1" s="570"/>
      <c r="W1" s="121"/>
      <c r="X1" s="244"/>
      <c r="Y1" s="568">
        <v>2023</v>
      </c>
      <c r="Z1" s="569"/>
      <c r="AA1" s="570"/>
      <c r="AB1" s="568">
        <v>2022</v>
      </c>
      <c r="AC1" s="569"/>
      <c r="AD1" s="570"/>
      <c r="AE1" s="568">
        <v>2021</v>
      </c>
      <c r="AF1" s="569"/>
      <c r="AG1" s="570"/>
      <c r="AH1" s="568">
        <v>2020</v>
      </c>
      <c r="AI1" s="569"/>
      <c r="AJ1" s="570"/>
      <c r="AK1" s="568">
        <v>2019</v>
      </c>
      <c r="AL1" s="569"/>
      <c r="AM1" s="570"/>
      <c r="AN1" s="557">
        <v>2018</v>
      </c>
      <c r="AO1" s="563"/>
      <c r="AP1" s="564"/>
      <c r="AQ1" s="568">
        <v>2017</v>
      </c>
      <c r="AR1" s="569"/>
      <c r="AS1" s="570"/>
      <c r="AT1" s="568">
        <v>2016</v>
      </c>
      <c r="AU1" s="569"/>
      <c r="AV1" s="570"/>
    </row>
    <row r="2" spans="1:48" ht="14.95" customHeight="1" thickBot="1" x14ac:dyDescent="0.3">
      <c r="A2" s="217" t="s">
        <v>0</v>
      </c>
      <c r="B2" s="194" t="s">
        <v>36</v>
      </c>
      <c r="C2" s="539" t="s">
        <v>1447</v>
      </c>
      <c r="D2" s="195" t="s">
        <v>1</v>
      </c>
      <c r="E2" s="189" t="s">
        <v>2</v>
      </c>
      <c r="F2" s="196" t="s">
        <v>36</v>
      </c>
      <c r="G2" s="383" t="s">
        <v>1447</v>
      </c>
      <c r="H2" s="178" t="s">
        <v>1</v>
      </c>
      <c r="I2" s="677"/>
      <c r="J2" s="586"/>
      <c r="K2" s="587"/>
      <c r="L2" s="588"/>
      <c r="M2" s="586"/>
      <c r="N2" s="587"/>
      <c r="O2" s="588"/>
      <c r="P2" s="580"/>
      <c r="Q2" s="571"/>
      <c r="R2" s="572"/>
      <c r="S2" s="573"/>
      <c r="T2" s="571"/>
      <c r="U2" s="572"/>
      <c r="V2" s="573"/>
      <c r="W2" s="121"/>
      <c r="X2" s="244"/>
      <c r="Y2" s="571"/>
      <c r="Z2" s="572"/>
      <c r="AA2" s="573"/>
      <c r="AB2" s="571"/>
      <c r="AC2" s="572"/>
      <c r="AD2" s="573"/>
      <c r="AE2" s="571"/>
      <c r="AF2" s="572"/>
      <c r="AG2" s="573"/>
      <c r="AH2" s="571"/>
      <c r="AI2" s="572"/>
      <c r="AJ2" s="573"/>
      <c r="AK2" s="571"/>
      <c r="AL2" s="572"/>
      <c r="AM2" s="573"/>
      <c r="AN2" s="565"/>
      <c r="AO2" s="566"/>
      <c r="AP2" s="567"/>
      <c r="AQ2" s="571"/>
      <c r="AR2" s="572"/>
      <c r="AS2" s="573"/>
      <c r="AT2" s="571"/>
      <c r="AU2" s="572"/>
      <c r="AV2" s="573"/>
    </row>
    <row r="3" spans="1:48" ht="14.95" customHeight="1" thickBot="1" x14ac:dyDescent="0.3">
      <c r="A3" s="64" t="s">
        <v>289</v>
      </c>
      <c r="B3" s="149">
        <v>0</v>
      </c>
      <c r="C3" s="540">
        <v>0</v>
      </c>
      <c r="D3" s="65">
        <f t="shared" ref="D3:D59" si="0">SUM(B3:C3)</f>
        <v>0</v>
      </c>
      <c r="E3" s="32" t="s">
        <v>289</v>
      </c>
      <c r="F3" s="154">
        <v>0</v>
      </c>
      <c r="G3" s="384">
        <v>0</v>
      </c>
      <c r="H3" s="27">
        <f t="shared" ref="H3:H59" si="1">SUM(F3:G3)</f>
        <v>0</v>
      </c>
      <c r="I3" s="4"/>
      <c r="J3" s="1" t="s">
        <v>152</v>
      </c>
      <c r="K3" s="1" t="s">
        <v>12</v>
      </c>
      <c r="L3" s="1" t="s">
        <v>13</v>
      </c>
      <c r="M3" s="183" t="s">
        <v>152</v>
      </c>
      <c r="N3" s="1" t="s">
        <v>12</v>
      </c>
      <c r="O3" s="1" t="s">
        <v>13</v>
      </c>
      <c r="P3" s="1"/>
      <c r="Q3" s="128" t="s">
        <v>152</v>
      </c>
      <c r="R3" s="128" t="s">
        <v>12</v>
      </c>
      <c r="S3" s="128" t="s">
        <v>13</v>
      </c>
      <c r="T3" s="128" t="s">
        <v>152</v>
      </c>
      <c r="U3" s="128" t="s">
        <v>12</v>
      </c>
      <c r="V3" s="128" t="s">
        <v>13</v>
      </c>
      <c r="W3" s="121"/>
      <c r="X3" s="244"/>
      <c r="Y3" s="128" t="s">
        <v>152</v>
      </c>
      <c r="Z3" s="128" t="s">
        <v>12</v>
      </c>
      <c r="AA3" s="128" t="s">
        <v>13</v>
      </c>
      <c r="AB3" s="128" t="s">
        <v>152</v>
      </c>
      <c r="AC3" s="128" t="s">
        <v>12</v>
      </c>
      <c r="AD3" s="128" t="s">
        <v>13</v>
      </c>
      <c r="AE3" s="128" t="s">
        <v>152</v>
      </c>
      <c r="AF3" s="128" t="s">
        <v>12</v>
      </c>
      <c r="AG3" s="128" t="s">
        <v>13</v>
      </c>
      <c r="AH3" s="228" t="s">
        <v>152</v>
      </c>
      <c r="AI3" s="128" t="s">
        <v>12</v>
      </c>
      <c r="AJ3" s="128" t="s">
        <v>13</v>
      </c>
      <c r="AK3" s="228" t="s">
        <v>152</v>
      </c>
      <c r="AL3" s="128" t="s">
        <v>12</v>
      </c>
      <c r="AM3" s="128" t="s">
        <v>13</v>
      </c>
      <c r="AN3" s="171" t="s">
        <v>152</v>
      </c>
      <c r="AO3" s="119" t="s">
        <v>12</v>
      </c>
      <c r="AP3" s="119" t="s">
        <v>13</v>
      </c>
      <c r="AQ3" s="228" t="s">
        <v>152</v>
      </c>
      <c r="AR3" s="128" t="s">
        <v>12</v>
      </c>
      <c r="AS3" s="128" t="s">
        <v>13</v>
      </c>
      <c r="AT3" s="228" t="s">
        <v>152</v>
      </c>
      <c r="AU3" s="128" t="s">
        <v>12</v>
      </c>
      <c r="AV3" s="128" t="s">
        <v>13</v>
      </c>
    </row>
    <row r="4" spans="1:48" ht="14.95" customHeight="1" thickBot="1" x14ac:dyDescent="0.3">
      <c r="A4" s="64" t="s">
        <v>840</v>
      </c>
      <c r="B4" s="149">
        <v>0</v>
      </c>
      <c r="C4" s="540">
        <v>0</v>
      </c>
      <c r="D4" s="65">
        <f t="shared" si="0"/>
        <v>0</v>
      </c>
      <c r="E4" s="32" t="s">
        <v>840</v>
      </c>
      <c r="F4" s="154">
        <v>0</v>
      </c>
      <c r="G4" s="384">
        <v>0</v>
      </c>
      <c r="H4" s="27">
        <f t="shared" si="1"/>
        <v>0</v>
      </c>
      <c r="I4" s="64" t="s">
        <v>159</v>
      </c>
      <c r="J4" s="65" t="s">
        <v>17</v>
      </c>
      <c r="K4" s="65" t="s">
        <v>17</v>
      </c>
      <c r="L4" s="68" t="s">
        <v>17</v>
      </c>
      <c r="M4" s="65" t="s">
        <v>17</v>
      </c>
      <c r="N4" s="65" t="s">
        <v>17</v>
      </c>
      <c r="O4" s="68" t="s">
        <v>17</v>
      </c>
      <c r="P4" s="65">
        <v>2</v>
      </c>
      <c r="Q4" s="128" t="s">
        <v>17</v>
      </c>
      <c r="R4" s="128" t="s">
        <v>17</v>
      </c>
      <c r="S4" s="231" t="s">
        <v>17</v>
      </c>
      <c r="T4" s="128" t="s">
        <v>17</v>
      </c>
      <c r="U4" s="128" t="s">
        <v>17</v>
      </c>
      <c r="V4" s="231" t="s">
        <v>17</v>
      </c>
      <c r="W4" s="121"/>
      <c r="X4" s="244"/>
      <c r="Y4" s="128" t="s">
        <v>17</v>
      </c>
      <c r="Z4" s="128" t="s">
        <v>17</v>
      </c>
      <c r="AA4" s="231" t="s">
        <v>17</v>
      </c>
      <c r="AB4" s="128" t="s">
        <v>17</v>
      </c>
      <c r="AC4" s="128" t="s">
        <v>17</v>
      </c>
      <c r="AD4" s="231" t="s">
        <v>17</v>
      </c>
      <c r="AE4" s="128" t="s">
        <v>17</v>
      </c>
      <c r="AF4" s="128" t="s">
        <v>17</v>
      </c>
      <c r="AG4" s="231" t="s">
        <v>17</v>
      </c>
      <c r="AH4" s="228" t="s">
        <v>17</v>
      </c>
      <c r="AI4" s="128" t="s">
        <v>17</v>
      </c>
      <c r="AJ4" s="231" t="s">
        <v>17</v>
      </c>
      <c r="AK4" s="228" t="s">
        <v>17</v>
      </c>
      <c r="AL4" s="128" t="s">
        <v>17</v>
      </c>
      <c r="AM4" s="231" t="s">
        <v>17</v>
      </c>
      <c r="AN4" s="228">
        <v>3</v>
      </c>
      <c r="AO4" s="128">
        <v>4</v>
      </c>
      <c r="AP4" s="230">
        <f>SUM(AN4/AO4)*100</f>
        <v>75</v>
      </c>
      <c r="AQ4" s="228">
        <v>5</v>
      </c>
      <c r="AR4" s="128">
        <v>8</v>
      </c>
      <c r="AS4" s="230">
        <f>SUM(AQ4/AR4)*100</f>
        <v>62.5</v>
      </c>
      <c r="AT4" s="228" t="s">
        <v>17</v>
      </c>
      <c r="AU4" s="128" t="s">
        <v>17</v>
      </c>
      <c r="AV4" s="128" t="s">
        <v>17</v>
      </c>
    </row>
    <row r="5" spans="1:48" ht="14.95" customHeight="1" thickBot="1" x14ac:dyDescent="0.3">
      <c r="A5" s="64" t="s">
        <v>618</v>
      </c>
      <c r="B5" s="149">
        <v>0</v>
      </c>
      <c r="C5" s="540">
        <v>0</v>
      </c>
      <c r="D5" s="65">
        <f t="shared" si="0"/>
        <v>0</v>
      </c>
      <c r="E5" s="32" t="s">
        <v>618</v>
      </c>
      <c r="F5" s="154">
        <v>0</v>
      </c>
      <c r="G5" s="384">
        <v>0</v>
      </c>
      <c r="H5" s="27">
        <f t="shared" si="1"/>
        <v>0</v>
      </c>
      <c r="I5" s="64" t="s">
        <v>980</v>
      </c>
      <c r="J5" s="65" t="s">
        <v>17</v>
      </c>
      <c r="K5" s="65" t="s">
        <v>17</v>
      </c>
      <c r="L5" s="68" t="s">
        <v>17</v>
      </c>
      <c r="M5" s="65" t="s">
        <v>17</v>
      </c>
      <c r="N5" s="65" t="s">
        <v>17</v>
      </c>
      <c r="O5" s="68" t="s">
        <v>17</v>
      </c>
      <c r="P5" s="65" t="s">
        <v>20</v>
      </c>
      <c r="Q5" s="128" t="s">
        <v>17</v>
      </c>
      <c r="R5" s="128" t="s">
        <v>17</v>
      </c>
      <c r="S5" s="231" t="s">
        <v>17</v>
      </c>
      <c r="T5" s="128" t="s">
        <v>17</v>
      </c>
      <c r="U5" s="128" t="s">
        <v>17</v>
      </c>
      <c r="V5" s="231" t="s">
        <v>17</v>
      </c>
      <c r="W5" s="121"/>
      <c r="X5" s="244"/>
      <c r="Y5" s="128" t="s">
        <v>17</v>
      </c>
      <c r="Z5" s="128" t="s">
        <v>17</v>
      </c>
      <c r="AA5" s="231" t="s">
        <v>17</v>
      </c>
      <c r="AB5" s="128" t="s">
        <v>17</v>
      </c>
      <c r="AC5" s="128" t="s">
        <v>17</v>
      </c>
      <c r="AD5" s="231" t="s">
        <v>17</v>
      </c>
      <c r="AE5" s="128" t="s">
        <v>17</v>
      </c>
      <c r="AF5" s="128" t="s">
        <v>17</v>
      </c>
      <c r="AG5" s="231" t="s">
        <v>17</v>
      </c>
      <c r="AH5" s="128" t="s">
        <v>17</v>
      </c>
      <c r="AI5" s="128" t="s">
        <v>17</v>
      </c>
      <c r="AJ5" s="231" t="s">
        <v>17</v>
      </c>
      <c r="AK5" s="128" t="s">
        <v>17</v>
      </c>
      <c r="AL5" s="128" t="s">
        <v>17</v>
      </c>
      <c r="AM5" s="231" t="s">
        <v>17</v>
      </c>
      <c r="AN5" s="128" t="s">
        <v>17</v>
      </c>
      <c r="AO5" s="128" t="s">
        <v>17</v>
      </c>
      <c r="AP5" s="231" t="s">
        <v>17</v>
      </c>
      <c r="AQ5" s="128" t="s">
        <v>17</v>
      </c>
      <c r="AR5" s="128" t="s">
        <v>17</v>
      </c>
      <c r="AS5" s="231" t="s">
        <v>17</v>
      </c>
      <c r="AT5" s="128" t="s">
        <v>17</v>
      </c>
      <c r="AU5" s="128" t="s">
        <v>17</v>
      </c>
      <c r="AV5" s="231" t="s">
        <v>17</v>
      </c>
    </row>
    <row r="6" spans="1:48" ht="14.95" customHeight="1" thickBot="1" x14ac:dyDescent="0.3">
      <c r="A6" s="64" t="s">
        <v>977</v>
      </c>
      <c r="B6" s="149">
        <v>4</v>
      </c>
      <c r="C6" s="540">
        <v>0</v>
      </c>
      <c r="D6" s="65">
        <f t="shared" si="0"/>
        <v>4</v>
      </c>
      <c r="E6" s="32" t="s">
        <v>977</v>
      </c>
      <c r="F6" s="154">
        <v>20</v>
      </c>
      <c r="G6" s="384">
        <v>0</v>
      </c>
      <c r="H6" s="27">
        <f t="shared" si="1"/>
        <v>20</v>
      </c>
      <c r="I6" s="64" t="s">
        <v>373</v>
      </c>
      <c r="J6" s="65" t="s">
        <v>17</v>
      </c>
      <c r="K6" s="65" t="s">
        <v>17</v>
      </c>
      <c r="L6" s="68" t="s">
        <v>17</v>
      </c>
      <c r="M6" s="65" t="s">
        <v>17</v>
      </c>
      <c r="N6" s="65" t="s">
        <v>17</v>
      </c>
      <c r="O6" s="68" t="s">
        <v>17</v>
      </c>
      <c r="P6" s="65">
        <v>3</v>
      </c>
      <c r="Q6" s="128" t="s">
        <v>17</v>
      </c>
      <c r="R6" s="128" t="s">
        <v>17</v>
      </c>
      <c r="S6" s="231" t="s">
        <v>17</v>
      </c>
      <c r="T6" s="128" t="s">
        <v>17</v>
      </c>
      <c r="U6" s="128" t="s">
        <v>17</v>
      </c>
      <c r="V6" s="231" t="s">
        <v>17</v>
      </c>
      <c r="W6" s="121"/>
      <c r="X6" s="244"/>
      <c r="Y6" s="128" t="s">
        <v>17</v>
      </c>
      <c r="Z6" s="128" t="s">
        <v>17</v>
      </c>
      <c r="AA6" s="231" t="s">
        <v>17</v>
      </c>
      <c r="AB6" s="128" t="s">
        <v>17</v>
      </c>
      <c r="AC6" s="128" t="s">
        <v>17</v>
      </c>
      <c r="AD6" s="231" t="s">
        <v>17</v>
      </c>
      <c r="AE6" s="128">
        <v>3</v>
      </c>
      <c r="AF6" s="128">
        <v>5</v>
      </c>
      <c r="AG6" s="231">
        <f>SUM(AE6/AF6)*100</f>
        <v>60</v>
      </c>
      <c r="AH6" s="228">
        <v>3</v>
      </c>
      <c r="AI6" s="128">
        <v>3</v>
      </c>
      <c r="AJ6" s="231">
        <v>100</v>
      </c>
      <c r="AK6" s="228" t="s">
        <v>17</v>
      </c>
      <c r="AL6" s="128" t="s">
        <v>17</v>
      </c>
      <c r="AM6" s="231" t="s">
        <v>17</v>
      </c>
      <c r="AN6" s="232" t="s">
        <v>17</v>
      </c>
      <c r="AO6" s="128" t="s">
        <v>17</v>
      </c>
      <c r="AP6" s="231" t="s">
        <v>17</v>
      </c>
      <c r="AQ6" s="232" t="s">
        <v>17</v>
      </c>
      <c r="AR6" s="128" t="s">
        <v>17</v>
      </c>
      <c r="AS6" s="231" t="s">
        <v>17</v>
      </c>
      <c r="AT6" s="128" t="s">
        <v>17</v>
      </c>
      <c r="AU6" s="128" t="s">
        <v>17</v>
      </c>
      <c r="AV6" s="231" t="s">
        <v>17</v>
      </c>
    </row>
    <row r="7" spans="1:48" ht="14.95" customHeight="1" thickBot="1" x14ac:dyDescent="0.3">
      <c r="A7" s="64" t="s">
        <v>362</v>
      </c>
      <c r="B7" s="149">
        <v>0</v>
      </c>
      <c r="C7" s="540">
        <v>0</v>
      </c>
      <c r="D7" s="65">
        <f t="shared" si="0"/>
        <v>0</v>
      </c>
      <c r="E7" s="32" t="s">
        <v>362</v>
      </c>
      <c r="F7" s="154">
        <v>0</v>
      </c>
      <c r="G7" s="384">
        <v>0</v>
      </c>
      <c r="H7" s="27">
        <f t="shared" si="1"/>
        <v>0</v>
      </c>
      <c r="I7" s="64" t="s">
        <v>60</v>
      </c>
      <c r="J7" s="65" t="s">
        <v>17</v>
      </c>
      <c r="K7" s="65" t="s">
        <v>17</v>
      </c>
      <c r="L7" s="68" t="s">
        <v>17</v>
      </c>
      <c r="M7" s="65" t="s">
        <v>17</v>
      </c>
      <c r="N7" s="65" t="s">
        <v>17</v>
      </c>
      <c r="O7" s="68" t="s">
        <v>17</v>
      </c>
      <c r="P7" s="65">
        <v>-1</v>
      </c>
      <c r="Q7" s="128" t="s">
        <v>17</v>
      </c>
      <c r="R7" s="128" t="s">
        <v>17</v>
      </c>
      <c r="S7" s="231" t="s">
        <v>17</v>
      </c>
      <c r="T7" s="128" t="s">
        <v>17</v>
      </c>
      <c r="U7" s="128" t="s">
        <v>17</v>
      </c>
      <c r="V7" s="231" t="s">
        <v>17</v>
      </c>
      <c r="W7" s="121"/>
      <c r="X7" s="244"/>
      <c r="Y7" s="128" t="s">
        <v>17</v>
      </c>
      <c r="Z7" s="128" t="s">
        <v>17</v>
      </c>
      <c r="AA7" s="231" t="s">
        <v>17</v>
      </c>
      <c r="AB7" s="128" t="s">
        <v>17</v>
      </c>
      <c r="AC7" s="128" t="s">
        <v>17</v>
      </c>
      <c r="AD7" s="231" t="s">
        <v>17</v>
      </c>
      <c r="AE7" s="128" t="s">
        <v>17</v>
      </c>
      <c r="AF7" s="128" t="s">
        <v>17</v>
      </c>
      <c r="AG7" s="231" t="s">
        <v>17</v>
      </c>
      <c r="AH7" s="228" t="s">
        <v>17</v>
      </c>
      <c r="AI7" s="128" t="s">
        <v>17</v>
      </c>
      <c r="AJ7" s="231" t="s">
        <v>17</v>
      </c>
      <c r="AK7" s="228" t="s">
        <v>17</v>
      </c>
      <c r="AL7" s="128" t="s">
        <v>17</v>
      </c>
      <c r="AM7" s="231" t="s">
        <v>17</v>
      </c>
      <c r="AN7" s="228">
        <v>0</v>
      </c>
      <c r="AO7" s="128">
        <v>1</v>
      </c>
      <c r="AP7" s="230">
        <f>SUM(AN7/AO7)*100</f>
        <v>0</v>
      </c>
      <c r="AQ7" s="228" t="s">
        <v>17</v>
      </c>
      <c r="AR7" s="128" t="s">
        <v>17</v>
      </c>
      <c r="AS7" s="128" t="s">
        <v>17</v>
      </c>
      <c r="AT7" s="228" t="s">
        <v>17</v>
      </c>
      <c r="AU7" s="128" t="s">
        <v>17</v>
      </c>
      <c r="AV7" s="128" t="s">
        <v>17</v>
      </c>
    </row>
    <row r="8" spans="1:48" ht="14.95" customHeight="1" thickBot="1" x14ac:dyDescent="0.3">
      <c r="A8" s="64" t="s">
        <v>1212</v>
      </c>
      <c r="B8" s="149">
        <v>0</v>
      </c>
      <c r="C8" s="540">
        <v>0</v>
      </c>
      <c r="D8" s="65">
        <f t="shared" si="0"/>
        <v>0</v>
      </c>
      <c r="E8" s="32" t="s">
        <v>1212</v>
      </c>
      <c r="F8" s="154">
        <v>0</v>
      </c>
      <c r="G8" s="384">
        <v>0</v>
      </c>
      <c r="H8" s="27">
        <f t="shared" si="1"/>
        <v>0</v>
      </c>
      <c r="I8" s="64" t="s">
        <v>842</v>
      </c>
      <c r="J8" s="65" t="s">
        <v>17</v>
      </c>
      <c r="K8" s="65" t="s">
        <v>17</v>
      </c>
      <c r="L8" s="68" t="s">
        <v>17</v>
      </c>
      <c r="M8" s="65" t="s">
        <v>17</v>
      </c>
      <c r="N8" s="65" t="s">
        <v>17</v>
      </c>
      <c r="O8" s="68" t="s">
        <v>17</v>
      </c>
      <c r="P8" s="65">
        <v>1</v>
      </c>
      <c r="Q8" s="128">
        <v>1</v>
      </c>
      <c r="R8" s="128">
        <v>1</v>
      </c>
      <c r="S8" s="231">
        <v>100</v>
      </c>
      <c r="T8" s="128">
        <v>8</v>
      </c>
      <c r="U8" s="128">
        <v>10</v>
      </c>
      <c r="V8" s="231">
        <f>SUM(T8/U8)*100</f>
        <v>80</v>
      </c>
      <c r="W8" s="121"/>
      <c r="X8" s="244"/>
      <c r="Y8" s="128" t="s">
        <v>17</v>
      </c>
      <c r="Z8" s="128" t="s">
        <v>17</v>
      </c>
      <c r="AA8" s="231" t="s">
        <v>17</v>
      </c>
      <c r="AB8" s="128" t="s">
        <v>17</v>
      </c>
      <c r="AC8" s="128" t="s">
        <v>17</v>
      </c>
      <c r="AD8" s="231" t="s">
        <v>17</v>
      </c>
      <c r="AE8" s="128" t="s">
        <v>17</v>
      </c>
      <c r="AF8" s="128" t="s">
        <v>17</v>
      </c>
      <c r="AG8" s="231" t="s">
        <v>17</v>
      </c>
      <c r="AH8" s="128" t="s">
        <v>17</v>
      </c>
      <c r="AI8" s="128" t="s">
        <v>17</v>
      </c>
      <c r="AJ8" s="231" t="s">
        <v>17</v>
      </c>
      <c r="AK8" s="128" t="s">
        <v>17</v>
      </c>
      <c r="AL8" s="128" t="s">
        <v>17</v>
      </c>
      <c r="AM8" s="231" t="s">
        <v>17</v>
      </c>
      <c r="AN8" s="128" t="s">
        <v>17</v>
      </c>
      <c r="AO8" s="128" t="s">
        <v>17</v>
      </c>
      <c r="AP8" s="231" t="s">
        <v>17</v>
      </c>
      <c r="AQ8" s="128" t="s">
        <v>17</v>
      </c>
      <c r="AR8" s="128" t="s">
        <v>17</v>
      </c>
      <c r="AS8" s="231" t="s">
        <v>17</v>
      </c>
      <c r="AT8" s="128" t="s">
        <v>17</v>
      </c>
      <c r="AU8" s="128" t="s">
        <v>17</v>
      </c>
      <c r="AV8" s="231" t="s">
        <v>17</v>
      </c>
    </row>
    <row r="9" spans="1:48" ht="14.95" customHeight="1" thickBot="1" x14ac:dyDescent="0.3">
      <c r="A9" s="64" t="s">
        <v>919</v>
      </c>
      <c r="B9" s="149">
        <v>0</v>
      </c>
      <c r="C9" s="540">
        <v>0</v>
      </c>
      <c r="D9" s="65">
        <f t="shared" si="0"/>
        <v>0</v>
      </c>
      <c r="E9" s="32" t="s">
        <v>919</v>
      </c>
      <c r="F9" s="154">
        <v>0</v>
      </c>
      <c r="G9" s="384">
        <v>0</v>
      </c>
      <c r="H9" s="27">
        <f t="shared" si="1"/>
        <v>0</v>
      </c>
      <c r="I9" s="64" t="s">
        <v>347</v>
      </c>
      <c r="J9" s="65" t="s">
        <v>17</v>
      </c>
      <c r="K9" s="65" t="s">
        <v>17</v>
      </c>
      <c r="L9" s="68" t="s">
        <v>17</v>
      </c>
      <c r="M9" s="65" t="s">
        <v>17</v>
      </c>
      <c r="N9" s="65" t="s">
        <v>17</v>
      </c>
      <c r="O9" s="68" t="s">
        <v>17</v>
      </c>
      <c r="P9" s="65">
        <v>5</v>
      </c>
      <c r="Q9" s="128" t="s">
        <v>17</v>
      </c>
      <c r="R9" s="128" t="s">
        <v>17</v>
      </c>
      <c r="S9" s="231" t="s">
        <v>17</v>
      </c>
      <c r="T9" s="128" t="s">
        <v>17</v>
      </c>
      <c r="U9" s="128" t="s">
        <v>17</v>
      </c>
      <c r="V9" s="231" t="s">
        <v>17</v>
      </c>
      <c r="W9" s="121"/>
      <c r="X9" s="244"/>
      <c r="Y9" s="128">
        <v>3</v>
      </c>
      <c r="Z9" s="128">
        <v>3</v>
      </c>
      <c r="AA9" s="231">
        <f>SUM(Y9/Z9)*100</f>
        <v>100</v>
      </c>
      <c r="AB9" s="128">
        <v>2</v>
      </c>
      <c r="AC9" s="128">
        <v>2</v>
      </c>
      <c r="AD9" s="231">
        <v>100</v>
      </c>
      <c r="AE9" s="128">
        <v>15</v>
      </c>
      <c r="AF9" s="128">
        <v>20</v>
      </c>
      <c r="AG9" s="231">
        <f>SUM(AE9/AF9)*100</f>
        <v>75</v>
      </c>
      <c r="AH9" s="228">
        <v>11</v>
      </c>
      <c r="AI9" s="128">
        <v>13</v>
      </c>
      <c r="AJ9" s="231">
        <v>84.615384615384613</v>
      </c>
      <c r="AK9" s="228" t="s">
        <v>17</v>
      </c>
      <c r="AL9" s="128" t="s">
        <v>17</v>
      </c>
      <c r="AM9" s="231" t="s">
        <v>17</v>
      </c>
      <c r="AN9" s="228" t="s">
        <v>17</v>
      </c>
      <c r="AO9" s="128" t="s">
        <v>17</v>
      </c>
      <c r="AP9" s="128" t="s">
        <v>17</v>
      </c>
      <c r="AQ9" s="232" t="s">
        <v>17</v>
      </c>
      <c r="AR9" s="128" t="s">
        <v>17</v>
      </c>
      <c r="AS9" s="231" t="s">
        <v>17</v>
      </c>
      <c r="AT9" s="128" t="s">
        <v>17</v>
      </c>
      <c r="AU9" s="128" t="s">
        <v>17</v>
      </c>
      <c r="AV9" s="231" t="s">
        <v>17</v>
      </c>
    </row>
    <row r="10" spans="1:48" ht="14.95" customHeight="1" thickBot="1" x14ac:dyDescent="0.3">
      <c r="A10" s="64" t="s">
        <v>980</v>
      </c>
      <c r="B10" s="149">
        <v>0</v>
      </c>
      <c r="C10" s="540">
        <v>0</v>
      </c>
      <c r="D10" s="65">
        <f t="shared" si="0"/>
        <v>0</v>
      </c>
      <c r="E10" s="32" t="s">
        <v>980</v>
      </c>
      <c r="F10" s="154">
        <v>0</v>
      </c>
      <c r="G10" s="384">
        <v>0</v>
      </c>
      <c r="H10" s="27">
        <f t="shared" si="1"/>
        <v>0</v>
      </c>
      <c r="I10" s="64" t="s">
        <v>1169</v>
      </c>
      <c r="J10" s="65" t="s">
        <v>17</v>
      </c>
      <c r="K10" s="65" t="s">
        <v>17</v>
      </c>
      <c r="L10" s="68" t="s">
        <v>17</v>
      </c>
      <c r="M10" s="65" t="s">
        <v>17</v>
      </c>
      <c r="N10" s="65" t="s">
        <v>17</v>
      </c>
      <c r="O10" s="68" t="s">
        <v>17</v>
      </c>
      <c r="P10" s="65">
        <v>-1</v>
      </c>
      <c r="Q10" s="128">
        <v>10</v>
      </c>
      <c r="R10" s="128">
        <v>13</v>
      </c>
      <c r="S10" s="231">
        <v>76.923076923076934</v>
      </c>
      <c r="T10" s="128" t="s">
        <v>17</v>
      </c>
      <c r="U10" s="128" t="s">
        <v>17</v>
      </c>
      <c r="V10" s="231" t="s">
        <v>17</v>
      </c>
      <c r="W10" s="121"/>
      <c r="X10" s="244"/>
      <c r="Y10" s="128" t="s">
        <v>17</v>
      </c>
      <c r="Z10" s="128" t="s">
        <v>17</v>
      </c>
      <c r="AA10" s="231" t="s">
        <v>17</v>
      </c>
      <c r="AB10" s="128" t="s">
        <v>17</v>
      </c>
      <c r="AC10" s="128" t="s">
        <v>17</v>
      </c>
      <c r="AD10" s="231" t="s">
        <v>17</v>
      </c>
      <c r="AE10" s="128" t="s">
        <v>17</v>
      </c>
      <c r="AF10" s="128" t="s">
        <v>17</v>
      </c>
      <c r="AG10" s="231" t="s">
        <v>17</v>
      </c>
      <c r="AH10" s="128" t="s">
        <v>17</v>
      </c>
      <c r="AI10" s="128" t="s">
        <v>17</v>
      </c>
      <c r="AJ10" s="231" t="s">
        <v>17</v>
      </c>
      <c r="AK10" s="128" t="s">
        <v>17</v>
      </c>
      <c r="AL10" s="128" t="s">
        <v>17</v>
      </c>
      <c r="AM10" s="231" t="s">
        <v>17</v>
      </c>
      <c r="AN10" s="128" t="s">
        <v>17</v>
      </c>
      <c r="AO10" s="128" t="s">
        <v>17</v>
      </c>
      <c r="AP10" s="231" t="s">
        <v>17</v>
      </c>
      <c r="AQ10" s="128" t="s">
        <v>17</v>
      </c>
      <c r="AR10" s="128" t="s">
        <v>17</v>
      </c>
      <c r="AS10" s="231" t="s">
        <v>17</v>
      </c>
      <c r="AT10" s="128" t="s">
        <v>17</v>
      </c>
      <c r="AU10" s="128" t="s">
        <v>17</v>
      </c>
      <c r="AV10" s="231" t="s">
        <v>17</v>
      </c>
    </row>
    <row r="11" spans="1:48" ht="14.95" customHeight="1" thickBot="1" x14ac:dyDescent="0.3">
      <c r="A11" s="64" t="s">
        <v>664</v>
      </c>
      <c r="B11" s="149">
        <v>5</v>
      </c>
      <c r="C11" s="540">
        <v>0</v>
      </c>
      <c r="D11" s="65">
        <f t="shared" si="0"/>
        <v>5</v>
      </c>
      <c r="E11" s="32" t="s">
        <v>664</v>
      </c>
      <c r="F11" s="154">
        <v>25</v>
      </c>
      <c r="G11" s="384">
        <v>0</v>
      </c>
      <c r="H11" s="27">
        <f t="shared" si="1"/>
        <v>25</v>
      </c>
      <c r="I11" s="64" t="s">
        <v>516</v>
      </c>
      <c r="J11" s="65" t="s">
        <v>17</v>
      </c>
      <c r="K11" s="65" t="s">
        <v>17</v>
      </c>
      <c r="L11" s="68" t="s">
        <v>17</v>
      </c>
      <c r="M11" s="65" t="s">
        <v>17</v>
      </c>
      <c r="N11" s="65" t="s">
        <v>17</v>
      </c>
      <c r="O11" s="68" t="s">
        <v>17</v>
      </c>
      <c r="P11" s="65">
        <v>-1</v>
      </c>
      <c r="Q11" s="128">
        <v>1</v>
      </c>
      <c r="R11" s="128">
        <v>2</v>
      </c>
      <c r="S11" s="231">
        <v>50</v>
      </c>
      <c r="T11" s="128" t="s">
        <v>17</v>
      </c>
      <c r="U11" s="128" t="s">
        <v>17</v>
      </c>
      <c r="V11" s="231" t="s">
        <v>17</v>
      </c>
      <c r="W11" s="121"/>
      <c r="X11" s="244"/>
      <c r="Y11" s="128" t="s">
        <v>17</v>
      </c>
      <c r="Z11" s="128" t="s">
        <v>17</v>
      </c>
      <c r="AA11" s="231" t="s">
        <v>17</v>
      </c>
      <c r="AB11" s="128">
        <v>2</v>
      </c>
      <c r="AC11" s="128">
        <v>2</v>
      </c>
      <c r="AD11" s="231">
        <v>100</v>
      </c>
      <c r="AE11" s="128" t="s">
        <v>17</v>
      </c>
      <c r="AF11" s="128" t="s">
        <v>17</v>
      </c>
      <c r="AG11" s="231" t="s">
        <v>17</v>
      </c>
      <c r="AH11" s="128" t="s">
        <v>17</v>
      </c>
      <c r="AI11" s="128" t="s">
        <v>17</v>
      </c>
      <c r="AJ11" s="231" t="s">
        <v>17</v>
      </c>
      <c r="AK11" s="128" t="s">
        <v>17</v>
      </c>
      <c r="AL11" s="128" t="s">
        <v>17</v>
      </c>
      <c r="AM11" s="231" t="s">
        <v>17</v>
      </c>
      <c r="AN11" s="128" t="s">
        <v>17</v>
      </c>
      <c r="AO11" s="128" t="s">
        <v>17</v>
      </c>
      <c r="AP11" s="231" t="s">
        <v>17</v>
      </c>
      <c r="AQ11" s="128" t="s">
        <v>17</v>
      </c>
      <c r="AR11" s="128" t="s">
        <v>17</v>
      </c>
      <c r="AS11" s="231" t="s">
        <v>17</v>
      </c>
      <c r="AT11" s="128" t="s">
        <v>17</v>
      </c>
      <c r="AU11" s="128" t="s">
        <v>17</v>
      </c>
      <c r="AV11" s="231" t="s">
        <v>17</v>
      </c>
    </row>
    <row r="12" spans="1:48" ht="14.95" customHeight="1" thickBot="1" x14ac:dyDescent="0.3">
      <c r="A12" s="64" t="s">
        <v>841</v>
      </c>
      <c r="B12" s="149">
        <v>0</v>
      </c>
      <c r="C12" s="540">
        <v>0</v>
      </c>
      <c r="D12" s="65">
        <f t="shared" si="0"/>
        <v>0</v>
      </c>
      <c r="E12" s="32" t="s">
        <v>841</v>
      </c>
      <c r="F12" s="154">
        <v>0</v>
      </c>
      <c r="G12" s="384">
        <v>0</v>
      </c>
      <c r="H12" s="27">
        <f t="shared" si="1"/>
        <v>0</v>
      </c>
      <c r="I12" s="64" t="s">
        <v>290</v>
      </c>
      <c r="J12" s="65" t="s">
        <v>17</v>
      </c>
      <c r="K12" s="65" t="s">
        <v>17</v>
      </c>
      <c r="L12" s="68" t="s">
        <v>17</v>
      </c>
      <c r="M12" s="65" t="s">
        <v>17</v>
      </c>
      <c r="N12" s="65" t="s">
        <v>17</v>
      </c>
      <c r="O12" s="68" t="s">
        <v>17</v>
      </c>
      <c r="P12" s="65">
        <v>-1</v>
      </c>
      <c r="Q12" s="128" t="s">
        <v>17</v>
      </c>
      <c r="R12" s="128" t="s">
        <v>17</v>
      </c>
      <c r="S12" s="231" t="s">
        <v>17</v>
      </c>
      <c r="T12" s="128" t="s">
        <v>17</v>
      </c>
      <c r="U12" s="128" t="s">
        <v>17</v>
      </c>
      <c r="V12" s="231" t="s">
        <v>17</v>
      </c>
      <c r="W12" s="121"/>
      <c r="X12" s="244"/>
      <c r="Y12" s="128" t="s">
        <v>17</v>
      </c>
      <c r="Z12" s="128" t="s">
        <v>17</v>
      </c>
      <c r="AA12" s="231" t="s">
        <v>17</v>
      </c>
      <c r="AB12" s="128">
        <v>1</v>
      </c>
      <c r="AC12" s="128">
        <v>2</v>
      </c>
      <c r="AD12" s="231">
        <v>50</v>
      </c>
      <c r="AE12" s="128">
        <v>6</v>
      </c>
      <c r="AF12" s="128">
        <v>9</v>
      </c>
      <c r="AG12" s="231">
        <f>SUM(AE12/AF12)*100</f>
        <v>66.666666666666657</v>
      </c>
      <c r="AH12" s="228">
        <v>23</v>
      </c>
      <c r="AI12" s="128">
        <v>28</v>
      </c>
      <c r="AJ12" s="231">
        <v>82.142857142857139</v>
      </c>
      <c r="AK12" s="228">
        <v>19</v>
      </c>
      <c r="AL12" s="128">
        <v>25</v>
      </c>
      <c r="AM12" s="231">
        <f>SUM(AK12/AL12)*100</f>
        <v>76</v>
      </c>
      <c r="AN12" s="228" t="s">
        <v>17</v>
      </c>
      <c r="AO12" s="128" t="s">
        <v>17</v>
      </c>
      <c r="AP12" s="128" t="s">
        <v>17</v>
      </c>
      <c r="AQ12" s="232" t="s">
        <v>17</v>
      </c>
      <c r="AR12" s="128" t="s">
        <v>17</v>
      </c>
      <c r="AS12" s="128" t="s">
        <v>17</v>
      </c>
      <c r="AT12" s="232" t="s">
        <v>17</v>
      </c>
      <c r="AU12" s="128" t="s">
        <v>17</v>
      </c>
      <c r="AV12" s="128" t="s">
        <v>17</v>
      </c>
    </row>
    <row r="13" spans="1:48" ht="14.95" customHeight="1" thickBot="1" x14ac:dyDescent="0.3">
      <c r="A13" s="64" t="s">
        <v>510</v>
      </c>
      <c r="B13" s="149">
        <v>0</v>
      </c>
      <c r="C13" s="540">
        <v>0</v>
      </c>
      <c r="D13" s="65">
        <f t="shared" si="0"/>
        <v>0</v>
      </c>
      <c r="E13" s="32" t="s">
        <v>510</v>
      </c>
      <c r="F13" s="154">
        <v>0</v>
      </c>
      <c r="G13" s="384">
        <v>0</v>
      </c>
      <c r="H13" s="27">
        <f t="shared" si="1"/>
        <v>0</v>
      </c>
      <c r="I13" s="64" t="s">
        <v>291</v>
      </c>
      <c r="J13" s="65">
        <v>21</v>
      </c>
      <c r="K13" s="65">
        <v>25</v>
      </c>
      <c r="L13" s="68">
        <f>SUM(J13/K13)*100</f>
        <v>84</v>
      </c>
      <c r="M13" s="65">
        <v>5</v>
      </c>
      <c r="N13" s="65">
        <v>6</v>
      </c>
      <c r="O13" s="68">
        <f t="shared" ref="O13" si="2">SUM(M13/N13)*100</f>
        <v>83.333333333333343</v>
      </c>
      <c r="P13" s="65">
        <v>2</v>
      </c>
      <c r="Q13" s="128">
        <v>44</v>
      </c>
      <c r="R13" s="128">
        <v>53</v>
      </c>
      <c r="S13" s="231">
        <v>83.018867924528308</v>
      </c>
      <c r="T13" s="128">
        <v>43</v>
      </c>
      <c r="U13" s="128">
        <v>48</v>
      </c>
      <c r="V13" s="231">
        <f>SUM(T13/U13)*100</f>
        <v>89.583333333333343</v>
      </c>
      <c r="W13" s="121"/>
      <c r="X13" s="244"/>
      <c r="Y13" s="128">
        <v>70</v>
      </c>
      <c r="Z13" s="128">
        <v>83</v>
      </c>
      <c r="AA13" s="231">
        <f>SUM(Y13/Z13)*100</f>
        <v>84.337349397590373</v>
      </c>
      <c r="AB13" s="128">
        <v>20</v>
      </c>
      <c r="AC13" s="128">
        <v>24</v>
      </c>
      <c r="AD13" s="231">
        <v>83.333333333333343</v>
      </c>
      <c r="AE13" s="128" t="s">
        <v>17</v>
      </c>
      <c r="AF13" s="128" t="s">
        <v>17</v>
      </c>
      <c r="AG13" s="231" t="s">
        <v>17</v>
      </c>
      <c r="AH13" s="228">
        <v>5</v>
      </c>
      <c r="AI13" s="128">
        <v>6</v>
      </c>
      <c r="AJ13" s="231">
        <v>83.333333333333343</v>
      </c>
      <c r="AK13" s="228">
        <v>5</v>
      </c>
      <c r="AL13" s="128">
        <v>8</v>
      </c>
      <c r="AM13" s="231">
        <v>50</v>
      </c>
      <c r="AN13" s="228" t="s">
        <v>17</v>
      </c>
      <c r="AO13" s="128" t="s">
        <v>17</v>
      </c>
      <c r="AP13" s="128" t="s">
        <v>17</v>
      </c>
      <c r="AQ13" s="232" t="s">
        <v>17</v>
      </c>
      <c r="AR13" s="128" t="s">
        <v>17</v>
      </c>
      <c r="AS13" s="128" t="s">
        <v>17</v>
      </c>
      <c r="AT13" s="232" t="s">
        <v>17</v>
      </c>
      <c r="AU13" s="128" t="s">
        <v>17</v>
      </c>
      <c r="AV13" s="128" t="s">
        <v>17</v>
      </c>
    </row>
    <row r="14" spans="1:48" ht="14.95" customHeight="1" thickBot="1" x14ac:dyDescent="0.3">
      <c r="A14" s="64" t="s">
        <v>1467</v>
      </c>
      <c r="B14" s="149">
        <v>1</v>
      </c>
      <c r="C14" s="540">
        <v>0</v>
      </c>
      <c r="D14" s="65">
        <f t="shared" si="0"/>
        <v>1</v>
      </c>
      <c r="E14" s="32" t="s">
        <v>1467</v>
      </c>
      <c r="F14" s="154">
        <v>5</v>
      </c>
      <c r="G14" s="384">
        <v>0</v>
      </c>
      <c r="H14" s="27">
        <f t="shared" si="1"/>
        <v>5</v>
      </c>
      <c r="I14" s="64" t="s">
        <v>981</v>
      </c>
      <c r="J14" s="65" t="s">
        <v>17</v>
      </c>
      <c r="K14" s="65" t="s">
        <v>17</v>
      </c>
      <c r="L14" s="68" t="s">
        <v>17</v>
      </c>
      <c r="M14" s="65" t="s">
        <v>17</v>
      </c>
      <c r="N14" s="65" t="s">
        <v>17</v>
      </c>
      <c r="O14" s="68" t="s">
        <v>17</v>
      </c>
      <c r="P14" s="65">
        <v>1</v>
      </c>
      <c r="Q14" s="128">
        <v>1</v>
      </c>
      <c r="R14" s="128">
        <v>1</v>
      </c>
      <c r="S14" s="231">
        <v>100</v>
      </c>
      <c r="T14" s="128" t="s">
        <v>17</v>
      </c>
      <c r="U14" s="128" t="s">
        <v>17</v>
      </c>
      <c r="V14" s="231" t="s">
        <v>17</v>
      </c>
      <c r="W14" s="121"/>
      <c r="X14" s="244"/>
      <c r="Y14" s="128" t="s">
        <v>17</v>
      </c>
      <c r="Z14" s="128" t="s">
        <v>17</v>
      </c>
      <c r="AA14" s="231" t="s">
        <v>17</v>
      </c>
      <c r="AB14" s="128" t="s">
        <v>17</v>
      </c>
      <c r="AC14" s="128" t="s">
        <v>17</v>
      </c>
      <c r="AD14" s="231" t="s">
        <v>17</v>
      </c>
      <c r="AE14" s="128" t="s">
        <v>17</v>
      </c>
      <c r="AF14" s="128" t="s">
        <v>17</v>
      </c>
      <c r="AG14" s="231" t="s">
        <v>17</v>
      </c>
      <c r="AH14" s="128" t="s">
        <v>17</v>
      </c>
      <c r="AI14" s="128" t="s">
        <v>17</v>
      </c>
      <c r="AJ14" s="231" t="s">
        <v>17</v>
      </c>
      <c r="AK14" s="128" t="s">
        <v>17</v>
      </c>
      <c r="AL14" s="128" t="s">
        <v>17</v>
      </c>
      <c r="AM14" s="231" t="s">
        <v>17</v>
      </c>
      <c r="AN14" s="128" t="s">
        <v>17</v>
      </c>
      <c r="AO14" s="128" t="s">
        <v>17</v>
      </c>
      <c r="AP14" s="231" t="s">
        <v>17</v>
      </c>
      <c r="AQ14" s="128" t="s">
        <v>17</v>
      </c>
      <c r="AR14" s="128" t="s">
        <v>17</v>
      </c>
      <c r="AS14" s="231" t="s">
        <v>17</v>
      </c>
      <c r="AT14" s="128" t="s">
        <v>17</v>
      </c>
      <c r="AU14" s="128" t="s">
        <v>17</v>
      </c>
      <c r="AV14" s="231" t="s">
        <v>17</v>
      </c>
    </row>
    <row r="15" spans="1:48" ht="14.95" customHeight="1" thickBot="1" x14ac:dyDescent="0.3">
      <c r="A15" s="64" t="s">
        <v>1260</v>
      </c>
      <c r="B15" s="149">
        <v>0</v>
      </c>
      <c r="C15" s="540">
        <v>0</v>
      </c>
      <c r="D15" s="65">
        <f t="shared" si="0"/>
        <v>0</v>
      </c>
      <c r="E15" s="32" t="s">
        <v>1260</v>
      </c>
      <c r="F15" s="154">
        <v>0</v>
      </c>
      <c r="G15" s="384">
        <v>0</v>
      </c>
      <c r="H15" s="27">
        <f t="shared" si="1"/>
        <v>0</v>
      </c>
      <c r="I15" s="64" t="s">
        <v>113</v>
      </c>
      <c r="J15" s="65" t="s">
        <v>17</v>
      </c>
      <c r="K15" s="65" t="s">
        <v>17</v>
      </c>
      <c r="L15" s="68" t="s">
        <v>17</v>
      </c>
      <c r="M15" s="65" t="s">
        <v>17</v>
      </c>
      <c r="N15" s="65" t="s">
        <v>17</v>
      </c>
      <c r="O15" s="68" t="s">
        <v>17</v>
      </c>
      <c r="P15" s="65">
        <v>3</v>
      </c>
      <c r="Q15" s="128" t="s">
        <v>17</v>
      </c>
      <c r="R15" s="128" t="s">
        <v>17</v>
      </c>
      <c r="S15" s="231" t="s">
        <v>17</v>
      </c>
      <c r="T15" s="128" t="s">
        <v>17</v>
      </c>
      <c r="U15" s="128" t="s">
        <v>17</v>
      </c>
      <c r="V15" s="231" t="s">
        <v>17</v>
      </c>
      <c r="W15" s="121"/>
      <c r="X15" s="244"/>
      <c r="Y15" s="128" t="s">
        <v>17</v>
      </c>
      <c r="Z15" s="128" t="s">
        <v>17</v>
      </c>
      <c r="AA15" s="231" t="s">
        <v>17</v>
      </c>
      <c r="AB15" s="128" t="s">
        <v>17</v>
      </c>
      <c r="AC15" s="128" t="s">
        <v>17</v>
      </c>
      <c r="AD15" s="231" t="s">
        <v>17</v>
      </c>
      <c r="AE15" s="128" t="s">
        <v>17</v>
      </c>
      <c r="AF15" s="128" t="s">
        <v>17</v>
      </c>
      <c r="AG15" s="231" t="s">
        <v>17</v>
      </c>
      <c r="AH15" s="228" t="s">
        <v>17</v>
      </c>
      <c r="AI15" s="128" t="s">
        <v>17</v>
      </c>
      <c r="AJ15" s="231" t="s">
        <v>17</v>
      </c>
      <c r="AK15" s="228">
        <v>3</v>
      </c>
      <c r="AL15" s="128">
        <v>4</v>
      </c>
      <c r="AM15" s="231">
        <v>50</v>
      </c>
      <c r="AN15" s="228">
        <v>14</v>
      </c>
      <c r="AO15" s="128">
        <v>17</v>
      </c>
      <c r="AP15" s="230">
        <f>SUM(AN15/AO15)*100</f>
        <v>82.35294117647058</v>
      </c>
      <c r="AQ15" s="228">
        <v>1</v>
      </c>
      <c r="AR15" s="128">
        <v>1</v>
      </c>
      <c r="AS15" s="230">
        <f>SUM(AQ15/AR15)*100</f>
        <v>100</v>
      </c>
      <c r="AT15" s="228">
        <v>10</v>
      </c>
      <c r="AU15" s="128">
        <v>10</v>
      </c>
      <c r="AV15" s="230">
        <f>SUM(AT15/AU15)*100</f>
        <v>100</v>
      </c>
    </row>
    <row r="16" spans="1:48" ht="14.95" customHeight="1" thickBot="1" x14ac:dyDescent="0.3">
      <c r="A16" s="64" t="s">
        <v>1129</v>
      </c>
      <c r="B16" s="149">
        <v>0</v>
      </c>
      <c r="C16" s="540">
        <v>0</v>
      </c>
      <c r="D16" s="65">
        <f t="shared" si="0"/>
        <v>0</v>
      </c>
      <c r="E16" s="32" t="s">
        <v>1129</v>
      </c>
      <c r="F16" s="154">
        <v>0</v>
      </c>
      <c r="G16" s="384">
        <v>0</v>
      </c>
      <c r="H16" s="27">
        <f t="shared" si="1"/>
        <v>0</v>
      </c>
      <c r="Q16" s="81"/>
      <c r="R16" s="120"/>
      <c r="T16" s="130"/>
      <c r="U16" s="130"/>
      <c r="W16" s="237"/>
      <c r="X16" s="237"/>
    </row>
    <row r="17" spans="1:51" ht="14.95" customHeight="1" thickBot="1" x14ac:dyDescent="0.3">
      <c r="A17" s="64" t="s">
        <v>916</v>
      </c>
      <c r="B17" s="149">
        <v>0</v>
      </c>
      <c r="C17" s="540">
        <v>0</v>
      </c>
      <c r="D17" s="65">
        <f t="shared" si="0"/>
        <v>0</v>
      </c>
      <c r="E17" s="32" t="s">
        <v>916</v>
      </c>
      <c r="F17" s="154">
        <v>0</v>
      </c>
      <c r="G17" s="384">
        <v>0</v>
      </c>
      <c r="H17" s="27">
        <f t="shared" si="1"/>
        <v>0</v>
      </c>
      <c r="I17" s="589" t="s">
        <v>35</v>
      </c>
      <c r="J17" s="583">
        <v>2026</v>
      </c>
      <c r="K17" s="584"/>
      <c r="L17" s="585"/>
      <c r="M17" s="568">
        <v>2025</v>
      </c>
      <c r="N17" s="569"/>
      <c r="O17" s="570"/>
      <c r="P17" s="568">
        <v>2024</v>
      </c>
      <c r="Q17" s="569"/>
      <c r="R17" s="570"/>
      <c r="S17" s="568">
        <v>2023</v>
      </c>
      <c r="T17" s="558"/>
      <c r="U17" s="559"/>
      <c r="V17" s="614"/>
      <c r="W17" s="121"/>
      <c r="X17" s="244"/>
      <c r="Y17" s="568">
        <v>2022</v>
      </c>
      <c r="Z17" s="558"/>
      <c r="AA17" s="559"/>
      <c r="AB17" s="568">
        <v>2021</v>
      </c>
      <c r="AC17" s="569"/>
      <c r="AD17" s="570"/>
      <c r="AE17" s="568">
        <v>2020</v>
      </c>
      <c r="AF17" s="569"/>
      <c r="AG17" s="570"/>
      <c r="AH17" s="568">
        <v>2019</v>
      </c>
      <c r="AI17" s="569"/>
      <c r="AJ17" s="570"/>
      <c r="AK17" s="568">
        <v>2018</v>
      </c>
      <c r="AL17" s="558"/>
      <c r="AM17" s="559"/>
      <c r="AN17" s="568">
        <v>2017</v>
      </c>
      <c r="AO17" s="569"/>
      <c r="AP17" s="570"/>
      <c r="AQ17" s="568">
        <v>2016</v>
      </c>
      <c r="AR17" s="569"/>
      <c r="AS17" s="570"/>
      <c r="AT17" s="568">
        <v>2015</v>
      </c>
      <c r="AU17" s="569"/>
      <c r="AV17" s="570"/>
      <c r="AW17" s="568">
        <v>2014</v>
      </c>
      <c r="AX17" s="660"/>
      <c r="AY17" s="661"/>
    </row>
    <row r="18" spans="1:51" ht="14.95" customHeight="1" thickBot="1" x14ac:dyDescent="0.3">
      <c r="A18" s="64" t="s">
        <v>978</v>
      </c>
      <c r="B18" s="149">
        <v>0</v>
      </c>
      <c r="C18" s="540">
        <v>0</v>
      </c>
      <c r="D18" s="65">
        <f t="shared" si="0"/>
        <v>0</v>
      </c>
      <c r="E18" s="32" t="s">
        <v>978</v>
      </c>
      <c r="F18" s="154">
        <v>0</v>
      </c>
      <c r="G18" s="384">
        <v>0</v>
      </c>
      <c r="H18" s="27">
        <f t="shared" si="1"/>
        <v>0</v>
      </c>
      <c r="I18" s="590"/>
      <c r="J18" s="586"/>
      <c r="K18" s="587"/>
      <c r="L18" s="588"/>
      <c r="M18" s="571"/>
      <c r="N18" s="572"/>
      <c r="O18" s="573"/>
      <c r="P18" s="571"/>
      <c r="Q18" s="572"/>
      <c r="R18" s="573"/>
      <c r="S18" s="560"/>
      <c r="T18" s="561"/>
      <c r="U18" s="562"/>
      <c r="V18" s="614"/>
      <c r="W18" s="121"/>
      <c r="X18" s="244"/>
      <c r="Y18" s="560"/>
      <c r="Z18" s="561"/>
      <c r="AA18" s="562"/>
      <c r="AB18" s="571"/>
      <c r="AC18" s="572"/>
      <c r="AD18" s="573"/>
      <c r="AE18" s="571"/>
      <c r="AF18" s="572"/>
      <c r="AG18" s="573"/>
      <c r="AH18" s="571"/>
      <c r="AI18" s="572"/>
      <c r="AJ18" s="573"/>
      <c r="AK18" s="560"/>
      <c r="AL18" s="561"/>
      <c r="AM18" s="562"/>
      <c r="AN18" s="571"/>
      <c r="AO18" s="572"/>
      <c r="AP18" s="573"/>
      <c r="AQ18" s="571"/>
      <c r="AR18" s="572"/>
      <c r="AS18" s="573"/>
      <c r="AT18" s="571"/>
      <c r="AU18" s="572"/>
      <c r="AV18" s="573"/>
      <c r="AW18" s="662"/>
      <c r="AX18" s="663"/>
      <c r="AY18" s="664"/>
    </row>
    <row r="19" spans="1:51" ht="14.95" thickBot="1" x14ac:dyDescent="0.3">
      <c r="A19" s="64" t="s">
        <v>495</v>
      </c>
      <c r="B19" s="149">
        <v>0</v>
      </c>
      <c r="C19" s="540">
        <v>0</v>
      </c>
      <c r="D19" s="65">
        <f t="shared" si="0"/>
        <v>0</v>
      </c>
      <c r="E19" s="32" t="s">
        <v>495</v>
      </c>
      <c r="F19" s="154">
        <v>0</v>
      </c>
      <c r="G19" s="384">
        <v>0</v>
      </c>
      <c r="H19" s="27">
        <f t="shared" si="1"/>
        <v>0</v>
      </c>
      <c r="I19" s="4"/>
      <c r="J19" s="1" t="s">
        <v>152</v>
      </c>
      <c r="K19" s="1" t="s">
        <v>12</v>
      </c>
      <c r="L19" s="1" t="s">
        <v>13</v>
      </c>
      <c r="M19" s="128" t="s">
        <v>152</v>
      </c>
      <c r="N19" s="128" t="s">
        <v>12</v>
      </c>
      <c r="O19" s="128" t="s">
        <v>13</v>
      </c>
      <c r="P19" s="128" t="s">
        <v>152</v>
      </c>
      <c r="Q19" s="128" t="s">
        <v>12</v>
      </c>
      <c r="R19" s="128" t="s">
        <v>13</v>
      </c>
      <c r="S19" s="128" t="s">
        <v>152</v>
      </c>
      <c r="T19" s="128" t="s">
        <v>12</v>
      </c>
      <c r="U19" s="128" t="s">
        <v>13</v>
      </c>
      <c r="V19" s="41"/>
      <c r="W19" s="121"/>
      <c r="X19" s="244"/>
      <c r="Y19" s="128" t="s">
        <v>152</v>
      </c>
      <c r="Z19" s="128" t="s">
        <v>12</v>
      </c>
      <c r="AA19" s="128" t="s">
        <v>13</v>
      </c>
      <c r="AB19" s="228" t="s">
        <v>152</v>
      </c>
      <c r="AC19" s="128" t="s">
        <v>12</v>
      </c>
      <c r="AD19" s="128" t="s">
        <v>13</v>
      </c>
      <c r="AE19" s="128" t="s">
        <v>152</v>
      </c>
      <c r="AF19" s="128" t="s">
        <v>12</v>
      </c>
      <c r="AG19" s="128" t="s">
        <v>13</v>
      </c>
      <c r="AH19" s="228" t="s">
        <v>152</v>
      </c>
      <c r="AI19" s="128" t="s">
        <v>12</v>
      </c>
      <c r="AJ19" s="128" t="s">
        <v>13</v>
      </c>
      <c r="AK19" s="228" t="s">
        <v>152</v>
      </c>
      <c r="AL19" s="128" t="s">
        <v>12</v>
      </c>
      <c r="AM19" s="128" t="s">
        <v>13</v>
      </c>
      <c r="AN19" s="228" t="s">
        <v>152</v>
      </c>
      <c r="AO19" s="128" t="s">
        <v>12</v>
      </c>
      <c r="AP19" s="128" t="s">
        <v>13</v>
      </c>
      <c r="AQ19" s="228" t="s">
        <v>152</v>
      </c>
      <c r="AR19" s="128" t="s">
        <v>12</v>
      </c>
      <c r="AS19" s="128" t="s">
        <v>13</v>
      </c>
      <c r="AT19" s="228" t="s">
        <v>152</v>
      </c>
      <c r="AU19" s="128" t="s">
        <v>12</v>
      </c>
      <c r="AV19" s="128" t="s">
        <v>13</v>
      </c>
      <c r="AW19" s="128" t="s">
        <v>152</v>
      </c>
      <c r="AX19" s="128" t="s">
        <v>12</v>
      </c>
      <c r="AY19" s="128" t="s">
        <v>13</v>
      </c>
    </row>
    <row r="20" spans="1:51" ht="14.95" thickBot="1" x14ac:dyDescent="0.3">
      <c r="A20" s="64" t="s">
        <v>481</v>
      </c>
      <c r="B20" s="149">
        <v>0</v>
      </c>
      <c r="C20" s="540">
        <v>0</v>
      </c>
      <c r="D20" s="65">
        <f t="shared" si="0"/>
        <v>0</v>
      </c>
      <c r="E20" s="32" t="s">
        <v>481</v>
      </c>
      <c r="F20" s="154">
        <v>0</v>
      </c>
      <c r="G20" s="384">
        <v>0</v>
      </c>
      <c r="H20" s="27">
        <f t="shared" si="1"/>
        <v>0</v>
      </c>
      <c r="I20" s="64" t="s">
        <v>159</v>
      </c>
      <c r="J20" s="65" t="s">
        <v>17</v>
      </c>
      <c r="K20" s="65" t="s">
        <v>17</v>
      </c>
      <c r="L20" s="68" t="s">
        <v>17</v>
      </c>
      <c r="M20" s="128" t="s">
        <v>17</v>
      </c>
      <c r="N20" s="128" t="s">
        <v>17</v>
      </c>
      <c r="O20" s="231" t="s">
        <v>17</v>
      </c>
      <c r="P20" s="128" t="s">
        <v>17</v>
      </c>
      <c r="Q20" s="128" t="s">
        <v>17</v>
      </c>
      <c r="R20" s="231" t="s">
        <v>17</v>
      </c>
      <c r="S20" s="128" t="s">
        <v>17</v>
      </c>
      <c r="T20" s="128" t="s">
        <v>17</v>
      </c>
      <c r="U20" s="231" t="s">
        <v>17</v>
      </c>
      <c r="V20" s="41"/>
      <c r="W20" s="121"/>
      <c r="X20" s="244"/>
      <c r="Y20" s="128" t="s">
        <v>17</v>
      </c>
      <c r="Z20" s="128" t="s">
        <v>17</v>
      </c>
      <c r="AA20" s="231" t="s">
        <v>17</v>
      </c>
      <c r="AB20" s="228" t="s">
        <v>17</v>
      </c>
      <c r="AC20" s="128" t="s">
        <v>17</v>
      </c>
      <c r="AD20" s="231" t="s">
        <v>17</v>
      </c>
      <c r="AE20" s="128" t="s">
        <v>17</v>
      </c>
      <c r="AF20" s="128" t="s">
        <v>17</v>
      </c>
      <c r="AG20" s="128" t="s">
        <v>17</v>
      </c>
      <c r="AH20" s="228" t="s">
        <v>17</v>
      </c>
      <c r="AI20" s="128" t="s">
        <v>17</v>
      </c>
      <c r="AJ20" s="128" t="s">
        <v>17</v>
      </c>
      <c r="AK20" s="228">
        <v>1</v>
      </c>
      <c r="AL20" s="128">
        <v>2</v>
      </c>
      <c r="AM20" s="230">
        <f>SUM(AK20/AL20)*100</f>
        <v>50</v>
      </c>
      <c r="AN20" s="228" t="s">
        <v>17</v>
      </c>
      <c r="AO20" s="128" t="s">
        <v>17</v>
      </c>
      <c r="AP20" s="128" t="s">
        <v>17</v>
      </c>
      <c r="AQ20" s="228" t="s">
        <v>17</v>
      </c>
      <c r="AR20" s="128" t="s">
        <v>17</v>
      </c>
      <c r="AS20" s="128" t="s">
        <v>17</v>
      </c>
      <c r="AT20" s="228" t="s">
        <v>17</v>
      </c>
      <c r="AU20" s="128" t="s">
        <v>17</v>
      </c>
      <c r="AV20" s="232" t="s">
        <v>17</v>
      </c>
      <c r="AW20" s="128" t="s">
        <v>17</v>
      </c>
      <c r="AX20" s="128" t="s">
        <v>17</v>
      </c>
      <c r="AY20" s="128" t="s">
        <v>17</v>
      </c>
    </row>
    <row r="21" spans="1:51" ht="14.95" thickBot="1" x14ac:dyDescent="0.3">
      <c r="A21" s="64" t="s">
        <v>1421</v>
      </c>
      <c r="B21" s="149">
        <v>0</v>
      </c>
      <c r="C21" s="540">
        <v>0</v>
      </c>
      <c r="D21" s="65">
        <f t="shared" si="0"/>
        <v>0</v>
      </c>
      <c r="E21" s="32" t="s">
        <v>1421</v>
      </c>
      <c r="F21" s="154">
        <v>0</v>
      </c>
      <c r="G21" s="384">
        <v>0</v>
      </c>
      <c r="H21" s="27">
        <f t="shared" si="1"/>
        <v>0</v>
      </c>
      <c r="I21" s="64" t="s">
        <v>373</v>
      </c>
      <c r="J21" s="65" t="s">
        <v>17</v>
      </c>
      <c r="K21" s="65" t="s">
        <v>17</v>
      </c>
      <c r="L21" s="68" t="s">
        <v>17</v>
      </c>
      <c r="M21" s="128" t="s">
        <v>17</v>
      </c>
      <c r="N21" s="128" t="s">
        <v>17</v>
      </c>
      <c r="O21" s="231" t="s">
        <v>17</v>
      </c>
      <c r="P21" s="128" t="s">
        <v>17</v>
      </c>
      <c r="Q21" s="128" t="s">
        <v>17</v>
      </c>
      <c r="R21" s="231" t="s">
        <v>17</v>
      </c>
      <c r="S21" s="128" t="s">
        <v>17</v>
      </c>
      <c r="T21" s="128" t="s">
        <v>17</v>
      </c>
      <c r="U21" s="231" t="s">
        <v>17</v>
      </c>
      <c r="V21" s="41"/>
      <c r="W21" s="121"/>
      <c r="X21" s="244"/>
      <c r="Y21" s="128" t="s">
        <v>17</v>
      </c>
      <c r="Z21" s="128" t="s">
        <v>17</v>
      </c>
      <c r="AA21" s="231" t="s">
        <v>17</v>
      </c>
      <c r="AB21" s="228">
        <v>0</v>
      </c>
      <c r="AC21" s="128">
        <v>1</v>
      </c>
      <c r="AD21" s="231">
        <f>SUM(AB21/AC21)*100</f>
        <v>0</v>
      </c>
      <c r="AE21" s="128" t="s">
        <v>17</v>
      </c>
      <c r="AF21" s="128" t="s">
        <v>17</v>
      </c>
      <c r="AG21" s="128" t="s">
        <v>17</v>
      </c>
      <c r="AH21" s="228" t="s">
        <v>17</v>
      </c>
      <c r="AI21" s="128" t="s">
        <v>17</v>
      </c>
      <c r="AJ21" s="128" t="s">
        <v>17</v>
      </c>
      <c r="AK21" s="228" t="s">
        <v>17</v>
      </c>
      <c r="AL21" s="128" t="s">
        <v>17</v>
      </c>
      <c r="AM21" s="128" t="s">
        <v>17</v>
      </c>
      <c r="AN21" s="232" t="s">
        <v>17</v>
      </c>
      <c r="AO21" s="128" t="s">
        <v>17</v>
      </c>
      <c r="AP21" s="128" t="s">
        <v>17</v>
      </c>
      <c r="AQ21" s="128" t="s">
        <v>17</v>
      </c>
      <c r="AR21" s="128" t="s">
        <v>17</v>
      </c>
      <c r="AS21" s="128" t="s">
        <v>17</v>
      </c>
      <c r="AT21" s="128" t="s">
        <v>17</v>
      </c>
      <c r="AU21" s="128" t="s">
        <v>17</v>
      </c>
      <c r="AV21" s="128" t="s">
        <v>17</v>
      </c>
      <c r="AW21" s="128" t="s">
        <v>17</v>
      </c>
      <c r="AX21" s="128" t="s">
        <v>17</v>
      </c>
      <c r="AY21" s="128" t="s">
        <v>17</v>
      </c>
    </row>
    <row r="22" spans="1:51" ht="14.95" thickBot="1" x14ac:dyDescent="0.3">
      <c r="A22" s="64" t="s">
        <v>1472</v>
      </c>
      <c r="B22" s="149">
        <v>1</v>
      </c>
      <c r="C22" s="540">
        <v>0</v>
      </c>
      <c r="D22" s="65">
        <f t="shared" si="0"/>
        <v>1</v>
      </c>
      <c r="E22" s="32" t="s">
        <v>1472</v>
      </c>
      <c r="F22" s="154">
        <v>5</v>
      </c>
      <c r="G22" s="384">
        <v>0</v>
      </c>
      <c r="H22" s="27">
        <f t="shared" si="1"/>
        <v>5</v>
      </c>
      <c r="I22" s="64" t="s">
        <v>347</v>
      </c>
      <c r="J22" s="65" t="s">
        <v>17</v>
      </c>
      <c r="K22" s="65" t="s">
        <v>17</v>
      </c>
      <c r="L22" s="68" t="s">
        <v>17</v>
      </c>
      <c r="M22" s="128" t="s">
        <v>17</v>
      </c>
      <c r="N22" s="128" t="s">
        <v>17</v>
      </c>
      <c r="O22" s="231" t="s">
        <v>17</v>
      </c>
      <c r="P22" s="128" t="s">
        <v>17</v>
      </c>
      <c r="Q22" s="128" t="s">
        <v>17</v>
      </c>
      <c r="R22" s="231" t="s">
        <v>17</v>
      </c>
      <c r="S22" s="128" t="s">
        <v>17</v>
      </c>
      <c r="T22" s="128" t="s">
        <v>17</v>
      </c>
      <c r="U22" s="231" t="s">
        <v>17</v>
      </c>
      <c r="V22" s="41"/>
      <c r="W22" s="121"/>
      <c r="X22" s="244"/>
      <c r="Y22" s="128" t="s">
        <v>17</v>
      </c>
      <c r="Z22" s="128" t="s">
        <v>17</v>
      </c>
      <c r="AA22" s="231" t="s">
        <v>17</v>
      </c>
      <c r="AB22" s="228">
        <v>15</v>
      </c>
      <c r="AC22" s="128">
        <v>18</v>
      </c>
      <c r="AD22" s="231">
        <f>SUM(AB22/AC22)*100</f>
        <v>83.333333333333343</v>
      </c>
      <c r="AE22" s="128">
        <v>4</v>
      </c>
      <c r="AF22" s="128">
        <v>5</v>
      </c>
      <c r="AG22" s="128">
        <v>80</v>
      </c>
      <c r="AH22" s="228" t="s">
        <v>17</v>
      </c>
      <c r="AI22" s="128" t="s">
        <v>17</v>
      </c>
      <c r="AJ22" s="128" t="s">
        <v>17</v>
      </c>
      <c r="AK22" s="228" t="s">
        <v>17</v>
      </c>
      <c r="AL22" s="128" t="s">
        <v>17</v>
      </c>
      <c r="AM22" s="128" t="s">
        <v>17</v>
      </c>
      <c r="AN22" s="232" t="s">
        <v>17</v>
      </c>
      <c r="AO22" s="128" t="s">
        <v>17</v>
      </c>
      <c r="AP22" s="128" t="s">
        <v>17</v>
      </c>
      <c r="AQ22" s="232" t="s">
        <v>17</v>
      </c>
      <c r="AR22" s="128" t="s">
        <v>17</v>
      </c>
      <c r="AS22" s="128" t="s">
        <v>17</v>
      </c>
      <c r="AT22" s="128" t="s">
        <v>17</v>
      </c>
      <c r="AU22" s="128" t="s">
        <v>17</v>
      </c>
      <c r="AV22" s="128" t="s">
        <v>17</v>
      </c>
      <c r="AW22" s="128" t="s">
        <v>17</v>
      </c>
      <c r="AX22" s="128" t="s">
        <v>17</v>
      </c>
      <c r="AY22" s="128" t="s">
        <v>17</v>
      </c>
    </row>
    <row r="23" spans="1:51" ht="14.95" thickBot="1" x14ac:dyDescent="0.3">
      <c r="A23" s="64" t="s">
        <v>588</v>
      </c>
      <c r="B23" s="149">
        <v>0</v>
      </c>
      <c r="C23" s="540">
        <v>0</v>
      </c>
      <c r="D23" s="65">
        <f t="shared" si="0"/>
        <v>0</v>
      </c>
      <c r="E23" s="32" t="s">
        <v>588</v>
      </c>
      <c r="F23" s="154">
        <v>0</v>
      </c>
      <c r="G23" s="384">
        <v>0</v>
      </c>
      <c r="H23" s="27">
        <f t="shared" si="1"/>
        <v>0</v>
      </c>
      <c r="I23" s="64" t="s">
        <v>1169</v>
      </c>
      <c r="J23" s="65" t="s">
        <v>17</v>
      </c>
      <c r="K23" s="65" t="s">
        <v>17</v>
      </c>
      <c r="L23" s="68" t="s">
        <v>17</v>
      </c>
      <c r="M23" s="128">
        <v>0</v>
      </c>
      <c r="N23" s="128">
        <v>2</v>
      </c>
      <c r="O23" s="231">
        <v>0</v>
      </c>
      <c r="P23" s="128" t="s">
        <v>17</v>
      </c>
      <c r="Q23" s="128" t="s">
        <v>17</v>
      </c>
      <c r="R23" s="231" t="s">
        <v>17</v>
      </c>
      <c r="S23" s="128" t="s">
        <v>17</v>
      </c>
      <c r="T23" s="128" t="s">
        <v>17</v>
      </c>
      <c r="U23" s="231" t="s">
        <v>17</v>
      </c>
      <c r="V23" s="41"/>
      <c r="W23" s="121"/>
      <c r="X23" s="244"/>
      <c r="Y23" s="128" t="s">
        <v>17</v>
      </c>
      <c r="Z23" s="128" t="s">
        <v>17</v>
      </c>
      <c r="AA23" s="231" t="s">
        <v>17</v>
      </c>
      <c r="AB23" s="128" t="s">
        <v>17</v>
      </c>
      <c r="AC23" s="128" t="s">
        <v>17</v>
      </c>
      <c r="AD23" s="231" t="s">
        <v>17</v>
      </c>
      <c r="AE23" s="128" t="s">
        <v>17</v>
      </c>
      <c r="AF23" s="128" t="s">
        <v>17</v>
      </c>
      <c r="AG23" s="231" t="s">
        <v>17</v>
      </c>
      <c r="AH23" s="128" t="s">
        <v>17</v>
      </c>
      <c r="AI23" s="128" t="s">
        <v>17</v>
      </c>
      <c r="AJ23" s="231" t="s">
        <v>17</v>
      </c>
      <c r="AK23" s="128" t="s">
        <v>17</v>
      </c>
      <c r="AL23" s="128" t="s">
        <v>17</v>
      </c>
      <c r="AM23" s="231" t="s">
        <v>17</v>
      </c>
      <c r="AN23" s="128" t="s">
        <v>17</v>
      </c>
      <c r="AO23" s="128" t="s">
        <v>17</v>
      </c>
      <c r="AP23" s="231" t="s">
        <v>17</v>
      </c>
      <c r="AQ23" s="128" t="s">
        <v>17</v>
      </c>
      <c r="AR23" s="128" t="s">
        <v>17</v>
      </c>
      <c r="AS23" s="231" t="s">
        <v>17</v>
      </c>
      <c r="AT23" s="128" t="s">
        <v>17</v>
      </c>
      <c r="AU23" s="128" t="s">
        <v>17</v>
      </c>
      <c r="AV23" s="231" t="s">
        <v>17</v>
      </c>
      <c r="AW23" s="128" t="s">
        <v>17</v>
      </c>
      <c r="AX23" s="128" t="s">
        <v>17</v>
      </c>
      <c r="AY23" s="231" t="s">
        <v>17</v>
      </c>
    </row>
    <row r="24" spans="1:51" ht="14.95" thickBot="1" x14ac:dyDescent="0.3">
      <c r="A24" s="64" t="s">
        <v>298</v>
      </c>
      <c r="B24" s="149">
        <v>1</v>
      </c>
      <c r="C24" s="540">
        <v>0</v>
      </c>
      <c r="D24" s="65">
        <f t="shared" si="0"/>
        <v>1</v>
      </c>
      <c r="E24" s="32" t="s">
        <v>298</v>
      </c>
      <c r="F24" s="154">
        <v>5</v>
      </c>
      <c r="G24" s="384">
        <v>0</v>
      </c>
      <c r="H24" s="27">
        <f t="shared" si="1"/>
        <v>5</v>
      </c>
      <c r="I24" s="64" t="s">
        <v>516</v>
      </c>
      <c r="J24" s="65" t="s">
        <v>17</v>
      </c>
      <c r="K24" s="65" t="s">
        <v>17</v>
      </c>
      <c r="L24" s="68" t="s">
        <v>17</v>
      </c>
      <c r="M24" s="128">
        <v>1</v>
      </c>
      <c r="N24" s="128">
        <v>2</v>
      </c>
      <c r="O24" s="231">
        <v>50</v>
      </c>
      <c r="P24" s="128"/>
      <c r="Q24" s="128"/>
      <c r="R24" s="231"/>
      <c r="S24" s="128"/>
      <c r="T24" s="128"/>
      <c r="U24" s="231"/>
      <c r="V24" s="41"/>
      <c r="W24" s="121"/>
      <c r="X24" s="244"/>
      <c r="Y24" s="128"/>
      <c r="Z24" s="128"/>
      <c r="AA24" s="231"/>
      <c r="AB24" s="128"/>
      <c r="AC24" s="128"/>
      <c r="AD24" s="231"/>
      <c r="AE24" s="128"/>
      <c r="AF24" s="128"/>
      <c r="AG24" s="231"/>
      <c r="AH24" s="128"/>
      <c r="AI24" s="128"/>
      <c r="AJ24" s="231"/>
      <c r="AK24" s="128"/>
      <c r="AL24" s="128"/>
      <c r="AM24" s="231"/>
      <c r="AN24" s="128"/>
      <c r="AO24" s="128"/>
      <c r="AP24" s="231"/>
      <c r="AQ24" s="128"/>
      <c r="AR24" s="128"/>
      <c r="AS24" s="231"/>
      <c r="AT24" s="128"/>
      <c r="AU24" s="128"/>
      <c r="AV24" s="231"/>
      <c r="AW24" s="128"/>
      <c r="AX24" s="128"/>
      <c r="AY24" s="231"/>
    </row>
    <row r="25" spans="1:51" ht="14.95" thickBot="1" x14ac:dyDescent="0.3">
      <c r="A25" s="64" t="s">
        <v>566</v>
      </c>
      <c r="B25" s="149">
        <v>0</v>
      </c>
      <c r="C25" s="540">
        <v>0</v>
      </c>
      <c r="D25" s="65">
        <f t="shared" si="0"/>
        <v>0</v>
      </c>
      <c r="E25" s="32" t="s">
        <v>566</v>
      </c>
      <c r="F25" s="154">
        <v>0</v>
      </c>
      <c r="G25" s="384">
        <v>0</v>
      </c>
      <c r="H25" s="27">
        <f t="shared" si="1"/>
        <v>0</v>
      </c>
      <c r="I25" s="217" t="s">
        <v>290</v>
      </c>
      <c r="J25" s="65" t="s">
        <v>17</v>
      </c>
      <c r="K25" s="65" t="s">
        <v>17</v>
      </c>
      <c r="L25" s="68" t="s">
        <v>17</v>
      </c>
      <c r="M25" s="128" t="s">
        <v>17</v>
      </c>
      <c r="N25" s="128" t="s">
        <v>17</v>
      </c>
      <c r="O25" s="231" t="s">
        <v>17</v>
      </c>
      <c r="P25" s="128" t="s">
        <v>17</v>
      </c>
      <c r="Q25" s="128" t="s">
        <v>17</v>
      </c>
      <c r="R25" s="231" t="s">
        <v>17</v>
      </c>
      <c r="S25" s="128" t="s">
        <v>17</v>
      </c>
      <c r="T25" s="128" t="s">
        <v>17</v>
      </c>
      <c r="U25" s="231" t="s">
        <v>17</v>
      </c>
      <c r="V25" s="41"/>
      <c r="W25" s="121"/>
      <c r="X25" s="244"/>
      <c r="Y25" s="128">
        <v>1</v>
      </c>
      <c r="Z25" s="128">
        <v>2</v>
      </c>
      <c r="AA25" s="231">
        <v>50</v>
      </c>
      <c r="AB25" s="228">
        <v>6</v>
      </c>
      <c r="AC25" s="128">
        <v>9</v>
      </c>
      <c r="AD25" s="231">
        <f>SUM(AB25/AC25)*100</f>
        <v>66.666666666666657</v>
      </c>
      <c r="AE25" s="128">
        <v>17</v>
      </c>
      <c r="AF25" s="128">
        <v>22</v>
      </c>
      <c r="AG25" s="128">
        <v>77</v>
      </c>
      <c r="AH25" s="228">
        <v>3</v>
      </c>
      <c r="AI25" s="128">
        <v>4</v>
      </c>
      <c r="AJ25" s="128">
        <f>SUM(AH25/AI25)*100</f>
        <v>75</v>
      </c>
      <c r="AK25" s="228" t="s">
        <v>17</v>
      </c>
      <c r="AL25" s="128" t="s">
        <v>17</v>
      </c>
      <c r="AM25" s="128" t="s">
        <v>17</v>
      </c>
      <c r="AN25" s="228" t="s">
        <v>17</v>
      </c>
      <c r="AO25" s="128" t="s">
        <v>17</v>
      </c>
      <c r="AP25" s="128" t="s">
        <v>17</v>
      </c>
      <c r="AQ25" s="232" t="s">
        <v>17</v>
      </c>
      <c r="AR25" s="128" t="s">
        <v>17</v>
      </c>
      <c r="AS25" s="128" t="s">
        <v>17</v>
      </c>
      <c r="AT25" s="232" t="s">
        <v>17</v>
      </c>
      <c r="AU25" s="128" t="s">
        <v>17</v>
      </c>
      <c r="AV25" s="128" t="s">
        <v>17</v>
      </c>
      <c r="AW25" s="128" t="s">
        <v>17</v>
      </c>
      <c r="AX25" s="128" t="s">
        <v>17</v>
      </c>
      <c r="AY25" s="128" t="s">
        <v>17</v>
      </c>
    </row>
    <row r="26" spans="1:51" ht="14.95" thickBot="1" x14ac:dyDescent="0.3">
      <c r="A26" s="64" t="s">
        <v>60</v>
      </c>
      <c r="B26" s="149">
        <v>0</v>
      </c>
      <c r="C26" s="540">
        <v>0</v>
      </c>
      <c r="D26" s="65">
        <f t="shared" si="0"/>
        <v>0</v>
      </c>
      <c r="E26" s="32" t="s">
        <v>60</v>
      </c>
      <c r="F26" s="154">
        <v>0</v>
      </c>
      <c r="G26" s="384">
        <v>0</v>
      </c>
      <c r="H26" s="27">
        <f t="shared" si="1"/>
        <v>0</v>
      </c>
      <c r="I26" s="64" t="s">
        <v>291</v>
      </c>
      <c r="J26" s="65">
        <v>21</v>
      </c>
      <c r="K26" s="65">
        <v>25</v>
      </c>
      <c r="L26" s="68">
        <f>SUM(J26/K26)*100</f>
        <v>84</v>
      </c>
      <c r="M26" s="128">
        <v>29</v>
      </c>
      <c r="N26" s="128">
        <v>35</v>
      </c>
      <c r="O26" s="231">
        <v>82.857142857142861</v>
      </c>
      <c r="P26" s="128">
        <v>25</v>
      </c>
      <c r="Q26" s="128">
        <v>28</v>
      </c>
      <c r="R26" s="231">
        <f>SUM(P26/Q26)*100</f>
        <v>89.285714285714292</v>
      </c>
      <c r="S26" s="128">
        <v>28</v>
      </c>
      <c r="T26" s="128">
        <v>33</v>
      </c>
      <c r="U26" s="231">
        <f>SUM(S26/T26)*100</f>
        <v>84.848484848484844</v>
      </c>
      <c r="V26" s="41"/>
      <c r="W26" s="121"/>
      <c r="X26" s="244"/>
      <c r="Y26" s="128" t="s">
        <v>17</v>
      </c>
      <c r="Z26" s="128" t="s">
        <v>17</v>
      </c>
      <c r="AA26" s="231" t="s">
        <v>17</v>
      </c>
      <c r="AB26" s="228" t="s">
        <v>17</v>
      </c>
      <c r="AC26" s="128" t="s">
        <v>17</v>
      </c>
      <c r="AD26" s="231" t="s">
        <v>17</v>
      </c>
      <c r="AE26" s="128" t="s">
        <v>17</v>
      </c>
      <c r="AF26" s="128" t="s">
        <v>17</v>
      </c>
      <c r="AG26" s="128" t="s">
        <v>17</v>
      </c>
      <c r="AH26" s="228">
        <v>2</v>
      </c>
      <c r="AI26" s="128">
        <v>4</v>
      </c>
      <c r="AJ26" s="128">
        <v>50</v>
      </c>
      <c r="AK26" s="228" t="s">
        <v>17</v>
      </c>
      <c r="AL26" s="128" t="s">
        <v>17</v>
      </c>
      <c r="AM26" s="128" t="s">
        <v>17</v>
      </c>
      <c r="AN26" s="228" t="s">
        <v>17</v>
      </c>
      <c r="AO26" s="128" t="s">
        <v>17</v>
      </c>
      <c r="AP26" s="128" t="s">
        <v>17</v>
      </c>
      <c r="AQ26" s="232" t="s">
        <v>17</v>
      </c>
      <c r="AR26" s="128" t="s">
        <v>17</v>
      </c>
      <c r="AS26" s="128" t="s">
        <v>17</v>
      </c>
      <c r="AT26" s="232" t="s">
        <v>17</v>
      </c>
      <c r="AU26" s="128" t="s">
        <v>17</v>
      </c>
      <c r="AV26" s="128" t="s">
        <v>17</v>
      </c>
      <c r="AW26" s="128" t="s">
        <v>17</v>
      </c>
      <c r="AX26" s="128" t="s">
        <v>17</v>
      </c>
      <c r="AY26" s="128" t="s">
        <v>17</v>
      </c>
    </row>
    <row r="27" spans="1:51" ht="14.95" thickBot="1" x14ac:dyDescent="0.3">
      <c r="A27" s="64" t="s">
        <v>443</v>
      </c>
      <c r="B27" s="149">
        <v>0</v>
      </c>
      <c r="C27" s="540">
        <v>0</v>
      </c>
      <c r="D27" s="65">
        <f t="shared" si="0"/>
        <v>0</v>
      </c>
      <c r="E27" s="32" t="s">
        <v>443</v>
      </c>
      <c r="F27" s="154">
        <v>0</v>
      </c>
      <c r="G27" s="384">
        <v>0</v>
      </c>
      <c r="H27" s="27">
        <f t="shared" si="1"/>
        <v>0</v>
      </c>
      <c r="I27" s="64" t="s">
        <v>113</v>
      </c>
      <c r="J27" s="65" t="s">
        <v>17</v>
      </c>
      <c r="K27" s="65" t="s">
        <v>17</v>
      </c>
      <c r="L27" s="68" t="s">
        <v>17</v>
      </c>
      <c r="M27" s="128" t="s">
        <v>17</v>
      </c>
      <c r="N27" s="128" t="s">
        <v>17</v>
      </c>
      <c r="O27" s="231" t="s">
        <v>17</v>
      </c>
      <c r="P27" s="128" t="s">
        <v>17</v>
      </c>
      <c r="Q27" s="128" t="s">
        <v>17</v>
      </c>
      <c r="R27" s="231" t="s">
        <v>17</v>
      </c>
      <c r="S27" s="128" t="s">
        <v>17</v>
      </c>
      <c r="T27" s="128" t="s">
        <v>17</v>
      </c>
      <c r="U27" s="231" t="s">
        <v>17</v>
      </c>
      <c r="V27" s="41"/>
      <c r="W27" s="121"/>
      <c r="X27" s="244"/>
      <c r="Y27" s="128" t="s">
        <v>17</v>
      </c>
      <c r="Z27" s="128" t="s">
        <v>17</v>
      </c>
      <c r="AA27" s="231" t="s">
        <v>17</v>
      </c>
      <c r="AB27" s="228" t="s">
        <v>17</v>
      </c>
      <c r="AC27" s="128" t="s">
        <v>17</v>
      </c>
      <c r="AD27" s="231" t="s">
        <v>17</v>
      </c>
      <c r="AE27" s="128" t="s">
        <v>17</v>
      </c>
      <c r="AF27" s="128" t="s">
        <v>17</v>
      </c>
      <c r="AG27" s="128" t="s">
        <v>17</v>
      </c>
      <c r="AH27" s="228">
        <v>3</v>
      </c>
      <c r="AI27" s="128">
        <v>4</v>
      </c>
      <c r="AJ27" s="128">
        <v>50</v>
      </c>
      <c r="AK27" s="228" t="s">
        <v>17</v>
      </c>
      <c r="AL27" s="128" t="s">
        <v>17</v>
      </c>
      <c r="AM27" s="128" t="s">
        <v>17</v>
      </c>
      <c r="AN27" s="228" t="s">
        <v>17</v>
      </c>
      <c r="AO27" s="128" t="s">
        <v>17</v>
      </c>
      <c r="AP27" s="128" t="s">
        <v>17</v>
      </c>
      <c r="AQ27" s="232" t="s">
        <v>17</v>
      </c>
      <c r="AR27" s="128" t="s">
        <v>17</v>
      </c>
      <c r="AS27" s="128" t="s">
        <v>17</v>
      </c>
      <c r="AT27" s="232" t="s">
        <v>17</v>
      </c>
      <c r="AU27" s="128" t="s">
        <v>17</v>
      </c>
      <c r="AV27" s="128" t="s">
        <v>17</v>
      </c>
      <c r="AW27" s="128" t="s">
        <v>17</v>
      </c>
      <c r="AX27" s="128" t="s">
        <v>17</v>
      </c>
      <c r="AY27" s="128" t="s">
        <v>17</v>
      </c>
    </row>
    <row r="28" spans="1:51" ht="14.95" customHeight="1" thickBot="1" x14ac:dyDescent="0.3">
      <c r="A28" s="64" t="s">
        <v>974</v>
      </c>
      <c r="B28" s="149">
        <v>0</v>
      </c>
      <c r="C28" s="540">
        <v>0</v>
      </c>
      <c r="D28" s="65">
        <f t="shared" si="0"/>
        <v>0</v>
      </c>
      <c r="E28" s="32" t="s">
        <v>974</v>
      </c>
      <c r="F28" s="154">
        <v>0</v>
      </c>
      <c r="G28" s="384">
        <v>0</v>
      </c>
      <c r="H28" s="27">
        <f t="shared" si="1"/>
        <v>0</v>
      </c>
      <c r="I28" s="40"/>
      <c r="J28" s="121"/>
      <c r="K28" s="121"/>
      <c r="L28" s="121"/>
      <c r="M28" s="121"/>
      <c r="N28" s="121"/>
      <c r="O28" s="121"/>
    </row>
    <row r="29" spans="1:51" ht="14.95" customHeight="1" thickBot="1" x14ac:dyDescent="0.3">
      <c r="A29" s="64" t="s">
        <v>895</v>
      </c>
      <c r="B29" s="149">
        <v>0</v>
      </c>
      <c r="C29" s="540">
        <v>0</v>
      </c>
      <c r="D29" s="65">
        <f t="shared" si="0"/>
        <v>0</v>
      </c>
      <c r="E29" s="32" t="s">
        <v>895</v>
      </c>
      <c r="F29" s="154">
        <v>0</v>
      </c>
      <c r="G29" s="384">
        <v>0</v>
      </c>
      <c r="H29" s="27">
        <f t="shared" si="1"/>
        <v>0</v>
      </c>
      <c r="I29" s="577" t="s">
        <v>33</v>
      </c>
      <c r="J29" s="568">
        <v>2023</v>
      </c>
      <c r="K29" s="569"/>
      <c r="L29" s="570"/>
      <c r="M29" s="557">
        <v>2019</v>
      </c>
      <c r="N29" s="563"/>
      <c r="O29" s="564"/>
      <c r="P29" s="557">
        <v>2015</v>
      </c>
      <c r="Q29" s="563"/>
      <c r="R29" s="564"/>
    </row>
    <row r="30" spans="1:51" ht="14.95" customHeight="1" thickBot="1" x14ac:dyDescent="0.3">
      <c r="A30" s="64" t="s">
        <v>1003</v>
      </c>
      <c r="B30" s="149">
        <v>2</v>
      </c>
      <c r="C30" s="540">
        <v>0</v>
      </c>
      <c r="D30" s="65">
        <f t="shared" si="0"/>
        <v>2</v>
      </c>
      <c r="E30" s="32" t="s">
        <v>1003</v>
      </c>
      <c r="F30" s="154">
        <v>10</v>
      </c>
      <c r="G30" s="384">
        <v>0</v>
      </c>
      <c r="H30" s="27">
        <f t="shared" si="1"/>
        <v>10</v>
      </c>
      <c r="I30" s="578"/>
      <c r="J30" s="571"/>
      <c r="K30" s="572"/>
      <c r="L30" s="573"/>
      <c r="M30" s="565"/>
      <c r="N30" s="566"/>
      <c r="O30" s="567"/>
      <c r="P30" s="565"/>
      <c r="Q30" s="566"/>
      <c r="R30" s="567"/>
    </row>
    <row r="31" spans="1:51" ht="14.95" customHeight="1" thickBot="1" x14ac:dyDescent="0.3">
      <c r="A31" s="64" t="s">
        <v>1119</v>
      </c>
      <c r="B31" s="149">
        <v>0</v>
      </c>
      <c r="C31" s="540">
        <v>0</v>
      </c>
      <c r="D31" s="65">
        <f t="shared" si="0"/>
        <v>0</v>
      </c>
      <c r="E31" s="32" t="s">
        <v>1119</v>
      </c>
      <c r="F31" s="154">
        <v>0</v>
      </c>
      <c r="G31" s="384">
        <v>0</v>
      </c>
      <c r="H31" s="27">
        <f t="shared" si="1"/>
        <v>0</v>
      </c>
      <c r="I31" s="4"/>
      <c r="J31" s="128" t="s">
        <v>152</v>
      </c>
      <c r="K31" s="128" t="s">
        <v>12</v>
      </c>
      <c r="L31" s="128" t="s">
        <v>13</v>
      </c>
      <c r="M31" s="119" t="s">
        <v>152</v>
      </c>
      <c r="N31" s="119" t="s">
        <v>12</v>
      </c>
      <c r="O31" s="119" t="s">
        <v>13</v>
      </c>
      <c r="P31" s="119" t="s">
        <v>152</v>
      </c>
      <c r="Q31" s="119" t="s">
        <v>12</v>
      </c>
      <c r="R31" s="119" t="s">
        <v>13</v>
      </c>
    </row>
    <row r="32" spans="1:51" ht="14.95" customHeight="1" thickBot="1" x14ac:dyDescent="0.3">
      <c r="A32" s="64" t="s">
        <v>1210</v>
      </c>
      <c r="B32" s="149">
        <v>0</v>
      </c>
      <c r="C32" s="540">
        <v>0</v>
      </c>
      <c r="D32" s="65">
        <f t="shared" si="0"/>
        <v>0</v>
      </c>
      <c r="E32" s="32" t="s">
        <v>1210</v>
      </c>
      <c r="F32" s="154">
        <v>0</v>
      </c>
      <c r="G32" s="384">
        <v>0</v>
      </c>
      <c r="H32" s="27">
        <f t="shared" si="1"/>
        <v>0</v>
      </c>
      <c r="I32" s="64" t="s">
        <v>290</v>
      </c>
      <c r="J32" s="128" t="s">
        <v>17</v>
      </c>
      <c r="K32" s="128" t="s">
        <v>17</v>
      </c>
      <c r="L32" s="231" t="s">
        <v>17</v>
      </c>
      <c r="M32" s="128">
        <v>11</v>
      </c>
      <c r="N32" s="128">
        <v>15</v>
      </c>
      <c r="O32" s="230">
        <f>SUM(M32/N32)*100</f>
        <v>73.333333333333329</v>
      </c>
      <c r="P32" s="128" t="s">
        <v>17</v>
      </c>
      <c r="Q32" s="128" t="s">
        <v>17</v>
      </c>
      <c r="R32" s="128" t="s">
        <v>17</v>
      </c>
    </row>
    <row r="33" spans="1:35" ht="14.95" customHeight="1" thickBot="1" x14ac:dyDescent="0.3">
      <c r="A33" s="64" t="s">
        <v>842</v>
      </c>
      <c r="B33" s="149">
        <v>0</v>
      </c>
      <c r="C33" s="540">
        <v>0</v>
      </c>
      <c r="D33" s="65">
        <f t="shared" si="0"/>
        <v>0</v>
      </c>
      <c r="E33" s="32" t="s">
        <v>842</v>
      </c>
      <c r="F33" s="154">
        <v>0</v>
      </c>
      <c r="G33" s="384">
        <v>0</v>
      </c>
      <c r="H33" s="27">
        <f t="shared" si="1"/>
        <v>0</v>
      </c>
      <c r="I33" s="64" t="s">
        <v>291</v>
      </c>
      <c r="J33" s="128">
        <v>30</v>
      </c>
      <c r="K33" s="128">
        <v>36</v>
      </c>
      <c r="L33" s="231">
        <f>SUM(J33/K33)*100</f>
        <v>83.333333333333343</v>
      </c>
      <c r="M33" s="128">
        <v>1</v>
      </c>
      <c r="N33" s="128">
        <v>2</v>
      </c>
      <c r="O33" s="230">
        <f>SUM(M33/N33)*100</f>
        <v>50</v>
      </c>
      <c r="P33" s="128" t="s">
        <v>17</v>
      </c>
      <c r="Q33" s="128" t="s">
        <v>17</v>
      </c>
      <c r="R33" s="128" t="s">
        <v>17</v>
      </c>
    </row>
    <row r="34" spans="1:35" ht="14.95" customHeight="1" thickBot="1" x14ac:dyDescent="0.3">
      <c r="A34" s="64" t="s">
        <v>347</v>
      </c>
      <c r="B34" s="149">
        <v>2</v>
      </c>
      <c r="C34" s="540">
        <v>0</v>
      </c>
      <c r="D34" s="65">
        <f t="shared" si="0"/>
        <v>2</v>
      </c>
      <c r="E34" s="32" t="s">
        <v>347</v>
      </c>
      <c r="F34" s="154">
        <v>10</v>
      </c>
      <c r="G34" s="384">
        <v>0</v>
      </c>
      <c r="H34" s="27">
        <f t="shared" si="1"/>
        <v>10</v>
      </c>
      <c r="M34" s="45"/>
      <c r="N34" s="45"/>
      <c r="O34" s="45"/>
    </row>
    <row r="35" spans="1:35" ht="14.95" customHeight="1" thickBot="1" x14ac:dyDescent="0.3">
      <c r="A35" s="64" t="s">
        <v>1219</v>
      </c>
      <c r="B35" s="149">
        <v>1</v>
      </c>
      <c r="C35" s="540">
        <v>0</v>
      </c>
      <c r="D35" s="65">
        <f t="shared" si="0"/>
        <v>1</v>
      </c>
      <c r="E35" s="32" t="s">
        <v>1219</v>
      </c>
      <c r="F35" s="154">
        <v>5</v>
      </c>
      <c r="G35" s="384">
        <v>0</v>
      </c>
      <c r="H35" s="27">
        <f t="shared" si="1"/>
        <v>5</v>
      </c>
      <c r="I35" s="658" t="s">
        <v>1168</v>
      </c>
      <c r="J35" s="659"/>
      <c r="K35" s="659"/>
      <c r="L35" s="659"/>
      <c r="M35" s="659"/>
      <c r="N35" s="659"/>
      <c r="O35" s="659"/>
      <c r="P35" s="659"/>
      <c r="Q35" s="659"/>
      <c r="R35" s="659"/>
      <c r="S35" s="659"/>
      <c r="T35" s="659"/>
      <c r="U35" s="659"/>
      <c r="V35" s="659"/>
      <c r="W35" s="659"/>
      <c r="X35" s="659"/>
      <c r="Y35" s="659"/>
      <c r="Z35" s="659"/>
      <c r="AA35" s="659"/>
      <c r="AB35" s="659"/>
      <c r="AC35" s="659"/>
      <c r="AD35" s="659"/>
      <c r="AE35" s="659"/>
      <c r="AF35" s="659"/>
      <c r="AG35" s="659"/>
      <c r="AH35" s="659"/>
      <c r="AI35" s="659"/>
    </row>
    <row r="36" spans="1:35" ht="14.95" customHeight="1" thickBot="1" x14ac:dyDescent="0.3">
      <c r="A36" s="64" t="s">
        <v>1430</v>
      </c>
      <c r="B36" s="149">
        <v>0</v>
      </c>
      <c r="C36" s="540">
        <v>0</v>
      </c>
      <c r="D36" s="65">
        <f t="shared" si="0"/>
        <v>0</v>
      </c>
      <c r="E36" s="32" t="s">
        <v>1430</v>
      </c>
      <c r="F36" s="154">
        <v>0</v>
      </c>
      <c r="G36" s="384">
        <v>0</v>
      </c>
      <c r="H36" s="27">
        <f t="shared" si="1"/>
        <v>0</v>
      </c>
    </row>
    <row r="37" spans="1:35" ht="14.95" customHeight="1" thickBot="1" x14ac:dyDescent="0.3">
      <c r="A37" s="64" t="s">
        <v>914</v>
      </c>
      <c r="B37" s="149">
        <v>0</v>
      </c>
      <c r="C37" s="540">
        <v>0</v>
      </c>
      <c r="D37" s="65">
        <f t="shared" si="0"/>
        <v>0</v>
      </c>
      <c r="E37" s="32" t="s">
        <v>914</v>
      </c>
      <c r="F37" s="154">
        <v>0</v>
      </c>
      <c r="G37" s="384">
        <v>0</v>
      </c>
      <c r="H37" s="27">
        <f t="shared" si="1"/>
        <v>0</v>
      </c>
    </row>
    <row r="38" spans="1:35" ht="14.95" thickBot="1" x14ac:dyDescent="0.3">
      <c r="A38" s="64" t="s">
        <v>516</v>
      </c>
      <c r="B38" s="149">
        <v>0</v>
      </c>
      <c r="C38" s="540">
        <v>0</v>
      </c>
      <c r="D38" s="65">
        <f t="shared" si="0"/>
        <v>0</v>
      </c>
      <c r="E38" s="32" t="s">
        <v>516</v>
      </c>
      <c r="F38" s="154">
        <v>0</v>
      </c>
      <c r="G38" s="384">
        <v>0</v>
      </c>
      <c r="H38" s="27">
        <f t="shared" si="1"/>
        <v>0</v>
      </c>
    </row>
    <row r="39" spans="1:35" ht="14.95" thickBot="1" x14ac:dyDescent="0.3">
      <c r="A39" s="64" t="s">
        <v>824</v>
      </c>
      <c r="B39" s="149">
        <v>0</v>
      </c>
      <c r="C39" s="540">
        <v>0</v>
      </c>
      <c r="D39" s="65">
        <f t="shared" si="0"/>
        <v>0</v>
      </c>
      <c r="E39" s="32" t="s">
        <v>824</v>
      </c>
      <c r="F39" s="154">
        <v>0</v>
      </c>
      <c r="G39" s="384">
        <v>0</v>
      </c>
      <c r="H39" s="27">
        <f t="shared" si="1"/>
        <v>0</v>
      </c>
    </row>
    <row r="40" spans="1:35" ht="14.95" thickBot="1" x14ac:dyDescent="0.3">
      <c r="A40" s="64" t="s">
        <v>551</v>
      </c>
      <c r="B40" s="149">
        <v>1</v>
      </c>
      <c r="C40" s="540">
        <v>0</v>
      </c>
      <c r="D40" s="65">
        <f t="shared" si="0"/>
        <v>1</v>
      </c>
      <c r="E40" s="32" t="s">
        <v>551</v>
      </c>
      <c r="F40" s="154">
        <v>5</v>
      </c>
      <c r="G40" s="384">
        <v>0</v>
      </c>
      <c r="H40" s="27">
        <f t="shared" si="1"/>
        <v>5</v>
      </c>
    </row>
    <row r="41" spans="1:35" ht="14.95" thickBot="1" x14ac:dyDescent="0.3">
      <c r="A41" s="64" t="s">
        <v>826</v>
      </c>
      <c r="B41" s="149">
        <v>0</v>
      </c>
      <c r="C41" s="540">
        <v>0</v>
      </c>
      <c r="D41" s="65">
        <f t="shared" si="0"/>
        <v>0</v>
      </c>
      <c r="E41" s="32" t="s">
        <v>826</v>
      </c>
      <c r="F41" s="154">
        <v>0</v>
      </c>
      <c r="G41" s="384">
        <v>0</v>
      </c>
      <c r="H41" s="27">
        <f t="shared" si="1"/>
        <v>0</v>
      </c>
    </row>
    <row r="42" spans="1:35" ht="14.95" thickBot="1" x14ac:dyDescent="0.3">
      <c r="A42" s="64" t="s">
        <v>1470</v>
      </c>
      <c r="B42" s="149">
        <v>1</v>
      </c>
      <c r="C42" s="540">
        <v>0</v>
      </c>
      <c r="D42" s="65">
        <f t="shared" si="0"/>
        <v>1</v>
      </c>
      <c r="E42" s="32" t="s">
        <v>1470</v>
      </c>
      <c r="F42" s="154">
        <v>5</v>
      </c>
      <c r="G42" s="384">
        <v>0</v>
      </c>
      <c r="H42" s="27">
        <f t="shared" si="1"/>
        <v>5</v>
      </c>
    </row>
    <row r="43" spans="1:35" ht="14.95" thickBot="1" x14ac:dyDescent="0.3">
      <c r="A43" s="64" t="s">
        <v>480</v>
      </c>
      <c r="B43" s="149">
        <v>0</v>
      </c>
      <c r="C43" s="540">
        <v>0</v>
      </c>
      <c r="D43" s="65">
        <f t="shared" si="0"/>
        <v>0</v>
      </c>
      <c r="E43" s="32" t="s">
        <v>480</v>
      </c>
      <c r="F43" s="154">
        <v>0</v>
      </c>
      <c r="G43" s="384">
        <v>0</v>
      </c>
      <c r="H43" s="27">
        <f t="shared" si="1"/>
        <v>0</v>
      </c>
    </row>
    <row r="44" spans="1:35" ht="14.95" thickBot="1" x14ac:dyDescent="0.3">
      <c r="A44" s="64" t="s">
        <v>290</v>
      </c>
      <c r="B44" s="149">
        <v>0</v>
      </c>
      <c r="C44" s="540">
        <v>0</v>
      </c>
      <c r="D44" s="65">
        <f t="shared" si="0"/>
        <v>0</v>
      </c>
      <c r="E44" s="32" t="s">
        <v>290</v>
      </c>
      <c r="F44" s="154">
        <v>0</v>
      </c>
      <c r="G44" s="384">
        <v>0</v>
      </c>
      <c r="H44" s="27">
        <f t="shared" si="1"/>
        <v>0</v>
      </c>
    </row>
    <row r="45" spans="1:35" ht="14.95" thickBot="1" x14ac:dyDescent="0.3">
      <c r="A45" s="64" t="s">
        <v>119</v>
      </c>
      <c r="B45" s="149">
        <v>2</v>
      </c>
      <c r="C45" s="540">
        <v>0</v>
      </c>
      <c r="D45" s="65">
        <f t="shared" si="0"/>
        <v>2</v>
      </c>
      <c r="E45" s="32" t="s">
        <v>119</v>
      </c>
      <c r="F45" s="154">
        <v>10</v>
      </c>
      <c r="G45" s="384">
        <v>0</v>
      </c>
      <c r="H45" s="27">
        <f t="shared" si="1"/>
        <v>10</v>
      </c>
    </row>
    <row r="46" spans="1:35" ht="14.95" thickBot="1" x14ac:dyDescent="0.3">
      <c r="A46" s="64" t="s">
        <v>4</v>
      </c>
      <c r="B46" s="149">
        <v>0</v>
      </c>
      <c r="C46" s="540">
        <v>0</v>
      </c>
      <c r="D46" s="65">
        <f t="shared" si="0"/>
        <v>0</v>
      </c>
      <c r="E46" s="32" t="s">
        <v>4</v>
      </c>
      <c r="F46" s="154">
        <v>0</v>
      </c>
      <c r="G46" s="384">
        <v>0</v>
      </c>
      <c r="H46" s="27">
        <f t="shared" si="1"/>
        <v>0</v>
      </c>
    </row>
    <row r="47" spans="1:35" ht="14.95" thickBot="1" x14ac:dyDescent="0.3">
      <c r="A47" s="64" t="s">
        <v>127</v>
      </c>
      <c r="B47" s="149">
        <v>0</v>
      </c>
      <c r="C47" s="540">
        <v>0</v>
      </c>
      <c r="D47" s="65">
        <f t="shared" si="0"/>
        <v>0</v>
      </c>
      <c r="E47" s="32" t="s">
        <v>127</v>
      </c>
      <c r="F47" s="154">
        <v>0</v>
      </c>
      <c r="G47" s="384">
        <v>0</v>
      </c>
      <c r="H47" s="27">
        <f t="shared" si="1"/>
        <v>0</v>
      </c>
    </row>
    <row r="48" spans="1:35" ht="14.95" thickBot="1" x14ac:dyDescent="0.3">
      <c r="A48" s="64" t="s">
        <v>291</v>
      </c>
      <c r="B48" s="149">
        <v>3</v>
      </c>
      <c r="C48" s="540">
        <v>0</v>
      </c>
      <c r="D48" s="65">
        <f t="shared" si="0"/>
        <v>3</v>
      </c>
      <c r="E48" s="32" t="s">
        <v>291</v>
      </c>
      <c r="F48" s="154">
        <v>58</v>
      </c>
      <c r="G48" s="384">
        <v>0</v>
      </c>
      <c r="H48" s="27">
        <f t="shared" si="1"/>
        <v>58</v>
      </c>
    </row>
    <row r="49" spans="1:8" ht="14.95" thickBot="1" x14ac:dyDescent="0.3">
      <c r="A49" s="64" t="s">
        <v>1117</v>
      </c>
      <c r="B49" s="149">
        <v>0</v>
      </c>
      <c r="C49" s="540">
        <v>0</v>
      </c>
      <c r="D49" s="65">
        <f t="shared" si="0"/>
        <v>0</v>
      </c>
      <c r="E49" s="32" t="s">
        <v>1117</v>
      </c>
      <c r="F49" s="154">
        <v>0</v>
      </c>
      <c r="G49" s="384">
        <v>0</v>
      </c>
      <c r="H49" s="27">
        <f t="shared" si="1"/>
        <v>0</v>
      </c>
    </row>
    <row r="50" spans="1:8" ht="14.95" thickBot="1" x14ac:dyDescent="0.3">
      <c r="A50" s="64" t="s">
        <v>981</v>
      </c>
      <c r="B50" s="149">
        <v>0</v>
      </c>
      <c r="C50" s="540">
        <v>0</v>
      </c>
      <c r="D50" s="65">
        <f t="shared" si="0"/>
        <v>0</v>
      </c>
      <c r="E50" s="32" t="s">
        <v>981</v>
      </c>
      <c r="F50" s="154">
        <v>0</v>
      </c>
      <c r="G50" s="384">
        <v>0</v>
      </c>
      <c r="H50" s="27">
        <f t="shared" si="1"/>
        <v>0</v>
      </c>
    </row>
    <row r="51" spans="1:8" ht="14.95" thickBot="1" x14ac:dyDescent="0.3">
      <c r="A51" s="64" t="s">
        <v>113</v>
      </c>
      <c r="B51" s="149">
        <v>0</v>
      </c>
      <c r="C51" s="540">
        <v>0</v>
      </c>
      <c r="D51" s="65">
        <f t="shared" si="0"/>
        <v>0</v>
      </c>
      <c r="E51" s="32" t="s">
        <v>113</v>
      </c>
      <c r="F51" s="154">
        <v>0</v>
      </c>
      <c r="G51" s="384">
        <v>0</v>
      </c>
      <c r="H51" s="27">
        <f t="shared" si="1"/>
        <v>0</v>
      </c>
    </row>
    <row r="52" spans="1:8" ht="14.95" thickBot="1" x14ac:dyDescent="0.3">
      <c r="A52" s="64" t="s">
        <v>102</v>
      </c>
      <c r="B52" s="149">
        <v>0</v>
      </c>
      <c r="C52" s="540">
        <v>0</v>
      </c>
      <c r="D52" s="65">
        <f t="shared" si="0"/>
        <v>0</v>
      </c>
      <c r="E52" s="32" t="s">
        <v>102</v>
      </c>
      <c r="F52" s="154">
        <v>0</v>
      </c>
      <c r="G52" s="384">
        <v>0</v>
      </c>
      <c r="H52" s="27">
        <f t="shared" si="1"/>
        <v>0</v>
      </c>
    </row>
    <row r="53" spans="1:8" ht="14.95" thickBot="1" x14ac:dyDescent="0.3">
      <c r="A53" s="64" t="s">
        <v>979</v>
      </c>
      <c r="B53" s="149">
        <v>0</v>
      </c>
      <c r="C53" s="540">
        <v>0</v>
      </c>
      <c r="D53" s="65">
        <f t="shared" si="0"/>
        <v>0</v>
      </c>
      <c r="E53" s="33" t="s">
        <v>979</v>
      </c>
      <c r="F53" s="154">
        <v>0</v>
      </c>
      <c r="G53" s="384">
        <v>0</v>
      </c>
      <c r="H53" s="27">
        <f t="shared" si="1"/>
        <v>0</v>
      </c>
    </row>
    <row r="54" spans="1:8" ht="14.95" thickBot="1" x14ac:dyDescent="0.3">
      <c r="A54" s="64" t="s">
        <v>372</v>
      </c>
      <c r="B54" s="149">
        <v>0</v>
      </c>
      <c r="C54" s="540">
        <v>0</v>
      </c>
      <c r="D54" s="65">
        <f t="shared" si="0"/>
        <v>0</v>
      </c>
      <c r="E54" s="33" t="s">
        <v>372</v>
      </c>
      <c r="F54" s="154">
        <v>0</v>
      </c>
      <c r="G54" s="384">
        <v>0</v>
      </c>
      <c r="H54" s="27">
        <f t="shared" si="1"/>
        <v>0</v>
      </c>
    </row>
    <row r="55" spans="1:8" ht="14.95" thickBot="1" x14ac:dyDescent="0.3">
      <c r="A55" s="64" t="s">
        <v>843</v>
      </c>
      <c r="B55" s="149">
        <v>0</v>
      </c>
      <c r="C55" s="540">
        <v>0</v>
      </c>
      <c r="D55" s="65">
        <f t="shared" si="0"/>
        <v>0</v>
      </c>
      <c r="E55" s="33" t="s">
        <v>843</v>
      </c>
      <c r="F55" s="154">
        <v>0</v>
      </c>
      <c r="G55" s="384">
        <v>0</v>
      </c>
      <c r="H55" s="27">
        <f t="shared" si="1"/>
        <v>0</v>
      </c>
    </row>
    <row r="56" spans="1:8" ht="14.95" thickBot="1" x14ac:dyDescent="0.3">
      <c r="A56" s="64" t="s">
        <v>839</v>
      </c>
      <c r="B56" s="149">
        <v>0</v>
      </c>
      <c r="C56" s="540">
        <v>0</v>
      </c>
      <c r="D56" s="65">
        <f t="shared" si="0"/>
        <v>0</v>
      </c>
      <c r="E56" s="33" t="s">
        <v>839</v>
      </c>
      <c r="F56" s="154">
        <v>0</v>
      </c>
      <c r="G56" s="384">
        <v>0</v>
      </c>
      <c r="H56" s="27">
        <f t="shared" si="1"/>
        <v>0</v>
      </c>
    </row>
    <row r="57" spans="1:8" ht="14.95" thickBot="1" x14ac:dyDescent="0.3">
      <c r="A57" s="64" t="s">
        <v>338</v>
      </c>
      <c r="B57" s="149">
        <v>0</v>
      </c>
      <c r="C57" s="540">
        <v>0</v>
      </c>
      <c r="D57" s="65">
        <f t="shared" si="0"/>
        <v>0</v>
      </c>
      <c r="E57" s="33" t="s">
        <v>338</v>
      </c>
      <c r="F57" s="154">
        <v>0</v>
      </c>
      <c r="G57" s="384">
        <v>0</v>
      </c>
      <c r="H57" s="27">
        <f t="shared" si="1"/>
        <v>0</v>
      </c>
    </row>
    <row r="58" spans="1:8" ht="14.95" thickBot="1" x14ac:dyDescent="0.3">
      <c r="A58" s="64" t="s">
        <v>409</v>
      </c>
      <c r="B58" s="149">
        <v>0</v>
      </c>
      <c r="C58" s="540">
        <v>0</v>
      </c>
      <c r="D58" s="65">
        <f t="shared" si="0"/>
        <v>0</v>
      </c>
      <c r="E58" s="33" t="s">
        <v>409</v>
      </c>
      <c r="F58" s="154">
        <v>0</v>
      </c>
      <c r="G58" s="384">
        <v>0</v>
      </c>
      <c r="H58" s="27">
        <f t="shared" si="1"/>
        <v>0</v>
      </c>
    </row>
    <row r="59" spans="1:8" ht="14.95" thickBot="1" x14ac:dyDescent="0.3">
      <c r="A59" s="64" t="s">
        <v>3</v>
      </c>
      <c r="B59" s="149">
        <f>SUM(B3:B58)</f>
        <v>24</v>
      </c>
      <c r="C59" s="540">
        <f>SUM(C3:C58)</f>
        <v>0</v>
      </c>
      <c r="D59" s="65">
        <f t="shared" si="0"/>
        <v>24</v>
      </c>
      <c r="E59" s="33" t="s">
        <v>3</v>
      </c>
      <c r="F59" s="154">
        <f>SUM(F3:F58)</f>
        <v>163</v>
      </c>
      <c r="G59" s="384">
        <f>SUM(G3:G58)</f>
        <v>0</v>
      </c>
      <c r="H59" s="27">
        <f t="shared" si="1"/>
        <v>163</v>
      </c>
    </row>
    <row r="60" spans="1:8" x14ac:dyDescent="0.25">
      <c r="E60" s="10"/>
      <c r="F60" s="7"/>
      <c r="G60" s="7"/>
      <c r="H60" s="7"/>
    </row>
    <row r="61" spans="1:8" ht="14.95" thickBot="1" x14ac:dyDescent="0.3">
      <c r="A61" t="s">
        <v>15</v>
      </c>
      <c r="E61" s="5"/>
      <c r="F61" s="9"/>
      <c r="G61" s="9"/>
      <c r="H61" s="9"/>
    </row>
    <row r="62" spans="1:8" ht="14.95" thickBot="1" x14ac:dyDescent="0.3">
      <c r="A62" s="217" t="s">
        <v>0</v>
      </c>
      <c r="B62" s="194" t="s">
        <v>36</v>
      </c>
      <c r="C62" s="539" t="s">
        <v>1447</v>
      </c>
      <c r="D62" s="195" t="s">
        <v>1</v>
      </c>
      <c r="E62" s="189" t="s">
        <v>2</v>
      </c>
      <c r="F62" s="196" t="s">
        <v>36</v>
      </c>
      <c r="G62" s="383" t="s">
        <v>1447</v>
      </c>
      <c r="H62" s="178" t="s">
        <v>1</v>
      </c>
    </row>
    <row r="63" spans="1:8" ht="14.95" thickBot="1" x14ac:dyDescent="0.3">
      <c r="A63" s="64" t="s">
        <v>664</v>
      </c>
      <c r="B63" s="149">
        <v>5</v>
      </c>
      <c r="C63" s="540">
        <v>0</v>
      </c>
      <c r="D63" s="65">
        <f>SUM(B63:C63)</f>
        <v>5</v>
      </c>
      <c r="E63" s="32" t="s">
        <v>291</v>
      </c>
      <c r="F63" s="154">
        <v>58</v>
      </c>
      <c r="G63" s="384">
        <v>0</v>
      </c>
      <c r="H63" s="27">
        <f>SUM(F63:G63)</f>
        <v>58</v>
      </c>
    </row>
    <row r="64" spans="1:8" ht="14.95" thickBot="1" x14ac:dyDescent="0.3">
      <c r="A64" s="64" t="s">
        <v>977</v>
      </c>
      <c r="B64" s="149">
        <v>4</v>
      </c>
      <c r="C64" s="540">
        <v>0</v>
      </c>
      <c r="D64" s="65">
        <f>SUM(B64:C64)</f>
        <v>4</v>
      </c>
      <c r="E64" s="32" t="s">
        <v>664</v>
      </c>
      <c r="F64" s="154">
        <v>25</v>
      </c>
      <c r="G64" s="384">
        <v>0</v>
      </c>
      <c r="H64" s="27">
        <f>SUM(F64:G64)</f>
        <v>25</v>
      </c>
    </row>
    <row r="65" spans="1:8" ht="14.95" thickBot="1" x14ac:dyDescent="0.3">
      <c r="A65" s="64" t="s">
        <v>291</v>
      </c>
      <c r="B65" s="149">
        <v>3</v>
      </c>
      <c r="C65" s="540">
        <v>0</v>
      </c>
      <c r="D65" s="65">
        <f>SUM(B65:C65)</f>
        <v>3</v>
      </c>
      <c r="E65" s="32" t="s">
        <v>977</v>
      </c>
      <c r="F65" s="154">
        <v>20</v>
      </c>
      <c r="G65" s="384">
        <v>0</v>
      </c>
      <c r="H65" s="27">
        <f>SUM(F65:G65)</f>
        <v>20</v>
      </c>
    </row>
    <row r="66" spans="1:8" ht="14.95" thickBot="1" x14ac:dyDescent="0.3">
      <c r="A66" s="64" t="s">
        <v>1003</v>
      </c>
      <c r="B66" s="149">
        <v>2</v>
      </c>
      <c r="C66" s="540">
        <v>0</v>
      </c>
      <c r="D66" s="65">
        <f>SUM(B66:C66)</f>
        <v>2</v>
      </c>
      <c r="E66" s="32" t="s">
        <v>1003</v>
      </c>
      <c r="F66" s="154">
        <v>10</v>
      </c>
      <c r="G66" s="384">
        <v>0</v>
      </c>
      <c r="H66" s="27">
        <f>SUM(F66:G66)</f>
        <v>10</v>
      </c>
    </row>
    <row r="67" spans="1:8" ht="14.95" thickBot="1" x14ac:dyDescent="0.3">
      <c r="A67" s="64" t="s">
        <v>347</v>
      </c>
      <c r="B67" s="149">
        <v>2</v>
      </c>
      <c r="C67" s="540">
        <v>0</v>
      </c>
      <c r="D67" s="65">
        <f>SUM(B67:C67)</f>
        <v>2</v>
      </c>
      <c r="E67" s="32" t="s">
        <v>347</v>
      </c>
      <c r="F67" s="154">
        <v>10</v>
      </c>
      <c r="G67" s="384">
        <v>0</v>
      </c>
      <c r="H67" s="27">
        <f>SUM(F67:G67)</f>
        <v>10</v>
      </c>
    </row>
    <row r="68" spans="1:8" ht="14.95" thickBot="1" x14ac:dyDescent="0.3">
      <c r="A68" s="64" t="s">
        <v>119</v>
      </c>
      <c r="B68" s="149">
        <v>2</v>
      </c>
      <c r="C68" s="540">
        <v>0</v>
      </c>
      <c r="D68" s="65">
        <f>SUM(B68:C68)</f>
        <v>2</v>
      </c>
      <c r="E68" s="32" t="s">
        <v>119</v>
      </c>
      <c r="F68" s="154">
        <v>10</v>
      </c>
      <c r="G68" s="384">
        <v>0</v>
      </c>
      <c r="H68" s="27">
        <f>SUM(F68:G68)</f>
        <v>10</v>
      </c>
    </row>
    <row r="69" spans="1:8" ht="14.95" thickBot="1" x14ac:dyDescent="0.3">
      <c r="A69" s="64" t="s">
        <v>1467</v>
      </c>
      <c r="B69" s="149">
        <v>1</v>
      </c>
      <c r="C69" s="540">
        <v>0</v>
      </c>
      <c r="D69" s="65">
        <f>SUM(B69:C69)</f>
        <v>1</v>
      </c>
      <c r="E69" s="32" t="s">
        <v>1467</v>
      </c>
      <c r="F69" s="154">
        <v>5</v>
      </c>
      <c r="G69" s="384">
        <v>0</v>
      </c>
      <c r="H69" s="27">
        <f>SUM(F69:G69)</f>
        <v>5</v>
      </c>
    </row>
    <row r="70" spans="1:8" ht="14.95" thickBot="1" x14ac:dyDescent="0.3">
      <c r="A70" s="64" t="s">
        <v>1472</v>
      </c>
      <c r="B70" s="149">
        <v>1</v>
      </c>
      <c r="C70" s="540">
        <v>0</v>
      </c>
      <c r="D70" s="65">
        <f>SUM(B70:C70)</f>
        <v>1</v>
      </c>
      <c r="E70" s="32" t="s">
        <v>1472</v>
      </c>
      <c r="F70" s="154">
        <v>5</v>
      </c>
      <c r="G70" s="384">
        <v>0</v>
      </c>
      <c r="H70" s="27">
        <f>SUM(F70:G70)</f>
        <v>5</v>
      </c>
    </row>
    <row r="71" spans="1:8" ht="14.95" thickBot="1" x14ac:dyDescent="0.3">
      <c r="A71" s="64" t="s">
        <v>298</v>
      </c>
      <c r="B71" s="149">
        <v>1</v>
      </c>
      <c r="C71" s="540">
        <v>0</v>
      </c>
      <c r="D71" s="65">
        <f>SUM(B71:C71)</f>
        <v>1</v>
      </c>
      <c r="E71" s="32" t="s">
        <v>298</v>
      </c>
      <c r="F71" s="154">
        <v>5</v>
      </c>
      <c r="G71" s="384">
        <v>0</v>
      </c>
      <c r="H71" s="27">
        <f>SUM(F71:G71)</f>
        <v>5</v>
      </c>
    </row>
    <row r="72" spans="1:8" ht="14.95" thickBot="1" x14ac:dyDescent="0.3">
      <c r="A72" s="64" t="s">
        <v>1219</v>
      </c>
      <c r="B72" s="149">
        <v>1</v>
      </c>
      <c r="C72" s="540">
        <v>0</v>
      </c>
      <c r="D72" s="65">
        <f>SUM(B72:C72)</f>
        <v>1</v>
      </c>
      <c r="E72" s="32" t="s">
        <v>1219</v>
      </c>
      <c r="F72" s="154">
        <v>5</v>
      </c>
      <c r="G72" s="384">
        <v>0</v>
      </c>
      <c r="H72" s="27">
        <f>SUM(F72:G72)</f>
        <v>5</v>
      </c>
    </row>
    <row r="73" spans="1:8" ht="14.95" thickBot="1" x14ac:dyDescent="0.3">
      <c r="A73" s="64" t="s">
        <v>551</v>
      </c>
      <c r="B73" s="149">
        <v>1</v>
      </c>
      <c r="C73" s="540">
        <v>0</v>
      </c>
      <c r="D73" s="65">
        <f>SUM(B73:C73)</f>
        <v>1</v>
      </c>
      <c r="E73" s="32" t="s">
        <v>551</v>
      </c>
      <c r="F73" s="154">
        <v>5</v>
      </c>
      <c r="G73" s="384">
        <v>0</v>
      </c>
      <c r="H73" s="27">
        <f>SUM(F73:G73)</f>
        <v>5</v>
      </c>
    </row>
    <row r="74" spans="1:8" ht="14.95" thickBot="1" x14ac:dyDescent="0.3">
      <c r="A74" s="64" t="s">
        <v>1470</v>
      </c>
      <c r="B74" s="149">
        <v>1</v>
      </c>
      <c r="C74" s="540">
        <v>0</v>
      </c>
      <c r="D74" s="65">
        <f>SUM(B74:C74)</f>
        <v>1</v>
      </c>
      <c r="E74" s="32" t="s">
        <v>1470</v>
      </c>
      <c r="F74" s="154">
        <v>5</v>
      </c>
      <c r="G74" s="384">
        <v>0</v>
      </c>
      <c r="H74" s="27">
        <f>SUM(F74:G74)</f>
        <v>5</v>
      </c>
    </row>
    <row r="75" spans="1:8" ht="14.95" thickBot="1" x14ac:dyDescent="0.3">
      <c r="A75" s="64" t="s">
        <v>289</v>
      </c>
      <c r="B75" s="149">
        <v>0</v>
      </c>
      <c r="C75" s="540">
        <v>0</v>
      </c>
      <c r="D75" s="65">
        <f>SUM(B75:C75)</f>
        <v>0</v>
      </c>
      <c r="E75" s="32" t="s">
        <v>289</v>
      </c>
      <c r="F75" s="154">
        <v>0</v>
      </c>
      <c r="G75" s="384">
        <v>0</v>
      </c>
      <c r="H75" s="27">
        <f>SUM(F75:G75)</f>
        <v>0</v>
      </c>
    </row>
    <row r="76" spans="1:8" ht="14.95" thickBot="1" x14ac:dyDescent="0.3">
      <c r="A76" s="64" t="s">
        <v>840</v>
      </c>
      <c r="B76" s="149">
        <v>0</v>
      </c>
      <c r="C76" s="540">
        <v>0</v>
      </c>
      <c r="D76" s="65">
        <f>SUM(B76:C76)</f>
        <v>0</v>
      </c>
      <c r="E76" s="32" t="s">
        <v>840</v>
      </c>
      <c r="F76" s="154">
        <v>0</v>
      </c>
      <c r="G76" s="384">
        <v>0</v>
      </c>
      <c r="H76" s="27">
        <f>SUM(F76:G76)</f>
        <v>0</v>
      </c>
    </row>
    <row r="77" spans="1:8" ht="14.95" thickBot="1" x14ac:dyDescent="0.3">
      <c r="A77" s="64" t="s">
        <v>618</v>
      </c>
      <c r="B77" s="149">
        <v>0</v>
      </c>
      <c r="C77" s="540">
        <v>0</v>
      </c>
      <c r="D77" s="65">
        <f>SUM(B77:C77)</f>
        <v>0</v>
      </c>
      <c r="E77" s="32" t="s">
        <v>618</v>
      </c>
      <c r="F77" s="154">
        <v>0</v>
      </c>
      <c r="G77" s="384">
        <v>0</v>
      </c>
      <c r="H77" s="27">
        <f>SUM(F77:G77)</f>
        <v>0</v>
      </c>
    </row>
    <row r="78" spans="1:8" ht="14.95" thickBot="1" x14ac:dyDescent="0.3">
      <c r="A78" s="64" t="s">
        <v>362</v>
      </c>
      <c r="B78" s="149">
        <v>0</v>
      </c>
      <c r="C78" s="540">
        <v>0</v>
      </c>
      <c r="D78" s="65">
        <f>SUM(B78:C78)</f>
        <v>0</v>
      </c>
      <c r="E78" s="32" t="s">
        <v>362</v>
      </c>
      <c r="F78" s="154">
        <v>0</v>
      </c>
      <c r="G78" s="384">
        <v>0</v>
      </c>
      <c r="H78" s="27">
        <f>SUM(F78:G78)</f>
        <v>0</v>
      </c>
    </row>
    <row r="79" spans="1:8" ht="14.95" thickBot="1" x14ac:dyDescent="0.3">
      <c r="A79" s="64" t="s">
        <v>1212</v>
      </c>
      <c r="B79" s="149">
        <v>0</v>
      </c>
      <c r="C79" s="540">
        <v>0</v>
      </c>
      <c r="D79" s="65">
        <f>SUM(B79:C79)</f>
        <v>0</v>
      </c>
      <c r="E79" s="32" t="s">
        <v>1212</v>
      </c>
      <c r="F79" s="154">
        <v>0</v>
      </c>
      <c r="G79" s="384">
        <v>0</v>
      </c>
      <c r="H79" s="27">
        <f>SUM(F79:G79)</f>
        <v>0</v>
      </c>
    </row>
    <row r="80" spans="1:8" ht="14.95" thickBot="1" x14ac:dyDescent="0.3">
      <c r="A80" s="64" t="s">
        <v>919</v>
      </c>
      <c r="B80" s="149">
        <v>0</v>
      </c>
      <c r="C80" s="540">
        <v>0</v>
      </c>
      <c r="D80" s="65">
        <f>SUM(B80:C80)</f>
        <v>0</v>
      </c>
      <c r="E80" s="32" t="s">
        <v>919</v>
      </c>
      <c r="F80" s="154">
        <v>0</v>
      </c>
      <c r="G80" s="384">
        <v>0</v>
      </c>
      <c r="H80" s="27">
        <f>SUM(F80:G80)</f>
        <v>0</v>
      </c>
    </row>
    <row r="81" spans="1:8" ht="14.95" thickBot="1" x14ac:dyDescent="0.3">
      <c r="A81" s="64" t="s">
        <v>980</v>
      </c>
      <c r="B81" s="149">
        <v>0</v>
      </c>
      <c r="C81" s="540">
        <v>0</v>
      </c>
      <c r="D81" s="65">
        <f>SUM(B81:C81)</f>
        <v>0</v>
      </c>
      <c r="E81" s="32" t="s">
        <v>980</v>
      </c>
      <c r="F81" s="154">
        <v>0</v>
      </c>
      <c r="G81" s="384">
        <v>0</v>
      </c>
      <c r="H81" s="27">
        <f>SUM(F81:G81)</f>
        <v>0</v>
      </c>
    </row>
    <row r="82" spans="1:8" ht="14.95" thickBot="1" x14ac:dyDescent="0.3">
      <c r="A82" s="64" t="s">
        <v>841</v>
      </c>
      <c r="B82" s="149">
        <v>0</v>
      </c>
      <c r="C82" s="540">
        <v>0</v>
      </c>
      <c r="D82" s="65">
        <f>SUM(B82:C82)</f>
        <v>0</v>
      </c>
      <c r="E82" s="32" t="s">
        <v>841</v>
      </c>
      <c r="F82" s="154">
        <v>0</v>
      </c>
      <c r="G82" s="384">
        <v>0</v>
      </c>
      <c r="H82" s="27">
        <f>SUM(F82:G82)</f>
        <v>0</v>
      </c>
    </row>
    <row r="83" spans="1:8" ht="14.95" thickBot="1" x14ac:dyDescent="0.3">
      <c r="A83" s="64" t="s">
        <v>510</v>
      </c>
      <c r="B83" s="149">
        <v>0</v>
      </c>
      <c r="C83" s="540">
        <v>0</v>
      </c>
      <c r="D83" s="65">
        <f>SUM(B83:C83)</f>
        <v>0</v>
      </c>
      <c r="E83" s="32" t="s">
        <v>510</v>
      </c>
      <c r="F83" s="154">
        <v>0</v>
      </c>
      <c r="G83" s="384">
        <v>0</v>
      </c>
      <c r="H83" s="27">
        <f>SUM(F83:G83)</f>
        <v>0</v>
      </c>
    </row>
    <row r="84" spans="1:8" ht="14.95" thickBot="1" x14ac:dyDescent="0.3">
      <c r="A84" s="64" t="s">
        <v>1260</v>
      </c>
      <c r="B84" s="149">
        <v>0</v>
      </c>
      <c r="C84" s="540">
        <v>0</v>
      </c>
      <c r="D84" s="65">
        <f>SUM(B84:C84)</f>
        <v>0</v>
      </c>
      <c r="E84" s="32" t="s">
        <v>1260</v>
      </c>
      <c r="F84" s="154">
        <v>0</v>
      </c>
      <c r="G84" s="384">
        <v>0</v>
      </c>
      <c r="H84" s="27">
        <f>SUM(F84:G84)</f>
        <v>0</v>
      </c>
    </row>
    <row r="85" spans="1:8" ht="14.95" thickBot="1" x14ac:dyDescent="0.3">
      <c r="A85" s="64" t="s">
        <v>1129</v>
      </c>
      <c r="B85" s="149">
        <v>0</v>
      </c>
      <c r="C85" s="540">
        <v>0</v>
      </c>
      <c r="D85" s="65">
        <f>SUM(B85:C85)</f>
        <v>0</v>
      </c>
      <c r="E85" s="32" t="s">
        <v>1129</v>
      </c>
      <c r="F85" s="154">
        <v>0</v>
      </c>
      <c r="G85" s="384">
        <v>0</v>
      </c>
      <c r="H85" s="27">
        <f>SUM(F85:G85)</f>
        <v>0</v>
      </c>
    </row>
    <row r="86" spans="1:8" ht="14.95" thickBot="1" x14ac:dyDescent="0.3">
      <c r="A86" s="64" t="s">
        <v>916</v>
      </c>
      <c r="B86" s="149">
        <v>0</v>
      </c>
      <c r="C86" s="540">
        <v>0</v>
      </c>
      <c r="D86" s="65">
        <f>SUM(B86:C86)</f>
        <v>0</v>
      </c>
      <c r="E86" s="32" t="s">
        <v>916</v>
      </c>
      <c r="F86" s="154">
        <v>0</v>
      </c>
      <c r="G86" s="384">
        <v>0</v>
      </c>
      <c r="H86" s="27">
        <f>SUM(F86:G86)</f>
        <v>0</v>
      </c>
    </row>
    <row r="87" spans="1:8" ht="14.95" thickBot="1" x14ac:dyDescent="0.3">
      <c r="A87" s="64" t="s">
        <v>978</v>
      </c>
      <c r="B87" s="149">
        <v>0</v>
      </c>
      <c r="C87" s="540">
        <v>0</v>
      </c>
      <c r="D87" s="65">
        <f>SUM(B87:C87)</f>
        <v>0</v>
      </c>
      <c r="E87" s="32" t="s">
        <v>978</v>
      </c>
      <c r="F87" s="154">
        <v>0</v>
      </c>
      <c r="G87" s="384">
        <v>0</v>
      </c>
      <c r="H87" s="27">
        <f>SUM(F87:G87)</f>
        <v>0</v>
      </c>
    </row>
    <row r="88" spans="1:8" ht="14.95" thickBot="1" x14ac:dyDescent="0.3">
      <c r="A88" s="64" t="s">
        <v>495</v>
      </c>
      <c r="B88" s="149">
        <v>0</v>
      </c>
      <c r="C88" s="540">
        <v>0</v>
      </c>
      <c r="D88" s="65">
        <f>SUM(B88:C88)</f>
        <v>0</v>
      </c>
      <c r="E88" s="32" t="s">
        <v>495</v>
      </c>
      <c r="F88" s="154">
        <v>0</v>
      </c>
      <c r="G88" s="384">
        <v>0</v>
      </c>
      <c r="H88" s="27">
        <f>SUM(F88:G88)</f>
        <v>0</v>
      </c>
    </row>
    <row r="89" spans="1:8" ht="14.95" thickBot="1" x14ac:dyDescent="0.3">
      <c r="A89" s="64" t="s">
        <v>481</v>
      </c>
      <c r="B89" s="149">
        <v>0</v>
      </c>
      <c r="C89" s="540">
        <v>0</v>
      </c>
      <c r="D89" s="65">
        <f>SUM(B89:C89)</f>
        <v>0</v>
      </c>
      <c r="E89" s="32" t="s">
        <v>481</v>
      </c>
      <c r="F89" s="154">
        <v>0</v>
      </c>
      <c r="G89" s="384">
        <v>0</v>
      </c>
      <c r="H89" s="27">
        <f>SUM(F89:G89)</f>
        <v>0</v>
      </c>
    </row>
    <row r="90" spans="1:8" ht="14.95" thickBot="1" x14ac:dyDescent="0.3">
      <c r="A90" s="64" t="s">
        <v>1421</v>
      </c>
      <c r="B90" s="149">
        <v>0</v>
      </c>
      <c r="C90" s="540">
        <v>0</v>
      </c>
      <c r="D90" s="65">
        <f>SUM(B90:C90)</f>
        <v>0</v>
      </c>
      <c r="E90" s="32" t="s">
        <v>1421</v>
      </c>
      <c r="F90" s="154">
        <v>0</v>
      </c>
      <c r="G90" s="384">
        <v>0</v>
      </c>
      <c r="H90" s="27">
        <f>SUM(F90:G90)</f>
        <v>0</v>
      </c>
    </row>
    <row r="91" spans="1:8" ht="14.95" thickBot="1" x14ac:dyDescent="0.3">
      <c r="A91" s="64" t="s">
        <v>588</v>
      </c>
      <c r="B91" s="149">
        <v>0</v>
      </c>
      <c r="C91" s="540">
        <v>0</v>
      </c>
      <c r="D91" s="65">
        <f>SUM(B91:C91)</f>
        <v>0</v>
      </c>
      <c r="E91" s="32" t="s">
        <v>588</v>
      </c>
      <c r="F91" s="154">
        <v>0</v>
      </c>
      <c r="G91" s="384">
        <v>0</v>
      </c>
      <c r="H91" s="27">
        <f>SUM(F91:G91)</f>
        <v>0</v>
      </c>
    </row>
    <row r="92" spans="1:8" ht="14.95" thickBot="1" x14ac:dyDescent="0.3">
      <c r="A92" s="64" t="s">
        <v>566</v>
      </c>
      <c r="B92" s="149">
        <v>0</v>
      </c>
      <c r="C92" s="540">
        <v>0</v>
      </c>
      <c r="D92" s="65">
        <f>SUM(B92:C92)</f>
        <v>0</v>
      </c>
      <c r="E92" s="32" t="s">
        <v>566</v>
      </c>
      <c r="F92" s="154">
        <v>0</v>
      </c>
      <c r="G92" s="384">
        <v>0</v>
      </c>
      <c r="H92" s="27">
        <f>SUM(F92:G92)</f>
        <v>0</v>
      </c>
    </row>
    <row r="93" spans="1:8" ht="14.95" thickBot="1" x14ac:dyDescent="0.3">
      <c r="A93" s="64" t="s">
        <v>60</v>
      </c>
      <c r="B93" s="149">
        <v>0</v>
      </c>
      <c r="C93" s="540">
        <v>0</v>
      </c>
      <c r="D93" s="65">
        <f>SUM(B93:C93)</f>
        <v>0</v>
      </c>
      <c r="E93" s="32" t="s">
        <v>60</v>
      </c>
      <c r="F93" s="154">
        <v>0</v>
      </c>
      <c r="G93" s="384">
        <v>0</v>
      </c>
      <c r="H93" s="27">
        <f>SUM(F93:G93)</f>
        <v>0</v>
      </c>
    </row>
    <row r="94" spans="1:8" ht="14.95" thickBot="1" x14ac:dyDescent="0.3">
      <c r="A94" s="64" t="s">
        <v>443</v>
      </c>
      <c r="B94" s="149">
        <v>0</v>
      </c>
      <c r="C94" s="540">
        <v>0</v>
      </c>
      <c r="D94" s="65">
        <f>SUM(B94:C94)</f>
        <v>0</v>
      </c>
      <c r="E94" s="32" t="s">
        <v>443</v>
      </c>
      <c r="F94" s="154">
        <v>0</v>
      </c>
      <c r="G94" s="384">
        <v>0</v>
      </c>
      <c r="H94" s="27">
        <f>SUM(F94:G94)</f>
        <v>0</v>
      </c>
    </row>
    <row r="95" spans="1:8" ht="14.95" thickBot="1" x14ac:dyDescent="0.3">
      <c r="A95" s="64" t="s">
        <v>974</v>
      </c>
      <c r="B95" s="149">
        <v>0</v>
      </c>
      <c r="C95" s="540">
        <v>0</v>
      </c>
      <c r="D95" s="65">
        <f>SUM(B95:C95)</f>
        <v>0</v>
      </c>
      <c r="E95" s="32" t="s">
        <v>974</v>
      </c>
      <c r="F95" s="154">
        <v>0</v>
      </c>
      <c r="G95" s="384">
        <v>0</v>
      </c>
      <c r="H95" s="27">
        <f>SUM(F95:G95)</f>
        <v>0</v>
      </c>
    </row>
    <row r="96" spans="1:8" ht="14.95" thickBot="1" x14ac:dyDescent="0.3">
      <c r="A96" s="64" t="s">
        <v>895</v>
      </c>
      <c r="B96" s="149">
        <v>0</v>
      </c>
      <c r="C96" s="540">
        <v>0</v>
      </c>
      <c r="D96" s="65">
        <f>SUM(B96:C96)</f>
        <v>0</v>
      </c>
      <c r="E96" s="32" t="s">
        <v>895</v>
      </c>
      <c r="F96" s="154">
        <v>0</v>
      </c>
      <c r="G96" s="384">
        <v>0</v>
      </c>
      <c r="H96" s="27">
        <f>SUM(F96:G96)</f>
        <v>0</v>
      </c>
    </row>
    <row r="97" spans="1:8" ht="14.95" thickBot="1" x14ac:dyDescent="0.3">
      <c r="A97" s="64" t="s">
        <v>1119</v>
      </c>
      <c r="B97" s="149">
        <v>0</v>
      </c>
      <c r="C97" s="540">
        <v>0</v>
      </c>
      <c r="D97" s="65">
        <f>SUM(B97:C97)</f>
        <v>0</v>
      </c>
      <c r="E97" s="32" t="s">
        <v>1119</v>
      </c>
      <c r="F97" s="154">
        <v>0</v>
      </c>
      <c r="G97" s="384">
        <v>0</v>
      </c>
      <c r="H97" s="27">
        <f>SUM(F97:G97)</f>
        <v>0</v>
      </c>
    </row>
    <row r="98" spans="1:8" ht="14.95" thickBot="1" x14ac:dyDescent="0.3">
      <c r="A98" s="64" t="s">
        <v>1210</v>
      </c>
      <c r="B98" s="149">
        <v>0</v>
      </c>
      <c r="C98" s="540">
        <v>0</v>
      </c>
      <c r="D98" s="65">
        <f>SUM(B98:C98)</f>
        <v>0</v>
      </c>
      <c r="E98" s="32" t="s">
        <v>1210</v>
      </c>
      <c r="F98" s="154">
        <v>0</v>
      </c>
      <c r="G98" s="384">
        <v>0</v>
      </c>
      <c r="H98" s="27">
        <f>SUM(F98:G98)</f>
        <v>0</v>
      </c>
    </row>
    <row r="99" spans="1:8" ht="14.95" thickBot="1" x14ac:dyDescent="0.3">
      <c r="A99" s="64" t="s">
        <v>842</v>
      </c>
      <c r="B99" s="149">
        <v>0</v>
      </c>
      <c r="C99" s="540">
        <v>0</v>
      </c>
      <c r="D99" s="65">
        <f>SUM(B99:C99)</f>
        <v>0</v>
      </c>
      <c r="E99" s="32" t="s">
        <v>842</v>
      </c>
      <c r="F99" s="154">
        <v>0</v>
      </c>
      <c r="G99" s="384">
        <v>0</v>
      </c>
      <c r="H99" s="27">
        <f>SUM(F99:G99)</f>
        <v>0</v>
      </c>
    </row>
    <row r="100" spans="1:8" ht="14.95" thickBot="1" x14ac:dyDescent="0.3">
      <c r="A100" s="64" t="s">
        <v>1430</v>
      </c>
      <c r="B100" s="149">
        <v>0</v>
      </c>
      <c r="C100" s="540">
        <v>0</v>
      </c>
      <c r="D100" s="65">
        <f>SUM(B100:C100)</f>
        <v>0</v>
      </c>
      <c r="E100" s="32" t="s">
        <v>1430</v>
      </c>
      <c r="F100" s="154">
        <v>0</v>
      </c>
      <c r="G100" s="384">
        <v>0</v>
      </c>
      <c r="H100" s="27">
        <f>SUM(F100:G100)</f>
        <v>0</v>
      </c>
    </row>
    <row r="101" spans="1:8" ht="14.95" thickBot="1" x14ac:dyDescent="0.3">
      <c r="A101" s="64" t="s">
        <v>914</v>
      </c>
      <c r="B101" s="149">
        <v>0</v>
      </c>
      <c r="C101" s="540">
        <v>0</v>
      </c>
      <c r="D101" s="65">
        <f>SUM(B101:C101)</f>
        <v>0</v>
      </c>
      <c r="E101" s="32" t="s">
        <v>914</v>
      </c>
      <c r="F101" s="154">
        <v>0</v>
      </c>
      <c r="G101" s="384">
        <v>0</v>
      </c>
      <c r="H101" s="27">
        <f>SUM(F101:G101)</f>
        <v>0</v>
      </c>
    </row>
    <row r="102" spans="1:8" ht="14.95" thickBot="1" x14ac:dyDescent="0.3">
      <c r="A102" s="64" t="s">
        <v>516</v>
      </c>
      <c r="B102" s="149">
        <v>0</v>
      </c>
      <c r="C102" s="540">
        <v>0</v>
      </c>
      <c r="D102" s="65">
        <f>SUM(B102:C102)</f>
        <v>0</v>
      </c>
      <c r="E102" s="32" t="s">
        <v>516</v>
      </c>
      <c r="F102" s="154">
        <v>0</v>
      </c>
      <c r="G102" s="384">
        <v>0</v>
      </c>
      <c r="H102" s="27">
        <f>SUM(F102:G102)</f>
        <v>0</v>
      </c>
    </row>
    <row r="103" spans="1:8" ht="14.95" thickBot="1" x14ac:dyDescent="0.3">
      <c r="A103" s="64" t="s">
        <v>824</v>
      </c>
      <c r="B103" s="149">
        <v>0</v>
      </c>
      <c r="C103" s="540">
        <v>0</v>
      </c>
      <c r="D103" s="65">
        <f>SUM(B103:C103)</f>
        <v>0</v>
      </c>
      <c r="E103" s="32" t="s">
        <v>824</v>
      </c>
      <c r="F103" s="154">
        <v>0</v>
      </c>
      <c r="G103" s="384">
        <v>0</v>
      </c>
      <c r="H103" s="27">
        <f>SUM(F103:G103)</f>
        <v>0</v>
      </c>
    </row>
    <row r="104" spans="1:8" ht="14.95" thickBot="1" x14ac:dyDescent="0.3">
      <c r="A104" s="64" t="s">
        <v>826</v>
      </c>
      <c r="B104" s="149">
        <v>0</v>
      </c>
      <c r="C104" s="540">
        <v>0</v>
      </c>
      <c r="D104" s="65">
        <f>SUM(B104:C104)</f>
        <v>0</v>
      </c>
      <c r="E104" s="32" t="s">
        <v>826</v>
      </c>
      <c r="F104" s="154">
        <v>0</v>
      </c>
      <c r="G104" s="384">
        <v>0</v>
      </c>
      <c r="H104" s="27">
        <f>SUM(F104:G104)</f>
        <v>0</v>
      </c>
    </row>
    <row r="105" spans="1:8" ht="14.95" thickBot="1" x14ac:dyDescent="0.3">
      <c r="A105" s="64" t="s">
        <v>480</v>
      </c>
      <c r="B105" s="149">
        <v>0</v>
      </c>
      <c r="C105" s="540">
        <v>0</v>
      </c>
      <c r="D105" s="65">
        <f>SUM(B105:C105)</f>
        <v>0</v>
      </c>
      <c r="E105" s="32" t="s">
        <v>480</v>
      </c>
      <c r="F105" s="154">
        <v>0</v>
      </c>
      <c r="G105" s="384">
        <v>0</v>
      </c>
      <c r="H105" s="27">
        <f>SUM(F105:G105)</f>
        <v>0</v>
      </c>
    </row>
    <row r="106" spans="1:8" ht="14.95" thickBot="1" x14ac:dyDescent="0.3">
      <c r="A106" s="64" t="s">
        <v>290</v>
      </c>
      <c r="B106" s="149">
        <v>0</v>
      </c>
      <c r="C106" s="540">
        <v>0</v>
      </c>
      <c r="D106" s="65">
        <f>SUM(B106:C106)</f>
        <v>0</v>
      </c>
      <c r="E106" s="32" t="s">
        <v>290</v>
      </c>
      <c r="F106" s="154">
        <v>0</v>
      </c>
      <c r="G106" s="384">
        <v>0</v>
      </c>
      <c r="H106" s="27">
        <f>SUM(F106:G106)</f>
        <v>0</v>
      </c>
    </row>
    <row r="107" spans="1:8" ht="14.95" thickBot="1" x14ac:dyDescent="0.3">
      <c r="A107" s="64" t="s">
        <v>4</v>
      </c>
      <c r="B107" s="149">
        <v>0</v>
      </c>
      <c r="C107" s="540">
        <v>0</v>
      </c>
      <c r="D107" s="65">
        <f>SUM(B107:C107)</f>
        <v>0</v>
      </c>
      <c r="E107" s="32" t="s">
        <v>4</v>
      </c>
      <c r="F107" s="154">
        <v>0</v>
      </c>
      <c r="G107" s="384">
        <v>0</v>
      </c>
      <c r="H107" s="27">
        <f>SUM(F107:G107)</f>
        <v>0</v>
      </c>
    </row>
    <row r="108" spans="1:8" ht="14.95" thickBot="1" x14ac:dyDescent="0.3">
      <c r="A108" s="64" t="s">
        <v>127</v>
      </c>
      <c r="B108" s="149">
        <v>0</v>
      </c>
      <c r="C108" s="540">
        <v>0</v>
      </c>
      <c r="D108" s="65">
        <f>SUM(B108:C108)</f>
        <v>0</v>
      </c>
      <c r="E108" s="32" t="s">
        <v>127</v>
      </c>
      <c r="F108" s="154">
        <v>0</v>
      </c>
      <c r="G108" s="384">
        <v>0</v>
      </c>
      <c r="H108" s="27">
        <f>SUM(F108:G108)</f>
        <v>0</v>
      </c>
    </row>
    <row r="109" spans="1:8" ht="14.95" thickBot="1" x14ac:dyDescent="0.3">
      <c r="A109" s="64" t="s">
        <v>1117</v>
      </c>
      <c r="B109" s="149">
        <v>0</v>
      </c>
      <c r="C109" s="540">
        <v>0</v>
      </c>
      <c r="D109" s="65">
        <f>SUM(B109:C109)</f>
        <v>0</v>
      </c>
      <c r="E109" s="32" t="s">
        <v>1117</v>
      </c>
      <c r="F109" s="154">
        <v>0</v>
      </c>
      <c r="G109" s="384">
        <v>0</v>
      </c>
      <c r="H109" s="27">
        <f>SUM(F109:G109)</f>
        <v>0</v>
      </c>
    </row>
    <row r="110" spans="1:8" ht="14.95" thickBot="1" x14ac:dyDescent="0.3">
      <c r="A110" s="64" t="s">
        <v>981</v>
      </c>
      <c r="B110" s="149">
        <v>0</v>
      </c>
      <c r="C110" s="540">
        <v>0</v>
      </c>
      <c r="D110" s="65">
        <f>SUM(B110:C110)</f>
        <v>0</v>
      </c>
      <c r="E110" s="32" t="s">
        <v>981</v>
      </c>
      <c r="F110" s="154">
        <v>0</v>
      </c>
      <c r="G110" s="384">
        <v>0</v>
      </c>
      <c r="H110" s="27">
        <f>SUM(F110:G110)</f>
        <v>0</v>
      </c>
    </row>
    <row r="111" spans="1:8" ht="14.95" thickBot="1" x14ac:dyDescent="0.3">
      <c r="A111" s="64" t="s">
        <v>113</v>
      </c>
      <c r="B111" s="149">
        <v>0</v>
      </c>
      <c r="C111" s="540">
        <v>0</v>
      </c>
      <c r="D111" s="65">
        <f>SUM(B111:C111)</f>
        <v>0</v>
      </c>
      <c r="E111" s="32" t="s">
        <v>113</v>
      </c>
      <c r="F111" s="154">
        <v>0</v>
      </c>
      <c r="G111" s="384">
        <v>0</v>
      </c>
      <c r="H111" s="27">
        <f>SUM(F111:G111)</f>
        <v>0</v>
      </c>
    </row>
    <row r="112" spans="1:8" ht="14.3" customHeight="1" thickBot="1" x14ac:dyDescent="0.3">
      <c r="A112" s="64" t="s">
        <v>102</v>
      </c>
      <c r="B112" s="149">
        <v>0</v>
      </c>
      <c r="C112" s="540">
        <v>0</v>
      </c>
      <c r="D112" s="65">
        <f>SUM(B112:C112)</f>
        <v>0</v>
      </c>
      <c r="E112" s="32" t="s">
        <v>102</v>
      </c>
      <c r="F112" s="154">
        <v>0</v>
      </c>
      <c r="G112" s="384">
        <v>0</v>
      </c>
      <c r="H112" s="27">
        <f>SUM(F112:G112)</f>
        <v>0</v>
      </c>
    </row>
    <row r="113" spans="1:8" ht="14.95" thickBot="1" x14ac:dyDescent="0.3">
      <c r="A113" s="64" t="s">
        <v>979</v>
      </c>
      <c r="B113" s="149">
        <v>0</v>
      </c>
      <c r="C113" s="540">
        <v>0</v>
      </c>
      <c r="D113" s="65">
        <f>SUM(B113:C113)</f>
        <v>0</v>
      </c>
      <c r="E113" s="33" t="s">
        <v>979</v>
      </c>
      <c r="F113" s="154">
        <v>0</v>
      </c>
      <c r="G113" s="384">
        <v>0</v>
      </c>
      <c r="H113" s="27">
        <f>SUM(F113:G113)</f>
        <v>0</v>
      </c>
    </row>
    <row r="114" spans="1:8" ht="14.95" thickBot="1" x14ac:dyDescent="0.3">
      <c r="A114" s="64" t="s">
        <v>372</v>
      </c>
      <c r="B114" s="149">
        <v>0</v>
      </c>
      <c r="C114" s="540">
        <v>0</v>
      </c>
      <c r="D114" s="65">
        <f>SUM(B114:C114)</f>
        <v>0</v>
      </c>
      <c r="E114" s="33" t="s">
        <v>372</v>
      </c>
      <c r="F114" s="154">
        <v>0</v>
      </c>
      <c r="G114" s="384">
        <v>0</v>
      </c>
      <c r="H114" s="27">
        <f>SUM(F114:G114)</f>
        <v>0</v>
      </c>
    </row>
    <row r="115" spans="1:8" ht="14.95" thickBot="1" x14ac:dyDescent="0.3">
      <c r="A115" s="64" t="s">
        <v>843</v>
      </c>
      <c r="B115" s="149">
        <v>0</v>
      </c>
      <c r="C115" s="540">
        <v>0</v>
      </c>
      <c r="D115" s="65">
        <f>SUM(B115:C115)</f>
        <v>0</v>
      </c>
      <c r="E115" s="33" t="s">
        <v>843</v>
      </c>
      <c r="F115" s="154">
        <v>0</v>
      </c>
      <c r="G115" s="384">
        <v>0</v>
      </c>
      <c r="H115" s="27">
        <f>SUM(F115:G115)</f>
        <v>0</v>
      </c>
    </row>
    <row r="116" spans="1:8" ht="14.95" thickBot="1" x14ac:dyDescent="0.3">
      <c r="A116" s="64" t="s">
        <v>839</v>
      </c>
      <c r="B116" s="149">
        <v>0</v>
      </c>
      <c r="C116" s="540">
        <v>0</v>
      </c>
      <c r="D116" s="65">
        <f>SUM(B116:C116)</f>
        <v>0</v>
      </c>
      <c r="E116" s="33" t="s">
        <v>839</v>
      </c>
      <c r="F116" s="154">
        <v>0</v>
      </c>
      <c r="G116" s="384">
        <v>0</v>
      </c>
      <c r="H116" s="27">
        <f>SUM(F116:G116)</f>
        <v>0</v>
      </c>
    </row>
    <row r="117" spans="1:8" ht="14.95" thickBot="1" x14ac:dyDescent="0.3">
      <c r="A117" s="64" t="s">
        <v>338</v>
      </c>
      <c r="B117" s="149">
        <v>0</v>
      </c>
      <c r="C117" s="540">
        <v>0</v>
      </c>
      <c r="D117" s="65">
        <f>SUM(B117:C117)</f>
        <v>0</v>
      </c>
      <c r="E117" s="33" t="s">
        <v>338</v>
      </c>
      <c r="F117" s="154">
        <v>0</v>
      </c>
      <c r="G117" s="384">
        <v>0</v>
      </c>
      <c r="H117" s="27">
        <f>SUM(F117:G117)</f>
        <v>0</v>
      </c>
    </row>
    <row r="118" spans="1:8" ht="14.95" thickBot="1" x14ac:dyDescent="0.3">
      <c r="A118" s="64" t="s">
        <v>409</v>
      </c>
      <c r="B118" s="149">
        <v>0</v>
      </c>
      <c r="C118" s="540">
        <v>0</v>
      </c>
      <c r="D118" s="65">
        <f>SUM(B118:C118)</f>
        <v>0</v>
      </c>
      <c r="E118" s="33" t="s">
        <v>409</v>
      </c>
      <c r="F118" s="154">
        <v>0</v>
      </c>
      <c r="G118" s="384">
        <v>0</v>
      </c>
      <c r="H118" s="27">
        <f>SUM(F118:G118)</f>
        <v>0</v>
      </c>
    </row>
    <row r="119" spans="1:8" ht="14.95" thickBot="1" x14ac:dyDescent="0.3">
      <c r="A119" s="64" t="s">
        <v>3</v>
      </c>
      <c r="B119" s="149">
        <f>SUM(B63:B118)</f>
        <v>24</v>
      </c>
      <c r="C119" s="540">
        <f>SUM(C63:C118)</f>
        <v>0</v>
      </c>
      <c r="D119" s="65">
        <f t="shared" ref="D63:D119" si="3">SUM(B119:C119)</f>
        <v>24</v>
      </c>
      <c r="E119" s="33" t="s">
        <v>3</v>
      </c>
      <c r="F119" s="154">
        <f>SUM(F63:F118)</f>
        <v>163</v>
      </c>
      <c r="G119" s="384">
        <f>SUM(G63:G118)</f>
        <v>0</v>
      </c>
      <c r="H119" s="27">
        <f t="shared" ref="H63:H119" si="4">SUM(F119:G119)</f>
        <v>163</v>
      </c>
    </row>
    <row r="120" spans="1:8" ht="16.3" x14ac:dyDescent="0.3">
      <c r="A120" s="487" t="s">
        <v>28</v>
      </c>
    </row>
  </sheetData>
  <sortState xmlns:xlrd2="http://schemas.microsoft.com/office/spreadsheetml/2017/richdata2" ref="E63:H118">
    <sortCondition descending="1" ref="H63:H118"/>
  </sortState>
  <mergeCells count="35">
    <mergeCell ref="AE1:AG2"/>
    <mergeCell ref="T1:V2"/>
    <mergeCell ref="J17:L18"/>
    <mergeCell ref="S17:U18"/>
    <mergeCell ref="Q1:S2"/>
    <mergeCell ref="AB1:AD2"/>
    <mergeCell ref="M17:O18"/>
    <mergeCell ref="Y1:AA2"/>
    <mergeCell ref="Y17:AA18"/>
    <mergeCell ref="A1:H1"/>
    <mergeCell ref="P1:P2"/>
    <mergeCell ref="I1:I2"/>
    <mergeCell ref="J1:L2"/>
    <mergeCell ref="M1:O2"/>
    <mergeCell ref="AQ1:AS2"/>
    <mergeCell ref="AT1:AV2"/>
    <mergeCell ref="AN1:AP2"/>
    <mergeCell ref="AN17:AP18"/>
    <mergeCell ref="AH1:AJ2"/>
    <mergeCell ref="AK1:AM2"/>
    <mergeCell ref="AK17:AM18"/>
    <mergeCell ref="I35:AI35"/>
    <mergeCell ref="I29:I30"/>
    <mergeCell ref="J29:L30"/>
    <mergeCell ref="I17:I18"/>
    <mergeCell ref="M29:O30"/>
    <mergeCell ref="AW17:AY18"/>
    <mergeCell ref="AT17:AV18"/>
    <mergeCell ref="AQ17:AS18"/>
    <mergeCell ref="AH17:AJ18"/>
    <mergeCell ref="P29:R30"/>
    <mergeCell ref="AE17:AG18"/>
    <mergeCell ref="V17:V18"/>
    <mergeCell ref="P17:R18"/>
    <mergeCell ref="AB17:AD18"/>
  </mergeCell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26</vt:i4>
      </vt:variant>
      <vt:variant>
        <vt:lpstr>Named Ranges</vt:lpstr>
      </vt:variant>
      <vt:variant>
        <vt:i4>1645</vt:i4>
      </vt:variant>
    </vt:vector>
  </HeadingPairs>
  <TitlesOfParts>
    <vt:vector size="1671" baseType="lpstr">
      <vt:lpstr>6N</vt:lpstr>
      <vt:lpstr>TIER 1</vt:lpstr>
      <vt:lpstr>ARG</vt:lpstr>
      <vt:lpstr>AUS</vt:lpstr>
      <vt:lpstr>CAN</vt:lpstr>
      <vt:lpstr>CHI</vt:lpstr>
      <vt:lpstr>ENG</vt:lpstr>
      <vt:lpstr>FIJ</vt:lpstr>
      <vt:lpstr>FRA</vt:lpstr>
      <vt:lpstr>GEO</vt:lpstr>
      <vt:lpstr>IRE</vt:lpstr>
      <vt:lpstr>ITA</vt:lpstr>
      <vt:lpstr>JPN</vt:lpstr>
      <vt:lpstr>NAM</vt:lpstr>
      <vt:lpstr>NZL</vt:lpstr>
      <vt:lpstr>POR</vt:lpstr>
      <vt:lpstr>ROM</vt:lpstr>
      <vt:lpstr>SAM</vt:lpstr>
      <vt:lpstr>SCO</vt:lpstr>
      <vt:lpstr>RSA</vt:lpstr>
      <vt:lpstr>ESP</vt:lpstr>
      <vt:lpstr>TGA</vt:lpstr>
      <vt:lpstr>USA</vt:lpstr>
      <vt:lpstr>URU</vt:lpstr>
      <vt:lpstr>WAL</vt:lpstr>
      <vt:lpstr>RC</vt:lpstr>
      <vt:lpstr>AdamsWAL6NPTS</vt:lpstr>
      <vt:lpstr>AdamsWAL6NTRIES</vt:lpstr>
      <vt:lpstr>ADAMSWALINTPTS</vt:lpstr>
      <vt:lpstr>ADAMSWALINTTRIES</vt:lpstr>
      <vt:lpstr>Akiire6npts</vt:lpstr>
      <vt:lpstr>akiireintpts</vt:lpstr>
      <vt:lpstr>akiireinttries</vt:lpstr>
      <vt:lpstr>Akiiretries</vt:lpstr>
      <vt:lpstr>alaalatoaausintpts</vt:lpstr>
      <vt:lpstr>alaalatoaausinttries</vt:lpstr>
      <vt:lpstr>ALBORNOZARGINTPTS</vt:lpstr>
      <vt:lpstr>ALBORNOZARGINTTRIES</vt:lpstr>
      <vt:lpstr>Albornozargrcatt</vt:lpstr>
      <vt:lpstr>Albornozargrcgls</vt:lpstr>
      <vt:lpstr>Albornozargtrcpts</vt:lpstr>
      <vt:lpstr>Albornozargtrctries</vt:lpstr>
      <vt:lpstr>Albornozargyratt</vt:lpstr>
      <vt:lpstr>Albornozargyrgls</vt:lpstr>
      <vt:lpstr>Alemannoargintpts</vt:lpstr>
      <vt:lpstr>Alemannoarginttries</vt:lpstr>
      <vt:lpstr>Alemannoargrcpts</vt:lpstr>
      <vt:lpstr>Alemannoargrctries</vt:lpstr>
      <vt:lpstr>Allanita6natt</vt:lpstr>
      <vt:lpstr>Allanita6ngls</vt:lpstr>
      <vt:lpstr>allanita6npts</vt:lpstr>
      <vt:lpstr>allanita6ntries</vt:lpstr>
      <vt:lpstr>allanitaintpts</vt:lpstr>
      <vt:lpstr>allanitainttries</vt:lpstr>
      <vt:lpstr>Allanitayrgls</vt:lpstr>
      <vt:lpstr>allanitsyratt</vt:lpstr>
      <vt:lpstr>Alldrittfra6npts</vt:lpstr>
      <vt:lpstr>Alldrittfra6ntries</vt:lpstr>
      <vt:lpstr>Alldrittfraintpts</vt:lpstr>
      <vt:lpstr>Alldrittfrainttries</vt:lpstr>
      <vt:lpstr>Amrsaintpts</vt:lpstr>
      <vt:lpstr>Amrsainttries</vt:lpstr>
      <vt:lpstr>anscombewal6natt</vt:lpstr>
      <vt:lpstr>Anscombewal6ngls</vt:lpstr>
      <vt:lpstr>Anscombewal6npts</vt:lpstr>
      <vt:lpstr>Anscombewal6ntries</vt:lpstr>
      <vt:lpstr>Anscombewalattcorrect</vt:lpstr>
      <vt:lpstr>ANSCOMBEWALINTPTS</vt:lpstr>
      <vt:lpstr>anscombewalinttries</vt:lpstr>
      <vt:lpstr>Anscombewalyrglscorrect</vt:lpstr>
      <vt:lpstr>Arendsersaintptscorrect</vt:lpstr>
      <vt:lpstr>Arendsersainttriescorrect</vt:lpstr>
      <vt:lpstr>Arendsersarcpts</vt:lpstr>
      <vt:lpstr>Arendsersarctries</vt:lpstr>
      <vt:lpstr>Arendsersatrcpts</vt:lpstr>
      <vt:lpstr>Arendsersatrctries</vt:lpstr>
      <vt:lpstr>Arundelleng6nptscorrect</vt:lpstr>
      <vt:lpstr>Arundelleng6ntriescorrect</vt:lpstr>
      <vt:lpstr>Arundellengijnttries</vt:lpstr>
      <vt:lpstr>Arundellengintptscorrect</vt:lpstr>
      <vt:lpstr>Arundellenginttriescorrect</vt:lpstr>
      <vt:lpstr>Ashmansco6npts</vt:lpstr>
      <vt:lpstr>Ashmansco6ntries</vt:lpstr>
      <vt:lpstr>ashmanscointpts</vt:lpstr>
      <vt:lpstr>ashmanscointtries</vt:lpstr>
      <vt:lpstr>Atkinson_Cengyratt</vt:lpstr>
      <vt:lpstr>Atkinson_Cengyrgls</vt:lpstr>
      <vt:lpstr>Atkinson_Sengintpts</vt:lpstr>
      <vt:lpstr>Atkinson_Senginttries</vt:lpstr>
      <vt:lpstr>Atoniofra6npts</vt:lpstr>
      <vt:lpstr>Atoniofra6ntries</vt:lpstr>
      <vt:lpstr>atoniofraintpts</vt:lpstr>
      <vt:lpstr>atoniofrainttries</vt:lpstr>
      <vt:lpstr>Attissogbefra6npts</vt:lpstr>
      <vt:lpstr>Attissogbefra6ntries</vt:lpstr>
      <vt:lpstr>attissoghefraintpts</vt:lpstr>
      <vt:lpstr>attissoghefrainttries</vt:lpstr>
      <vt:lpstr>BailleFRA6NPTS</vt:lpstr>
      <vt:lpstr>BailleFRA6NTRIES</vt:lpstr>
      <vt:lpstr>baillefraintpts</vt:lpstr>
      <vt:lpstr>baillefrainttries</vt:lpstr>
      <vt:lpstr>Bairdire6npts</vt:lpstr>
      <vt:lpstr>Bairdire6ntries</vt:lpstr>
      <vt:lpstr>bairdireintpts</vt:lpstr>
      <vt:lpstr>bairdireinttries</vt:lpstr>
      <vt:lpstr>Baloucouneire6npts</vt:lpstr>
      <vt:lpstr>Baloucouneire6ntries</vt:lpstr>
      <vt:lpstr>Baloucouneireintptscorrect</vt:lpstr>
      <vt:lpstr>Baloucouneireinttriescorrect</vt:lpstr>
      <vt:lpstr>Barassifra6npts</vt:lpstr>
      <vt:lpstr>Barassifra6ntries</vt:lpstr>
      <vt:lpstr>Barassifraintpts</vt:lpstr>
      <vt:lpstr>Barassifrainttries</vt:lpstr>
      <vt:lpstr>barrefra6npts</vt:lpstr>
      <vt:lpstr>barrefra6ntries</vt:lpstr>
      <vt:lpstr>barrefraintpts</vt:lpstr>
      <vt:lpstr>barrefrainttries</vt:lpstr>
      <vt:lpstr>barretjnzlyratt</vt:lpstr>
      <vt:lpstr>Barrett_Bnzlintpts</vt:lpstr>
      <vt:lpstr>Barrett_Bnzlinttries</vt:lpstr>
      <vt:lpstr>Barrett_Bnzlrcatt</vt:lpstr>
      <vt:lpstr>Barrett_Bnzlrcgls</vt:lpstr>
      <vt:lpstr>Barrett_Bnzlrcpts</vt:lpstr>
      <vt:lpstr>Barrett_Bnzlrctries</vt:lpstr>
      <vt:lpstr>Barrett_Bnzlyrgls</vt:lpstr>
      <vt:lpstr>Barrett_JNZLINTPTS</vt:lpstr>
      <vt:lpstr>Barrett_JNZLINTTRIES</vt:lpstr>
      <vt:lpstr>Barrett_Jnzlpts</vt:lpstr>
      <vt:lpstr>Barrett_Jnzlrcatt</vt:lpstr>
      <vt:lpstr>Barrett_Jnzlrcgls</vt:lpstr>
      <vt:lpstr>Barrett_JNZLRCPTS</vt:lpstr>
      <vt:lpstr>Barrett_Jnzltries</vt:lpstr>
      <vt:lpstr>Barrett_Jnzlyrgls</vt:lpstr>
      <vt:lpstr>Barrett_Snzlrcpts</vt:lpstr>
      <vt:lpstr>Barrett_Snzlrctries</vt:lpstr>
      <vt:lpstr>barrettbnzlyratt</vt:lpstr>
      <vt:lpstr>BashamWAL6NPTS</vt:lpstr>
      <vt:lpstr>BashamWAL6NTRIES</vt:lpstr>
      <vt:lpstr>bathscorers</vt:lpstr>
      <vt:lpstr>baxtereng6npts</vt:lpstr>
      <vt:lpstr>baxtereng6ntries</vt:lpstr>
      <vt:lpstr>Baxterengintpts</vt:lpstr>
      <vt:lpstr>Baxterenginttries</vt:lpstr>
      <vt:lpstr>baylissscointpts</vt:lpstr>
      <vt:lpstr>baylissscointtries</vt:lpstr>
      <vt:lpstr>Bealhamire6npts</vt:lpstr>
      <vt:lpstr>Bealhamire6ntries</vt:lpstr>
      <vt:lpstr>BEIRNEIRE6NPTS</vt:lpstr>
      <vt:lpstr>BEIRNEIRE6NTRIES</vt:lpstr>
      <vt:lpstr>BEIRNEIREINTPTS</vt:lpstr>
      <vt:lpstr>BEIRNEIREINTTRIES</vt:lpstr>
      <vt:lpstr>Bellausintpts</vt:lpstr>
      <vt:lpstr>Bellausinttries</vt:lpstr>
      <vt:lpstr>Bellausrcpts</vt:lpstr>
      <vt:lpstr>Bellausrctries</vt:lpstr>
      <vt:lpstr>Bellnzlintpts</vt:lpstr>
      <vt:lpstr>Bellnzlinttries</vt:lpstr>
      <vt:lpstr>belloargintpts</vt:lpstr>
      <vt:lpstr>belloarginttries</vt:lpstr>
      <vt:lpstr>bennettscointpts</vt:lpstr>
      <vt:lpstr>bennettscointtries</vt:lpstr>
      <vt:lpstr>berdeufraintpts</vt:lpstr>
      <vt:lpstr>berdeufrainttries</vt:lpstr>
      <vt:lpstr>Berdeufrayratt</vt:lpstr>
      <vt:lpstr>Berdeufrayrgls</vt:lpstr>
      <vt:lpstr>bertranouargintpts</vt:lpstr>
      <vt:lpstr>bertranouarginttries</vt:lpstr>
      <vt:lpstr>Bertranouargrcpts</vt:lpstr>
      <vt:lpstr>Bertranouargrctries</vt:lpstr>
      <vt:lpstr>bevanwalintpts</vt:lpstr>
      <vt:lpstr>bevanwalinttries</vt:lpstr>
      <vt:lpstr>biellebiarreyfra6npts</vt:lpstr>
      <vt:lpstr>biellebiarreyfra6ntries</vt:lpstr>
      <vt:lpstr>biellebiarreyfraintpts</vt:lpstr>
      <vt:lpstr>biellebiarreyfrainttries</vt:lpstr>
      <vt:lpstr>Biggarwal6npts</vt:lpstr>
      <vt:lpstr>Biggarwal6ntries</vt:lpstr>
      <vt:lpstr>biggarwalintpts</vt:lpstr>
      <vt:lpstr>biggarwalpts</vt:lpstr>
      <vt:lpstr>biggarwaltries</vt:lpstr>
      <vt:lpstr>boffelliargintpts</vt:lpstr>
      <vt:lpstr>boffelliarginttries</vt:lpstr>
      <vt:lpstr>Boffelliargrcpts</vt:lpstr>
      <vt:lpstr>Boffelliargrctries</vt:lpstr>
      <vt:lpstr>boffelliargtrcatt</vt:lpstr>
      <vt:lpstr>Boffelliargtrcgls</vt:lpstr>
      <vt:lpstr>boffelliargyratt</vt:lpstr>
      <vt:lpstr>Boffelliargyrgls</vt:lpstr>
      <vt:lpstr>bogadoargintpts</vt:lpstr>
      <vt:lpstr>bogadoarginttries</vt:lpstr>
      <vt:lpstr>boltonireintpts</vt:lpstr>
      <vt:lpstr>boltonireinttries</vt:lpstr>
      <vt:lpstr>boschatt</vt:lpstr>
      <vt:lpstr>Boschgoals</vt:lpstr>
      <vt:lpstr>bothamwalintpts</vt:lpstr>
      <vt:lpstr>bothamwalinttries</vt:lpstr>
      <vt:lpstr>Boudehent__Paulfra6npts</vt:lpstr>
      <vt:lpstr>Boudehent__Paulfra6ntries</vt:lpstr>
      <vt:lpstr>boudehentpaulfraintpts</vt:lpstr>
      <vt:lpstr>boudehentpaulfrainttries</vt:lpstr>
      <vt:lpstr>bourgaritfraintpts</vt:lpstr>
      <vt:lpstr>Bourgaritfrainttries</vt:lpstr>
      <vt:lpstr>Bowernzlintpts</vt:lpstr>
      <vt:lpstr>Bowernzlinttries</vt:lpstr>
      <vt:lpstr>Bowernzlrctries</vt:lpstr>
      <vt:lpstr>Bowernzlrctriescorrect</vt:lpstr>
      <vt:lpstr>Bowernzltcpts</vt:lpstr>
      <vt:lpstr>Brau_Boiriefra6npts</vt:lpstr>
      <vt:lpstr>Brau_Boiriefra6ntries</vt:lpstr>
      <vt:lpstr>Brau_Boiriefraintpts</vt:lpstr>
      <vt:lpstr>Brau_Boiriefrainttries</vt:lpstr>
      <vt:lpstr>brennanfraintpts</vt:lpstr>
      <vt:lpstr>brennanfrainttries</vt:lpstr>
      <vt:lpstr>Brexita6ntries</vt:lpstr>
      <vt:lpstr>brexitaintpts</vt:lpstr>
      <vt:lpstr>brexitainttries</vt:lpstr>
      <vt:lpstr>Brexits6npts</vt:lpstr>
      <vt:lpstr>Brunoita6ntries</vt:lpstr>
      <vt:lpstr>brunoitaintpts</vt:lpstr>
      <vt:lpstr>brunoitainttries</vt:lpstr>
      <vt:lpstr>Brunoits6npts</vt:lpstr>
      <vt:lpstr>Burkesco6npts</vt:lpstr>
      <vt:lpstr>Burkesco6ntries</vt:lpstr>
      <vt:lpstr>Burkescointpts</vt:lpstr>
      <vt:lpstr>Burkescointtries</vt:lpstr>
      <vt:lpstr>Burkescoyratt</vt:lpstr>
      <vt:lpstr>Burkescoyrgls</vt:lpstr>
      <vt:lpstr>burnsfreddieatt</vt:lpstr>
      <vt:lpstr>burnsfreddiegoals</vt:lpstr>
      <vt:lpstr>burosfraintpts</vt:lpstr>
      <vt:lpstr>burosfrainttries</vt:lpstr>
      <vt:lpstr>Buthelezirsaintpts</vt:lpstr>
      <vt:lpstr>Buthelezirsainttries</vt:lpstr>
      <vt:lpstr>Byrne_Hire6ngls</vt:lpstr>
      <vt:lpstr>Byrne_Hireyrgls</vt:lpstr>
      <vt:lpstr>Byrne_Rire6ngls</vt:lpstr>
      <vt:lpstr>Byrne_RIRE6NPTS</vt:lpstr>
      <vt:lpstr>Byrne_RIRE6NTRIES</vt:lpstr>
      <vt:lpstr>Byrne_Rireintgls</vt:lpstr>
      <vt:lpstr>byrnehire6natt</vt:lpstr>
      <vt:lpstr>byrnehire6npts</vt:lpstr>
      <vt:lpstr>byrnehire6ntries</vt:lpstr>
      <vt:lpstr>byrnehireyratt</vt:lpstr>
      <vt:lpstr>byrnerire6natt</vt:lpstr>
      <vt:lpstr>byrnerireintatt</vt:lpstr>
      <vt:lpstr>byrnerireirepts</vt:lpstr>
      <vt:lpstr>Canenzlrcpts</vt:lpstr>
      <vt:lpstr>Canenzlrctries</vt:lpstr>
      <vt:lpstr>cannoncenitaintpts</vt:lpstr>
      <vt:lpstr>Cannone_Litaintpts</vt:lpstr>
      <vt:lpstr>cannonelitaintptscorrect</vt:lpstr>
      <vt:lpstr>cannonelitainttries</vt:lpstr>
      <vt:lpstr>canonenitainttries</vt:lpstr>
      <vt:lpstr>Capuozzoita6npts</vt:lpstr>
      <vt:lpstr>Capuozzoita6ntries</vt:lpstr>
      <vt:lpstr>capuozzoitaintpts</vt:lpstr>
      <vt:lpstr>capuozzoitainttries</vt:lpstr>
      <vt:lpstr>carberyiireintpts</vt:lpstr>
      <vt:lpstr>Carberyire6npts</vt:lpstr>
      <vt:lpstr>Carberyire6ntries</vt:lpstr>
      <vt:lpstr>carberyireatt</vt:lpstr>
      <vt:lpstr>Carberyiregls</vt:lpstr>
      <vt:lpstr>Carreras_Margtrcpts</vt:lpstr>
      <vt:lpstr>Carreras_Margtrctries</vt:lpstr>
      <vt:lpstr>Carreras_Sargtrcgls</vt:lpstr>
      <vt:lpstr>Carreras_Sargtrctries</vt:lpstr>
      <vt:lpstr>Carreras_Sargyrgls</vt:lpstr>
      <vt:lpstr>carrerasmargintpts</vt:lpstr>
      <vt:lpstr>carrerasmarginttries</vt:lpstr>
      <vt:lpstr>carrerassarggtrcpts</vt:lpstr>
      <vt:lpstr>carrerassargintpts</vt:lpstr>
      <vt:lpstr>carrerassarginttries</vt:lpstr>
      <vt:lpstr>carrerassargtrcatt</vt:lpstr>
      <vt:lpstr>carrerassargyratt</vt:lpstr>
      <vt:lpstr>Carrewal6npts</vt:lpstr>
      <vt:lpstr>Carrewal6ntries</vt:lpstr>
      <vt:lpstr>Carrewalintpys</vt:lpstr>
      <vt:lpstr>Carrewalinttries</vt:lpstr>
      <vt:lpstr>Carternzlintpts</vt:lpstr>
      <vt:lpstr>Carternzlinttries</vt:lpstr>
      <vt:lpstr>Carternzlrcpts</vt:lpstr>
      <vt:lpstr>Carternzlrctries</vt:lpstr>
      <vt:lpstr>caseyireintpts</vt:lpstr>
      <vt:lpstr>caseyireinttries</vt:lpstr>
      <vt:lpstr>Chessum_Oeng6npts</vt:lpstr>
      <vt:lpstr>Chessum_Oeng6ntries</vt:lpstr>
      <vt:lpstr>Chocobaresargintpts</vt:lpstr>
      <vt:lpstr>Chocobaresarginttries</vt:lpstr>
      <vt:lpstr>Chocobaresargrcpts</vt:lpstr>
      <vt:lpstr>Chocobaresargrctries</vt:lpstr>
      <vt:lpstr>Cintiargintpts</vt:lpstr>
      <vt:lpstr>Cintiarginttries</vt:lpstr>
      <vt:lpstr>Cintiargtrcpts</vt:lpstr>
      <vt:lpstr>Cintiargtrctries</vt:lpstr>
      <vt:lpstr>ciprianiatt</vt:lpstr>
      <vt:lpstr>ciprianigoals</vt:lpstr>
      <vt:lpstr>clarkenzlintptscorrect</vt:lpstr>
      <vt:lpstr>clarkenzlinttriescorrect</vt:lpstr>
      <vt:lpstr>Clarkenzlrcpts</vt:lpstr>
      <vt:lpstr>Clarkenzlrctries</vt:lpstr>
      <vt:lpstr>clarksonireintpts</vt:lpstr>
      <vt:lpstr>clarksonireinttries</vt:lpstr>
      <vt:lpstr>ColesNZLTRCPTS</vt:lpstr>
      <vt:lpstr>ColesNZLTRCTRIES</vt:lpstr>
      <vt:lpstr>colombesfra6npts</vt:lpstr>
      <vt:lpstr>colombesfra6ntries</vt:lpstr>
      <vt:lpstr>Conanire6npts</vt:lpstr>
      <vt:lpstr>Conanire6ntries</vt:lpstr>
      <vt:lpstr>conanireintpts</vt:lpstr>
      <vt:lpstr>conanireinttries</vt:lpstr>
      <vt:lpstr>cooperausintpts</vt:lpstr>
      <vt:lpstr>cooperausinttriies</vt:lpstr>
      <vt:lpstr>Cooperausrcpts</vt:lpstr>
      <vt:lpstr>Cooperaustrctries</vt:lpstr>
      <vt:lpstr>corderoargintpts</vt:lpstr>
      <vt:lpstr>corderoarginttries</vt:lpstr>
      <vt:lpstr>costellowwalintpts</vt:lpstr>
      <vt:lpstr>costellowwalinttries</vt:lpstr>
      <vt:lpstr>Costelowwal6natt</vt:lpstr>
      <vt:lpstr>Costelowwal6ngls</vt:lpstr>
      <vt:lpstr>costelowwal6npts</vt:lpstr>
      <vt:lpstr>costelowwal6ntries</vt:lpstr>
      <vt:lpstr>Costelowwalyratt</vt:lpstr>
      <vt:lpstr>Costelowwalyrgls</vt:lpstr>
      <vt:lpstr>COUILLOUDFRAINTPTS</vt:lpstr>
      <vt:lpstr>couilloudfraintptscorrect</vt:lpstr>
      <vt:lpstr>COUILLOUDFRAINTTRIES</vt:lpstr>
      <vt:lpstr>couilloudfrainttriescorrect</vt:lpstr>
      <vt:lpstr>Cowan_Dickieengintpts</vt:lpstr>
      <vt:lpstr>Cowan_Dickieenginttries</vt:lpstr>
      <vt:lpstr>Creevyargintptsscorrect</vt:lpstr>
      <vt:lpstr>Creevyarginttriescorrect</vt:lpstr>
      <vt:lpstr>Creevyargtrcpts</vt:lpstr>
      <vt:lpstr>Creevyargtrcptscorrect</vt:lpstr>
      <vt:lpstr>Creevyargtrctries</vt:lpstr>
      <vt:lpstr>Creevyargtrctriescorrect</vt:lpstr>
      <vt:lpstr>CROSBIESCOINTPTS</vt:lpstr>
      <vt:lpstr>CROSBIESCOINTTRIES</vt:lpstr>
      <vt:lpstr>Crosfra6npts</vt:lpstr>
      <vt:lpstr>Crosfra6ntries</vt:lpstr>
      <vt:lpstr>Crowleyire6natt</vt:lpstr>
      <vt:lpstr>Crowleyire6ngls</vt:lpstr>
      <vt:lpstr>crowleyire6npts</vt:lpstr>
      <vt:lpstr>crowleyire6ntries</vt:lpstr>
      <vt:lpstr>crowleyireintpts</vt:lpstr>
      <vt:lpstr>crowleyireinttries</vt:lpstr>
      <vt:lpstr>crowleyireyratt</vt:lpstr>
      <vt:lpstr>Crowleyireyrgls</vt:lpstr>
      <vt:lpstr>cubelliargintpts</vt:lpstr>
      <vt:lpstr>cubelliarginttries</vt:lpstr>
      <vt:lpstr>Cunningham_Sthengintpts</vt:lpstr>
      <vt:lpstr>Cunningham_Sthenginttries</vt:lpstr>
      <vt:lpstr>CUNNINGHAMSOUTHENG6NPTS</vt:lpstr>
      <vt:lpstr>CUNNINGHAMSOUTHENG6NTRIES</vt:lpstr>
      <vt:lpstr>curriescointpts</vt:lpstr>
      <vt:lpstr>curriescointtries</vt:lpstr>
      <vt:lpstr>Curry_Tengintpts</vt:lpstr>
      <vt:lpstr>Curry_Tenginttries</vt:lpstr>
      <vt:lpstr>curryteng6npts</vt:lpstr>
      <vt:lpstr>curryteng6ntries</vt:lpstr>
      <vt:lpstr>da_Reita6npts</vt:lpstr>
      <vt:lpstr>da_Reita6ntries</vt:lpstr>
      <vt:lpstr>Da_Reitayrgls</vt:lpstr>
      <vt:lpstr>Dalyeng6npts</vt:lpstr>
      <vt:lpstr>Dalyeng6ntries</vt:lpstr>
      <vt:lpstr>Dantyfra6npts</vt:lpstr>
      <vt:lpstr>Dantyfra6ntries</vt:lpstr>
      <vt:lpstr>DANTYFRAINTPTS</vt:lpstr>
      <vt:lpstr>DANTYFRAINTTRIES</vt:lpstr>
      <vt:lpstr>dareitaintpts</vt:lpstr>
      <vt:lpstr>dareitainttries</vt:lpstr>
      <vt:lpstr>dareitayratt</vt:lpstr>
      <vt:lpstr>Dargesco6npts</vt:lpstr>
      <vt:lpstr>Dargesco6ntries</vt:lpstr>
      <vt:lpstr>dargescointpts</vt:lpstr>
      <vt:lpstr>dargescointtries</vt:lpstr>
      <vt:lpstr>Darrynzlintpts</vt:lpstr>
      <vt:lpstr>Darrynzlintries</vt:lpstr>
      <vt:lpstr>daugunuausintpts</vt:lpstr>
      <vt:lpstr>daugunuausinttries</vt:lpstr>
      <vt:lpstr>Daugunuausrcpts</vt:lpstr>
      <vt:lpstr>Daugunuausrctries</vt:lpstr>
      <vt:lpstr>de_AllendeRSARCPTS</vt:lpstr>
      <vt:lpstr>de_AllendeRSARCTRIES</vt:lpstr>
      <vt:lpstr>de_Grootnzlintpts</vt:lpstr>
      <vt:lpstr>de_Grootnzlinttries</vt:lpstr>
      <vt:lpstr>de_Grootnzlrcpts</vt:lpstr>
      <vt:lpstr>de_Grootnzlrctries</vt:lpstr>
      <vt:lpstr>de_Klerkrsatrcgls</vt:lpstr>
      <vt:lpstr>de_Klerkrsatrcpts</vt:lpstr>
      <vt:lpstr>de_Klerkrsatrctries</vt:lpstr>
      <vt:lpstr>de_Klerkrsayrgls</vt:lpstr>
      <vt:lpstr>De_La_Fuenteargrcpts</vt:lpstr>
      <vt:lpstr>de_La_Fuenteargrctries</vt:lpstr>
      <vt:lpstr>deewal6npts</vt:lpstr>
      <vt:lpstr>deewal6ntries</vt:lpstr>
      <vt:lpstr>deklerkrsatrcatt</vt:lpstr>
      <vt:lpstr>deklerkrsayratt</vt:lpstr>
      <vt:lpstr>delafuenteargintpts</vt:lpstr>
      <vt:lpstr>delafuentearginttries</vt:lpstr>
      <vt:lpstr>delguyargintpts</vt:lpstr>
      <vt:lpstr>delguyarginttries</vt:lpstr>
      <vt:lpstr>Delguyargrcpts</vt:lpstr>
      <vt:lpstr>Delguyargrctries</vt:lpstr>
      <vt:lpstr>Dempseysco6npts</vt:lpstr>
      <vt:lpstr>Dempseysco6ntries</vt:lpstr>
      <vt:lpstr>dempseyscointpts</vt:lpstr>
      <vt:lpstr>Dempseyscointtries</vt:lpstr>
      <vt:lpstr>Depoorterefra6npts</vt:lpstr>
      <vt:lpstr>Depoorterefra6ntries</vt:lpstr>
      <vt:lpstr>Depoorterefraintpts</vt:lpstr>
      <vt:lpstr>Depoorterefrainttries</vt:lpstr>
      <vt:lpstr>Di_Bartolomeoita6npts</vt:lpstr>
      <vt:lpstr>Di_Bartolomeoita6ntries</vt:lpstr>
      <vt:lpstr>Di_Bartolomeoitaintpts</vt:lpstr>
      <vt:lpstr>Di_Bartolomeoitainttries</vt:lpstr>
      <vt:lpstr>dimcheffitaintpts</vt:lpstr>
      <vt:lpstr>dimcheffitainttries</vt:lpstr>
      <vt:lpstr>dingwalleng6npts</vt:lpstr>
      <vt:lpstr>dingwalleng6ntries</vt:lpstr>
      <vt:lpstr>Dingwallengintpts</vt:lpstr>
      <vt:lpstr>Dingwallenginttries</vt:lpstr>
      <vt:lpstr>Dixonrsaintpts</vt:lpstr>
      <vt:lpstr>Dixonrsainttries</vt:lpstr>
      <vt:lpstr>Dobiesco6npts</vt:lpstr>
      <vt:lpstr>Dobiesco6ntries</vt:lpstr>
      <vt:lpstr>dobiescointpts</vt:lpstr>
      <vt:lpstr>dobiescointtries</vt:lpstr>
      <vt:lpstr>donaldsonausintpts</vt:lpstr>
      <vt:lpstr>Donaldsonausinttries</vt:lpstr>
      <vt:lpstr>Donaldsonausrcatt</vt:lpstr>
      <vt:lpstr>Donaldsonausrcgls</vt:lpstr>
      <vt:lpstr>donaldsonaustrcpts</vt:lpstr>
      <vt:lpstr>donaldsonaustrctries</vt:lpstr>
      <vt:lpstr>donaldsonausyratt</vt:lpstr>
      <vt:lpstr>Donaldsonausyrgls</vt:lpstr>
      <vt:lpstr>Dorisire6npts</vt:lpstr>
      <vt:lpstr>Dorisire6ntries</vt:lpstr>
      <vt:lpstr>dorisireintpts</vt:lpstr>
      <vt:lpstr>dorisireinttries</vt:lpstr>
      <vt:lpstr>Dreanfra6npts</vt:lpstr>
      <vt:lpstr>Dreanfra6ntries</vt:lpstr>
      <vt:lpstr>Dreanfraintpts</vt:lpstr>
      <vt:lpstr>Dreanfrainttries</vt:lpstr>
      <vt:lpstr>du_Toit_P_Srsaintpts</vt:lpstr>
      <vt:lpstr>du_Toit_P_Srsainttries</vt:lpstr>
      <vt:lpstr>du_Toit_P_Srsatrcpts</vt:lpstr>
      <vt:lpstr>du_Toit_P_Srsatrctreis</vt:lpstr>
      <vt:lpstr>du_Toit_Trsaintpts</vt:lpstr>
      <vt:lpstr>du_Toit_Trsainttries</vt:lpstr>
      <vt:lpstr>Dumortierfra6npts</vt:lpstr>
      <vt:lpstr>Dumortierfra6ntries</vt:lpstr>
      <vt:lpstr>dumortierfraintpts</vt:lpstr>
      <vt:lpstr>dumortierfrainttries</vt:lpstr>
      <vt:lpstr>DupontFRA6NPTS</vt:lpstr>
      <vt:lpstr>DupontFRA6NTRIES</vt:lpstr>
      <vt:lpstr>Dyerwal6npts</vt:lpstr>
      <vt:lpstr>Dyerwal6ntries</vt:lpstr>
      <vt:lpstr>dyerwalintpts</vt:lpstr>
      <vt:lpstr>dyerwalinttries</vt:lpstr>
      <vt:lpstr>earleng6npts</vt:lpstr>
      <vt:lpstr>earleng6ntries</vt:lpstr>
      <vt:lpstr>Earlengintpts</vt:lpstr>
      <vt:lpstr>Earlenginttries</vt:lpstr>
      <vt:lpstr>Edmedausintpts</vt:lpstr>
      <vt:lpstr>Edmedausinttries</vt:lpstr>
      <vt:lpstr>Edmedausrcatt</vt:lpstr>
      <vt:lpstr>Edmedausrcgls</vt:lpstr>
      <vt:lpstr>Edmedausrcpts</vt:lpstr>
      <vt:lpstr>Edmedausrctries</vt:lpstr>
      <vt:lpstr>Edwardswal6natt</vt:lpstr>
      <vt:lpstr>Edwardswal6ngls</vt:lpstr>
      <vt:lpstr>Edwardswal6npts</vt:lpstr>
      <vt:lpstr>Edwardswal6ntries</vt:lpstr>
      <vt:lpstr>Edwardswalintpts</vt:lpstr>
      <vt:lpstr>Edwardswalintries</vt:lpstr>
      <vt:lpstr>edwardswalyratt</vt:lpstr>
      <vt:lpstr>Edwardswalyrgls</vt:lpstr>
      <vt:lpstr>Esterhuizenrsaintpts</vt:lpstr>
      <vt:lpstr>Esterhuizenrsainttries</vt:lpstr>
      <vt:lpstr>esterhuizenrsatrcpts</vt:lpstr>
      <vt:lpstr>esterhuizenrsatrctries</vt:lpstr>
      <vt:lpstr>Etzebethrsaintpts</vt:lpstr>
      <vt:lpstr>Etzebethrsainttries</vt:lpstr>
      <vt:lpstr>Etzebethrsatrcpts</vt:lpstr>
      <vt:lpstr>Etzebethrsatrctries</vt:lpstr>
      <vt:lpstr>Evans_Cwalyratt</vt:lpstr>
      <vt:lpstr>Evans_Cwalyrgls</vt:lpstr>
      <vt:lpstr>Evans_Jwal6natt</vt:lpstr>
      <vt:lpstr>Evans_Jwal6ngls</vt:lpstr>
      <vt:lpstr>Evans_Jwal6npts</vt:lpstr>
      <vt:lpstr>Evans_Jwal6ntries</vt:lpstr>
      <vt:lpstr>Evans_Jwalintpts</vt:lpstr>
      <vt:lpstr>Evans_Jwalinttries</vt:lpstr>
      <vt:lpstr>evanscaiwalintpts</vt:lpstr>
      <vt:lpstr>evanscaiwalinttries</vt:lpstr>
      <vt:lpstr>evansjwalyratt</vt:lpstr>
      <vt:lpstr>evansjwalyrgls</vt:lpstr>
      <vt:lpstr>faesslerausintpts</vt:lpstr>
      <vt:lpstr>faesslerausinttries</vt:lpstr>
      <vt:lpstr>Faesslerauspts</vt:lpstr>
      <vt:lpstr>Faessleraustries</vt:lpstr>
      <vt:lpstr>Fagerson_Msco6npts</vt:lpstr>
      <vt:lpstr>Fagerson_Msco6ntries</vt:lpstr>
      <vt:lpstr>fagersonmscointpts</vt:lpstr>
      <vt:lpstr>fagersonmscointtries</vt:lpstr>
      <vt:lpstr>FAGERSONZSCO6NPTS</vt:lpstr>
      <vt:lpstr>FAGERSONZSCO6NTRIES</vt:lpstr>
      <vt:lpstr>Fainga_aausrcpts</vt:lpstr>
      <vt:lpstr>Fainga_aausrctries</vt:lpstr>
      <vt:lpstr>Fainga_anukunzlintpts</vt:lpstr>
      <vt:lpstr>Fainga_anukunzlinttries</vt:lpstr>
      <vt:lpstr>Fainga_anukunzlrcpts</vt:lpstr>
      <vt:lpstr>Fainga_anukunzlrctries</vt:lpstr>
      <vt:lpstr>faingaaausintpts</vt:lpstr>
      <vt:lpstr>faingaaausinttries</vt:lpstr>
      <vt:lpstr>falateafraintpts</vt:lpstr>
      <vt:lpstr>falateafrainttries</vt:lpstr>
      <vt:lpstr>Faletauwal6npts</vt:lpstr>
      <vt:lpstr>Faletauwal6ntries</vt:lpstr>
      <vt:lpstr>faletauwalintpts</vt:lpstr>
      <vt:lpstr>faletauwalinttries</vt:lpstr>
      <vt:lpstr>farrellatt</vt:lpstr>
      <vt:lpstr>farrellgoals</vt:lpstr>
      <vt:lpstr>Fassirsaintpts</vt:lpstr>
      <vt:lpstr>Fassirsainttries</vt:lpstr>
      <vt:lpstr>fassirsatrcpts</vt:lpstr>
      <vt:lpstr>fassirsatrctries</vt:lpstr>
      <vt:lpstr>Feinberg_M_zulursaintpts</vt:lpstr>
      <vt:lpstr>Feinberg_M_zulursainttries</vt:lpstr>
      <vt:lpstr>Feinberg_M_zulursatrcatt</vt:lpstr>
      <vt:lpstr>Feinberg_M_zulursatrcgls</vt:lpstr>
      <vt:lpstr>Feinberg_M_zulursayratt</vt:lpstr>
      <vt:lpstr>Feinberg_M_zulursayrgls</vt:lpstr>
      <vt:lpstr>feinbergmngomezulursatrcpts</vt:lpstr>
      <vt:lpstr>feinbergmngomezulursatrctries</vt:lpstr>
      <vt:lpstr>Feyi_Wabosoengintpts</vt:lpstr>
      <vt:lpstr>Feyi_Wabosoenginttries</vt:lpstr>
      <vt:lpstr>feyiwabosoeng6npts</vt:lpstr>
      <vt:lpstr>feyiwabosoeng6ntries</vt:lpstr>
      <vt:lpstr>Fickoufra6npts</vt:lpstr>
      <vt:lpstr>Fickoufra6ntries</vt:lpstr>
      <vt:lpstr>fickoufraintpts</vt:lpstr>
      <vt:lpstr>fickoufrainttries</vt:lpstr>
      <vt:lpstr>Finaunzlintptscorrect</vt:lpstr>
      <vt:lpstr>Finaunzlinttriescorrect</vt:lpstr>
      <vt:lpstr>Flamentfra6npts</vt:lpstr>
      <vt:lpstr>Flamentfra6ntries</vt:lpstr>
      <vt:lpstr>flamentfraintpts</vt:lpstr>
      <vt:lpstr>flamentfrainttries</vt:lpstr>
      <vt:lpstr>foketiausintpts</vt:lpstr>
      <vt:lpstr>foketiausinttries</vt:lpstr>
      <vt:lpstr>foleyausintpts</vt:lpstr>
      <vt:lpstr>Foleyausrcpts</vt:lpstr>
      <vt:lpstr>Foleyausrctries</vt:lpstr>
      <vt:lpstr>foleyausyratt</vt:lpstr>
      <vt:lpstr>Foleyausyrgls</vt:lpstr>
      <vt:lpstr>fordeng6natt</vt:lpstr>
      <vt:lpstr>Fordeng6ngatt</vt:lpstr>
      <vt:lpstr>Fordeng6ngls</vt:lpstr>
      <vt:lpstr>fordeng6npts</vt:lpstr>
      <vt:lpstr>fordeng6ntries</vt:lpstr>
      <vt:lpstr>FordENGINTPTSCORRECT</vt:lpstr>
      <vt:lpstr>FordENGINTTRIESCORRECT</vt:lpstr>
      <vt:lpstr>fordengyratt</vt:lpstr>
      <vt:lpstr>Fordengyrgls</vt:lpstr>
      <vt:lpstr>Franciswal6npts</vt:lpstr>
      <vt:lpstr>Franciswal6ntries</vt:lpstr>
      <vt:lpstr>franciswalpts</vt:lpstr>
      <vt:lpstr>franciswaltries</vt:lpstr>
      <vt:lpstr>frawleyire6npts</vt:lpstr>
      <vt:lpstr>frawleyire6ntries</vt:lpstr>
      <vt:lpstr>frawleyireintpts</vt:lpstr>
      <vt:lpstr>frawleyireinttries</vt:lpstr>
      <vt:lpstr>Frawleyireyratt</vt:lpstr>
      <vt:lpstr>Frawleyireyrgls</vt:lpstr>
      <vt:lpstr>freemaneng6npts</vt:lpstr>
      <vt:lpstr>freemaneng6ntries</vt:lpstr>
      <vt:lpstr>Freemanengintpts</vt:lpstr>
      <vt:lpstr>Freemanenginttries</vt:lpstr>
      <vt:lpstr>frischfraintpts</vt:lpstr>
      <vt:lpstr>frischfrainttries</vt:lpstr>
      <vt:lpstr>FrizellNZLRCPTS</vt:lpstr>
      <vt:lpstr>FrizellNZLRCTRIES</vt:lpstr>
      <vt:lpstr>frostausintpts</vt:lpstr>
      <vt:lpstr>frostausinttries</vt:lpstr>
      <vt:lpstr>furbankeng6npts</vt:lpstr>
      <vt:lpstr>furbankeng6ntries</vt:lpstr>
      <vt:lpstr>Furbankengintpts</vt:lpstr>
      <vt:lpstr>Furbankenginttries</vt:lpstr>
      <vt:lpstr>Furlongire6npts</vt:lpstr>
      <vt:lpstr>Furlongire6ntries</vt:lpstr>
      <vt:lpstr>Furlongireintpts</vt:lpstr>
      <vt:lpstr>Furlongireinttries</vt:lpstr>
      <vt:lpstr>Fuscoita6nptscorrect</vt:lpstr>
      <vt:lpstr>Fuscoita6ntriescorrect</vt:lpstr>
      <vt:lpstr>fuscoitaintptscorrect</vt:lpstr>
      <vt:lpstr>fuscoitainttriescorrect</vt:lpstr>
      <vt:lpstr>gabrillaguesfra6npts</vt:lpstr>
      <vt:lpstr>gabrillaguesfra6ntries</vt:lpstr>
      <vt:lpstr>Gailletonfra6npts</vt:lpstr>
      <vt:lpstr>Gailletonfra6ntries</vt:lpstr>
      <vt:lpstr>gailletonfraintpts</vt:lpstr>
      <vt:lpstr>gailletonfrainttries</vt:lpstr>
      <vt:lpstr>gallagheritayratt</vt:lpstr>
      <vt:lpstr>Gallagheritayrgls</vt:lpstr>
      <vt:lpstr>galloargintpts</vt:lpstr>
      <vt:lpstr>galloarginttries</vt:lpstr>
      <vt:lpstr>Galloargrcpts</vt:lpstr>
      <vt:lpstr>Galloargrctries</vt:lpstr>
      <vt:lpstr>Garbisi_Pita6ntries</vt:lpstr>
      <vt:lpstr>garbisiaita6npts</vt:lpstr>
      <vt:lpstr>garbisiaita6ntries</vt:lpstr>
      <vt:lpstr>garbisiaitaintpts</vt:lpstr>
      <vt:lpstr>garbisiaitainttries</vt:lpstr>
      <vt:lpstr>garbisiita6natt</vt:lpstr>
      <vt:lpstr>Garbisiita6ngls</vt:lpstr>
      <vt:lpstr>Garbisiita6npts</vt:lpstr>
      <vt:lpstr>garbisiitayearatt</vt:lpstr>
      <vt:lpstr>Garbisiitayeargls</vt:lpstr>
      <vt:lpstr>garbisipitaintptscorrect</vt:lpstr>
      <vt:lpstr>garbisipitatries</vt:lpstr>
      <vt:lpstr>gavinireintpts</vt:lpstr>
      <vt:lpstr>gavinireinttries</vt:lpstr>
      <vt:lpstr>Gengeeng6npts</vt:lpstr>
      <vt:lpstr>Gengeeng6ntries</vt:lpstr>
      <vt:lpstr>Gengeengintptscorrect</vt:lpstr>
      <vt:lpstr>Gengeengintries</vt:lpstr>
      <vt:lpstr>Georgeeng6npts</vt:lpstr>
      <vt:lpstr>Georgeeng6ntries</vt:lpstr>
      <vt:lpstr>Georgeengintcorrect</vt:lpstr>
      <vt:lpstr>Georgeengintptscorrect</vt:lpstr>
      <vt:lpstr>Gesi_Sita6npts</vt:lpstr>
      <vt:lpstr>Gesi_Sita6ntries</vt:lpstr>
      <vt:lpstr>gesiitaintpts</vt:lpstr>
      <vt:lpstr>gesiitainttries</vt:lpstr>
      <vt:lpstr>Gibson_Parkire6npts</vt:lpstr>
      <vt:lpstr>Gibson_Parkire6ntries</vt:lpstr>
      <vt:lpstr>gilchristscointpts</vt:lpstr>
      <vt:lpstr>gilchristscointtries</vt:lpstr>
      <vt:lpstr>Gonzalezargrcpts</vt:lpstr>
      <vt:lpstr>Gonzalezargrctries</vt:lpstr>
      <vt:lpstr>Gordon_Causintpts</vt:lpstr>
      <vt:lpstr>Gordon_Causinttries</vt:lpstr>
      <vt:lpstr>Gordon_Caustrcgls</vt:lpstr>
      <vt:lpstr>Gordon_Caustrcpts</vt:lpstr>
      <vt:lpstr>Gordon_Caustrctries</vt:lpstr>
      <vt:lpstr>Gordon_Causyrgls</vt:lpstr>
      <vt:lpstr>Gordon_Jaustrcpts</vt:lpstr>
      <vt:lpstr>Gordon_Jaustrctries</vt:lpstr>
      <vt:lpstr>gordoncaustrcatt</vt:lpstr>
      <vt:lpstr>gordonjausintpts</vt:lpstr>
      <vt:lpstr>gordonjausinttries</vt:lpstr>
      <vt:lpstr>gordsoncausyratt</vt:lpstr>
      <vt:lpstr>gradywal6npts</vt:lpstr>
      <vt:lpstr>gradywal6ntries</vt:lpstr>
      <vt:lpstr>Grahamsco6npts</vt:lpstr>
      <vt:lpstr>Grahamsco6ntries</vt:lpstr>
      <vt:lpstr>grahamscointpts</vt:lpstr>
      <vt:lpstr>grahamscointtries</vt:lpstr>
      <vt:lpstr>grahamscopts</vt:lpstr>
      <vt:lpstr>grahamscotries</vt:lpstr>
      <vt:lpstr>Grondona_Sargintpts</vt:lpstr>
      <vt:lpstr>Grondona_Sarginttries</vt:lpstr>
      <vt:lpstr>Grondona_Sargrcpts</vt:lpstr>
      <vt:lpstr>Grondona_Sargrctries</vt:lpstr>
      <vt:lpstr>grosfraintpts</vt:lpstr>
      <vt:lpstr>grosfrainttries</vt:lpstr>
      <vt:lpstr>Guillardfra6npts</vt:lpstr>
      <vt:lpstr>Guillardfra6ntries</vt:lpstr>
      <vt:lpstr>guillardfraintpts</vt:lpstr>
      <vt:lpstr>guillardfrainttries</vt:lpstr>
      <vt:lpstr>Hansenire6npts</vt:lpstr>
      <vt:lpstr>Hansenire6nries</vt:lpstr>
      <vt:lpstr>hansenireintpts</vt:lpstr>
      <vt:lpstr>hansenireinttries</vt:lpstr>
      <vt:lpstr>HardyWAL6NPTS</vt:lpstr>
      <vt:lpstr>Hardywal6nptscorrect</vt:lpstr>
      <vt:lpstr>HardyWAL6NTRIES</vt:lpstr>
      <vt:lpstr>Hardywal6ntriescorrect</vt:lpstr>
      <vt:lpstr>Hardywalintpts</vt:lpstr>
      <vt:lpstr>Hardywalinttries</vt:lpstr>
      <vt:lpstr>harrisonscointpts</vt:lpstr>
      <vt:lpstr>harrisonscointtries</vt:lpstr>
      <vt:lpstr>HarrisSCO6NPTS</vt:lpstr>
      <vt:lpstr>HarrisSCO6NTRIES</vt:lpstr>
      <vt:lpstr>Hartryscorers</vt:lpstr>
      <vt:lpstr>hastingsscointpts</vt:lpstr>
      <vt:lpstr>hastingsscointtries</vt:lpstr>
      <vt:lpstr>hastingsscoyratt</vt:lpstr>
      <vt:lpstr>Hastingsscoyrgls</vt:lpstr>
      <vt:lpstr>hastoyfraintpts</vt:lpstr>
      <vt:lpstr>hastoyfrainttries</vt:lpstr>
      <vt:lpstr>hastoyfrayratt</vt:lpstr>
      <vt:lpstr>Hastoyfrayrgls</vt:lpstr>
      <vt:lpstr>Havilinzlrcpts</vt:lpstr>
      <vt:lpstr>Havilinzlrctries</vt:lpstr>
      <vt:lpstr>Healyire6npts</vt:lpstr>
      <vt:lpstr>Healyire6ntries</vt:lpstr>
      <vt:lpstr>healyireintpts</vt:lpstr>
      <vt:lpstr>healyireinttries</vt:lpstr>
      <vt:lpstr>healyscoyratt</vt:lpstr>
      <vt:lpstr>Healyscoyrgls</vt:lpstr>
      <vt:lpstr>Hendrikse__Jadenrsarcatt</vt:lpstr>
      <vt:lpstr>Hendrikse__Jadenrsarcgls</vt:lpstr>
      <vt:lpstr>Hendrikse__Jadenrsayratt</vt:lpstr>
      <vt:lpstr>Hendrikse__Jadenrsayrgls</vt:lpstr>
      <vt:lpstr>Hendrikse__Jordanrsaintpts</vt:lpstr>
      <vt:lpstr>Hendrikse__Jordanrsainttries</vt:lpstr>
      <vt:lpstr>Hendrikse__Jordanrsayratt</vt:lpstr>
      <vt:lpstr>Hendrikse__Jordanrsayrgls</vt:lpstr>
      <vt:lpstr>hendriksejadenrsarcpts</vt:lpstr>
      <vt:lpstr>hendriksejadenrsarctries</vt:lpstr>
      <vt:lpstr>Hendriksersarcpts</vt:lpstr>
      <vt:lpstr>Hendriksersarctries</vt:lpstr>
      <vt:lpstr>Henshawire6npts</vt:lpstr>
      <vt:lpstr>Henshawire6ntries</vt:lpstr>
      <vt:lpstr>HENSHAWIREINTPTS</vt:lpstr>
      <vt:lpstr>HENSHAWIREINTTRIES</vt:lpstr>
      <vt:lpstr>Herringire6npts</vt:lpstr>
      <vt:lpstr>Herringire6ntries</vt:lpstr>
      <vt:lpstr>HERRINGIREINTTRIES</vt:lpstr>
      <vt:lpstr>HERRINGREINTPTS</vt:lpstr>
      <vt:lpstr>heyeseng6npts</vt:lpstr>
      <vt:lpstr>heyeseng6ntries</vt:lpstr>
      <vt:lpstr>hodgeaustrcatt</vt:lpstr>
      <vt:lpstr>Hodgeaustrcgls</vt:lpstr>
      <vt:lpstr>hodgeausyratt</vt:lpstr>
      <vt:lpstr>Hodgeausyrgls</vt:lpstr>
      <vt:lpstr>Hoggsco6npts</vt:lpstr>
      <vt:lpstr>Hoggsco6ntries</vt:lpstr>
      <vt:lpstr>hoggscointpts</vt:lpstr>
      <vt:lpstr>hoggscointtries</vt:lpstr>
      <vt:lpstr>Hookerrsaintpts</vt:lpstr>
      <vt:lpstr>Hookerrsainttries</vt:lpstr>
      <vt:lpstr>Hookerrsarcpts</vt:lpstr>
      <vt:lpstr>Hookerrsarctries</vt:lpstr>
      <vt:lpstr>hookgloatt</vt:lpstr>
      <vt:lpstr>hookglogoals</vt:lpstr>
      <vt:lpstr>hoopertausintpts</vt:lpstr>
      <vt:lpstr>hoopertausinttries</vt:lpstr>
      <vt:lpstr>Hornesco6npts</vt:lpstr>
      <vt:lpstr>Hornesco6ntries</vt:lpstr>
      <vt:lpstr>hornescointpts</vt:lpstr>
      <vt:lpstr>hornescointtries</vt:lpstr>
      <vt:lpstr>Hornescoyratt</vt:lpstr>
      <vt:lpstr>Hornescoyrgls</vt:lpstr>
      <vt:lpstr>Hornrsaintpts</vt:lpstr>
      <vt:lpstr>Hornrsainttries</vt:lpstr>
      <vt:lpstr>hurdscointpts</vt:lpstr>
      <vt:lpstr>hurdscointtries</vt:lpstr>
      <vt:lpstr>hutchinsonscointptscorrect</vt:lpstr>
      <vt:lpstr>hutchinsonscointtriescorrect</vt:lpstr>
      <vt:lpstr>ikitauausintpts</vt:lpstr>
      <vt:lpstr>ikitauausinttries</vt:lpstr>
      <vt:lpstr>Ikitauausrcrpts</vt:lpstr>
      <vt:lpstr>Ikitauausrcrtries</vt:lpstr>
      <vt:lpstr>Ioane_Rnzlpts</vt:lpstr>
      <vt:lpstr>Ioane_Rnzltries</vt:lpstr>
      <vt:lpstr>ioaneita6npts</vt:lpstr>
      <vt:lpstr>ioaneita6ntries</vt:lpstr>
      <vt:lpstr>ioaneitaintpts</vt:lpstr>
      <vt:lpstr>ioaneitainttries</vt:lpstr>
      <vt:lpstr>Ioanenzlintpts</vt:lpstr>
      <vt:lpstr>Ioanenzlinttries</vt:lpstr>
      <vt:lpstr>isaargintpts</vt:lpstr>
      <vt:lpstr>isaarginttries</vt:lpstr>
      <vt:lpstr>isgroargintpts</vt:lpstr>
      <vt:lpstr>isgroarginttries</vt:lpstr>
      <vt:lpstr>Isgroargtrcpts</vt:lpstr>
      <vt:lpstr>Isgroargtrctries</vt:lpstr>
      <vt:lpstr>itojeeng6npts</vt:lpstr>
      <vt:lpstr>itojeeng6ntries</vt:lpstr>
      <vt:lpstr>ItojeINTPTS</vt:lpstr>
      <vt:lpstr>ItojeINTTRIES</vt:lpstr>
      <vt:lpstr>Jalibertfra6npts</vt:lpstr>
      <vt:lpstr>Jalibertfra6ntries</vt:lpstr>
      <vt:lpstr>JALIBERTFRAINTPTS</vt:lpstr>
      <vt:lpstr>Jalibertfrainttries</vt:lpstr>
      <vt:lpstr>jalibertfrayratt</vt:lpstr>
      <vt:lpstr>Jalibertfrayrgls</vt:lpstr>
      <vt:lpstr>Jantjies_Ersayrgls</vt:lpstr>
      <vt:lpstr>jantjiesersayrAtt</vt:lpstr>
      <vt:lpstr>Jegoufra6npts</vt:lpstr>
      <vt:lpstr>Jegoufra6ntries</vt:lpstr>
      <vt:lpstr>jegoufraintpts</vt:lpstr>
      <vt:lpstr>jegoufraintptscorrect</vt:lpstr>
      <vt:lpstr>jegoufrainttries</vt:lpstr>
      <vt:lpstr>Jelonchfra6npts</vt:lpstr>
      <vt:lpstr>Jelonchfra6ntries</vt:lpstr>
      <vt:lpstr>jelonchfraintpts</vt:lpstr>
      <vt:lpstr>jelonchfrainttries</vt:lpstr>
      <vt:lpstr>JonesSCO6NPTS</vt:lpstr>
      <vt:lpstr>JonesSCO6NTRIES</vt:lpstr>
      <vt:lpstr>jonesscointpts</vt:lpstr>
      <vt:lpstr>jonesscointtries</vt:lpstr>
      <vt:lpstr>Jordannzlintptscorrect</vt:lpstr>
      <vt:lpstr>Jordannzlinttriescorrect</vt:lpstr>
      <vt:lpstr>Jordannzlrcpts</vt:lpstr>
      <vt:lpstr>Jordannzlrctries</vt:lpstr>
      <vt:lpstr>Jordansco6npts</vt:lpstr>
      <vt:lpstr>Jordansco6ntries</vt:lpstr>
      <vt:lpstr>jordanscointpts</vt:lpstr>
      <vt:lpstr>jordanscointtries</vt:lpstr>
      <vt:lpstr>Jordanscoyratt</vt:lpstr>
      <vt:lpstr>Jordanscoyrgls</vt:lpstr>
      <vt:lpstr>jorgensenausintpts</vt:lpstr>
      <vt:lpstr>jorgensenausinttries</vt:lpstr>
      <vt:lpstr>Jorgensenaustrcpts</vt:lpstr>
      <vt:lpstr>Jorgensenaustrctries</vt:lpstr>
      <vt:lpstr>kaileaausintpts</vt:lpstr>
      <vt:lpstr>kaileaausinttries</vt:lpstr>
      <vt:lpstr>Keenanire6npts</vt:lpstr>
      <vt:lpstr>Keenanire6ntries</vt:lpstr>
      <vt:lpstr>KEENANIREINTPTS</vt:lpstr>
      <vt:lpstr>KEENANIREINTTRIES</vt:lpstr>
      <vt:lpstr>kellawayausintpts</vt:lpstr>
      <vt:lpstr>kellawayausinttries</vt:lpstr>
      <vt:lpstr>Kellawayausrcpts</vt:lpstr>
      <vt:lpstr>Kellawayausrctries</vt:lpstr>
      <vt:lpstr>kellawayausyratt</vt:lpstr>
      <vt:lpstr>Kellawayausyrgls</vt:lpstr>
      <vt:lpstr>kelleherire6npts</vt:lpstr>
      <vt:lpstr>kelleherire6ntries</vt:lpstr>
      <vt:lpstr>kereviausintpts</vt:lpstr>
      <vt:lpstr>kereviausinttries</vt:lpstr>
      <vt:lpstr>Kereviaustrcpts</vt:lpstr>
      <vt:lpstr>Kereviaustrctries</vt:lpstr>
      <vt:lpstr>kilcoyneireintpts</vt:lpstr>
      <vt:lpstr>kilcoyneireinttries</vt:lpstr>
      <vt:lpstr>kinghornsco6natt</vt:lpstr>
      <vt:lpstr>Kinghornsco6ngls</vt:lpstr>
      <vt:lpstr>kinghornsco6npts</vt:lpstr>
      <vt:lpstr>Kinghornsco6ntries</vt:lpstr>
      <vt:lpstr>kinghornscointpts</vt:lpstr>
      <vt:lpstr>kinghornscointtries</vt:lpstr>
      <vt:lpstr>kinghornscoyratt</vt:lpstr>
      <vt:lpstr>Kinghornscoyrgls</vt:lpstr>
      <vt:lpstr>Kirifinzlintpts</vt:lpstr>
      <vt:lpstr>Kirifinzlinttries</vt:lpstr>
      <vt:lpstr>Kochrsaintpts</vt:lpstr>
      <vt:lpstr>Kochrsainttries</vt:lpstr>
      <vt:lpstr>Kolbersaintptscorrect</vt:lpstr>
      <vt:lpstr>Kolbersainttriescorrect</vt:lpstr>
      <vt:lpstr>kolbersatrcatt</vt:lpstr>
      <vt:lpstr>Kolbersatrcgls</vt:lpstr>
      <vt:lpstr>Kolbersatrcpts</vt:lpstr>
      <vt:lpstr>Kolbersatrctries</vt:lpstr>
      <vt:lpstr>kolbersayratt</vt:lpstr>
      <vt:lpstr>Kolbersayrgls</vt:lpstr>
      <vt:lpstr>Kolisirsarcpts</vt:lpstr>
      <vt:lpstr>Kolisirsarctries</vt:lpstr>
      <vt:lpstr>koroibeteausintpts</vt:lpstr>
      <vt:lpstr>koroibeteausinttries</vt:lpstr>
      <vt:lpstr>Koroibeteausrcpts</vt:lpstr>
      <vt:lpstr>Koroibeteausrctries</vt:lpstr>
      <vt:lpstr>kremerarginttries</vt:lpstr>
      <vt:lpstr>kremerargontpts</vt:lpstr>
      <vt:lpstr>Krielrsaintptscorrect</vt:lpstr>
      <vt:lpstr>Krielrsainttriescorrect</vt:lpstr>
      <vt:lpstr>Krielrsatrcpts</vt:lpstr>
      <vt:lpstr>Krielrsatrctrires</vt:lpstr>
      <vt:lpstr>Lakainzlintpts</vt:lpstr>
      <vt:lpstr>Lakainzlinttries</vt:lpstr>
      <vt:lpstr>Lakewal6npts</vt:lpstr>
      <vt:lpstr>Lakewal6ntries</vt:lpstr>
      <vt:lpstr>lakewalintpts</vt:lpstr>
      <vt:lpstr>lakewalinttries</vt:lpstr>
      <vt:lpstr>lamaroitaintpts</vt:lpstr>
      <vt:lpstr>lamaroitainttries</vt:lpstr>
      <vt:lpstr>Langdonengintpts</vt:lpstr>
      <vt:lpstr>Langdonenginttries</vt:lpstr>
      <vt:lpstr>Lawrenceeng6npts</vt:lpstr>
      <vt:lpstr>Lawrenceeng6ntries</vt:lpstr>
      <vt:lpstr>Lawrenceengintcorrect</vt:lpstr>
      <vt:lpstr>Lawrenceengintptscorrect</vt:lpstr>
      <vt:lpstr>Le_Garrecfra6natt</vt:lpstr>
      <vt:lpstr>Le_Garrecfra6ngls</vt:lpstr>
      <vt:lpstr>Le_Garrecfrayratt</vt:lpstr>
      <vt:lpstr>Le_Garrecfrayrgls</vt:lpstr>
      <vt:lpstr>legarrcefra6npts</vt:lpstr>
      <vt:lpstr>legarrecfra6ntries</vt:lpstr>
      <vt:lpstr>legarrecfraintpts</vt:lpstr>
      <vt:lpstr>legarrecfrainttries</vt:lpstr>
      <vt:lpstr>lerouxrsarcpts</vt:lpstr>
      <vt:lpstr>lerouxrsarctries</vt:lpstr>
      <vt:lpstr>Libbok_Mrsayrgls</vt:lpstr>
      <vt:lpstr>libbokjrsayratt</vt:lpstr>
      <vt:lpstr>Libbokrsaintptscorrect</vt:lpstr>
      <vt:lpstr>Libbokrsainttries</vt:lpstr>
      <vt:lpstr>libbokrsatrcatt</vt:lpstr>
      <vt:lpstr>Libbokrsatrcgls</vt:lpstr>
      <vt:lpstr>Libbokrsatrcpts</vt:lpstr>
      <vt:lpstr>Libbokrsatrctries</vt:lpstr>
      <vt:lpstr>Lienert_Brownnzlinttries</vt:lpstr>
      <vt:lpstr>lienertbrownnzlintpts</vt:lpstr>
      <vt:lpstr>lienertbrownnzltrcpts</vt:lpstr>
      <vt:lpstr>lienertbrownnzltrctries</vt:lpstr>
      <vt:lpstr>llewellynwalintpts</vt:lpstr>
      <vt:lpstr>llewellynwalinttries</vt:lpstr>
      <vt:lpstr>Llewellynwalpts</vt:lpstr>
      <vt:lpstr>Llewellynwaltries</vt:lpstr>
      <vt:lpstr>Lloydwal6natt</vt:lpstr>
      <vt:lpstr>Lloydwal6ngls</vt:lpstr>
      <vt:lpstr>lloydwal6npts</vt:lpstr>
      <vt:lpstr>lloydwal6ntries</vt:lpstr>
      <vt:lpstr>Lloydwalyratt</vt:lpstr>
      <vt:lpstr>Lloydwalyrattcorrect</vt:lpstr>
      <vt:lpstr>Lloydwalyrgls</vt:lpstr>
      <vt:lpstr>lolesioausintptsscorrect</vt:lpstr>
      <vt:lpstr>lolesioausinttries</vt:lpstr>
      <vt:lpstr>lolesioaustrcatt</vt:lpstr>
      <vt:lpstr>Lolesioaustrcgls</vt:lpstr>
      <vt:lpstr>Lolesioaustrcpts</vt:lpstr>
      <vt:lpstr>Lolesioaustrctries</vt:lpstr>
      <vt:lpstr>lolesioausyratt</vt:lpstr>
      <vt:lpstr>Lolesioausyrgls</vt:lpstr>
      <vt:lpstr>Louw_Ersaintpts</vt:lpstr>
      <vt:lpstr>Louw_Ersainttries</vt:lpstr>
      <vt:lpstr>Louw_Wrsaintpts</vt:lpstr>
      <vt:lpstr>Louw_Wrsainttries</vt:lpstr>
      <vt:lpstr>louwwrsaintpts</vt:lpstr>
      <vt:lpstr>Lovenzlintpts</vt:lpstr>
      <vt:lpstr>lovenzlinttries</vt:lpstr>
      <vt:lpstr>Loweire6npts</vt:lpstr>
      <vt:lpstr>Loweire6ntries</vt:lpstr>
      <vt:lpstr>loweireintpts</vt:lpstr>
      <vt:lpstr>loweireinttries</vt:lpstr>
      <vt:lpstr>Lowryire6npts</vt:lpstr>
      <vt:lpstr>Lowryire6ntries</vt:lpstr>
      <vt:lpstr>lucchesiitaintpts</vt:lpstr>
      <vt:lpstr>lucchesiitainttries</vt:lpstr>
      <vt:lpstr>lucufra6natt</vt:lpstr>
      <vt:lpstr>Lucufra6ngls</vt:lpstr>
      <vt:lpstr>lucufra6npts</vt:lpstr>
      <vt:lpstr>lucufra6ntries</vt:lpstr>
      <vt:lpstr>LUCUFRAINTPTS</vt:lpstr>
      <vt:lpstr>lucufrainttries</vt:lpstr>
      <vt:lpstr>lucufrayratt</vt:lpstr>
      <vt:lpstr>Lucufrayrgls</vt:lpstr>
      <vt:lpstr>lynaghausintpts</vt:lpstr>
      <vt:lpstr>lynaghausinttries</vt:lpstr>
      <vt:lpstr>Lynaghaustrcatt</vt:lpstr>
      <vt:lpstr>lynaghaustrcattcorrect</vt:lpstr>
      <vt:lpstr>Lynaghaustrcgls</vt:lpstr>
      <vt:lpstr>Lynaghaustrcpts</vt:lpstr>
      <vt:lpstr>Lynaghaustrctries</vt:lpstr>
      <vt:lpstr>Lynaghausyratt</vt:lpstr>
      <vt:lpstr>Lynaghausyrgls</vt:lpstr>
      <vt:lpstr>lynaghita6npts</vt:lpstr>
      <vt:lpstr>lynaghita6ntries</vt:lpstr>
      <vt:lpstr>lynaghitapts</vt:lpstr>
      <vt:lpstr>lynaghitatries</vt:lpstr>
      <vt:lpstr>macaloufraintpts</vt:lpstr>
      <vt:lpstr>macaloufrainttries</vt:lpstr>
      <vt:lpstr>Malinseng6npts</vt:lpstr>
      <vt:lpstr>Malinseng6ntries</vt:lpstr>
      <vt:lpstr>malliaargintpts</vt:lpstr>
      <vt:lpstr>malliaarginttries</vt:lpstr>
      <vt:lpstr>Malliaargrcatt</vt:lpstr>
      <vt:lpstr>Malliaargrcgls</vt:lpstr>
      <vt:lpstr>Malliaargtrcpts</vt:lpstr>
      <vt:lpstr>Malliaargtrctries</vt:lpstr>
      <vt:lpstr>malliaargyratt</vt:lpstr>
      <vt:lpstr>Malliaargyrgls</vt:lpstr>
      <vt:lpstr>mannwal6npts</vt:lpstr>
      <vt:lpstr>mannwal6ntriws</vt:lpstr>
      <vt:lpstr>Mapimpirsaintptscorrect</vt:lpstr>
      <vt:lpstr>Mapimpirsainttriescorrect</vt:lpstr>
      <vt:lpstr>Mapimpirsarcpts</vt:lpstr>
      <vt:lpstr>Mapimpirsarctries</vt:lpstr>
      <vt:lpstr>Marchandfra6npts</vt:lpstr>
      <vt:lpstr>Marchandfra6ntries</vt:lpstr>
      <vt:lpstr>marchandfraintpts</vt:lpstr>
      <vt:lpstr>marchandfrainttries</vt:lpstr>
      <vt:lpstr>Marinita6npts</vt:lpstr>
      <vt:lpstr>Marinita6ntries</vt:lpstr>
      <vt:lpstr>marinitaintptscorrect</vt:lpstr>
      <vt:lpstr>marinitainttriescorrect</vt:lpstr>
      <vt:lpstr>marinitaintyratt</vt:lpstr>
      <vt:lpstr>Marinitaintyrgls</vt:lpstr>
      <vt:lpstr>Marxrsaintptscorrect</vt:lpstr>
      <vt:lpstr>Marxrsainttriescorrect</vt:lpstr>
      <vt:lpstr>Marxrsarcpts</vt:lpstr>
      <vt:lpstr>Marxrsarctries</vt:lpstr>
      <vt:lpstr>materaargintpts</vt:lpstr>
      <vt:lpstr>materaarginttries</vt:lpstr>
      <vt:lpstr>materaargrcpts</vt:lpstr>
      <vt:lpstr>materaargrctries</vt:lpstr>
      <vt:lpstr>mauvacafraintpts</vt:lpstr>
      <vt:lpstr>mauvacafrainttries</vt:lpstr>
      <vt:lpstr>MauvakaFRA6NPTS</vt:lpstr>
      <vt:lpstr>MauvakaFRA6NTRIES</vt:lpstr>
      <vt:lpstr>Mbonambirsaintptscorrect</vt:lpstr>
      <vt:lpstr>Mbonambirsainttriescorrect</vt:lpstr>
      <vt:lpstr>mbonambirsatrcpts</vt:lpstr>
      <vt:lpstr>mbonambirsatrctries</vt:lpstr>
      <vt:lpstr>McAlisternzlintpts</vt:lpstr>
      <vt:lpstr>McAlisternzlinttries</vt:lpstr>
      <vt:lpstr>McCarthy_Gire6npts</vt:lpstr>
      <vt:lpstr>McCarthy_Gire6ntries</vt:lpstr>
      <vt:lpstr>McCarthy_Pire6npts</vt:lpstr>
      <vt:lpstr>McCarthy_Pire6ntries</vt:lpstr>
      <vt:lpstr>McCarthy_Pireintpts</vt:lpstr>
      <vt:lpstr>McCarthy_Pireinttries</vt:lpstr>
      <vt:lpstr>mccarthygireintpts</vt:lpstr>
      <vt:lpstr>mccarthygireinttries</vt:lpstr>
      <vt:lpstr>mccarthyireintpts</vt:lpstr>
      <vt:lpstr>mccarthyireinttries</vt:lpstr>
      <vt:lpstr>mccloskeyireintpts</vt:lpstr>
      <vt:lpstr>mccloskeyireinttries</vt:lpstr>
      <vt:lpstr>mcdermottausintpts</vt:lpstr>
      <vt:lpstr>mcdermottausinttries</vt:lpstr>
      <vt:lpstr>McDermottaustrcpts</vt:lpstr>
      <vt:lpstr>McDermottaustrctries</vt:lpstr>
      <vt:lpstr>mcdowallscointpts</vt:lpstr>
      <vt:lpstr>mcdowallscointtries</vt:lpstr>
      <vt:lpstr>McKenzie_Dnzltrcgls</vt:lpstr>
      <vt:lpstr>McKenzie_Dnzlyrgls</vt:lpstr>
      <vt:lpstr>McKenzienzlintptscorrect</vt:lpstr>
      <vt:lpstr>McKenzienzlinttriescorrect</vt:lpstr>
      <vt:lpstr>mckenzienzltrcatt</vt:lpstr>
      <vt:lpstr>McKenzieNZLTRCPTS</vt:lpstr>
      <vt:lpstr>mckenzienzltrctries</vt:lpstr>
      <vt:lpstr>mckenzienzlyratt</vt:lpstr>
      <vt:lpstr>mcreightausintpts</vt:lpstr>
      <vt:lpstr>mcreightausinttries</vt:lpstr>
      <vt:lpstr>McReightausrcpts</vt:lpstr>
      <vt:lpstr>McReightausrctries</vt:lpstr>
      <vt:lpstr>Meafoufra6npts</vt:lpstr>
      <vt:lpstr>Meafoufra6ntries</vt:lpstr>
      <vt:lpstr>Meafoufraintpts</vt:lpstr>
      <vt:lpstr>Meafoufrainttries</vt:lpstr>
      <vt:lpstr>memoncelloitainttries</vt:lpstr>
      <vt:lpstr>mendyargintpts</vt:lpstr>
      <vt:lpstr>mendyarginttries</vt:lpstr>
      <vt:lpstr>Menoncelloita6npts</vt:lpstr>
      <vt:lpstr>Menoncelloita6ntries</vt:lpstr>
      <vt:lpstr>menoncelloitaintpts</vt:lpstr>
      <vt:lpstr>mieresatt</vt:lpstr>
      <vt:lpstr>mieresgoals</vt:lpstr>
      <vt:lpstr>Milneire6npts</vt:lpstr>
      <vt:lpstr>Milneire6ntries</vt:lpstr>
      <vt:lpstr>Milneireintpts</vt:lpstr>
      <vt:lpstr>Milneireinttries</vt:lpstr>
      <vt:lpstr>mitchelleng6npts</vt:lpstr>
      <vt:lpstr>mitchelleng6ntries</vt:lpstr>
      <vt:lpstr>Mitchellengintpts</vt:lpstr>
      <vt:lpstr>Mitchellenginttries</vt:lpstr>
      <vt:lpstr>Mo_unganzlrctries</vt:lpstr>
      <vt:lpstr>Mo_unganzltrcgls</vt:lpstr>
      <vt:lpstr>Mo_ungaNZLYRGLS</vt:lpstr>
      <vt:lpstr>Moefana6npts</vt:lpstr>
      <vt:lpstr>Moefanafra6ntries</vt:lpstr>
      <vt:lpstr>moefanafraintpts</vt:lpstr>
      <vt:lpstr>moefanafrainttries</vt:lpstr>
      <vt:lpstr>Molinaargintpts</vt:lpstr>
      <vt:lpstr>Molinaarginttries</vt:lpstr>
      <vt:lpstr>Molinaargtrcpts</vt:lpstr>
      <vt:lpstr>Molinaargtrctries</vt:lpstr>
      <vt:lpstr>montoyaargintpts</vt:lpstr>
      <vt:lpstr>montoyaarginttries</vt:lpstr>
      <vt:lpstr>Montoyaargtrcpts</vt:lpstr>
      <vt:lpstr>Montoyaargtrctries</vt:lpstr>
      <vt:lpstr>Moodiersaintptscorrect</vt:lpstr>
      <vt:lpstr>Moodiersainttriescorrect</vt:lpstr>
      <vt:lpstr>Moodiersarcpts</vt:lpstr>
      <vt:lpstr>Moodiersarctries</vt:lpstr>
      <vt:lpstr>morganjacwalintpts</vt:lpstr>
      <vt:lpstr>Morganwal6npts</vt:lpstr>
      <vt:lpstr>Morganwal6ntries</vt:lpstr>
      <vt:lpstr>morgnjacwalinttries</vt:lpstr>
      <vt:lpstr>moroargintpts</vt:lpstr>
      <vt:lpstr>moroarginttries</vt:lpstr>
      <vt:lpstr>Moroniargrcpts</vt:lpstr>
      <vt:lpstr>Moroniargrctries</vt:lpstr>
      <vt:lpstr>Mostertrsaintptscorrect</vt:lpstr>
      <vt:lpstr>Mostertrsainttriescorrecyt</vt:lpstr>
      <vt:lpstr>Mostertrsarcpts</vt:lpstr>
      <vt:lpstr>Mostertrsarctries</vt:lpstr>
      <vt:lpstr>MOUNGANZLRCPTS</vt:lpstr>
      <vt:lpstr>mounganzltrcatt</vt:lpstr>
      <vt:lpstr>MOUNGANZLYRATT</vt:lpstr>
      <vt:lpstr>moyanoargintpts</vt:lpstr>
      <vt:lpstr>moyanoarginttries</vt:lpstr>
      <vt:lpstr>murleyeng6npts</vt:lpstr>
      <vt:lpstr>murleyeng6ntries</vt:lpstr>
      <vt:lpstr>MurleyENGINTPTS</vt:lpstr>
      <vt:lpstr>MurleyENGINTTRIES</vt:lpstr>
      <vt:lpstr>murphybenireintpts</vt:lpstr>
      <vt:lpstr>murphybenireinttries</vt:lpstr>
      <vt:lpstr>Narawanzltrcpts</vt:lpstr>
      <vt:lpstr>Narawanzltrctries</vt:lpstr>
      <vt:lpstr>nashire6npts</vt:lpstr>
      <vt:lpstr>nashire6ntries</vt:lpstr>
      <vt:lpstr>nasserausintpts</vt:lpstr>
      <vt:lpstr>Nasserausinttries</vt:lpstr>
      <vt:lpstr>Nasserausrcpts</vt:lpstr>
      <vt:lpstr>Nasserausrctries</vt:lpstr>
      <vt:lpstr>Negri6nitstries</vt:lpstr>
      <vt:lpstr>Negriita6npts</vt:lpstr>
      <vt:lpstr>NEGRIITAINTPTS</vt:lpstr>
      <vt:lpstr>NEGRIITAINTTRIES</vt:lpstr>
      <vt:lpstr>Newellnzlintpts</vt:lpstr>
      <vt:lpstr>Newellnzlinttries</vt:lpstr>
      <vt:lpstr>Newellnzlrcpts</vt:lpstr>
      <vt:lpstr>Newellnzlrctries</vt:lpstr>
      <vt:lpstr>Nicoteraita6npts</vt:lpstr>
      <vt:lpstr>Nicoteraita6ntries</vt:lpstr>
      <vt:lpstr>nicoteraitaintpts</vt:lpstr>
      <vt:lpstr>nicoteraitainttries</vt:lpstr>
      <vt:lpstr>Northmoreengintpts</vt:lpstr>
      <vt:lpstr>Northmoreenginttries</vt:lpstr>
      <vt:lpstr>nortjeRSAintpts</vt:lpstr>
      <vt:lpstr>NortjeRSAinttries</vt:lpstr>
      <vt:lpstr>nortjeRSArcpts</vt:lpstr>
      <vt:lpstr>nortjeRSArctries</vt:lpstr>
      <vt:lpstr>ntamackfra6natt</vt:lpstr>
      <vt:lpstr>Ntamackfra6ngls</vt:lpstr>
      <vt:lpstr>Ntamackfra6npts</vt:lpstr>
      <vt:lpstr>Ntamackfra6ntries</vt:lpstr>
      <vt:lpstr>NTAMACKFRAINTPTS</vt:lpstr>
      <vt:lpstr>NTAMACKFRAINTTRIES</vt:lpstr>
      <vt:lpstr>ntamackfrayearatt</vt:lpstr>
      <vt:lpstr>Ntamackfrayeargls</vt:lpstr>
      <vt:lpstr>O_ConnorAUSRCGLS</vt:lpstr>
      <vt:lpstr>O_ConnorAUSRCPTS</vt:lpstr>
      <vt:lpstr>O_Connoraustrcatt</vt:lpstr>
      <vt:lpstr>O_Connoraustrcgls</vt:lpstr>
      <vt:lpstr>O_Connoraustrcpts</vt:lpstr>
      <vt:lpstr>O_Connoraustrctries</vt:lpstr>
      <vt:lpstr>O_Mahonyire6npts</vt:lpstr>
      <vt:lpstr>O_Mahonyire6ntries</vt:lpstr>
      <vt:lpstr>obrienireintpts</vt:lpstr>
      <vt:lpstr>obrienireinttries</vt:lpstr>
      <vt:lpstr>obrientireintpts</vt:lpstr>
      <vt:lpstr>obrientireinttries</vt:lpstr>
      <vt:lpstr>OCONNORAUSRCATT</vt:lpstr>
      <vt:lpstr>odogwuitaintpts</vt:lpstr>
      <vt:lpstr>odogwuitainttries</vt:lpstr>
      <vt:lpstr>Oghreengintpts</vt:lpstr>
      <vt:lpstr>Oghreenginttries</vt:lpstr>
      <vt:lpstr>Ojomoheng6npts</vt:lpstr>
      <vt:lpstr>Ojomoheng6ntries</vt:lpstr>
      <vt:lpstr>Ojomoheng6ntriescorrect</vt:lpstr>
      <vt:lpstr>Ojomohengintpts</vt:lpstr>
      <vt:lpstr>Ojomohenginttries</vt:lpstr>
      <vt:lpstr>Ollivonfra6npts</vt:lpstr>
      <vt:lpstr>Ollivonfra6Ntries</vt:lpstr>
      <vt:lpstr>ollivonfraintpts</vt:lpstr>
      <vt:lpstr>ollivonfrainttries</vt:lpstr>
      <vt:lpstr>orlandoargintpts</vt:lpstr>
      <vt:lpstr>orlandoarginttries</vt:lpstr>
      <vt:lpstr>Osborneire6npts</vt:lpstr>
      <vt:lpstr>Osborneire6ntries</vt:lpstr>
      <vt:lpstr>osborneireintpts</vt:lpstr>
      <vt:lpstr>osborneireinttries</vt:lpstr>
      <vt:lpstr>oviedoargintpts</vt:lpstr>
      <vt:lpstr>oviedoarginttries</vt:lpstr>
      <vt:lpstr>Oviedoargtrcpts</vt:lpstr>
      <vt:lpstr>Oviedoargtrctries</vt:lpstr>
      <vt:lpstr>OwensWAL6NPTS</vt:lpstr>
      <vt:lpstr>OwensWAL6NTRIES</vt:lpstr>
      <vt:lpstr>owenswalinttries</vt:lpstr>
      <vt:lpstr>owesnwalintpts</vt:lpstr>
      <vt:lpstr>PADOVANIITA6NATT</vt:lpstr>
      <vt:lpstr>PadovaniITA6NGLS</vt:lpstr>
      <vt:lpstr>PadovaniITA6NPTS</vt:lpstr>
      <vt:lpstr>PadovaniITA6NTRIES</vt:lpstr>
      <vt:lpstr>padovaniitaintpts</vt:lpstr>
      <vt:lpstr>padovaniitainttries</vt:lpstr>
      <vt:lpstr>padovaniitayratt</vt:lpstr>
      <vt:lpstr>Padovaniitayrgls</vt:lpstr>
      <vt:lpstr>Paenga_Amosaausintpts</vt:lpstr>
      <vt:lpstr>Paenga_Amosaausinttries</vt:lpstr>
      <vt:lpstr>Paenga_Amosaausrcpts</vt:lpstr>
      <vt:lpstr>Paenga_Amosaausrctries</vt:lpstr>
      <vt:lpstr>Page_Reloita6ngls</vt:lpstr>
      <vt:lpstr>Page_Reloitayrgls</vt:lpstr>
      <vt:lpstr>pagereloita6natt</vt:lpstr>
      <vt:lpstr>pagereloitsyratt</vt:lpstr>
      <vt:lpstr>paisamiausintpts</vt:lpstr>
      <vt:lpstr>paisamiausinttries</vt:lpstr>
      <vt:lpstr>Paisamiaustrcpts</vt:lpstr>
      <vt:lpstr>Paisamiaustrctries</vt:lpstr>
      <vt:lpstr>paniita6npts</vt:lpstr>
      <vt:lpstr>paniita6ntries</vt:lpstr>
      <vt:lpstr>paniitaintpts</vt:lpstr>
      <vt:lpstr>paniitainttries</vt:lpstr>
      <vt:lpstr>parrywalintpts</vt:lpstr>
      <vt:lpstr>parrywalinttries</vt:lpstr>
      <vt:lpstr>patersonscointpts</vt:lpstr>
      <vt:lpstr>patersonscointtries</vt:lpstr>
      <vt:lpstr>Penalty_Triesargrcpts</vt:lpstr>
      <vt:lpstr>Penalty_Triesargrctries</vt:lpstr>
      <vt:lpstr>Penalty_Triesausrcpts</vt:lpstr>
      <vt:lpstr>Penalty_Triesausrctries</vt:lpstr>
      <vt:lpstr>Penalty_Trieseng6npts</vt:lpstr>
      <vt:lpstr>Penalty_Trieseng6ntries</vt:lpstr>
      <vt:lpstr>Penalty_Triesengintpts</vt:lpstr>
      <vt:lpstr>Penalty_Triesenginttries</vt:lpstr>
      <vt:lpstr>Penalty_Triesfra6npts</vt:lpstr>
      <vt:lpstr>Penalty_Triesfra6ntries</vt:lpstr>
      <vt:lpstr>Penalty_Triesire6npts</vt:lpstr>
      <vt:lpstr>Penalty_Triesire6ntries</vt:lpstr>
      <vt:lpstr>Penalty_Triesita6npts</vt:lpstr>
      <vt:lpstr>Penalty_Triesita6ntries</vt:lpstr>
      <vt:lpstr>Penalty_Triesnzlrcpts</vt:lpstr>
      <vt:lpstr>Penalty_Triesnzlrctries</vt:lpstr>
      <vt:lpstr>Penalty_Triesrsaintpts</vt:lpstr>
      <vt:lpstr>Penalty_Triesrsainttries</vt:lpstr>
      <vt:lpstr>Penalty_Triesrsarcpts</vt:lpstr>
      <vt:lpstr>Penalty_Triesrsarctries</vt:lpstr>
      <vt:lpstr>Penalty_Triesrsatrcpts</vt:lpstr>
      <vt:lpstr>Penalty_Triesrsatrctries</vt:lpstr>
      <vt:lpstr>Penalty_Triessco6npts</vt:lpstr>
      <vt:lpstr>Penalty_Triessco6ntries</vt:lpstr>
      <vt:lpstr>Penalty_trieswal6npts</vt:lpstr>
      <vt:lpstr>Penalty_Trieswal6ntries</vt:lpstr>
      <vt:lpstr>penaltytriesargintpts</vt:lpstr>
      <vt:lpstr>penaltytriesarginttries</vt:lpstr>
      <vt:lpstr>penaltytriesireintpts</vt:lpstr>
      <vt:lpstr>penaltytriesireinttries</vt:lpstr>
      <vt:lpstr>penaltytriesitaintpts</vt:lpstr>
      <vt:lpstr>penaltytriesitainttries</vt:lpstr>
      <vt:lpstr>penaltytriesscointpts</vt:lpstr>
      <vt:lpstr>penaltytriesscointtries</vt:lpstr>
      <vt:lpstr>PENALTYTRIESWALINTPTS</vt:lpstr>
      <vt:lpstr>PENALTYTRIESWALINTTRIES</vt:lpstr>
      <vt:lpstr>Penaudfra6npts</vt:lpstr>
      <vt:lpstr>Penaudfra6ntries</vt:lpstr>
      <vt:lpstr>penaudfraintpts</vt:lpstr>
      <vt:lpstr>penaudfrainttries</vt:lpstr>
      <vt:lpstr>petaiaausintpts</vt:lpstr>
      <vt:lpstr>petaiaausinttries</vt:lpstr>
      <vt:lpstr>Petaiaausrcpts</vt:lpstr>
      <vt:lpstr>Petaiaausrctries</vt:lpstr>
      <vt:lpstr>piccardoargintpts</vt:lpstr>
      <vt:lpstr>piccardoarginttries</vt:lpstr>
      <vt:lpstr>Piccardoargrcpts</vt:lpstr>
      <vt:lpstr>Piccardoargrctries</vt:lpstr>
      <vt:lpstr>pietschausintpts</vt:lpstr>
      <vt:lpstr>pietschausinttries</vt:lpstr>
      <vt:lpstr>Pietschaustrcpts</vt:lpstr>
      <vt:lpstr>Pietschaustrctries</vt:lpstr>
      <vt:lpstr>Pollardausintpts</vt:lpstr>
      <vt:lpstr>Pollardausinttries</vt:lpstr>
      <vt:lpstr>Pollardausrcpts</vt:lpstr>
      <vt:lpstr>Pollardausrctries</vt:lpstr>
      <vt:lpstr>pollardrsaintptscorrect</vt:lpstr>
      <vt:lpstr>Pollardrsainttriescorrect</vt:lpstr>
      <vt:lpstr>pollardrsarcatt</vt:lpstr>
      <vt:lpstr>Pollardrsarcgls</vt:lpstr>
      <vt:lpstr>pollardrsatrcpts</vt:lpstr>
      <vt:lpstr>pollardrsatrctries</vt:lpstr>
      <vt:lpstr>pollardrsayratt</vt:lpstr>
      <vt:lpstr>Pollardrsayrgls</vt:lpstr>
      <vt:lpstr>pollockeng6npts</vt:lpstr>
      <vt:lpstr>pollockeng6ntries</vt:lpstr>
      <vt:lpstr>Pollockengintpts</vt:lpstr>
      <vt:lpstr>Pollockenginttries</vt:lpstr>
      <vt:lpstr>Porterire6npts</vt:lpstr>
      <vt:lpstr>Porterire6ntries</vt:lpstr>
      <vt:lpstr>PORTERIREINTPTS</vt:lpstr>
      <vt:lpstr>PORTERIREINTTRIES</vt:lpstr>
      <vt:lpstr>potterausintpts</vt:lpstr>
      <vt:lpstr>potterausinttries</vt:lpstr>
      <vt:lpstr>Potterausrcpts</vt:lpstr>
      <vt:lpstr>Potterausrctries</vt:lpstr>
      <vt:lpstr>prendergastcianireintpts</vt:lpstr>
      <vt:lpstr>prendergastcianireinttries</vt:lpstr>
      <vt:lpstr>prendergastire6natt</vt:lpstr>
      <vt:lpstr>Prendergastire6ngls</vt:lpstr>
      <vt:lpstr>Prendergastire6npts</vt:lpstr>
      <vt:lpstr>Prendergastire6ntries</vt:lpstr>
      <vt:lpstr>prendergastireintpts</vt:lpstr>
      <vt:lpstr>prendergastireinttries</vt:lpstr>
      <vt:lpstr>prendergastireyratt</vt:lpstr>
      <vt:lpstr>Prendergastireyrgls</vt:lpstr>
      <vt:lpstr>Prisciantelliargintpts</vt:lpstr>
      <vt:lpstr>Prisciantelliarginttries</vt:lpstr>
      <vt:lpstr>Prisciantelliargrcpts</vt:lpstr>
      <vt:lpstr>Prisciantelliargrctries</vt:lpstr>
      <vt:lpstr>Proctornzlintpts</vt:lpstr>
      <vt:lpstr>proctornzlinttries</vt:lpstr>
      <vt:lpstr>proctornzlrcpts</vt:lpstr>
      <vt:lpstr>proctornzlrctries</vt:lpstr>
      <vt:lpstr>Ramosfra6natt</vt:lpstr>
      <vt:lpstr>Ramosfra6ngls</vt:lpstr>
      <vt:lpstr>Ramosfra6npts</vt:lpstr>
      <vt:lpstr>Ramosfra6ntries</vt:lpstr>
      <vt:lpstr>Ramosfrainttries</vt:lpstr>
      <vt:lpstr>ramosfrayratt</vt:lpstr>
      <vt:lpstr>Ramosfrayrgls</vt:lpstr>
      <vt:lpstr>ramsfrainytpts</vt:lpstr>
      <vt:lpstr>Randallengintpts</vt:lpstr>
      <vt:lpstr>Randallenginttries</vt:lpstr>
      <vt:lpstr>Ratimanzlintpts</vt:lpstr>
      <vt:lpstr>Ratimanzlinttries</vt:lpstr>
      <vt:lpstr>ratimanzltrcpts</vt:lpstr>
      <vt:lpstr>ratimanzltrctries</vt:lpstr>
      <vt:lpstr>redpathscointpts</vt:lpstr>
      <vt:lpstr>redpathscointtries</vt:lpstr>
      <vt:lpstr>Reecenzlpts</vt:lpstr>
      <vt:lpstr>Reecenzltries</vt:lpstr>
      <vt:lpstr>reedscointpts</vt:lpstr>
      <vt:lpstr>reedscointtries</vt:lpstr>
      <vt:lpstr>Rees_Zammitwal6nptscorrect</vt:lpstr>
      <vt:lpstr>Rees_Zammitwal6ntriescorrect</vt:lpstr>
      <vt:lpstr>Rees_Zammitwalintptscorrect</vt:lpstr>
      <vt:lpstr>Rees_Zammitwalinttriescorrect</vt:lpstr>
      <vt:lpstr>reffellwalintpts</vt:lpstr>
      <vt:lpstr>reffellwalinttries</vt:lpstr>
      <vt:lpstr>Reinachrsaintptscorrect</vt:lpstr>
      <vt:lpstr>Reinachrsainttriescorrrect</vt:lpstr>
      <vt:lpstr>reinachrsatrcpts</vt:lpstr>
      <vt:lpstr>reinachrsatrctries</vt:lpstr>
      <vt:lpstr>Retallicknzlpts</vt:lpstr>
      <vt:lpstr>Retallicknzltries</vt:lpstr>
      <vt:lpstr>Riccioniita6npts</vt:lpstr>
      <vt:lpstr>Riccioniita6ntries</vt:lpstr>
      <vt:lpstr>riccioniitaintpts</vt:lpstr>
      <vt:lpstr>riccioniitainttries</vt:lpstr>
      <vt:lpstr>richardsonscointpts</vt:lpstr>
      <vt:lpstr>richardsonscointtries</vt:lpstr>
      <vt:lpstr>ringroseiireintpts</vt:lpstr>
      <vt:lpstr>Ringroseire6npts</vt:lpstr>
      <vt:lpstr>Ringroseire6ntries</vt:lpstr>
      <vt:lpstr>ringroseireinttries</vt:lpstr>
      <vt:lpstr>Ritchiesco6npts</vt:lpstr>
      <vt:lpstr>Ritchiesco6ntries</vt:lpstr>
      <vt:lpstr>Ritchiescointpts</vt:lpstr>
      <vt:lpstr>Ritchiescointtries</vt:lpstr>
      <vt:lpstr>robertsonausintpts</vt:lpstr>
      <vt:lpstr>robertsonausinttries</vt:lpstr>
      <vt:lpstr>roebuckeng6npts</vt:lpstr>
      <vt:lpstr>roebuckeng6ntries</vt:lpstr>
      <vt:lpstr>Roebuckengintpts</vt:lpstr>
      <vt:lpstr>Roebuckenginttries</vt:lpstr>
      <vt:lpstr>rogerargintpts</vt:lpstr>
      <vt:lpstr>rogerarginttries</vt:lpstr>
      <vt:lpstr>Rogerswal6npts</vt:lpstr>
      <vt:lpstr>Rogerswal6ntries</vt:lpstr>
      <vt:lpstr>rogerswalintpts</vt:lpstr>
      <vt:lpstr>rogerswalinttries</vt:lpstr>
      <vt:lpstr>Roigardnzlintptscorrect</vt:lpstr>
      <vt:lpstr>Roigardnzlinttriescorrect</vt:lpstr>
      <vt:lpstr>roigardnzlrcpts</vt:lpstr>
      <vt:lpstr>roigardnzlrctries</vt:lpstr>
      <vt:lpstr>rosswelatt</vt:lpstr>
      <vt:lpstr>rosswelgoals</vt:lpstr>
      <vt:lpstr>roumatfraintpts</vt:lpstr>
      <vt:lpstr>roumatfrainttries</vt:lpstr>
      <vt:lpstr>Rowesco6npts</vt:lpstr>
      <vt:lpstr>Rowesco6ntries</vt:lpstr>
      <vt:lpstr>rowescointpts</vt:lpstr>
      <vt:lpstr>rowescointtries</vt:lpstr>
      <vt:lpstr>rowlandswal6npts</vt:lpstr>
      <vt:lpstr>rowlandswal6ntries</vt:lpstr>
      <vt:lpstr>rubioloargintpts</vt:lpstr>
      <vt:lpstr>rubioloarginttries</vt:lpstr>
      <vt:lpstr>ruizargintpts</vt:lpstr>
      <vt:lpstr>ruizarginttries</vt:lpstr>
      <vt:lpstr>russellsco6natt</vt:lpstr>
      <vt:lpstr>Russellsco6ngls</vt:lpstr>
      <vt:lpstr>Russellsco6npts</vt:lpstr>
      <vt:lpstr>RussellSCO6NTRIES</vt:lpstr>
      <vt:lpstr>russellscointpts</vt:lpstr>
      <vt:lpstr>RUSSELLSCOINTTRIES</vt:lpstr>
      <vt:lpstr>Russellscoyearatt</vt:lpstr>
      <vt:lpstr>russellscoyearattcorrect</vt:lpstr>
      <vt:lpstr>Russellscoyeargls</vt:lpstr>
      <vt:lpstr>RyanIRE6NPTS</vt:lpstr>
      <vt:lpstr>RyanIRE6NTRIES</vt:lpstr>
      <vt:lpstr>ryanireintpts</vt:lpstr>
      <vt:lpstr>ryanireinttries</vt:lpstr>
      <vt:lpstr>sanchexzargyratt</vt:lpstr>
      <vt:lpstr>sanchezargintpts</vt:lpstr>
      <vt:lpstr>sanchezarginttries</vt:lpstr>
      <vt:lpstr>sanchezargtrcpts</vt:lpstr>
      <vt:lpstr>sanchezargtrctries</vt:lpstr>
      <vt:lpstr>Sanchezargyrgls</vt:lpstr>
      <vt:lpstr>Saveaardienzlpts</vt:lpstr>
      <vt:lpstr>Saveaardienzltries</vt:lpstr>
      <vt:lpstr>Saveanzlpts</vt:lpstr>
      <vt:lpstr>Saveanzltries</vt:lpstr>
      <vt:lpstr>SchoemanSCO6NPTS</vt:lpstr>
      <vt:lpstr>SchoemanSCO6NTRIES</vt:lpstr>
      <vt:lpstr>schoemanscointpts</vt:lpstr>
      <vt:lpstr>schoemanscointtries</vt:lpstr>
      <vt:lpstr>sclaviargintpts</vt:lpstr>
      <vt:lpstr>sclaviarginttries</vt:lpstr>
      <vt:lpstr>sclaviarginttriescorrect</vt:lpstr>
      <vt:lpstr>Sclaviargrcpts</vt:lpstr>
      <vt:lpstr>Sclaviargrctries</vt:lpstr>
      <vt:lpstr>Sclaviargtries</vt:lpstr>
      <vt:lpstr>segondsfraintpts</vt:lpstr>
      <vt:lpstr>segondsfrainttries</vt:lpstr>
      <vt:lpstr>segondsfrayratt</vt:lpstr>
      <vt:lpstr>segondsfrayrgls</vt:lpstr>
      <vt:lpstr>serinfraintpts</vt:lpstr>
      <vt:lpstr>serinfrainttries</vt:lpstr>
      <vt:lpstr>sheedywal6natt</vt:lpstr>
      <vt:lpstr>Sheedywal6ngls</vt:lpstr>
      <vt:lpstr>sheedywalyearatt</vt:lpstr>
      <vt:lpstr>Sheedywalyeargls</vt:lpstr>
      <vt:lpstr>Sheehanire6npts</vt:lpstr>
      <vt:lpstr>Sheehanire6ntries</vt:lpstr>
      <vt:lpstr>SHEEHANIREINTPTS</vt:lpstr>
      <vt:lpstr>SHEEHANIREINTTRIES</vt:lpstr>
      <vt:lpstr>Sincklereng6npts</vt:lpstr>
      <vt:lpstr>Sincklereng6ntries</vt:lpstr>
      <vt:lpstr>Sititinzlintpts</vt:lpstr>
      <vt:lpstr>Sititinzlinttries</vt:lpstr>
      <vt:lpstr>Sititinzlrcpts</vt:lpstr>
      <vt:lpstr>Sititinzlrctries</vt:lpstr>
      <vt:lpstr>skinnersco6npts</vt:lpstr>
      <vt:lpstr>Skinnersco6ntfries</vt:lpstr>
      <vt:lpstr>Sladeengintpts</vt:lpstr>
      <vt:lpstr>Sladeenginttries</vt:lpstr>
      <vt:lpstr>sladeengyratt</vt:lpstr>
      <vt:lpstr>Sladeengyrgls</vt:lpstr>
      <vt:lpstr>Sleightholmeengintpts</vt:lpstr>
      <vt:lpstr>Sleightholmeenginttries</vt:lpstr>
      <vt:lpstr>slieghtholmeeng6npts</vt:lpstr>
      <vt:lpstr>slieghtholmeeng6ntries</vt:lpstr>
      <vt:lpstr>slipperausintpts</vt:lpstr>
      <vt:lpstr>slipperausintptscorrect</vt:lpstr>
      <vt:lpstr>slipperausinttries</vt:lpstr>
      <vt:lpstr>slipperausinttriescorrect</vt:lpstr>
      <vt:lpstr>SlipperAUSRCPTS</vt:lpstr>
      <vt:lpstr>SlipperAUSRCTRIES</vt:lpstr>
      <vt:lpstr>Smith_Feng6ngls</vt:lpstr>
      <vt:lpstr>Smith_Feng6npts</vt:lpstr>
      <vt:lpstr>Smith_Feng6ntries</vt:lpstr>
      <vt:lpstr>Smith_Fengintpts</vt:lpstr>
      <vt:lpstr>Smith_Fenginttries</vt:lpstr>
      <vt:lpstr>Smith_Fengyrgls</vt:lpstr>
      <vt:lpstr>smitheng6natt</vt:lpstr>
      <vt:lpstr>Smitheng6ngls</vt:lpstr>
      <vt:lpstr>Smitheng6npts</vt:lpstr>
      <vt:lpstr>Smitheng6ntries</vt:lpstr>
      <vt:lpstr>smithengyearatt</vt:lpstr>
      <vt:lpstr>Smithengyeargls</vt:lpstr>
      <vt:lpstr>smithfeng6natt</vt:lpstr>
      <vt:lpstr>smithfengyratt</vt:lpstr>
      <vt:lpstr>Smithmarchusengintpts</vt:lpstr>
      <vt:lpstr>Smithmarcusrnginttries</vt:lpstr>
      <vt:lpstr>Smithrsarcpts</vt:lpstr>
      <vt:lpstr>Smithrsarctries</vt:lpstr>
      <vt:lpstr>smithscointpts</vt:lpstr>
      <vt:lpstr>smithscointtries</vt:lpstr>
      <vt:lpstr>Sordoniargtrcpts</vt:lpstr>
      <vt:lpstr>Sordoniargtrctries</vt:lpstr>
      <vt:lpstr>Spagnoloita6npts</vt:lpstr>
      <vt:lpstr>Spagnoloita6ntries</vt:lpstr>
      <vt:lpstr>spagnoloitaintpts</vt:lpstr>
      <vt:lpstr>spagnoloitainttries</vt:lpstr>
      <vt:lpstr>Steenekamprsaintpts</vt:lpstr>
      <vt:lpstr>Steenekamprsainttries</vt:lpstr>
      <vt:lpstr>StewardENG6NPTS</vt:lpstr>
      <vt:lpstr>StewardENG6NTRIES</vt:lpstr>
      <vt:lpstr>StewardENGINTPTSCORRECT</vt:lpstr>
      <vt:lpstr>StewardENGINTTRIESCORRECT</vt:lpstr>
      <vt:lpstr>Steyn_Frsarcpts</vt:lpstr>
      <vt:lpstr>Steyn_Frsarctries</vt:lpstr>
      <vt:lpstr>Steynsco6npts</vt:lpstr>
      <vt:lpstr>Steynsco6ntries</vt:lpstr>
      <vt:lpstr>steynscointpts</vt:lpstr>
      <vt:lpstr>steynscointtries</vt:lpstr>
      <vt:lpstr>Stockdaleire6npts</vt:lpstr>
      <vt:lpstr>Stockdaleire6ntries</vt:lpstr>
      <vt:lpstr>stockdaleireintpts</vt:lpstr>
      <vt:lpstr>stockdaleireinttries</vt:lpstr>
      <vt:lpstr>stuarteng6npts</vt:lpstr>
      <vt:lpstr>stuarteng6ntries</vt:lpstr>
      <vt:lpstr>Stuartengintptscorrect</vt:lpstr>
      <vt:lpstr>Stuartenginttriescorrect</vt:lpstr>
      <vt:lpstr>Suaaliiaustrcpts</vt:lpstr>
      <vt:lpstr>Suaaliiaustrctries</vt:lpstr>
      <vt:lpstr>taofifenuafra6npts</vt:lpstr>
      <vt:lpstr>taofifenuafra6ntries</vt:lpstr>
      <vt:lpstr>Taukei_ahoNZLRCPTS</vt:lpstr>
      <vt:lpstr>Taukei_ahoNZLRCTRIES</vt:lpstr>
      <vt:lpstr>Taylornzlintptscorrect</vt:lpstr>
      <vt:lpstr>Taylornzlinttries</vt:lpstr>
      <vt:lpstr>Taylornzlrcpts</vt:lpstr>
      <vt:lpstr>Taylornzlrctrioes</vt:lpstr>
      <vt:lpstr>Tele_anzlintpts</vt:lpstr>
      <vt:lpstr>Tele_anzlinttries</vt:lpstr>
      <vt:lpstr>TeleaNZLTRCPTS</vt:lpstr>
      <vt:lpstr>TeleaNZLTRCTRIES</vt:lpstr>
      <vt:lpstr>tetazchaparroargintpts</vt:lpstr>
      <vt:lpstr>tetazchaparroarginttries</vt:lpstr>
      <vt:lpstr>Thomas_Bwal6natt</vt:lpstr>
      <vt:lpstr>Thomas_Bwal6ngls</vt:lpstr>
      <vt:lpstr>Thomas_Bwalpts</vt:lpstr>
      <vt:lpstr>Thomas_Bwaltries</vt:lpstr>
      <vt:lpstr>Thomas_Bwalyratt</vt:lpstr>
      <vt:lpstr>Thomas_Bwalyrgls</vt:lpstr>
      <vt:lpstr>thomasbwalintpts</vt:lpstr>
      <vt:lpstr>thomasbwalinttries</vt:lpstr>
      <vt:lpstr>thompsonscointpts</vt:lpstr>
      <vt:lpstr>thompsonscointptsscorrect</vt:lpstr>
      <vt:lpstr>thompsonscointtries</vt:lpstr>
      <vt:lpstr>Thompsonscoyratt</vt:lpstr>
      <vt:lpstr>Thompsonscoyrgls</vt:lpstr>
      <vt:lpstr>Timoneyire6npts</vt:lpstr>
      <vt:lpstr>Timoneyire6ntries</vt:lpstr>
      <vt:lpstr>timoneyireintptscorrect</vt:lpstr>
      <vt:lpstr>timoneyireinttriescorrect</vt:lpstr>
      <vt:lpstr>tipuricwalintpts</vt:lpstr>
      <vt:lpstr>tipuricwalinttries</vt:lpstr>
      <vt:lpstr>TompkinsWAL6NPTS</vt:lpstr>
      <vt:lpstr>TompkinsWAL6NTRIES</vt:lpstr>
      <vt:lpstr>tompkinswalintpts</vt:lpstr>
      <vt:lpstr>tompkinswalinttries</vt:lpstr>
      <vt:lpstr>Tooleausintpts</vt:lpstr>
      <vt:lpstr>Tooleausinttries</vt:lpstr>
      <vt:lpstr>Tooleausrcpts</vt:lpstr>
      <vt:lpstr>Tooleausrctries</vt:lpstr>
      <vt:lpstr>Tosinzlintpts</vt:lpstr>
      <vt:lpstr>Tosinzlinttries</vt:lpstr>
      <vt:lpstr>traoreitaintpts</vt:lpstr>
      <vt:lpstr>traoreitainttries</vt:lpstr>
      <vt:lpstr>Trullaita6npts</vt:lpstr>
      <vt:lpstr>Trullaita6ntries</vt:lpstr>
      <vt:lpstr>trullaitaintpts</vt:lpstr>
      <vt:lpstr>trullaitainttries</vt:lpstr>
      <vt:lpstr>tuilagifraintpts</vt:lpstr>
      <vt:lpstr>tuilagifrainttries</vt:lpstr>
      <vt:lpstr>Tuipulotunzlintpts</vt:lpstr>
      <vt:lpstr>Tuipulotunzlinttries</vt:lpstr>
      <vt:lpstr>tuipulotuscointpts</vt:lpstr>
      <vt:lpstr>tuipulotuscointtries</vt:lpstr>
      <vt:lpstr>Tupaeaintptscorrect</vt:lpstr>
      <vt:lpstr>Tupaeanzlinttriescorrect</vt:lpstr>
      <vt:lpstr>Tupaeanzlrcptscorrect</vt:lpstr>
      <vt:lpstr>Tupaeanzlrctries</vt:lpstr>
      <vt:lpstr>Tupaeanzlrctriescorrect</vt:lpstr>
      <vt:lpstr>tupouausintpts</vt:lpstr>
      <vt:lpstr>tupouausinttries</vt:lpstr>
      <vt:lpstr>Turnersco6npts</vt:lpstr>
      <vt:lpstr>Turnersco6ntries</vt:lpstr>
      <vt:lpstr>turnerscointpts</vt:lpstr>
      <vt:lpstr>turnerscointtries</vt:lpstr>
      <vt:lpstr>underhilleng6npts</vt:lpstr>
      <vt:lpstr>underhilleng6ntries</vt:lpstr>
      <vt:lpstr>Underhillengintpts</vt:lpstr>
      <vt:lpstr>Underhillenginttries</vt:lpstr>
      <vt:lpstr>Vaa_Inzlintpts</vt:lpstr>
      <vt:lpstr>Vaa_Inzlinttries</vt:lpstr>
      <vt:lpstr>valetiniausintpts</vt:lpstr>
      <vt:lpstr>valetiniausinttries</vt:lpstr>
      <vt:lpstr>Valetiniausrcpts</vt:lpstr>
      <vt:lpstr>Valetiniausrctries</vt:lpstr>
      <vt:lpstr>van_den_Bergrsaintpts</vt:lpstr>
      <vt:lpstr>van_den_Bergrsainttries</vt:lpstr>
      <vt:lpstr>van_der_Flierire6npts</vt:lpstr>
      <vt:lpstr>van_der_Flierire6ntries</vt:lpstr>
      <vt:lpstr>van_der_Merwe_Mrsaintpts</vt:lpstr>
      <vt:lpstr>van_der_Merwe_Mrsainttries</vt:lpstr>
      <vt:lpstr>van_der_Merwe6nscopts</vt:lpstr>
      <vt:lpstr>van_der_Merwersaintpts</vt:lpstr>
      <vt:lpstr>van_der_Merwersainttries</vt:lpstr>
      <vt:lpstr>van_der_Merwesco6ntries</vt:lpstr>
      <vt:lpstr>van_Poortvlietengintpts</vt:lpstr>
      <vt:lpstr>van_Poortvlietenginttries</vt:lpstr>
      <vt:lpstr>van_Stadenrsaintpts</vt:lpstr>
      <vt:lpstr>van_Stadenrsainttries</vt:lpstr>
      <vt:lpstr>vandenbergrsarcpts</vt:lpstr>
      <vt:lpstr>vandenbergrsarctries</vt:lpstr>
      <vt:lpstr>VANDERFLIERIREINTPTS</vt:lpstr>
      <vt:lpstr>VANDERFLIERIREINTTRIES</vt:lpstr>
      <vt:lpstr>vandermerwescointpts</vt:lpstr>
      <vt:lpstr>vandermerwescointtries</vt:lpstr>
      <vt:lpstr>vanstadenrsatrcpts</vt:lpstr>
      <vt:lpstr>vanstadenrsatrctries</vt:lpstr>
      <vt:lpstr>Varneyita6npts</vt:lpstr>
      <vt:lpstr>Varneyita6ntries</vt:lpstr>
      <vt:lpstr>VARNEYITAINTPTS</vt:lpstr>
      <vt:lpstr>VARNEYITAINTTRIES</vt:lpstr>
      <vt:lpstr>Varneyitayratt</vt:lpstr>
      <vt:lpstr>Varneyitayrgls</vt:lpstr>
      <vt:lpstr>Venter_Brsaintpts</vt:lpstr>
      <vt:lpstr>Venter_Brsainttries</vt:lpstr>
      <vt:lpstr>Venterrsaintpts</vt:lpstr>
      <vt:lpstr>Venterrsainttries</vt:lpstr>
      <vt:lpstr>Villierefra6npts</vt:lpstr>
      <vt:lpstr>Villierefra6ntries</vt:lpstr>
      <vt:lpstr>villierefraintpts</vt:lpstr>
      <vt:lpstr>villierefrainttries</vt:lpstr>
      <vt:lpstr>Vintcentita6npts</vt:lpstr>
      <vt:lpstr>Vintcentita6ntries</vt:lpstr>
      <vt:lpstr>vintcentitaintpts</vt:lpstr>
      <vt:lpstr>vintcentitainttries</vt:lpstr>
      <vt:lpstr>vunivaluausintpts</vt:lpstr>
      <vt:lpstr>vunivaluausinttries</vt:lpstr>
      <vt:lpstr>wainwrightwal6npts</vt:lpstr>
      <vt:lpstr>wainwrightwal6ntries</vt:lpstr>
      <vt:lpstr>wainwrightwalintpts</vt:lpstr>
      <vt:lpstr>wainwrightwalinttries</vt:lpstr>
      <vt:lpstr>warrscointpts</vt:lpstr>
      <vt:lpstr>warrscointtries</vt:lpstr>
      <vt:lpstr>Watkinwal6npts</vt:lpstr>
      <vt:lpstr>Watkinwal6ntries</vt:lpstr>
      <vt:lpstr>watsonscointpts</vt:lpstr>
      <vt:lpstr>watsonscointtries</vt:lpstr>
      <vt:lpstr>Wesselsrsaintpts</vt:lpstr>
      <vt:lpstr>Wesselsrsainttries</vt:lpstr>
      <vt:lpstr>Whiteausrcpts</vt:lpstr>
      <vt:lpstr>Whiteausrctries</vt:lpstr>
      <vt:lpstr>Whiteaustrcpts</vt:lpstr>
      <vt:lpstr>Whiteaustrctries</vt:lpstr>
      <vt:lpstr>whiteausyratt</vt:lpstr>
      <vt:lpstr>whiteausyrgls</vt:lpstr>
      <vt:lpstr>Whitelocknxlrctries</vt:lpstr>
      <vt:lpstr>Whitelocknzlrcpts</vt:lpstr>
      <vt:lpstr>Whitesco6npts</vt:lpstr>
      <vt:lpstr>Whitesco6ntries</vt:lpstr>
      <vt:lpstr>whitescointpts</vt:lpstr>
      <vt:lpstr>whitescointtries</vt:lpstr>
      <vt:lpstr>Wiesersarcpts</vt:lpstr>
      <vt:lpstr>Wiesersarctries</vt:lpstr>
      <vt:lpstr>wilcowrsarctries</vt:lpstr>
      <vt:lpstr>Willemsefra6npts</vt:lpstr>
      <vt:lpstr>Willemsefra6ntries</vt:lpstr>
      <vt:lpstr>Willemsersaintptscorrect</vt:lpstr>
      <vt:lpstr>Willemsersainttries</vt:lpstr>
      <vt:lpstr>Willemsersarcpts</vt:lpstr>
      <vt:lpstr>Willemsersarctries</vt:lpstr>
      <vt:lpstr>willemsersayratt</vt:lpstr>
      <vt:lpstr>Willemsersayrgls</vt:lpstr>
      <vt:lpstr>Williams_Lwal6npts</vt:lpstr>
      <vt:lpstr>Williams_Lwal6Ntries</vt:lpstr>
      <vt:lpstr>Williams_Owal6ngls</vt:lpstr>
      <vt:lpstr>Williams_Owal6npts</vt:lpstr>
      <vt:lpstr>Williams_Owal6ntries</vt:lpstr>
      <vt:lpstr>Williams_Owalyrgls</vt:lpstr>
      <vt:lpstr>Williams_Twal6ntries</vt:lpstr>
      <vt:lpstr>williamslwalintpts</vt:lpstr>
      <vt:lpstr>williamslwalinttries</vt:lpstr>
      <vt:lpstr>Williamsonsco6npts</vt:lpstr>
      <vt:lpstr>Williamsonsco6ntries</vt:lpstr>
      <vt:lpstr>Williamsonscointpts</vt:lpstr>
      <vt:lpstr>Williamsonscointtries</vt:lpstr>
      <vt:lpstr>williamsowal6natt</vt:lpstr>
      <vt:lpstr>williamsowalintpts</vt:lpstr>
      <vt:lpstr>williamsowalinttries</vt:lpstr>
      <vt:lpstr>williamsowalyratt</vt:lpstr>
      <vt:lpstr>Williamsrsaintpts</vt:lpstr>
      <vt:lpstr>Williamsrsainttries</vt:lpstr>
      <vt:lpstr>williamsrsatrcpts</vt:lpstr>
      <vt:lpstr>williamsrsatrctries</vt:lpstr>
      <vt:lpstr>Williamstnzlintpts</vt:lpstr>
      <vt:lpstr>Williamstnzlinttries</vt:lpstr>
      <vt:lpstr>williamstwal6npts</vt:lpstr>
      <vt:lpstr>williamstwalintpts</vt:lpstr>
      <vt:lpstr>williamstwalinttries</vt:lpstr>
      <vt:lpstr>wilsonausintpts</vt:lpstr>
      <vt:lpstr>wilsonausinttries</vt:lpstr>
      <vt:lpstr>Wilsonaustrcpts</vt:lpstr>
      <vt:lpstr>Wilsonaustrctries</vt:lpstr>
      <vt:lpstr>wokifraintpts</vt:lpstr>
      <vt:lpstr>wokifrainttries</vt:lpstr>
      <vt:lpstr>wrightauspts</vt:lpstr>
      <vt:lpstr>wrightaustries</vt:lpstr>
      <vt:lpstr>zamboninitaintpts</vt:lpstr>
      <vt:lpstr>zamboninitainttries</vt:lpstr>
      <vt:lpstr>zanonitaintpts</vt:lpstr>
      <vt:lpstr>zanonitainttries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Ade</dc:creator>
  <cp:lastModifiedBy>Ade Hill</cp:lastModifiedBy>
  <dcterms:created xsi:type="dcterms:W3CDTF">2012-08-28T10:26:03Z</dcterms:created>
  <dcterms:modified xsi:type="dcterms:W3CDTF">2026-03-11T11:43:35Z</dcterms:modified>
</cp:coreProperties>
</file>